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7c1e041f4ad260/Desktop/CEDAR GROVE/"/>
    </mc:Choice>
  </mc:AlternateContent>
  <xr:revisionPtr revIDLastSave="523" documentId="8_{27C06491-D9E4-45E2-A6D2-52417A11B437}" xr6:coauthVersionLast="47" xr6:coauthVersionMax="47" xr10:uidLastSave="{7DCD187D-A99E-415D-8CF1-203EFCFB2893}"/>
  <bookViews>
    <workbookView xWindow="-120" yWindow="-120" windowWidth="29040" windowHeight="15840" tabRatio="841" firstSheet="1" activeTab="16" xr2:uid="{51A140F0-835B-4494-AF54-FD89F615659E}"/>
  </bookViews>
  <sheets>
    <sheet name="Summary" sheetId="1" r:id="rId1"/>
    <sheet name="Closing Budget" sheetId="63" r:id="rId2"/>
    <sheet name="Rent Roll" sheetId="51" r:id="rId3"/>
    <sheet name="Unit Mix-Reno Schedule" sheetId="53" r:id="rId4"/>
    <sheet name="Opex Budget" sheetId="59" r:id="rId5"/>
    <sheet name="Ops Assumptions" sheetId="55" r:id="rId6"/>
    <sheet name="Renovation Budget" sheetId="38" r:id="rId7"/>
    <sheet name="Financials" sheetId="57" r:id="rId8"/>
    <sheet name="Monthly Pro Forma" sheetId="5" r:id="rId9"/>
    <sheet name="Annual Pro Forma" sheetId="32" r:id="rId10"/>
    <sheet name="Returns" sheetId="41" r:id="rId11"/>
    <sheet name="Export Sheet" sheetId="43" state="hidden" r:id="rId12"/>
    <sheet name="Dropdowns" sheetId="33" state="hidden" r:id="rId13"/>
    <sheet name="Data" sheetId="61" state="hidden" r:id="rId14"/>
    <sheet name="Summary Metrics" sheetId="64" state="hidden" r:id="rId15"/>
    <sheet name="Loan Schedule" sheetId="6" r:id="rId16"/>
    <sheet name="Pref Schedule" sheetId="65" r:id="rId17"/>
    <sheet name="Notes" sheetId="12" state="hidden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__________mg3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__mg3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__mg3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__mg3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__mg3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_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_mg3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_mg3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_mg3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_mg3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_mg3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mg3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mg3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mg3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mg3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mg3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mg3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mg3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mg3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mg3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mg3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mg3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mg3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mg3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mg3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mg3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a1" localSheetId="13" hidden="1">{"Assump",#N/A,TRUE,"Proforma";"first",#N/A,TRUE,"Proforma";"second",#N/A,TRUE,"Proforma";"lease1",#N/A,TRUE,"Proforma";"lease2",#N/A,TRUE,"Proforma"}</definedName>
    <definedName name="_______a1" localSheetId="7" hidden="1">{"Assump",#N/A,TRUE,"Proforma";"first",#N/A,TRUE,"Proforma";"second",#N/A,TRUE,"Proforma";"lease1",#N/A,TRUE,"Proforma";"lease2",#N/A,TRUE,"Proforma"}</definedName>
    <definedName name="_______a1" localSheetId="4" hidden="1">{"Assump",#N/A,TRUE,"Proforma";"first",#N/A,TRUE,"Proforma";"second",#N/A,TRUE,"Proforma";"lease1",#N/A,TRUE,"Proforma";"lease2",#N/A,TRUE,"Proforma"}</definedName>
    <definedName name="_______a1" localSheetId="5" hidden="1">{"Assump",#N/A,TRUE,"Proforma";"first",#N/A,TRUE,"Proforma";"second",#N/A,TRUE,"Proforma";"lease1",#N/A,TRUE,"Proforma";"lease2",#N/A,TRUE,"Proforma"}</definedName>
    <definedName name="_______a1" localSheetId="3" hidden="1">{"Assump",#N/A,TRUE,"Proforma";"first",#N/A,TRUE,"Proforma";"second",#N/A,TRUE,"Proforma";"lease1",#N/A,TRUE,"Proforma";"lease2",#N/A,TRUE,"Proforma"}</definedName>
    <definedName name="_______a1" hidden="1">{"Assump",#N/A,TRUE,"Proforma";"first",#N/A,TRUE,"Proforma";"second",#N/A,TRUE,"Proforma";"lease1",#N/A,TRUE,"Proforma";"lease2",#N/A,TRUE,"Proforma"}</definedName>
    <definedName name="_______mg3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mg3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mg3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mg3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mg3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a1" localSheetId="13" hidden="1">{"Assump",#N/A,TRUE,"Proforma";"first",#N/A,TRUE,"Proforma";"second",#N/A,TRUE,"Proforma";"lease1",#N/A,TRUE,"Proforma";"lease2",#N/A,TRUE,"Proforma"}</definedName>
    <definedName name="______a1" localSheetId="7" hidden="1">{"Assump",#N/A,TRUE,"Proforma";"first",#N/A,TRUE,"Proforma";"second",#N/A,TRUE,"Proforma";"lease1",#N/A,TRUE,"Proforma";"lease2",#N/A,TRUE,"Proforma"}</definedName>
    <definedName name="______a1" localSheetId="4" hidden="1">{"Assump",#N/A,TRUE,"Proforma";"first",#N/A,TRUE,"Proforma";"second",#N/A,TRUE,"Proforma";"lease1",#N/A,TRUE,"Proforma";"lease2",#N/A,TRUE,"Proforma"}</definedName>
    <definedName name="______a1" localSheetId="5" hidden="1">{"Assump",#N/A,TRUE,"Proforma";"first",#N/A,TRUE,"Proforma";"second",#N/A,TRUE,"Proforma";"lease1",#N/A,TRUE,"Proforma";"lease2",#N/A,TRUE,"Proforma"}</definedName>
    <definedName name="______a1" localSheetId="3" hidden="1">{"Assump",#N/A,TRUE,"Proforma";"first",#N/A,TRUE,"Proforma";"second",#N/A,TRUE,"Proforma";"lease1",#N/A,TRUE,"Proforma";"lease2",#N/A,TRUE,"Proforma"}</definedName>
    <definedName name="______a1" hidden="1">{"Assump",#N/A,TRUE,"Proforma";"first",#N/A,TRUE,"Proforma";"second",#N/A,TRUE,"Proforma";"lease1",#N/A,TRUE,"Proforma";"lease2",#N/A,TRUE,"Proforma"}</definedName>
    <definedName name="______mg3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mg3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mg3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mg3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mg3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a1" localSheetId="13" hidden="1">{"Assump",#N/A,TRUE,"Proforma";"first",#N/A,TRUE,"Proforma";"second",#N/A,TRUE,"Proforma";"lease1",#N/A,TRUE,"Proforma";"lease2",#N/A,TRUE,"Proforma"}</definedName>
    <definedName name="_____a1" localSheetId="7" hidden="1">{"Assump",#N/A,TRUE,"Proforma";"first",#N/A,TRUE,"Proforma";"second",#N/A,TRUE,"Proforma";"lease1",#N/A,TRUE,"Proforma";"lease2",#N/A,TRUE,"Proforma"}</definedName>
    <definedName name="_____a1" localSheetId="4" hidden="1">{"Assump",#N/A,TRUE,"Proforma";"first",#N/A,TRUE,"Proforma";"second",#N/A,TRUE,"Proforma";"lease1",#N/A,TRUE,"Proforma";"lease2",#N/A,TRUE,"Proforma"}</definedName>
    <definedName name="_____a1" localSheetId="5" hidden="1">{"Assump",#N/A,TRUE,"Proforma";"first",#N/A,TRUE,"Proforma";"second",#N/A,TRUE,"Proforma";"lease1",#N/A,TRUE,"Proforma";"lease2",#N/A,TRUE,"Proforma"}</definedName>
    <definedName name="_____a1" localSheetId="3" hidden="1">{"Assump",#N/A,TRUE,"Proforma";"first",#N/A,TRUE,"Proforma";"second",#N/A,TRUE,"Proforma";"lease1",#N/A,TRUE,"Proforma";"lease2",#N/A,TRUE,"Proforma"}</definedName>
    <definedName name="_____a1" hidden="1">{"Assump",#N/A,TRUE,"Proforma";"first",#N/A,TRUE,"Proforma";"second",#N/A,TRUE,"Proforma";"lease1",#N/A,TRUE,"Proforma";"lease2",#N/A,TRUE,"Proforma"}</definedName>
    <definedName name="_____al1" localSheetId="13" hidden="1">{"sheet a",#N/A,FALSE,"A";"sheet b 1",#N/A,FALSE,"B";"sheet b 2",#N/A,FALSE,"B"}</definedName>
    <definedName name="_____al1" localSheetId="7" hidden="1">{"sheet a",#N/A,FALSE,"A";"sheet b 1",#N/A,FALSE,"B";"sheet b 2",#N/A,FALSE,"B"}</definedName>
    <definedName name="_____al1" localSheetId="4" hidden="1">{"sheet a",#N/A,FALSE,"A";"sheet b 1",#N/A,FALSE,"B";"sheet b 2",#N/A,FALSE,"B"}</definedName>
    <definedName name="_____al1" localSheetId="5" hidden="1">{"sheet a",#N/A,FALSE,"A";"sheet b 1",#N/A,FALSE,"B";"sheet b 2",#N/A,FALSE,"B"}</definedName>
    <definedName name="_____al1" localSheetId="3" hidden="1">{"sheet a",#N/A,FALSE,"A";"sheet b 1",#N/A,FALSE,"B";"sheet b 2",#N/A,FALSE,"B"}</definedName>
    <definedName name="_____al1" hidden="1">{"sheet a",#N/A,FALSE,"A";"sheet b 1",#N/A,FALSE,"B";"sheet b 2",#N/A,FALSE,"B"}</definedName>
    <definedName name="_____mg3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mg3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mg3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mg3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mg3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a1" localSheetId="13" hidden="1">{"Assump",#N/A,TRUE,"Proforma";"first",#N/A,TRUE,"Proforma";"second",#N/A,TRUE,"Proforma";"lease1",#N/A,TRUE,"Proforma";"lease2",#N/A,TRUE,"Proforma"}</definedName>
    <definedName name="____a1" localSheetId="7" hidden="1">{"Assump",#N/A,TRUE,"Proforma";"first",#N/A,TRUE,"Proforma";"second",#N/A,TRUE,"Proforma";"lease1",#N/A,TRUE,"Proforma";"lease2",#N/A,TRUE,"Proforma"}</definedName>
    <definedName name="____a1" localSheetId="4" hidden="1">{"Assump",#N/A,TRUE,"Proforma";"first",#N/A,TRUE,"Proforma";"second",#N/A,TRUE,"Proforma";"lease1",#N/A,TRUE,"Proforma";"lease2",#N/A,TRUE,"Proforma"}</definedName>
    <definedName name="____a1" localSheetId="5" hidden="1">{"Assump",#N/A,TRUE,"Proforma";"first",#N/A,TRUE,"Proforma";"second",#N/A,TRUE,"Proforma";"lease1",#N/A,TRUE,"Proforma";"lease2",#N/A,TRUE,"Proforma"}</definedName>
    <definedName name="____a1" localSheetId="3" hidden="1">{"Assump",#N/A,TRUE,"Proforma";"first",#N/A,TRUE,"Proforma";"second",#N/A,TRUE,"Proforma";"lease1",#N/A,TRUE,"Proforma";"lease2",#N/A,TRUE,"Proforma"}</definedName>
    <definedName name="____a1" hidden="1">{"Assump",#N/A,TRUE,"Proforma";"first",#N/A,TRUE,"Proforma";"second",#N/A,TRUE,"Proforma";"lease1",#N/A,TRUE,"Proforma";"lease2",#N/A,TRUE,"Proforma"}</definedName>
    <definedName name="____al1" localSheetId="13" hidden="1">{"sheet a",#N/A,FALSE,"A";"sheet b 1",#N/A,FALSE,"B";"sheet b 2",#N/A,FALSE,"B"}</definedName>
    <definedName name="____al1" localSheetId="7" hidden="1">{"sheet a",#N/A,FALSE,"A";"sheet b 1",#N/A,FALSE,"B";"sheet b 2",#N/A,FALSE,"B"}</definedName>
    <definedName name="____al1" localSheetId="4" hidden="1">{"sheet a",#N/A,FALSE,"A";"sheet b 1",#N/A,FALSE,"B";"sheet b 2",#N/A,FALSE,"B"}</definedName>
    <definedName name="____al1" localSheetId="5" hidden="1">{"sheet a",#N/A,FALSE,"A";"sheet b 1",#N/A,FALSE,"B";"sheet b 2",#N/A,FALSE,"B"}</definedName>
    <definedName name="____al1" localSheetId="3" hidden="1">{"sheet a",#N/A,FALSE,"A";"sheet b 1",#N/A,FALSE,"B";"sheet b 2",#N/A,FALSE,"B"}</definedName>
    <definedName name="____al1" hidden="1">{"sheet a",#N/A,FALSE,"A";"sheet b 1",#N/A,FALSE,"B";"sheet b 2",#N/A,FALSE,"B"}</definedName>
    <definedName name="____mg3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mg3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mg3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mg3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mg3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a1" localSheetId="13" hidden="1">{"Assump",#N/A,TRUE,"Proforma";"first",#N/A,TRUE,"Proforma";"second",#N/A,TRUE,"Proforma";"lease1",#N/A,TRUE,"Proforma";"lease2",#N/A,TRUE,"Proforma"}</definedName>
    <definedName name="___a1" localSheetId="7" hidden="1">{"Assump",#N/A,TRUE,"Proforma";"first",#N/A,TRUE,"Proforma";"second",#N/A,TRUE,"Proforma";"lease1",#N/A,TRUE,"Proforma";"lease2",#N/A,TRUE,"Proforma"}</definedName>
    <definedName name="___a1" localSheetId="4" hidden="1">{"Assump",#N/A,TRUE,"Proforma";"first",#N/A,TRUE,"Proforma";"second",#N/A,TRUE,"Proforma";"lease1",#N/A,TRUE,"Proforma";"lease2",#N/A,TRUE,"Proforma"}</definedName>
    <definedName name="___a1" localSheetId="5" hidden="1">{"Assump",#N/A,TRUE,"Proforma";"first",#N/A,TRUE,"Proforma";"second",#N/A,TRUE,"Proforma";"lease1",#N/A,TRUE,"Proforma";"lease2",#N/A,TRUE,"Proforma"}</definedName>
    <definedName name="___a1" localSheetId="3" hidden="1">{"Assump",#N/A,TRUE,"Proforma";"first",#N/A,TRUE,"Proforma";"second",#N/A,TRUE,"Proforma";"lease1",#N/A,TRUE,"Proforma";"lease2",#N/A,TRUE,"Proforma"}</definedName>
    <definedName name="___a1" hidden="1">{"Assump",#N/A,TRUE,"Proforma";"first",#N/A,TRUE,"Proforma";"second",#N/A,TRUE,"Proforma";"lease1",#N/A,TRUE,"Proforma";"lease2",#N/A,TRUE,"Proforma"}</definedName>
    <definedName name="___al1" localSheetId="13" hidden="1">{"sheet a",#N/A,FALSE,"A";"sheet b 1",#N/A,FALSE,"B";"sheet b 2",#N/A,FALSE,"B"}</definedName>
    <definedName name="___al1" localSheetId="7" hidden="1">{"sheet a",#N/A,FALSE,"A";"sheet b 1",#N/A,FALSE,"B";"sheet b 2",#N/A,FALSE,"B"}</definedName>
    <definedName name="___al1" localSheetId="4" hidden="1">{"sheet a",#N/A,FALSE,"A";"sheet b 1",#N/A,FALSE,"B";"sheet b 2",#N/A,FALSE,"B"}</definedName>
    <definedName name="___al1" localSheetId="5" hidden="1">{"sheet a",#N/A,FALSE,"A";"sheet b 1",#N/A,FALSE,"B";"sheet b 2",#N/A,FALSE,"B"}</definedName>
    <definedName name="___al1" localSheetId="3" hidden="1">{"sheet a",#N/A,FALSE,"A";"sheet b 1",#N/A,FALSE,"B";"sheet b 2",#N/A,FALSE,"B"}</definedName>
    <definedName name="___al1" hidden="1">{"sheet a",#N/A,FALSE,"A";"sheet b 1",#N/A,FALSE,"B";"sheet b 2",#N/A,FALSE,"B"}</definedName>
    <definedName name="___mg3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mg3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mg3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mg3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mg3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123Graph_A" hidden="1">#REF!</definedName>
    <definedName name="__123Graph_B" hidden="1">#REF!</definedName>
    <definedName name="__123Graph_C" hidden="1">#REF!</definedName>
    <definedName name="__123Graph_D" hidden="1">[1]DETAIL!$E$4:$E$69</definedName>
    <definedName name="__123Graph_E" hidden="1">[1]DETAIL!$F$4:$F$69</definedName>
    <definedName name="__123Graph_F" hidden="1">#REF!</definedName>
    <definedName name="__123Graph_X" hidden="1">'[2]Historical Financials'!$A$16:$A$43</definedName>
    <definedName name="__a1" localSheetId="13" hidden="1">{"Assump",#N/A,TRUE,"Proforma";"first",#N/A,TRUE,"Proforma";"second",#N/A,TRUE,"Proforma";"lease1",#N/A,TRUE,"Proforma";"lease2",#N/A,TRUE,"Proforma"}</definedName>
    <definedName name="__a1" localSheetId="7" hidden="1">{"Assump",#N/A,TRUE,"Proforma";"first",#N/A,TRUE,"Proforma";"second",#N/A,TRUE,"Proforma";"lease1",#N/A,TRUE,"Proforma";"lease2",#N/A,TRUE,"Proforma"}</definedName>
    <definedName name="__a1" localSheetId="4" hidden="1">{"Assump",#N/A,TRUE,"Proforma";"first",#N/A,TRUE,"Proforma";"second",#N/A,TRUE,"Proforma";"lease1",#N/A,TRUE,"Proforma";"lease2",#N/A,TRUE,"Proforma"}</definedName>
    <definedName name="__a1" localSheetId="5" hidden="1">{"Assump",#N/A,TRUE,"Proforma";"first",#N/A,TRUE,"Proforma";"second",#N/A,TRUE,"Proforma";"lease1",#N/A,TRUE,"Proforma";"lease2",#N/A,TRUE,"Proforma"}</definedName>
    <definedName name="__a1" localSheetId="3" hidden="1">{"Assump",#N/A,TRUE,"Proforma";"first",#N/A,TRUE,"Proforma";"second",#N/A,TRUE,"Proforma";"lease1",#N/A,TRUE,"Proforma";"lease2",#N/A,TRUE,"Proforma"}</definedName>
    <definedName name="__a1" hidden="1">{"Assump",#N/A,TRUE,"Proforma";"first",#N/A,TRUE,"Proforma";"second",#N/A,TRUE,"Proforma";"lease1",#N/A,TRUE,"Proforma";"lease2",#N/A,TRUE,"Proforma"}</definedName>
    <definedName name="__al1" localSheetId="13" hidden="1">{"sheet a",#N/A,FALSE,"A";"sheet b 1",#N/A,FALSE,"B";"sheet b 2",#N/A,FALSE,"B"}</definedName>
    <definedName name="__al1" localSheetId="7" hidden="1">{"sheet a",#N/A,FALSE,"A";"sheet b 1",#N/A,FALSE,"B";"sheet b 2",#N/A,FALSE,"B"}</definedName>
    <definedName name="__al1" localSheetId="4" hidden="1">{"sheet a",#N/A,FALSE,"A";"sheet b 1",#N/A,FALSE,"B";"sheet b 2",#N/A,FALSE,"B"}</definedName>
    <definedName name="__al1" localSheetId="5" hidden="1">{"sheet a",#N/A,FALSE,"A";"sheet b 1",#N/A,FALSE,"B";"sheet b 2",#N/A,FALSE,"B"}</definedName>
    <definedName name="__al1" localSheetId="3" hidden="1">{"sheet a",#N/A,FALSE,"A";"sheet b 1",#N/A,FALSE,"B";"sheet b 2",#N/A,FALSE,"B"}</definedName>
    <definedName name="__al1" hidden="1">{"sheet a",#N/A,FALSE,"A";"sheet b 1",#N/A,FALSE,"B";"sheet b 2",#N/A,FALSE,"B"}</definedName>
    <definedName name="__FDS_HYPERLINK_TOGGLE_STATE__" hidden="1">"ON"</definedName>
    <definedName name="__IntlFixup" hidden="1">TRUE</definedName>
    <definedName name="__mg3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mg3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mg3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mg3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mg3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_wrn1" localSheetId="13" hidden="1">{"schedule1",#N/A,FALSE,"Sheet1";"schedule2",#N/A,FALSE,"Sheet1";"schedule3",#N/A,FALSE,"Sheet1";"schedule4",#N/A,FALSE,"Sheet1";"schedule5",#N/A,FALSE,"Sheet1";"schedule6",#N/A,FALSE,"Sheet1"}</definedName>
    <definedName name="__wrn1" localSheetId="7" hidden="1">{"schedule1",#N/A,FALSE,"Sheet1";"schedule2",#N/A,FALSE,"Sheet1";"schedule3",#N/A,FALSE,"Sheet1";"schedule4",#N/A,FALSE,"Sheet1";"schedule5",#N/A,FALSE,"Sheet1";"schedule6",#N/A,FALSE,"Sheet1"}</definedName>
    <definedName name="__wrn1" localSheetId="4" hidden="1">{"schedule1",#N/A,FALSE,"Sheet1";"schedule2",#N/A,FALSE,"Sheet1";"schedule3",#N/A,FALSE,"Sheet1";"schedule4",#N/A,FALSE,"Sheet1";"schedule5",#N/A,FALSE,"Sheet1";"schedule6",#N/A,FALSE,"Sheet1"}</definedName>
    <definedName name="__wrn1" localSheetId="5" hidden="1">{"schedule1",#N/A,FALSE,"Sheet1";"schedule2",#N/A,FALSE,"Sheet1";"schedule3",#N/A,FALSE,"Sheet1";"schedule4",#N/A,FALSE,"Sheet1";"schedule5",#N/A,FALSE,"Sheet1";"schedule6",#N/A,FALSE,"Sheet1"}</definedName>
    <definedName name="__wrn1" localSheetId="3" hidden="1">{"schedule1",#N/A,FALSE,"Sheet1";"schedule2",#N/A,FALSE,"Sheet1";"schedule3",#N/A,FALSE,"Sheet1";"schedule4",#N/A,FALSE,"Sheet1";"schedule5",#N/A,FALSE,"Sheet1";"schedule6",#N/A,FALSE,"Sheet1"}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1__123Graph_ACHART_1" hidden="1">'[3]Data Sheet (Actual)'!$D$367:$O$367</definedName>
    <definedName name="_10__123Graph_CCHART_3" hidden="1">'[4]APF Monthly Sales Graph'!#REF!</definedName>
    <definedName name="_108__123Graph_BCHART_22" hidden="1">[5]Occ!#REF!</definedName>
    <definedName name="_11__123Graph_ACHART_3" hidden="1">'[3]APF Monthly Sales Graph'!#REF!</definedName>
    <definedName name="_11__123Graph_DCHART_1" hidden="1">'[4]Data Sheet (Actual)'!$D$320:$O$320</definedName>
    <definedName name="_117__123Graph_CCHART_15" hidden="1">[5]Occ!#REF!</definedName>
    <definedName name="_12__123Graph_ACHART_4" hidden="1">'[3]1997 APF Weekly Sales Graph'!$A$31:$A$46</definedName>
    <definedName name="_12__123Graph_ECHART_1" hidden="1">'[4]Data Sheet (Actual)'!$D$298:$O$298</definedName>
    <definedName name="_126__123Graph_CCHART_16" hidden="1">[5]Occ!#REF!</definedName>
    <definedName name="_13__123Graph_BCHART_1" hidden="1">'[3]Data Sheet (Actual)'!$D$353:$O$353</definedName>
    <definedName name="_13__123Graph_FCHART_1" hidden="1">'[4]Data Sheet (Actual)'!$D$275:$O$275</definedName>
    <definedName name="_135__123Graph_CCHART_17" hidden="1">[5]Occ!#REF!</definedName>
    <definedName name="_14__123Graph_BCHART_2" hidden="1">'[3]Weekly Sales (Act)'!$BL$9:$BL$59</definedName>
    <definedName name="_14__123Graph_LBL_ACHART_2" hidden="1">'[4]Weekly Sales (Act)'!$BP$9:$BP$58</definedName>
    <definedName name="_144__123Graph_CCHART_22" hidden="1">[5]Occ!#REF!</definedName>
    <definedName name="_15__123Graph_LBL_ACHART_3" hidden="1">'[4]APF Monthly Sales Graph'!#REF!</definedName>
    <definedName name="_153__123Graph_CSEG_PIE" hidden="1">[5]Demand!#REF!</definedName>
    <definedName name="_16__123Graph_ACHART_3" hidden="1">'[4]APF Monthly Sales Graph'!#REF!</definedName>
    <definedName name="_16__123Graph_LBL_ACHART_4" hidden="1">'[4]1997 APF Weekly Sales Graph'!$A$31:$A$46</definedName>
    <definedName name="_162__123Graph_DCHART_15" hidden="1">[5]Occ!#REF!</definedName>
    <definedName name="_17__123Graph_ACHART_4" hidden="1">'[4]1997 APF Weekly Sales Graph'!$A$31:$A$46</definedName>
    <definedName name="_17__123Graph_LBL_BCHART_2" hidden="1">'[4]Weekly Sales (Act)'!$BL$9:$BL$59</definedName>
    <definedName name="_171__123Graph_DCHART_16" hidden="1">[5]Occ!#REF!</definedName>
    <definedName name="_18__123Graph_ACHART_15" hidden="1">[5]Occ!#REF!</definedName>
    <definedName name="_18__123Graph_BCHART_1" hidden="1">'[4]Data Sheet (Actual)'!$D$353:$O$353</definedName>
    <definedName name="_18__123Graph_LBL_BCHART_3" hidden="1">'[4]APF Monthly Sales Graph'!#REF!</definedName>
    <definedName name="_180__123Graph_DCHART_17" hidden="1">[5]Occ!#REF!</definedName>
    <definedName name="_189__123Graph_DCHART_22" hidden="1">[5]Occ!#REF!</definedName>
    <definedName name="_19__123Graph_BCHART_2" hidden="1">'[4]Weekly Sales (Act)'!$BL$9:$BL$59</definedName>
    <definedName name="_19__123Graph_LBL_CCHART_2" hidden="1">'[4]Weekly Sales (Act)'!$BF$9:$BF$28</definedName>
    <definedName name="_198__123Graph_ECHART_15" hidden="1">[5]Occ!#REF!</definedName>
    <definedName name="_2__123Graph_ACHART_2" hidden="1">'[3]Weekly Sales (Act)'!$BP$9:$BP$58</definedName>
    <definedName name="_20__123Graph_LBL_CCHART_3" hidden="1">'[4]APF Monthly Sales Graph'!#REF!</definedName>
    <definedName name="_207__123Graph_ECHART_16" hidden="1">[5]Occ!#REF!</definedName>
    <definedName name="_21_0_S" hidden="1">#REF!</definedName>
    <definedName name="_216__123Graph_ECHART_17" hidden="1">[5]Occ!#REF!</definedName>
    <definedName name="_22_0_S" hidden="1">#REF!</definedName>
    <definedName name="_225__123Graph_ECHART_22" hidden="1">[5]Occ!#REF!</definedName>
    <definedName name="_23__123Graph_BCHART_3" hidden="1">'[3]APF Monthly Sales Graph'!#REF!</definedName>
    <definedName name="_234__123Graph_FCHART_15" hidden="1">[5]Occ!#REF!</definedName>
    <definedName name="_24__123Graph_CCHART_1" hidden="1">'[3]Data Sheet (Actual)'!$D$338:$O$338</definedName>
    <definedName name="_243__123Graph_FCHART_16" hidden="1">[5]Occ!#REF!</definedName>
    <definedName name="_25__123Graph_CCHART_2" hidden="1">'[3]Weekly Sales (Act)'!$BF$9:$BF$28</definedName>
    <definedName name="_252__123Graph_FCHART_17" hidden="1">[5]Occ!#REF!</definedName>
    <definedName name="_26__123Graph_BCHART_3" hidden="1">'[4]APF Monthly Sales Graph'!#REF!</definedName>
    <definedName name="_261__123Graph_FCHART_22" hidden="1">[5]Occ!#REF!</definedName>
    <definedName name="_27__123Graph_ACHART_16" hidden="1">[5]Occ!#REF!</definedName>
    <definedName name="_27__123Graph_CCHART_1" hidden="1">'[4]Data Sheet (Actual)'!$D$338:$O$338</definedName>
    <definedName name="_270__123Graph_XCHART_15" hidden="1">[5]Occ!#REF!</definedName>
    <definedName name="_279__123Graph_XCHART_16" hidden="1">[5]Occ!#REF!</definedName>
    <definedName name="_28__123Graph_CCHART_2" hidden="1">'[4]Weekly Sales (Act)'!$BF$9:$BF$28</definedName>
    <definedName name="_288__123Graph_XCHART_17" hidden="1">[5]Occ!#REF!</definedName>
    <definedName name="_297__123Graph_XCHART_18" hidden="1">[5]Demand!#REF!</definedName>
    <definedName name="_3__123Graph_ACHART_3" hidden="1">'[4]APF Monthly Sales Graph'!#REF!</definedName>
    <definedName name="_306__123Graph_XCHART_19" hidden="1">[5]Demand!#REF!</definedName>
    <definedName name="_315__123Graph_XCHART_22" hidden="1">[5]Occ!#REF!</definedName>
    <definedName name="_324__123Graph_XSEG_PIE" hidden="1">[5]Demand!#REF!</definedName>
    <definedName name="_34__123Graph_CCHART_3" hidden="1">'[3]APF Monthly Sales Graph'!#REF!</definedName>
    <definedName name="_35__123Graph_CCHART_3" hidden="1">'[4]APF Monthly Sales Graph'!#REF!</definedName>
    <definedName name="_35__123Graph_DCHART_1" hidden="1">'[3]Data Sheet (Actual)'!$D$320:$O$320</definedName>
    <definedName name="_36__123Graph_ACHART_17" hidden="1">[5]Occ!#REF!</definedName>
    <definedName name="_36__123Graph_DCHART_1" hidden="1">'[4]Data Sheet (Actual)'!$D$320:$O$320</definedName>
    <definedName name="_36__123Graph_ECHART_1" hidden="1">'[3]Data Sheet (Actual)'!$D$298:$O$298</definedName>
    <definedName name="_37__123Graph_ECHART_1" hidden="1">'[4]Data Sheet (Actual)'!$D$298:$O$298</definedName>
    <definedName name="_37__123Graph_FCHART_1" hidden="1">'[3]Data Sheet (Actual)'!$D$275:$O$275</definedName>
    <definedName name="_38__123Graph_FCHART_1" hidden="1">'[4]Data Sheet (Actual)'!$D$275:$O$275</definedName>
    <definedName name="_38__123Graph_LBL_ACHART_2" hidden="1">'[3]Weekly Sales (Act)'!$BP$9:$BP$58</definedName>
    <definedName name="_39__123Graph_LBL_ACHART_2" hidden="1">'[4]Weekly Sales (Act)'!$BP$9:$BP$58</definedName>
    <definedName name="_4__123Graph_ACHART_4" hidden="1">'[4]1997 APF Weekly Sales Graph'!$A$31:$A$46</definedName>
    <definedName name="_45__123Graph_ACHART_18" hidden="1">[5]Demand!#REF!</definedName>
    <definedName name="_46__123Graph_LBL_ACHART_3" hidden="1">'[4]APF Monthly Sales Graph'!#REF!</definedName>
    <definedName name="_47__123Graph_LBL_ACHART_3" hidden="1">'[3]APF Monthly Sales Graph'!#REF!</definedName>
    <definedName name="_47__123Graph_LBL_ACHART_4" hidden="1">'[4]1997 APF Weekly Sales Graph'!$A$31:$A$46</definedName>
    <definedName name="_48__123Graph_LBL_ACHART_4" hidden="1">'[3]1997 APF Weekly Sales Graph'!$A$31:$A$46</definedName>
    <definedName name="_48__123Graph_LBL_BCHART_2" hidden="1">'[4]Weekly Sales (Act)'!$BL$9:$BL$59</definedName>
    <definedName name="_49__123Graph_LBL_BCHART_2" hidden="1">'[3]Weekly Sales (Act)'!$BL$9:$BL$59</definedName>
    <definedName name="_5__123Graph_BCHART_1" hidden="1">'[4]Data Sheet (Actual)'!$D$353:$O$353</definedName>
    <definedName name="_54__123Graph_ACHART_19" hidden="1">[5]Demand!#REF!</definedName>
    <definedName name="_55__123Graph_LBL_BCHART_3" hidden="1">'[4]APF Monthly Sales Graph'!#REF!</definedName>
    <definedName name="_56__123Graph_LBL_CCHART_2" hidden="1">'[4]Weekly Sales (Act)'!$BF$9:$BF$28</definedName>
    <definedName name="_58__123Graph_LBL_BCHART_3" hidden="1">'[3]APF Monthly Sales Graph'!#REF!</definedName>
    <definedName name="_59__123Graph_LBL_CCHART_2" hidden="1">'[3]Weekly Sales (Act)'!$BF$9:$BF$28</definedName>
    <definedName name="_6__123Graph_BCHART_2" hidden="1">'[4]Weekly Sales (Act)'!$BL$9:$BL$59</definedName>
    <definedName name="_63__123Graph_ACHART_21" hidden="1">[5]Occ!#REF!</definedName>
    <definedName name="_63__123Graph_LBL_CCHART_3" hidden="1">'[4]APF Monthly Sales Graph'!#REF!</definedName>
    <definedName name="_68__123Graph_LBL_CCHART_3" hidden="1">'[3]APF Monthly Sales Graph'!#REF!</definedName>
    <definedName name="_7__123Graph_BCHART_3" hidden="1">'[4]APF Monthly Sales Graph'!#REF!</definedName>
    <definedName name="_70_0_S" hidden="1">#REF!</definedName>
    <definedName name="_72__123Graph_ASEG_PIE" hidden="1">[5]Demand!#REF!</definedName>
    <definedName name="_77_0_S" hidden="1">#REF!</definedName>
    <definedName name="_8__123Graph_ACHART_1" hidden="1">'[4]Data Sheet (Actual)'!$D$367:$O$367</definedName>
    <definedName name="_8__123Graph_CCHART_1" hidden="1">'[4]Data Sheet (Actual)'!$D$338:$O$338</definedName>
    <definedName name="_81__123Graph_BCHART_15" hidden="1">[5]Occ!#REF!</definedName>
    <definedName name="_9__123Graph_ACHART_12" hidden="1">[5]Demand!#REF!</definedName>
    <definedName name="_9__123Graph_ACHART_2" hidden="1">'[4]Weekly Sales (Act)'!$BP$9:$BP$58</definedName>
    <definedName name="_9__123Graph_CCHART_2" hidden="1">'[4]Weekly Sales (Act)'!$BF$9:$BF$28</definedName>
    <definedName name="_90__123Graph_BCHART_16" hidden="1">[5]Occ!#REF!</definedName>
    <definedName name="_99__123Graph_BCHART_17" hidden="1">[5]Occ!#REF!</definedName>
    <definedName name="_a1" localSheetId="13" hidden="1">{"Assump",#N/A,TRUE,"Proforma";"first",#N/A,TRUE,"Proforma";"second",#N/A,TRUE,"Proforma";"lease1",#N/A,TRUE,"Proforma";"lease2",#N/A,TRUE,"Proforma"}</definedName>
    <definedName name="_a1" localSheetId="7" hidden="1">{"Assump",#N/A,TRUE,"Proforma";"first",#N/A,TRUE,"Proforma";"second",#N/A,TRUE,"Proforma";"lease1",#N/A,TRUE,"Proforma";"lease2",#N/A,TRUE,"Proforma"}</definedName>
    <definedName name="_a1" localSheetId="4" hidden="1">{"Assump",#N/A,TRUE,"Proforma";"first",#N/A,TRUE,"Proforma";"second",#N/A,TRUE,"Proforma";"lease1",#N/A,TRUE,"Proforma";"lease2",#N/A,TRUE,"Proforma"}</definedName>
    <definedName name="_a1" localSheetId="5" hidden="1">{"Assump",#N/A,TRUE,"Proforma";"first",#N/A,TRUE,"Proforma";"second",#N/A,TRUE,"Proforma";"lease1",#N/A,TRUE,"Proforma";"lease2",#N/A,TRUE,"Proforma"}</definedName>
    <definedName name="_a1" localSheetId="3" hidden="1">{"Assump",#N/A,TRUE,"Proforma";"first",#N/A,TRUE,"Proforma";"second",#N/A,TRUE,"Proforma";"lease1",#N/A,TRUE,"Proforma";"lease2",#N/A,TRUE,"Proforma"}</definedName>
    <definedName name="_a1" hidden="1">{"Assump",#N/A,TRUE,"Proforma";"first",#N/A,TRUE,"Proforma";"second",#N/A,TRUE,"Proforma";"lease1",#N/A,TRUE,"Proforma";"lease2",#N/A,TRUE,"Proforma"}</definedName>
    <definedName name="_a2" localSheetId="13" hidden="1">{"sheet a",#N/A,FALSE,"A";"2 9 casflow",#N/A,FALSE,"B"}</definedName>
    <definedName name="_a2" localSheetId="7" hidden="1">{"sheet a",#N/A,FALSE,"A";"2 9 casflow",#N/A,FALSE,"B"}</definedName>
    <definedName name="_a2" localSheetId="4" hidden="1">{"sheet a",#N/A,FALSE,"A";"2 9 casflow",#N/A,FALSE,"B"}</definedName>
    <definedName name="_a2" localSheetId="5" hidden="1">{"sheet a",#N/A,FALSE,"A";"2 9 casflow",#N/A,FALSE,"B"}</definedName>
    <definedName name="_a2" localSheetId="3" hidden="1">{"sheet a",#N/A,FALSE,"A";"2 9 casflow",#N/A,FALSE,"B"}</definedName>
    <definedName name="_a2" hidden="1">{"sheet a",#N/A,FALSE,"A";"2 9 casflow",#N/A,FALSE,"B"}</definedName>
    <definedName name="_al1" localSheetId="13" hidden="1">{"sheet a",#N/A,FALSE,"A";"sheet b 1",#N/A,FALSE,"B";"sheet b 2",#N/A,FALSE,"B"}</definedName>
    <definedName name="_al1" localSheetId="7" hidden="1">{"sheet a",#N/A,FALSE,"A";"sheet b 1",#N/A,FALSE,"B";"sheet b 2",#N/A,FALSE,"B"}</definedName>
    <definedName name="_al1" localSheetId="4" hidden="1">{"sheet a",#N/A,FALSE,"A";"sheet b 1",#N/A,FALSE,"B";"sheet b 2",#N/A,FALSE,"B"}</definedName>
    <definedName name="_al1" localSheetId="5" hidden="1">{"sheet a",#N/A,FALSE,"A";"sheet b 1",#N/A,FALSE,"B";"sheet b 2",#N/A,FALSE,"B"}</definedName>
    <definedName name="_al1" localSheetId="3" hidden="1">{"sheet a",#N/A,FALSE,"A";"sheet b 1",#N/A,FALSE,"B";"sheet b 2",#N/A,FALSE,"B"}</definedName>
    <definedName name="_al1" hidden="1">{"sheet a",#N/A,FALSE,"A";"sheet b 1",#N/A,FALSE,"B";"sheet b 2",#N/A,FALSE,"B"}</definedName>
    <definedName name="_bdm.ToolkitBookmark.1_24_2004_11_15_31_PM.edm" hidden="1">#REF!</definedName>
    <definedName name="_bdm.ToolkitBookmark.1_24_2004_8_24_02_PM.edm" hidden="1">#REF!</definedName>
    <definedName name="_bdm.ToolkitBookmark.1_24_2004_8_54_41_PM.edm" hidden="1">#REF!</definedName>
    <definedName name="_bdm.ToolkitBookmark.1_25_2004_9_47_15_PM.edm" hidden="1">#REF!</definedName>
    <definedName name="_bdm.ToolkitBookmark.1_25_2004_9_47_23_PM.edm" hidden="1">#REF!</definedName>
    <definedName name="_bdm.ToolkitBookmark.1_25_2004_9_48_01_PM.edm" hidden="1">'[6]buyer dcf'!#REF!</definedName>
    <definedName name="_Fill" localSheetId="13" hidden="1">#REF!</definedName>
    <definedName name="_Fill" localSheetId="7" hidden="1">#REF!</definedName>
    <definedName name="_Fill" localSheetId="4" hidden="1">#REF!</definedName>
    <definedName name="_Fill" localSheetId="5" hidden="1">#REF!</definedName>
    <definedName name="_Fill" localSheetId="2" hidden="1">#REF!</definedName>
    <definedName name="_Fill" localSheetId="3" hidden="1">#REF!</definedName>
    <definedName name="_Fill" hidden="1">#REF!</definedName>
    <definedName name="_Key1" localSheetId="13" hidden="1">#REF!</definedName>
    <definedName name="_Key1" localSheetId="7" hidden="1">#REF!</definedName>
    <definedName name="_Key1" localSheetId="4" hidden="1">#REF!</definedName>
    <definedName name="_Key1" localSheetId="5" hidden="1">#REF!</definedName>
    <definedName name="_Key1" localSheetId="2" hidden="1">#REF!</definedName>
    <definedName name="_Key1" localSheetId="3" hidden="1">#REF!</definedName>
    <definedName name="_Key1" hidden="1">#REF!</definedName>
    <definedName name="_Key2" localSheetId="13" hidden="1">#REF!</definedName>
    <definedName name="_Key2" localSheetId="7" hidden="1">#REF!</definedName>
    <definedName name="_Key2" localSheetId="4" hidden="1">#REF!</definedName>
    <definedName name="_Key2" localSheetId="5" hidden="1">#REF!</definedName>
    <definedName name="_Key2" localSheetId="2" hidden="1">#REF!</definedName>
    <definedName name="_Key2" localSheetId="3" hidden="1">#REF!</definedName>
    <definedName name="_Key2" hidden="1">#REF!</definedName>
    <definedName name="_mg3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mg3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mg3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mg3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mg3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mg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_OLD2" hidden="1">#REF!</definedName>
    <definedName name="_Order1" hidden="1">255</definedName>
    <definedName name="_Order2" localSheetId="13" hidden="1">0</definedName>
    <definedName name="_Order2" localSheetId="7" hidden="1">0</definedName>
    <definedName name="_Order2" localSheetId="4" hidden="1">0</definedName>
    <definedName name="_Order2" localSheetId="5" hidden="1">0</definedName>
    <definedName name="_Order2" localSheetId="2" hidden="1">0</definedName>
    <definedName name="_Order2" localSheetId="3" hidden="1">0</definedName>
    <definedName name="_Order2" hidden="1">255</definedName>
    <definedName name="_Sort" localSheetId="13" hidden="1">#REF!</definedName>
    <definedName name="_Sort" localSheetId="7" hidden="1">#REF!</definedName>
    <definedName name="_Sort" localSheetId="4" hidden="1">#REF!</definedName>
    <definedName name="_Sort" localSheetId="5" hidden="1">#REF!</definedName>
    <definedName name="_Sort" localSheetId="2" hidden="1">#REF!</definedName>
    <definedName name="_Sort" localSheetId="3" hidden="1">#REF!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_Table3_In3" hidden="1">'[4]#REF'!$E$18</definedName>
    <definedName name="a" localSheetId="1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" localSheetId="7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" localSheetId="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1a1" localSheetId="13" hidden="1">{"Assump",#N/A,TRUE,"Proforma";"first",#N/A,TRUE,"Proforma";"second",#N/A,TRUE,"Proforma";"lease1",#N/A,TRUE,"Proforma";"lease2",#N/A,TRUE,"Proforma"}</definedName>
    <definedName name="a1a1" localSheetId="7" hidden="1">{"Assump",#N/A,TRUE,"Proforma";"first",#N/A,TRUE,"Proforma";"second",#N/A,TRUE,"Proforma";"lease1",#N/A,TRUE,"Proforma";"lease2",#N/A,TRUE,"Proforma"}</definedName>
    <definedName name="a1a1" localSheetId="4" hidden="1">{"Assump",#N/A,TRUE,"Proforma";"first",#N/A,TRUE,"Proforma";"second",#N/A,TRUE,"Proforma";"lease1",#N/A,TRUE,"Proforma";"lease2",#N/A,TRUE,"Proforma"}</definedName>
    <definedName name="a1a1" localSheetId="5" hidden="1">{"Assump",#N/A,TRUE,"Proforma";"first",#N/A,TRUE,"Proforma";"second",#N/A,TRUE,"Proforma";"lease1",#N/A,TRUE,"Proforma";"lease2",#N/A,TRUE,"Proforma"}</definedName>
    <definedName name="a1a1" localSheetId="3" hidden="1">{"Assump",#N/A,TRUE,"Proforma";"first",#N/A,TRUE,"Proforma";"second",#N/A,TRUE,"Proforma";"lease1",#N/A,TRUE,"Proforma";"lease2",#N/A,TRUE,"Proforma"}</definedName>
    <definedName name="a1a1" hidden="1">{"Assump",#N/A,TRUE,"Proforma";"first",#N/A,TRUE,"Proforma";"second",#N/A,TRUE,"Proforma";"lease1",#N/A,TRUE,"Proforma";"lease2",#N/A,TRUE,"Proforma"}</definedName>
    <definedName name="aa" localSheetId="1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a" localSheetId="7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a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a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a" localSheetId="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a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a.2" localSheetId="13" hidden="1">{#N/A,#N/A,FALSE,"Cashflow Analysis";#N/A,#N/A,FALSE,"Sensitivity Analysis";#N/A,#N/A,FALSE,"PV";#N/A,#N/A,FALSE,"Pro Forma"}</definedName>
    <definedName name="aa.2" localSheetId="7" hidden="1">{#N/A,#N/A,FALSE,"Cashflow Analysis";#N/A,#N/A,FALSE,"Sensitivity Analysis";#N/A,#N/A,FALSE,"PV";#N/A,#N/A,FALSE,"Pro Forma"}</definedName>
    <definedName name="aa.2" localSheetId="4" hidden="1">{#N/A,#N/A,FALSE,"Cashflow Analysis";#N/A,#N/A,FALSE,"Sensitivity Analysis";#N/A,#N/A,FALSE,"PV";#N/A,#N/A,FALSE,"Pro Forma"}</definedName>
    <definedName name="aa.2" localSheetId="5" hidden="1">{#N/A,#N/A,FALSE,"Cashflow Analysis";#N/A,#N/A,FALSE,"Sensitivity Analysis";#N/A,#N/A,FALSE,"PV";#N/A,#N/A,FALSE,"Pro Forma"}</definedName>
    <definedName name="aa.2" localSheetId="3" hidden="1">{#N/A,#N/A,FALSE,"Cashflow Analysis";#N/A,#N/A,FALSE,"Sensitivity Analysis";#N/A,#N/A,FALSE,"PV";#N/A,#N/A,FALSE,"Pro Forma"}</definedName>
    <definedName name="aa.2" hidden="1">{#N/A,#N/A,FALSE,"Cashflow Analysis";#N/A,#N/A,FALSE,"Sensitivity Analysis";#N/A,#N/A,FALSE,"PV";#N/A,#N/A,FALSE,"Pro Forma"}</definedName>
    <definedName name="aaa" localSheetId="13" hidden="1">{"AnnualRentRoll",#N/A,FALSE,"RentRoll"}</definedName>
    <definedName name="aaa" localSheetId="7" hidden="1">{"AnnualRentRoll",#N/A,FALSE,"RentRoll"}</definedName>
    <definedName name="aaa" localSheetId="4" hidden="1">{"AnnualRentRoll",#N/A,FALSE,"RentRoll"}</definedName>
    <definedName name="aaa" localSheetId="5" hidden="1">{"AnnualRentRoll",#N/A,FALSE,"RentRoll"}</definedName>
    <definedName name="aaa" localSheetId="3" hidden="1">{"AnnualRentRoll",#N/A,FALSE,"RentRoll"}</definedName>
    <definedName name="aaa" hidden="1">{"AnnualRentRoll",#N/A,FALSE,"RentRoll"}</definedName>
    <definedName name="AAA_DOCTOPS" hidden="1">"AAA_SET"</definedName>
    <definedName name="AAA_duser" hidden="1">"OFF"</definedName>
    <definedName name="aaaaa" localSheetId="13" hidden="1">{"Assump",#N/A,TRUE,"Proforma";"first",#N/A,TRUE,"Proforma";"second",#N/A,TRUE,"Proforma";"lease1",#N/A,TRUE,"Proforma";"lease2",#N/A,TRUE,"Proforma"}</definedName>
    <definedName name="aaaaa" localSheetId="7" hidden="1">{"Assump",#N/A,TRUE,"Proforma";"first",#N/A,TRUE,"Proforma";"second",#N/A,TRUE,"Proforma";"lease1",#N/A,TRUE,"Proforma";"lease2",#N/A,TRUE,"Proforma"}</definedName>
    <definedName name="aaaaa" localSheetId="4" hidden="1">{"Assump",#N/A,TRUE,"Proforma";"first",#N/A,TRUE,"Proforma";"second",#N/A,TRUE,"Proforma";"lease1",#N/A,TRUE,"Proforma";"lease2",#N/A,TRUE,"Proforma"}</definedName>
    <definedName name="aaaaa" localSheetId="5" hidden="1">{"Assump",#N/A,TRUE,"Proforma";"first",#N/A,TRUE,"Proforma";"second",#N/A,TRUE,"Proforma";"lease1",#N/A,TRUE,"Proforma";"lease2",#N/A,TRUE,"Proforma"}</definedName>
    <definedName name="aaaaa" localSheetId="3" hidden="1">{"Assump",#N/A,TRUE,"Proforma";"first",#N/A,TRUE,"Proforma";"second",#N/A,TRUE,"Proforma";"lease1",#N/A,TRUE,"Proforma";"lease2",#N/A,TRUE,"Proforma"}</definedName>
    <definedName name="aaaaa" hidden="1">{"Assump",#N/A,TRUE,"Proforma";"first",#N/A,TRUE,"Proforma";"second",#N/A,TRUE,"Proforma";"lease1",#N/A,TRUE,"Proforma";"lease2",#N/A,TRUE,"Proforma"}</definedName>
    <definedName name="aaaaaaa" localSheetId="13" hidden="1">{"Outflow 1",#N/A,FALSE,"Outflows-Inflows";"Outflow 2",#N/A,FALSE,"Outflows-Inflows";"Inflow 1",#N/A,FALSE,"Outflows-Inflows";"Inflow 2",#N/A,FALSE,"Outflows-Inflows"}</definedName>
    <definedName name="aaaaaaa" localSheetId="7" hidden="1">{"Outflow 1",#N/A,FALSE,"Outflows-Inflows";"Outflow 2",#N/A,FALSE,"Outflows-Inflows";"Inflow 1",#N/A,FALSE,"Outflows-Inflows";"Inflow 2",#N/A,FALSE,"Outflows-Inflows"}</definedName>
    <definedName name="aaaaaaa" localSheetId="4" hidden="1">{"Outflow 1",#N/A,FALSE,"Outflows-Inflows";"Outflow 2",#N/A,FALSE,"Outflows-Inflows";"Inflow 1",#N/A,FALSE,"Outflows-Inflows";"Inflow 2",#N/A,FALSE,"Outflows-Inflows"}</definedName>
    <definedName name="aaaaaaa" localSheetId="5" hidden="1">{"Outflow 1",#N/A,FALSE,"Outflows-Inflows";"Outflow 2",#N/A,FALSE,"Outflows-Inflows";"Inflow 1",#N/A,FALSE,"Outflows-Inflows";"Inflow 2",#N/A,FALSE,"Outflows-Inflows"}</definedName>
    <definedName name="aaaaaaa" localSheetId="3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B_Addin5" hidden="1">"AAB_Description for addin 5,Description for addin 5,Description for addin 5,Description for addin 5,Description for addin 5,Description for addin 5"</definedName>
    <definedName name="aasdfa" localSheetId="13" hidden="1">{"rtn",#N/A,FALSE,"RTN";"tables",#N/A,FALSE,"RTN";"cf",#N/A,FALSE,"CF";"stats",#N/A,FALSE,"Stats";"prop",#N/A,FALSE,"Prop"}</definedName>
    <definedName name="aasdfa" localSheetId="7" hidden="1">{"rtn",#N/A,FALSE,"RTN";"tables",#N/A,FALSE,"RTN";"cf",#N/A,FALSE,"CF";"stats",#N/A,FALSE,"Stats";"prop",#N/A,FALSE,"Prop"}</definedName>
    <definedName name="aasdfa" localSheetId="4" hidden="1">{"rtn",#N/A,FALSE,"RTN";"tables",#N/A,FALSE,"RTN";"cf",#N/A,FALSE,"CF";"stats",#N/A,FALSE,"Stats";"prop",#N/A,FALSE,"Prop"}</definedName>
    <definedName name="aasdfa" localSheetId="5" hidden="1">{"rtn",#N/A,FALSE,"RTN";"tables",#N/A,FALSE,"RTN";"cf",#N/A,FALSE,"CF";"stats",#N/A,FALSE,"Stats";"prop",#N/A,FALSE,"Prop"}</definedName>
    <definedName name="aasdfa" localSheetId="3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b" hidden="1">#REF!</definedName>
    <definedName name="Access_Button" hidden="1">"Loan_Front_End_Input_List"</definedName>
    <definedName name="AccessDatabase" hidden="1">"C:\My Documents\DAVE\MODELS\Cash at Risk\Loan Front End.mdb"</definedName>
    <definedName name="AcquisitionFee">Summary!$D$19</definedName>
    <definedName name="ad" localSheetId="1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localSheetId="7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localSheetId="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dress">Summary!$E$8</definedName>
    <definedName name="adfa" localSheetId="13" hidden="1">{"cap_structure",#N/A,FALSE,"Graph-Mkt Cap";"price",#N/A,FALSE,"Graph-Price";"ebit",#N/A,FALSE,"Graph-EBITDA";"ebitda",#N/A,FALSE,"Graph-EBITDA"}</definedName>
    <definedName name="adfa" localSheetId="7" hidden="1">{"cap_structure",#N/A,FALSE,"Graph-Mkt Cap";"price",#N/A,FALSE,"Graph-Price";"ebit",#N/A,FALSE,"Graph-EBITDA";"ebitda",#N/A,FALSE,"Graph-EBITDA"}</definedName>
    <definedName name="adfa" localSheetId="4" hidden="1">{"cap_structure",#N/A,FALSE,"Graph-Mkt Cap";"price",#N/A,FALSE,"Graph-Price";"ebit",#N/A,FALSE,"Graph-EBITDA";"ebitda",#N/A,FALSE,"Graph-EBITDA"}</definedName>
    <definedName name="adfa" localSheetId="5" hidden="1">{"cap_structure",#N/A,FALSE,"Graph-Mkt Cap";"price",#N/A,FALSE,"Graph-Price";"ebit",#N/A,FALSE,"Graph-EBITDA";"ebitda",#N/A,FALSE,"Graph-EBITDA"}</definedName>
    <definedName name="adfa" localSheetId="3" hidden="1">{"cap_structure",#N/A,FALSE,"Graph-Mkt Cap";"price",#N/A,FALSE,"Graph-Price";"ebit",#N/A,FALSE,"Graph-EBITDA";"ebitda",#N/A,FALSE,"Graph-EBITDA"}</definedName>
    <definedName name="adfa" hidden="1">{"cap_structure",#N/A,FALSE,"Graph-Mkt Cap";"price",#N/A,FALSE,"Graph-Price";"ebit",#N/A,FALSE,"Graph-EBITDA";"ebitda",#N/A,FALSE,"Graph-EBITDA"}</definedName>
    <definedName name="ADFWAE" localSheetId="13" hidden="1">{"summary1",#N/A,TRUE,"Comps";"summary2",#N/A,TRUE,"Comps";"summary3",#N/A,TRUE,"Comps"}</definedName>
    <definedName name="ADFWAE" localSheetId="7" hidden="1">{"summary1",#N/A,TRUE,"Comps";"summary2",#N/A,TRUE,"Comps";"summary3",#N/A,TRUE,"Comps"}</definedName>
    <definedName name="ADFWAE" localSheetId="4" hidden="1">{"summary1",#N/A,TRUE,"Comps";"summary2",#N/A,TRUE,"Comps";"summary3",#N/A,TRUE,"Comps"}</definedName>
    <definedName name="ADFWAE" localSheetId="5" hidden="1">{"summary1",#N/A,TRUE,"Comps";"summary2",#N/A,TRUE,"Comps";"summary3",#N/A,TRUE,"Comps"}</definedName>
    <definedName name="ADFWAE" localSheetId="3" hidden="1">{"summary1",#N/A,TRUE,"Comps";"summary2",#N/A,TRUE,"Comps";"summary3",#N/A,TRUE,"Comps"}</definedName>
    <definedName name="ADFWAE" hidden="1">{"summary1",#N/A,TRUE,"Comps";"summary2",#N/A,TRUE,"Comps";"summary3",#N/A,TRUE,"Comps"}</definedName>
    <definedName name="adgad" localSheetId="1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localSheetId="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localSheetId="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s" localSheetId="13" hidden="1">{"inputs raw data",#N/A,TRUE,"INPUT"}</definedName>
    <definedName name="ads" localSheetId="7" hidden="1">{"inputs raw data",#N/A,TRUE,"INPUT"}</definedName>
    <definedName name="ads" localSheetId="4" hidden="1">{"inputs raw data",#N/A,TRUE,"INPUT"}</definedName>
    <definedName name="ads" localSheetId="5" hidden="1">{"inputs raw data",#N/A,TRUE,"INPUT"}</definedName>
    <definedName name="ads" localSheetId="3" hidden="1">{"inputs raw data",#N/A,TRUE,"INPUT"}</definedName>
    <definedName name="ads" hidden="1">{"inputs raw data",#N/A,TRUE,"INPUT"}</definedName>
    <definedName name="ADSFA" localSheetId="13" hidden="1">{"inputs raw data",#N/A,TRUE,"INPUT"}</definedName>
    <definedName name="ADSFA" localSheetId="7" hidden="1">{"inputs raw data",#N/A,TRUE,"INPUT"}</definedName>
    <definedName name="ADSFA" localSheetId="4" hidden="1">{"inputs raw data",#N/A,TRUE,"INPUT"}</definedName>
    <definedName name="ADSFA" localSheetId="5" hidden="1">{"inputs raw data",#N/A,TRUE,"INPUT"}</definedName>
    <definedName name="ADSFA" localSheetId="3" hidden="1">{"inputs raw data",#N/A,TRUE,"INPUT"}</definedName>
    <definedName name="ADSFA" hidden="1">{"inputs raw data",#N/A,TRUE,"INPUT"}</definedName>
    <definedName name="AEWEW" localSheetId="13" hidden="1">{"inputs raw data",#N/A,TRUE,"INPUT"}</definedName>
    <definedName name="AEWEW" localSheetId="7" hidden="1">{"inputs raw data",#N/A,TRUE,"INPUT"}</definedName>
    <definedName name="AEWEW" localSheetId="4" hidden="1">{"inputs raw data",#N/A,TRUE,"INPUT"}</definedName>
    <definedName name="AEWEW" localSheetId="5" hidden="1">{"inputs raw data",#N/A,TRUE,"INPUT"}</definedName>
    <definedName name="AEWEW" localSheetId="3" hidden="1">{"inputs raw data",#N/A,TRUE,"INPUT"}</definedName>
    <definedName name="AEWEW" hidden="1">{"inputs raw data",#N/A,TRUE,"INPUT"}</definedName>
    <definedName name="Al" localSheetId="13" hidden="1">{"sheet a",#N/A,FALSE,"A";"2 9 casflow",#N/A,FALSE,"B"}</definedName>
    <definedName name="Al" localSheetId="7" hidden="1">{"sheet a",#N/A,FALSE,"A";"2 9 casflow",#N/A,FALSE,"B"}</definedName>
    <definedName name="Al" localSheetId="4" hidden="1">{"sheet a",#N/A,FALSE,"A";"2 9 casflow",#N/A,FALSE,"B"}</definedName>
    <definedName name="Al" localSheetId="5" hidden="1">{"sheet a",#N/A,FALSE,"A";"2 9 casflow",#N/A,FALSE,"B"}</definedName>
    <definedName name="Al" localSheetId="3" hidden="1">{"sheet a",#N/A,FALSE,"A";"2 9 casflow",#N/A,FALSE,"B"}</definedName>
    <definedName name="Al" hidden="1">{"sheet a",#N/A,FALSE,"A";"2 9 casflow",#N/A,FALSE,"B"}</definedName>
    <definedName name="AMFee">Summary!$E$33</definedName>
    <definedName name="AMO" localSheetId="13" hidden="1">{"CF",#N/A,FALSE,"Cash Flow";"RET",#N/A,FALSE,"Returns";"NPV",#N/A,FALSE,"Values";"ASMPT",#N/A,FALSE,"Assumptions"}</definedName>
    <definedName name="AMO" localSheetId="7" hidden="1">{"CF",#N/A,FALSE,"Cash Flow";"RET",#N/A,FALSE,"Returns";"NPV",#N/A,FALSE,"Values";"ASMPT",#N/A,FALSE,"Assumptions"}</definedName>
    <definedName name="AMO" localSheetId="4" hidden="1">{"CF",#N/A,FALSE,"Cash Flow";"RET",#N/A,FALSE,"Returns";"NPV",#N/A,FALSE,"Values";"ASMPT",#N/A,FALSE,"Assumptions"}</definedName>
    <definedName name="AMO" localSheetId="5" hidden="1">{"CF",#N/A,FALSE,"Cash Flow";"RET",#N/A,FALSE,"Returns";"NPV",#N/A,FALSE,"Values";"ASMPT",#N/A,FALSE,"Assumptions"}</definedName>
    <definedName name="AMO" localSheetId="3" hidden="1">{"CF",#N/A,FALSE,"Cash Flow";"RET",#N/A,FALSE,"Returns";"NPV",#N/A,FALSE,"Values";"ASMPT",#N/A,FALSE,"Assumptions"}</definedName>
    <definedName name="AMO" hidden="1">{"CF",#N/A,FALSE,"Cash Flow";"RET",#N/A,FALSE,"Returns";"NPV",#N/A,FALSE,"Values";"ASMPT",#N/A,FALSE,"Assumptions"}</definedName>
    <definedName name="AnalysisStartDate">Summary!$H$6</definedName>
    <definedName name="anscount" hidden="1">1</definedName>
    <definedName name="arew" localSheetId="13" hidden="1">{"cap_structure",#N/A,FALSE,"Graph-Mkt Cap";"price",#N/A,FALSE,"Graph-Price";"ebit",#N/A,FALSE,"Graph-EBITDA";"ebitda",#N/A,FALSE,"Graph-EBITDA"}</definedName>
    <definedName name="arew" localSheetId="7" hidden="1">{"cap_structure",#N/A,FALSE,"Graph-Mkt Cap";"price",#N/A,FALSE,"Graph-Price";"ebit",#N/A,FALSE,"Graph-EBITDA";"ebitda",#N/A,FALSE,"Graph-EBITDA"}</definedName>
    <definedName name="arew" localSheetId="4" hidden="1">{"cap_structure",#N/A,FALSE,"Graph-Mkt Cap";"price",#N/A,FALSE,"Graph-Price";"ebit",#N/A,FALSE,"Graph-EBITDA";"ebitda",#N/A,FALSE,"Graph-EBITDA"}</definedName>
    <definedName name="arew" localSheetId="5" hidden="1">{"cap_structure",#N/A,FALSE,"Graph-Mkt Cap";"price",#N/A,FALSE,"Graph-Price";"ebit",#N/A,FALSE,"Graph-EBITDA";"ebitda",#N/A,FALSE,"Graph-EBITDA"}</definedName>
    <definedName name="arew" localSheetId="3" hidden="1">{"cap_structure",#N/A,FALSE,"Graph-Mkt Cap";"price",#N/A,FALSE,"Graph-Price";"ebit",#N/A,FALSE,"Graph-EBITDA";"ebitda",#N/A,FALSE,"Graph-EBITDA"}</definedName>
    <definedName name="arew" hidden="1">{"cap_structure",#N/A,FALSE,"Graph-Mkt Cap";"price",#N/A,FALSE,"Graph-Price";"ebit",#N/A,FALSE,"Graph-EBITDA";"ebitda",#N/A,FALSE,"Graph-EBITDA"}</definedName>
    <definedName name="arg" localSheetId="13" hidden="1">{"inputs raw data",#N/A,TRUE,"INPUT"}</definedName>
    <definedName name="arg" localSheetId="7" hidden="1">{"inputs raw data",#N/A,TRUE,"INPUT"}</definedName>
    <definedName name="arg" localSheetId="4" hidden="1">{"inputs raw data",#N/A,TRUE,"INPUT"}</definedName>
    <definedName name="arg" localSheetId="5" hidden="1">{"inputs raw data",#N/A,TRUE,"INPUT"}</definedName>
    <definedName name="arg" localSheetId="3" hidden="1">{"inputs raw data",#N/A,TRUE,"INPUT"}</definedName>
    <definedName name="arg" hidden="1">{"inputs raw data",#N/A,TRUE,"INPUT"}</definedName>
    <definedName name="as" localSheetId="13" hidden="1">{"FCB_ALL",#N/A,FALSE,"FCB"}</definedName>
    <definedName name="as" localSheetId="7" hidden="1">{"FCB_ALL",#N/A,FALSE,"FCB"}</definedName>
    <definedName name="as" localSheetId="4" hidden="1">{"FCB_ALL",#N/A,FALSE,"FCB"}</definedName>
    <definedName name="as" localSheetId="5" hidden="1">{"FCB_ALL",#N/A,FALSE,"FCB"}</definedName>
    <definedName name="as" localSheetId="3" hidden="1">{"FCB_ALL",#N/A,FALSE,"FCB"}</definedName>
    <definedName name="as" hidden="1">{"FCB_ALL",#N/A,FALSE,"FCB"}</definedName>
    <definedName name="asdfas" localSheetId="13" hidden="1">{"print 1.6",#N/A,FALSE,"Sheet1";"print 2.6",#N/A,FALSE,"Sheet1";"print 3.6",#N/A,FALSE,"Sheet1";"print 4.6",#N/A,FALSE,"Sheet1";"print 5.6",#N/A,FALSE,"Sheet1";"print 6.6",#N/A,FALSE,"Sheet1"}</definedName>
    <definedName name="asdfas" localSheetId="7" hidden="1">{"print 1.6",#N/A,FALSE,"Sheet1";"print 2.6",#N/A,FALSE,"Sheet1";"print 3.6",#N/A,FALSE,"Sheet1";"print 4.6",#N/A,FALSE,"Sheet1";"print 5.6",#N/A,FALSE,"Sheet1";"print 6.6",#N/A,FALSE,"Sheet1"}</definedName>
    <definedName name="asdfas" localSheetId="4" hidden="1">{"print 1.6",#N/A,FALSE,"Sheet1";"print 2.6",#N/A,FALSE,"Sheet1";"print 3.6",#N/A,FALSE,"Sheet1";"print 4.6",#N/A,FALSE,"Sheet1";"print 5.6",#N/A,FALSE,"Sheet1";"print 6.6",#N/A,FALSE,"Sheet1"}</definedName>
    <definedName name="asdfas" localSheetId="5" hidden="1">{"print 1.6",#N/A,FALSE,"Sheet1";"print 2.6",#N/A,FALSE,"Sheet1";"print 3.6",#N/A,FALSE,"Sheet1";"print 4.6",#N/A,FALSE,"Sheet1";"print 5.6",#N/A,FALSE,"Sheet1";"print 6.6",#N/A,FALSE,"Sheet1"}</definedName>
    <definedName name="asdfas" localSheetId="3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13" hidden="1">{"print 1.6",#N/A,FALSE,"Sheet1";"print 2.6",#N/A,FALSE,"Sheet1";"print 3.6",#N/A,FALSE,"Sheet1";"print 4.6",#N/A,FALSE,"Sheet1";"print 5.6",#N/A,FALSE,"Sheet1";"print 6.6",#N/A,FALSE,"Sheet1"}</definedName>
    <definedName name="asdfasaa" localSheetId="7" hidden="1">{"print 1.6",#N/A,FALSE,"Sheet1";"print 2.6",#N/A,FALSE,"Sheet1";"print 3.6",#N/A,FALSE,"Sheet1";"print 4.6",#N/A,FALSE,"Sheet1";"print 5.6",#N/A,FALSE,"Sheet1";"print 6.6",#N/A,FALSE,"Sheet1"}</definedName>
    <definedName name="asdfasaa" localSheetId="4" hidden="1">{"print 1.6",#N/A,FALSE,"Sheet1";"print 2.6",#N/A,FALSE,"Sheet1";"print 3.6",#N/A,FALSE,"Sheet1";"print 4.6",#N/A,FALSE,"Sheet1";"print 5.6",#N/A,FALSE,"Sheet1";"print 6.6",#N/A,FALSE,"Sheet1"}</definedName>
    <definedName name="asdfasaa" localSheetId="5" hidden="1">{"print 1.6",#N/A,FALSE,"Sheet1";"print 2.6",#N/A,FALSE,"Sheet1";"print 3.6",#N/A,FALSE,"Sheet1";"print 4.6",#N/A,FALSE,"Sheet1";"print 5.6",#N/A,FALSE,"Sheet1";"print 6.6",#N/A,FALSE,"Sheet1"}</definedName>
    <definedName name="asdfasaa" localSheetId="3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localSheetId="13" hidden="1">{"rtn",#N/A,FALSE,"RTN";"tables",#N/A,FALSE,"RTN";"cf",#N/A,FALSE,"CF";"stats",#N/A,FALSE,"Stats";"prop",#N/A,FALSE,"Prop"}</definedName>
    <definedName name="asdfasdf" localSheetId="7" hidden="1">{"rtn",#N/A,FALSE,"RTN";"tables",#N/A,FALSE,"RTN";"cf",#N/A,FALSE,"CF";"stats",#N/A,FALSE,"Stats";"prop",#N/A,FALSE,"Prop"}</definedName>
    <definedName name="asdfasdf" localSheetId="4" hidden="1">{"rtn",#N/A,FALSE,"RTN";"tables",#N/A,FALSE,"RTN";"cf",#N/A,FALSE,"CF";"stats",#N/A,FALSE,"Stats";"prop",#N/A,FALSE,"Prop"}</definedName>
    <definedName name="asdfasdf" localSheetId="5" hidden="1">{"rtn",#N/A,FALSE,"RTN";"tables",#N/A,FALSE,"RTN";"cf",#N/A,FALSE,"CF";"stats",#N/A,FALSE,"Stats";"prop",#N/A,FALSE,"Prop"}</definedName>
    <definedName name="asdfasdf" localSheetId="3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fa" localSheetId="13" hidden="1">binary</definedName>
    <definedName name="asdfasdfasdfa" localSheetId="7" hidden="1">binary</definedName>
    <definedName name="asdfasdfasdfa" localSheetId="4" hidden="1">binary</definedName>
    <definedName name="asdfasdfasdfa" localSheetId="5" hidden="1">binary</definedName>
    <definedName name="asdfasdfasdfa" localSheetId="3" hidden="1">binary</definedName>
    <definedName name="asdfasdfasdfa" hidden="1">binary</definedName>
    <definedName name="asdfasfsa" localSheetId="13" hidden="1">binary</definedName>
    <definedName name="asdfasfsa" localSheetId="7" hidden="1">binary</definedName>
    <definedName name="asdfasfsa" localSheetId="4" hidden="1">binary</definedName>
    <definedName name="asdfasfsa" localSheetId="5" hidden="1">binary</definedName>
    <definedName name="asdfasfsa" localSheetId="3" hidden="1">binary</definedName>
    <definedName name="asdfasfsa" hidden="1">binary</definedName>
    <definedName name="asdfg" localSheetId="13" hidden="1">{"rtn",#N/A,FALSE,"RTN";"tables",#N/A,FALSE,"RTN";"cf",#N/A,FALSE,"CF";"stats",#N/A,FALSE,"Stats";"prop",#N/A,FALSE,"Prop"}</definedName>
    <definedName name="asdfg" localSheetId="7" hidden="1">{"rtn",#N/A,FALSE,"RTN";"tables",#N/A,FALSE,"RTN";"cf",#N/A,FALSE,"CF";"stats",#N/A,FALSE,"Stats";"prop",#N/A,FALSE,"Prop"}</definedName>
    <definedName name="asdfg" localSheetId="4" hidden="1">{"rtn",#N/A,FALSE,"RTN";"tables",#N/A,FALSE,"RTN";"cf",#N/A,FALSE,"CF";"stats",#N/A,FALSE,"Stats";"prop",#N/A,FALSE,"Prop"}</definedName>
    <definedName name="asdfg" localSheetId="5" hidden="1">{"rtn",#N/A,FALSE,"RTN";"tables",#N/A,FALSE,"RTN";"cf",#N/A,FALSE,"CF";"stats",#N/A,FALSE,"Stats";"prop",#N/A,FALSE,"Prop"}</definedName>
    <definedName name="asdfg" localSheetId="3" hidden="1">{"rtn",#N/A,FALSE,"RTN";"tables",#N/A,FALSE,"RTN";"cf",#N/A,FALSE,"CF";"stats",#N/A,FALSE,"Stats";"prop",#N/A,FALSE,"Prop"}</definedName>
    <definedName name="asdfg" hidden="1">{"rtn",#N/A,FALSE,"RTN";"tables",#N/A,FALSE,"RTN";"cf",#N/A,FALSE,"CF";"stats",#N/A,FALSE,"Stats";"prop",#N/A,FALSE,"Prop"}</definedName>
    <definedName name="asdfsd" localSheetId="13" hidden="1">binary</definedName>
    <definedName name="asdfsd" localSheetId="7" hidden="1">binary</definedName>
    <definedName name="asdfsd" localSheetId="4" hidden="1">binary</definedName>
    <definedName name="asdfsd" localSheetId="5" hidden="1">binary</definedName>
    <definedName name="asdfsd" localSheetId="3" hidden="1">binary</definedName>
    <definedName name="asdfsd" hidden="1">binary</definedName>
    <definedName name="asf" localSheetId="13" hidden="1">binary</definedName>
    <definedName name="asf" localSheetId="7" hidden="1">binary</definedName>
    <definedName name="asf" localSheetId="4" hidden="1">binary</definedName>
    <definedName name="asf" localSheetId="5" hidden="1">binary</definedName>
    <definedName name="asf" localSheetId="3" hidden="1">binary</definedName>
    <definedName name="asf" hidden="1">binary</definedName>
    <definedName name="asfsaf" localSheetId="13" hidden="1">binary</definedName>
    <definedName name="asfsaf" localSheetId="7" hidden="1">binary</definedName>
    <definedName name="asfsaf" localSheetId="4" hidden="1">binary</definedName>
    <definedName name="asfsaf" localSheetId="5" hidden="1">binary</definedName>
    <definedName name="asfsaf" localSheetId="3" hidden="1">binary</definedName>
    <definedName name="asfsaf" hidden="1">binary</definedName>
    <definedName name="ashish" localSheetId="13" hidden="1">{"'Assump'!$F$6:$J$6"}</definedName>
    <definedName name="ashish" localSheetId="7" hidden="1">{"'Assump'!$F$6:$J$6"}</definedName>
    <definedName name="ashish" localSheetId="4" hidden="1">{"'Assump'!$F$6:$J$6"}</definedName>
    <definedName name="ashish" localSheetId="5" hidden="1">{"'Assump'!$F$6:$J$6"}</definedName>
    <definedName name="ashish" localSheetId="3" hidden="1">{"'Assump'!$F$6:$J$6"}</definedName>
    <definedName name="ashish" hidden="1">{"'Assump'!$F$6:$J$6"}</definedName>
    <definedName name="ASS" hidden="1">#REF!</definedName>
    <definedName name="asss" localSheetId="13" hidden="1">{"rtn",#N/A,FALSE,"RTN";"tables",#N/A,FALSE,"RTN";"cf",#N/A,FALSE,"CF";"stats",#N/A,FALSE,"Stats";"prop",#N/A,FALSE,"Prop"}</definedName>
    <definedName name="asss" localSheetId="7" hidden="1">{"rtn",#N/A,FALSE,"RTN";"tables",#N/A,FALSE,"RTN";"cf",#N/A,FALSE,"CF";"stats",#N/A,FALSE,"Stats";"prop",#N/A,FALSE,"Prop"}</definedName>
    <definedName name="asss" localSheetId="4" hidden="1">{"rtn",#N/A,FALSE,"RTN";"tables",#N/A,FALSE,"RTN";"cf",#N/A,FALSE,"CF";"stats",#N/A,FALSE,"Stats";"prop",#N/A,FALSE,"Prop"}</definedName>
    <definedName name="asss" localSheetId="5" hidden="1">{"rtn",#N/A,FALSE,"RTN";"tables",#N/A,FALSE,"RTN";"cf",#N/A,FALSE,"CF";"stats",#N/A,FALSE,"Stats";"prop",#N/A,FALSE,"Prop"}</definedName>
    <definedName name="asss" localSheetId="3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Avg_SF">'Unit Mix-Reno Schedule'!$E$22</definedName>
    <definedName name="bb" localSheetId="13" hidden="1">{#N/A,#N/A,FALSE,"Cashflow Analysis";#N/A,#N/A,FALSE,"Sensitivity Analysis";#N/A,#N/A,FALSE,"PV";#N/A,#N/A,FALSE,"Pro Forma"}</definedName>
    <definedName name="bb" localSheetId="7" hidden="1">{#N/A,#N/A,FALSE,"Cashflow Analysis";#N/A,#N/A,FALSE,"Sensitivity Analysis";#N/A,#N/A,FALSE,"PV";#N/A,#N/A,FALSE,"Pro Forma"}</definedName>
    <definedName name="bb" localSheetId="4" hidden="1">{#N/A,#N/A,FALSE,"Cashflow Analysis";#N/A,#N/A,FALSE,"Sensitivity Analysis";#N/A,#N/A,FALSE,"PV";#N/A,#N/A,FALSE,"Pro Forma"}</definedName>
    <definedName name="bb" localSheetId="5" hidden="1">{#N/A,#N/A,FALSE,"Cashflow Analysis";#N/A,#N/A,FALSE,"Sensitivity Analysis";#N/A,#N/A,FALSE,"PV";#N/A,#N/A,FALSE,"Pro Forma"}</definedName>
    <definedName name="bb" localSheetId="3" hidden="1">{#N/A,#N/A,FALSE,"Cashflow Analysis";#N/A,#N/A,FALSE,"Sensitivity Analysis";#N/A,#N/A,FALSE,"PV";#N/A,#N/A,FALSE,"Pro Forma"}</definedName>
    <definedName name="bb" hidden="1">{#N/A,#N/A,FALSE,"Cashflow Analysis";#N/A,#N/A,FALSE,"Sensitivity Analysis";#N/A,#N/A,FALSE,"PV";#N/A,#N/A,FALSE,"Pro Forma"}</definedName>
    <definedName name="bbb" localSheetId="13" hidden="1">{#N/A,#N/A,FALSE,"ExitStratigy"}</definedName>
    <definedName name="bbb" localSheetId="7" hidden="1">{#N/A,#N/A,FALSE,"ExitStratigy"}</definedName>
    <definedName name="bbb" localSheetId="4" hidden="1">{#N/A,#N/A,FALSE,"ExitStratigy"}</definedName>
    <definedName name="bbb" localSheetId="5" hidden="1">{#N/A,#N/A,FALSE,"ExitStratigy"}</definedName>
    <definedName name="bbb" localSheetId="3" hidden="1">{#N/A,#N/A,FALSE,"ExitStratigy"}</definedName>
    <definedName name="bbb" hidden="1">{#N/A,#N/A,FALSE,"ExitStratigy"}</definedName>
    <definedName name="BLPH1" hidden="1">#REF!</definedName>
    <definedName name="BLPH10" hidden="1">#REF!</definedName>
    <definedName name="BLPH11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BudgetSumm" localSheetId="13" hidden="1">{#N/A,#N/A,FALSE,"Cashflow Analysis";#N/A,#N/A,FALSE,"Sensitivity Analysis";#N/A,#N/A,FALSE,"PV";#N/A,#N/A,FALSE,"Pro Forma"}</definedName>
    <definedName name="BudgetSumm" localSheetId="7" hidden="1">{#N/A,#N/A,FALSE,"Cashflow Analysis";#N/A,#N/A,FALSE,"Sensitivity Analysis";#N/A,#N/A,FALSE,"PV";#N/A,#N/A,FALSE,"Pro Forma"}</definedName>
    <definedName name="BudgetSumm" localSheetId="4" hidden="1">{#N/A,#N/A,FALSE,"Cashflow Analysis";#N/A,#N/A,FALSE,"Sensitivity Analysis";#N/A,#N/A,FALSE,"PV";#N/A,#N/A,FALSE,"Pro Forma"}</definedName>
    <definedName name="BudgetSumm" localSheetId="5" hidden="1">{#N/A,#N/A,FALSE,"Cashflow Analysis";#N/A,#N/A,FALSE,"Sensitivity Analysis";#N/A,#N/A,FALSE,"PV";#N/A,#N/A,FALSE,"Pro Forma"}</definedName>
    <definedName name="BudgetSumm" localSheetId="3" hidden="1">{#N/A,#N/A,FALSE,"Cashflow Analysis";#N/A,#N/A,FALSE,"Sensitivity Analysis";#N/A,#N/A,FALSE,"PV";#N/A,#N/A,FALSE,"Pro Forma"}</definedName>
    <definedName name="BudgetSumm" hidden="1">{#N/A,#N/A,FALSE,"Cashflow Analysis";#N/A,#N/A,FALSE,"Sensitivity Analysis";#N/A,#N/A,FALSE,"PV";#N/A,#N/A,FALSE,"Pro Forma"}</definedName>
    <definedName name="BudgetSumm.2" localSheetId="13" hidden="1">{#N/A,#N/A,FALSE,"Cashflow Analysis";#N/A,#N/A,FALSE,"Sensitivity Analysis";#N/A,#N/A,FALSE,"PV";#N/A,#N/A,FALSE,"Pro Forma"}</definedName>
    <definedName name="BudgetSumm.2" localSheetId="7" hidden="1">{#N/A,#N/A,FALSE,"Cashflow Analysis";#N/A,#N/A,FALSE,"Sensitivity Analysis";#N/A,#N/A,FALSE,"PV";#N/A,#N/A,FALSE,"Pro Forma"}</definedName>
    <definedName name="BudgetSumm.2" localSheetId="4" hidden="1">{#N/A,#N/A,FALSE,"Cashflow Analysis";#N/A,#N/A,FALSE,"Sensitivity Analysis";#N/A,#N/A,FALSE,"PV";#N/A,#N/A,FALSE,"Pro Forma"}</definedName>
    <definedName name="BudgetSumm.2" localSheetId="5" hidden="1">{#N/A,#N/A,FALSE,"Cashflow Analysis";#N/A,#N/A,FALSE,"Sensitivity Analysis";#N/A,#N/A,FALSE,"PV";#N/A,#N/A,FALSE,"Pro Forma"}</definedName>
    <definedName name="BudgetSumm.2" localSheetId="3" hidden="1">{#N/A,#N/A,FALSE,"Cashflow Analysis";#N/A,#N/A,FALSE,"Sensitivity Analysis";#N/A,#N/A,FALSE,"PV";#N/A,#N/A,FALSE,"Pro Forma"}</definedName>
    <definedName name="BudgetSumm.2" hidden="1">{#N/A,#N/A,FALSE,"Cashflow Analysis";#N/A,#N/A,FALSE,"Sensitivity Analysis";#N/A,#N/A,FALSE,"PV";#N/A,#N/A,FALSE,"Pro Forma"}</definedName>
    <definedName name="cap" hidden="1">'[7]Statement of Cash Flows'!#REF!</definedName>
    <definedName name="Capex">'Closing Budget'!$I$55</definedName>
    <definedName name="cb_sChart41E9A35_opts" hidden="1">"1, 9, 1, False, 2, False, False, , 0, False, True, 1, 1"</definedName>
    <definedName name="cc" localSheetId="13" hidden="1">{#N/A,#N/A,FALSE,"LoanAssumptions"}</definedName>
    <definedName name="cc" localSheetId="7" hidden="1">{#N/A,#N/A,FALSE,"LoanAssumptions"}</definedName>
    <definedName name="cc" localSheetId="4" hidden="1">{#N/A,#N/A,FALSE,"LoanAssumptions"}</definedName>
    <definedName name="cc" localSheetId="5" hidden="1">{#N/A,#N/A,FALSE,"LoanAssumptions"}</definedName>
    <definedName name="cc" localSheetId="3" hidden="1">{#N/A,#N/A,FALSE,"LoanAssumptions"}</definedName>
    <definedName name="cc" hidden="1">{#N/A,#N/A,FALSE,"LoanAssumptions"}</definedName>
    <definedName name="ccc" localSheetId="13" hidden="1">{#N/A,#N/A,FALSE,"LoanAssumptions"}</definedName>
    <definedName name="ccc" localSheetId="7" hidden="1">{#N/A,#N/A,FALSE,"LoanAssumptions"}</definedName>
    <definedName name="ccc" localSheetId="4" hidden="1">{#N/A,#N/A,FALSE,"LoanAssumptions"}</definedName>
    <definedName name="ccc" localSheetId="5" hidden="1">{#N/A,#N/A,FALSE,"LoanAssumptions"}</definedName>
    <definedName name="ccc" localSheetId="3" hidden="1">{#N/A,#N/A,FALSE,"LoanAssumptions"}</definedName>
    <definedName name="ccc" hidden="1">{#N/A,#N/A,FALSE,"LoanAssumptions"}</definedName>
    <definedName name="CCEC_DATA" hidden="1">'[8]Statement of Cash Flows'!#REF!</definedName>
    <definedName name="ChartCF">OFFSET(Summary!$AT$8,,,,1+COUNTIF(Summary!$AT$6:$BD$6,"&lt;="&amp;HoldPeriod/12))</definedName>
    <definedName name="ChartNetOperatingIncome">OFFSET(Summary!$AT$7,,,,1+COUNTIF(Summary!$AT$6:$BD$6,"&lt;="&amp;HoldPeriod/12))</definedName>
    <definedName name="ChartYear">"Year "&amp;OFFSET(Summary!$AU$6,,,,COUNTIF(Summary!$AU$6:$BD$6,"&lt;="&amp;HoldPeriod/12))</definedName>
    <definedName name="check2" localSheetId="13" hidden="1">{#N/A,#N/A,FALSE,"Cashflow Analysis";#N/A,#N/A,FALSE,"Sensitivity Analysis";#N/A,#N/A,FALSE,"PV";#N/A,#N/A,FALSE,"Pro Forma"}</definedName>
    <definedName name="check2" localSheetId="7" hidden="1">{#N/A,#N/A,FALSE,"Cashflow Analysis";#N/A,#N/A,FALSE,"Sensitivity Analysis";#N/A,#N/A,FALSE,"PV";#N/A,#N/A,FALSE,"Pro Forma"}</definedName>
    <definedName name="check2" localSheetId="4" hidden="1">{#N/A,#N/A,FALSE,"Cashflow Analysis";#N/A,#N/A,FALSE,"Sensitivity Analysis";#N/A,#N/A,FALSE,"PV";#N/A,#N/A,FALSE,"Pro Forma"}</definedName>
    <definedName name="check2" localSheetId="5" hidden="1">{#N/A,#N/A,FALSE,"Cashflow Analysis";#N/A,#N/A,FALSE,"Sensitivity Analysis";#N/A,#N/A,FALSE,"PV";#N/A,#N/A,FALSE,"Pro Forma"}</definedName>
    <definedName name="check2" localSheetId="3" hidden="1">{#N/A,#N/A,FALSE,"Cashflow Analysis";#N/A,#N/A,FALSE,"Sensitivity Analysis";#N/A,#N/A,FALSE,"PV";#N/A,#N/A,FALSE,"Pro Forma"}</definedName>
    <definedName name="check2" hidden="1">{#N/A,#N/A,FALSE,"Cashflow Analysis";#N/A,#N/A,FALSE,"Sensitivity Analysis";#N/A,#N/A,FALSE,"PV";#N/A,#N/A,FALSE,"Pro Forma"}</definedName>
    <definedName name="CityStateZip">Summary!$E$9</definedName>
    <definedName name="CommonEquity">'Closing Budget'!$I$90</definedName>
    <definedName name="CompanyOH" hidden="1">#REF!</definedName>
    <definedName name="CostsofSale">Summary!$O$50</definedName>
    <definedName name="Cwvu.GREY_ALL." hidden="1">#REF!</definedName>
    <definedName name="cxgxgfgfs" localSheetId="13" hidden="1">{#N/A,#N/A,FALSE,"Cashflow Analysis";#N/A,#N/A,FALSE,"Sensitivity Analysis";#N/A,#N/A,FALSE,"PV";#N/A,#N/A,FALSE,"Pro Forma"}</definedName>
    <definedName name="cxgxgfgfs" localSheetId="7" hidden="1">{#N/A,#N/A,FALSE,"Cashflow Analysis";#N/A,#N/A,FALSE,"Sensitivity Analysis";#N/A,#N/A,FALSE,"PV";#N/A,#N/A,FALSE,"Pro Forma"}</definedName>
    <definedName name="cxgxgfgfs" localSheetId="4" hidden="1">{#N/A,#N/A,FALSE,"Cashflow Analysis";#N/A,#N/A,FALSE,"Sensitivity Analysis";#N/A,#N/A,FALSE,"PV";#N/A,#N/A,FALSE,"Pro Forma"}</definedName>
    <definedName name="cxgxgfgfs" localSheetId="5" hidden="1">{#N/A,#N/A,FALSE,"Cashflow Analysis";#N/A,#N/A,FALSE,"Sensitivity Analysis";#N/A,#N/A,FALSE,"PV";#N/A,#N/A,FALSE,"Pro Forma"}</definedName>
    <definedName name="cxgxgfgfs" localSheetId="3" hidden="1">{#N/A,#N/A,FALSE,"Cashflow Analysis";#N/A,#N/A,FALSE,"Sensitivity Analysis";#N/A,#N/A,FALSE,"PV";#N/A,#N/A,FALSE,"Pro Forma"}</definedName>
    <definedName name="cxgxgfgfs" hidden="1">{#N/A,#N/A,FALSE,"Cashflow Analysis";#N/A,#N/A,FALSE,"Sensitivity Analysis";#N/A,#N/A,FALSE,"PV";#N/A,#N/A,FALSE,"Pro Forma"}</definedName>
    <definedName name="cxgxgfgfs.2" localSheetId="13" hidden="1">{#N/A,#N/A,FALSE,"Cashflow Analysis";#N/A,#N/A,FALSE,"Sensitivity Analysis";#N/A,#N/A,FALSE,"PV";#N/A,#N/A,FALSE,"Pro Forma"}</definedName>
    <definedName name="cxgxgfgfs.2" localSheetId="7" hidden="1">{#N/A,#N/A,FALSE,"Cashflow Analysis";#N/A,#N/A,FALSE,"Sensitivity Analysis";#N/A,#N/A,FALSE,"PV";#N/A,#N/A,FALSE,"Pro Forma"}</definedName>
    <definedName name="cxgxgfgfs.2" localSheetId="4" hidden="1">{#N/A,#N/A,FALSE,"Cashflow Analysis";#N/A,#N/A,FALSE,"Sensitivity Analysis";#N/A,#N/A,FALSE,"PV";#N/A,#N/A,FALSE,"Pro Forma"}</definedName>
    <definedName name="cxgxgfgfs.2" localSheetId="5" hidden="1">{#N/A,#N/A,FALSE,"Cashflow Analysis";#N/A,#N/A,FALSE,"Sensitivity Analysis";#N/A,#N/A,FALSE,"PV";#N/A,#N/A,FALSE,"Pro Forma"}</definedName>
    <definedName name="cxgxgfgfs.2" localSheetId="3" hidden="1">{#N/A,#N/A,FALSE,"Cashflow Analysis";#N/A,#N/A,FALSE,"Sensitivity Analysis";#N/A,#N/A,FALSE,"PV";#N/A,#N/A,FALSE,"Pro Forma"}</definedName>
    <definedName name="cxgxgfgfs.2" hidden="1">{#N/A,#N/A,FALSE,"Cashflow Analysis";#N/A,#N/A,FALSE,"Sensitivity Analysis";#N/A,#N/A,FALSE,"PV";#N/A,#N/A,FALSE,"Pro Forma"}</definedName>
    <definedName name="d" localSheetId="13" hidden="1">{"summary1",#N/A,TRUE,"Comps";"summary2",#N/A,TRUE,"Comps";"summary3",#N/A,TRUE,"Comps"}</definedName>
    <definedName name="d" localSheetId="7" hidden="1">{"summary1",#N/A,TRUE,"Comps";"summary2",#N/A,TRUE,"Comps";"summary3",#N/A,TRUE,"Comps"}</definedName>
    <definedName name="d" localSheetId="4" hidden="1">{"summary1",#N/A,TRUE,"Comps";"summary2",#N/A,TRUE,"Comps";"summary3",#N/A,TRUE,"Comps"}</definedName>
    <definedName name="d" localSheetId="5" hidden="1">{"summary1",#N/A,TRUE,"Comps";"summary2",#N/A,TRUE,"Comps";"summary3",#N/A,TRUE,"Comps"}</definedName>
    <definedName name="d" localSheetId="2" hidden="1">{"summary1",#N/A,TRUE,"Comps";"summary2",#N/A,TRUE,"Comps";"summary3",#N/A,TRUE,"Comps"}</definedName>
    <definedName name="d" localSheetId="3" hidden="1">{"summary1",#N/A,TRUE,"Comps";"summary2",#N/A,TRUE,"Comps";"summary3",#N/A,TRUE,"Comps"}</definedName>
    <definedName name="d" hidden="1">{#N/A,#N/A,FALSE,"Bennington";#N/A,#N/A,FALSE,"Castle Court";#N/A,#N/A,FALSE,"Century Hills";#N/A,#N/A,FALSE,"Edgewater Hills";#N/A,#N/A,FALSE,"Edgewater Terrace";#N/A,#N/A,FALSE,"Edgewater Village";#N/A,#N/A,FALSE,"Fairfax";#N/A,#N/A,FALSE,"Gen. Wash.";#N/A,#N/A,FALSE,"Huntington-Unfurnished";#N/A,#N/A,FALSE,"Huntington-Furnished";#N/A,#N/A,FALSE,"Iris Court";#N/A,#N/A,FALSE,"North Park";#N/A,#N/A,FALSE,"Talbot Woods";#N/A,#N/A,FALSE,"Parkview";#N/A,#N/A,FALSE,"Westgate"}</definedName>
    <definedName name="DAFAD" localSheetId="13" hidden="1">{"cap_structure",#N/A,FALSE,"Graph-Mkt Cap";"price",#N/A,FALSE,"Graph-Price";"ebit",#N/A,FALSE,"Graph-EBITDA";"ebitda",#N/A,FALSE,"Graph-EBITDA"}</definedName>
    <definedName name="DAFAD" localSheetId="7" hidden="1">{"cap_structure",#N/A,FALSE,"Graph-Mkt Cap";"price",#N/A,FALSE,"Graph-Price";"ebit",#N/A,FALSE,"Graph-EBITDA";"ebitda",#N/A,FALSE,"Graph-EBITDA"}</definedName>
    <definedName name="DAFAD" localSheetId="4" hidden="1">{"cap_structure",#N/A,FALSE,"Graph-Mkt Cap";"price",#N/A,FALSE,"Graph-Price";"ebit",#N/A,FALSE,"Graph-EBITDA";"ebitda",#N/A,FALSE,"Graph-EBITDA"}</definedName>
    <definedName name="DAFAD" localSheetId="5" hidden="1">{"cap_structure",#N/A,FALSE,"Graph-Mkt Cap";"price",#N/A,FALSE,"Graph-Price";"ebit",#N/A,FALSE,"Graph-EBITDA";"ebitda",#N/A,FALSE,"Graph-EBITDA"}</definedName>
    <definedName name="DAFAD" localSheetId="3" hidden="1">{"cap_structure",#N/A,FALSE,"Graph-Mkt Cap";"price",#N/A,FALSE,"Graph-Price";"ebit",#N/A,FALSE,"Graph-EBITDA";"ebitda",#N/A,FALSE,"Graph-EBITDA"}</definedName>
    <definedName name="DAFAD" hidden="1">{"cap_structure",#N/A,FALSE,"Graph-Mkt Cap";"price",#N/A,FALSE,"Graph-Price";"ebit",#N/A,FALSE,"Graph-EBITDA";"ebitda",#N/A,FALSE,"Graph-EBITDA"}</definedName>
    <definedName name="DATA_0" hidden="1">'[9]Statement of Cash Flows'!#REF!</definedName>
    <definedName name="DATA_01" hidden="1">'[9]Statement of Cash Flows'!#REF!</definedName>
    <definedName name="DATA_01A" hidden="1">'[9]Statement of Cash Flows'!#REF!</definedName>
    <definedName name="data_02" hidden="1">'[7]Statement of Cash Flows'!#REF!</definedName>
    <definedName name="DATA_03" hidden="1">'[9]Statement of Cash Flows'!#REF!</definedName>
    <definedName name="data_04" hidden="1">'[7]Statement of Cash Flows'!#REF!</definedName>
    <definedName name="DATA_05" hidden="1">'[10]PCI Cash Flows'!#REF!</definedName>
    <definedName name="DATA_05A" hidden="1">'[10]PCI Cash Flows'!#REF!</definedName>
    <definedName name="DATA_07" hidden="1">'[10]PCI Cash Flows'!#REF!</definedName>
    <definedName name="DATA_07A" hidden="1">'[10]PCI Cash Flows'!#REF!</definedName>
    <definedName name="DATA_08" hidden="1">'[11]PCI Cash Flows'!#REF!</definedName>
    <definedName name="dddd" hidden="1">#REF!</definedName>
    <definedName name="dddddd" localSheetId="13" hidden="1">{#N/A,#N/A,FALSE,"CAPREIT"}</definedName>
    <definedName name="dddddd" localSheetId="7" hidden="1">{#N/A,#N/A,FALSE,"CAPREIT"}</definedName>
    <definedName name="dddddd" localSheetId="4" hidden="1">{#N/A,#N/A,FALSE,"CAPREIT"}</definedName>
    <definedName name="dddddd" localSheetId="5" hidden="1">{#N/A,#N/A,FALSE,"CAPREIT"}</definedName>
    <definedName name="dddddd" localSheetId="3" hidden="1">{#N/A,#N/A,FALSE,"CAPREIT"}</definedName>
    <definedName name="dddddd" hidden="1">{#N/A,#N/A,FALSE,"CAPREIT"}</definedName>
    <definedName name="ddddddd" localSheetId="13" hidden="1">{#N/A,#N/A,FALSE,"CAPREIT"}</definedName>
    <definedName name="ddddddd" localSheetId="7" hidden="1">{#N/A,#N/A,FALSE,"CAPREIT"}</definedName>
    <definedName name="ddddddd" localSheetId="4" hidden="1">{#N/A,#N/A,FALSE,"CAPREIT"}</definedName>
    <definedName name="ddddddd" localSheetId="5" hidden="1">{#N/A,#N/A,FALSE,"CAPREIT"}</definedName>
    <definedName name="ddddddd" localSheetId="3" hidden="1">{#N/A,#N/A,FALSE,"CAPREIT"}</definedName>
    <definedName name="ddddddd" hidden="1">{#N/A,#N/A,FALSE,"CAPREIT"}</definedName>
    <definedName name="DealStructureSwitch">Summary!$E$28</definedName>
    <definedName name="Debt">Summary!$C$56</definedName>
    <definedName name="dfd" localSheetId="13" hidden="1">{"FCB_ALL",#N/A,FALSE,"FCB";"GREY_ALL",#N/A,FALSE,"GREY"}</definedName>
    <definedName name="dfd" localSheetId="7" hidden="1">{"FCB_ALL",#N/A,FALSE,"FCB";"GREY_ALL",#N/A,FALSE,"GREY"}</definedName>
    <definedName name="dfd" localSheetId="4" hidden="1">{"FCB_ALL",#N/A,FALSE,"FCB";"GREY_ALL",#N/A,FALSE,"GREY"}</definedName>
    <definedName name="dfd" localSheetId="5" hidden="1">{"FCB_ALL",#N/A,FALSE,"FCB";"GREY_ALL",#N/A,FALSE,"GREY"}</definedName>
    <definedName name="dfd" localSheetId="3" hidden="1">{"FCB_ALL",#N/A,FALSE,"FCB";"GREY_ALL",#N/A,FALSE,"GREY"}</definedName>
    <definedName name="dfd" hidden="1">{"FCB_ALL",#N/A,FALSE,"FCB";"GREY_ALL",#N/A,FALSE,"GREY"}</definedName>
    <definedName name="dfdas" localSheetId="13" hidden="1">{"FCB_ALL",#N/A,FALSE,"FCB";"GREY_ALL",#N/A,FALSE,"GREY"}</definedName>
    <definedName name="dfdas" localSheetId="7" hidden="1">{"FCB_ALL",#N/A,FALSE,"FCB";"GREY_ALL",#N/A,FALSE,"GREY"}</definedName>
    <definedName name="dfdas" localSheetId="4" hidden="1">{"FCB_ALL",#N/A,FALSE,"FCB";"GREY_ALL",#N/A,FALSE,"GREY"}</definedName>
    <definedName name="dfdas" localSheetId="5" hidden="1">{"FCB_ALL",#N/A,FALSE,"FCB";"GREY_ALL",#N/A,FALSE,"GREY"}</definedName>
    <definedName name="dfdas" localSheetId="3" hidden="1">{"FCB_ALL",#N/A,FALSE,"FCB";"GREY_ALL",#N/A,FALSE,"GREY"}</definedName>
    <definedName name="dfdas" hidden="1">{"FCB_ALL",#N/A,FALSE,"FCB";"GREY_ALL",#N/A,FALSE,"GREY"}</definedName>
    <definedName name="dfdfd" localSheetId="13" hidden="1">{"FCB_ALL",#N/A,FALSE,"FCB";"GREY_ALL",#N/A,FALSE,"GREY"}</definedName>
    <definedName name="dfdfd" localSheetId="7" hidden="1">{"FCB_ALL",#N/A,FALSE,"FCB";"GREY_ALL",#N/A,FALSE,"GREY"}</definedName>
    <definedName name="dfdfd" localSheetId="4" hidden="1">{"FCB_ALL",#N/A,FALSE,"FCB";"GREY_ALL",#N/A,FALSE,"GREY"}</definedName>
    <definedName name="dfdfd" localSheetId="5" hidden="1">{"FCB_ALL",#N/A,FALSE,"FCB";"GREY_ALL",#N/A,FALSE,"GREY"}</definedName>
    <definedName name="dfdfd" localSheetId="3" hidden="1">{"FCB_ALL",#N/A,FALSE,"FCB";"GREY_ALL",#N/A,FALSE,"GREY"}</definedName>
    <definedName name="dfdfd" hidden="1">{"FCB_ALL",#N/A,FALSE,"FCB";"GREY_ALL",#N/A,FALSE,"GREY"}</definedName>
    <definedName name="dfdfdfd" localSheetId="13" hidden="1">{"FCB_ALL",#N/A,FALSE,"FCB"}</definedName>
    <definedName name="dfdfdfd" localSheetId="7" hidden="1">{"FCB_ALL",#N/A,FALSE,"FCB"}</definedName>
    <definedName name="dfdfdfd" localSheetId="4" hidden="1">{"FCB_ALL",#N/A,FALSE,"FCB"}</definedName>
    <definedName name="dfdfdfd" localSheetId="5" hidden="1">{"FCB_ALL",#N/A,FALSE,"FCB"}</definedName>
    <definedName name="dfdfdfd" localSheetId="3" hidden="1">{"FCB_ALL",#N/A,FALSE,"FCB"}</definedName>
    <definedName name="dfdfdfd" hidden="1">{"FCB_ALL",#N/A,FALSE,"FCB"}</definedName>
    <definedName name="dfgd" localSheetId="13" hidden="1">{#N/A,#N/A,FALSE,"Cashflow Analysis";#N/A,#N/A,FALSE,"Sensitivity Analysis";#N/A,#N/A,FALSE,"PV";#N/A,#N/A,FALSE,"Pro Forma"}</definedName>
    <definedName name="dfgd" localSheetId="7" hidden="1">{#N/A,#N/A,FALSE,"Cashflow Analysis";#N/A,#N/A,FALSE,"Sensitivity Analysis";#N/A,#N/A,FALSE,"PV";#N/A,#N/A,FALSE,"Pro Forma"}</definedName>
    <definedName name="dfgd" localSheetId="4" hidden="1">{#N/A,#N/A,FALSE,"Cashflow Analysis";#N/A,#N/A,FALSE,"Sensitivity Analysis";#N/A,#N/A,FALSE,"PV";#N/A,#N/A,FALSE,"Pro Forma"}</definedName>
    <definedName name="dfgd" localSheetId="5" hidden="1">{#N/A,#N/A,FALSE,"Cashflow Analysis";#N/A,#N/A,FALSE,"Sensitivity Analysis";#N/A,#N/A,FALSE,"PV";#N/A,#N/A,FALSE,"Pro Forma"}</definedName>
    <definedName name="dfgd" localSheetId="3" hidden="1">{#N/A,#N/A,FALSE,"Cashflow Analysis";#N/A,#N/A,FALSE,"Sensitivity Analysis";#N/A,#N/A,FALSE,"PV";#N/A,#N/A,FALSE,"Pro Forma"}</definedName>
    <definedName name="dfgd" hidden="1">{#N/A,#N/A,FALSE,"Cashflow Analysis";#N/A,#N/A,FALSE,"Sensitivity Analysis";#N/A,#N/A,FALSE,"PV";#N/A,#N/A,FALSE,"Pro Forma"}</definedName>
    <definedName name="DHG" localSheetId="13" hidden="1">{"cap_structure",#N/A,FALSE,"Graph-Mkt Cap";"price",#N/A,FALSE,"Graph-Price";"ebit",#N/A,FALSE,"Graph-EBITDA";"ebitda",#N/A,FALSE,"Graph-EBITDA"}</definedName>
    <definedName name="DHG" localSheetId="7" hidden="1">{"cap_structure",#N/A,FALSE,"Graph-Mkt Cap";"price",#N/A,FALSE,"Graph-Price";"ebit",#N/A,FALSE,"Graph-EBITDA";"ebitda",#N/A,FALSE,"Graph-EBITDA"}</definedName>
    <definedName name="DHG" localSheetId="4" hidden="1">{"cap_structure",#N/A,FALSE,"Graph-Mkt Cap";"price",#N/A,FALSE,"Graph-Price";"ebit",#N/A,FALSE,"Graph-EBITDA";"ebitda",#N/A,FALSE,"Graph-EBITDA"}</definedName>
    <definedName name="DHG" localSheetId="5" hidden="1">{"cap_structure",#N/A,FALSE,"Graph-Mkt Cap";"price",#N/A,FALSE,"Graph-Price";"ebit",#N/A,FALSE,"Graph-EBITDA";"ebitda",#N/A,FALSE,"Graph-EBITDA"}</definedName>
    <definedName name="DHG" localSheetId="3" hidden="1">{"cap_structure",#N/A,FALSE,"Graph-Mkt Cap";"price",#N/A,FALSE,"Graph-Price";"ebit",#N/A,FALSE,"Graph-EBITDA";"ebitda",#N/A,FALSE,"Graph-EBITDA"}</definedName>
    <definedName name="DHG" hidden="1">{"cap_structure",#N/A,FALSE,"Graph-Mkt Cap";"price",#N/A,FALSE,"Graph-Price";"ebit",#N/A,FALSE,"Graph-EBITDA";"ebitda",#N/A,FALSE,"Graph-EBITDA"}</definedName>
    <definedName name="dis" localSheetId="13" hidden="1">{#N/A,#N/A,FALSE,"Cashflow Analysis";#N/A,#N/A,FALSE,"Sensitivity Analysis";#N/A,#N/A,FALSE,"PV";#N/A,#N/A,FALSE,"Pro Forma"}</definedName>
    <definedName name="dis" localSheetId="7" hidden="1">{#N/A,#N/A,FALSE,"Cashflow Analysis";#N/A,#N/A,FALSE,"Sensitivity Analysis";#N/A,#N/A,FALSE,"PV";#N/A,#N/A,FALSE,"Pro Forma"}</definedName>
    <definedName name="dis" localSheetId="4" hidden="1">{#N/A,#N/A,FALSE,"Cashflow Analysis";#N/A,#N/A,FALSE,"Sensitivity Analysis";#N/A,#N/A,FALSE,"PV";#N/A,#N/A,FALSE,"Pro Forma"}</definedName>
    <definedName name="dis" localSheetId="5" hidden="1">{#N/A,#N/A,FALSE,"Cashflow Analysis";#N/A,#N/A,FALSE,"Sensitivity Analysis";#N/A,#N/A,FALSE,"PV";#N/A,#N/A,FALSE,"Pro Forma"}</definedName>
    <definedName name="dis" localSheetId="3" hidden="1">{#N/A,#N/A,FALSE,"Cashflow Analysis";#N/A,#N/A,FALSE,"Sensitivity Analysis";#N/A,#N/A,FALSE,"PV";#N/A,#N/A,FALSE,"Pro Forma"}</definedName>
    <definedName name="dis" hidden="1">{#N/A,#N/A,FALSE,"Cashflow Analysis";#N/A,#N/A,FALSE,"Sensitivity Analysis";#N/A,#N/A,FALSE,"PV";#N/A,#N/A,FALSE,"Pro Forma"}</definedName>
    <definedName name="dis.2" localSheetId="13" hidden="1">{#N/A,#N/A,FALSE,"Cashflow Analysis";#N/A,#N/A,FALSE,"Sensitivity Analysis";#N/A,#N/A,FALSE,"PV";#N/A,#N/A,FALSE,"Pro Forma"}</definedName>
    <definedName name="dis.2" localSheetId="7" hidden="1">{#N/A,#N/A,FALSE,"Cashflow Analysis";#N/A,#N/A,FALSE,"Sensitivity Analysis";#N/A,#N/A,FALSE,"PV";#N/A,#N/A,FALSE,"Pro Forma"}</definedName>
    <definedName name="dis.2" localSheetId="4" hidden="1">{#N/A,#N/A,FALSE,"Cashflow Analysis";#N/A,#N/A,FALSE,"Sensitivity Analysis";#N/A,#N/A,FALSE,"PV";#N/A,#N/A,FALSE,"Pro Forma"}</definedName>
    <definedName name="dis.2" localSheetId="5" hidden="1">{#N/A,#N/A,FALSE,"Cashflow Analysis";#N/A,#N/A,FALSE,"Sensitivity Analysis";#N/A,#N/A,FALSE,"PV";#N/A,#N/A,FALSE,"Pro Forma"}</definedName>
    <definedName name="dis.2" localSheetId="3" hidden="1">{#N/A,#N/A,FALSE,"Cashflow Analysis";#N/A,#N/A,FALSE,"Sensitivity Analysis";#N/A,#N/A,FALSE,"PV";#N/A,#N/A,FALSE,"Pro Forma"}</definedName>
    <definedName name="dis.2" hidden="1">{#N/A,#N/A,FALSE,"Cashflow Analysis";#N/A,#N/A,FALSE,"Sensitivity Analysis";#N/A,#N/A,FALSE,"PV";#N/A,#N/A,FALSE,"Pro Forma"}</definedName>
    <definedName name="DispositionFee">Summary!$O$51</definedName>
    <definedName name="DME_Dirty" hidden="1">"False"</definedName>
    <definedName name="DME_LocalFile" hidden="1">"True"</definedName>
    <definedName name="DME_ODMALinks1" hidden="1">"::ODMA\DME-MSE\London-44590=C:\TEMP\Dme\London-44590.xls"</definedName>
    <definedName name="DME_ODMALinksCount" hidden="1">"1"</definedName>
    <definedName name="e" localSheetId="1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" localSheetId="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" localSheetId="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arnout">'Closing Budget'!#REF!</definedName>
    <definedName name="earnout_release_period">'Closing Budget'!#REF!</definedName>
    <definedName name="ENTRIES" hidden="1">#REF!</definedName>
    <definedName name="er" localSheetId="1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localSheetId="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localSheetId="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V__CVPARAMS__" hidden="1">"S1!$A$4:$B$21;"</definedName>
    <definedName name="EV__EVCOM_OPTIONS__" hidden="1">10</definedName>
    <definedName name="EV__EXPOPTIONS__" hidden="1">0</definedName>
    <definedName name="EV__LASTREFTIME__" hidden="1">39497.4800925926</definedName>
    <definedName name="EV__MAXEXPCOLS__" hidden="1">255</definedName>
    <definedName name="EV__MAXEXPROWS__" hidden="1">65500</definedName>
    <definedName name="EV__MEMORYCVW__" hidden="1">0</definedName>
    <definedName name="EV__USERCHANGEOPTIONS__" hidden="1">1</definedName>
    <definedName name="EV__WBEVMODE__" hidden="1">0</definedName>
    <definedName name="EV__WBREFOPTIONS__" hidden="1">134217783</definedName>
    <definedName name="EV__WBVERSION__" hidden="1">0</definedName>
    <definedName name="ExitCap">Summary!$P$46</definedName>
    <definedName name="fadsf" localSheetId="1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localSheetId="7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localSheetId="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dfdfd" localSheetId="13" hidden="1">{#N/A,#N/A,FALSE,"CAPREIT"}</definedName>
    <definedName name="fdfdfd" localSheetId="7" hidden="1">{#N/A,#N/A,FALSE,"CAPREIT"}</definedName>
    <definedName name="fdfdfd" localSheetId="4" hidden="1">{#N/A,#N/A,FALSE,"CAPREIT"}</definedName>
    <definedName name="fdfdfd" localSheetId="5" hidden="1">{#N/A,#N/A,FALSE,"CAPREIT"}</definedName>
    <definedName name="fdfdfd" localSheetId="3" hidden="1">{#N/A,#N/A,FALSE,"CAPREIT"}</definedName>
    <definedName name="fdfdfd" hidden="1">{#N/A,#N/A,FALSE,"CAPREIT"}</definedName>
    <definedName name="fdfdfdf" localSheetId="13" hidden="1">{#N/A,#N/A,FALSE,"CAPREIT"}</definedName>
    <definedName name="fdfdfdf" localSheetId="7" hidden="1">{#N/A,#N/A,FALSE,"CAPREIT"}</definedName>
    <definedName name="fdfdfdf" localSheetId="4" hidden="1">{#N/A,#N/A,FALSE,"CAPREIT"}</definedName>
    <definedName name="fdfdfdf" localSheetId="5" hidden="1">{#N/A,#N/A,FALSE,"CAPREIT"}</definedName>
    <definedName name="fdfdfdf" localSheetId="3" hidden="1">{#N/A,#N/A,FALSE,"CAPREIT"}</definedName>
    <definedName name="fdfdfdf" hidden="1">{#N/A,#N/A,FALSE,"CAPREIT"}</definedName>
    <definedName name="fdgad" localSheetId="13" hidden="1">{"inputs raw data",#N/A,TRUE,"INPUT"}</definedName>
    <definedName name="fdgad" localSheetId="7" hidden="1">{"inputs raw data",#N/A,TRUE,"INPUT"}</definedName>
    <definedName name="fdgad" localSheetId="4" hidden="1">{"inputs raw data",#N/A,TRUE,"INPUT"}</definedName>
    <definedName name="fdgad" localSheetId="5" hidden="1">{"inputs raw data",#N/A,TRUE,"INPUT"}</definedName>
    <definedName name="fdgad" localSheetId="3" hidden="1">{"inputs raw data",#N/A,TRUE,"INPUT"}</definedName>
    <definedName name="fdgad" hidden="1">{"inputs raw data",#N/A,TRUE,"INPUT"}</definedName>
    <definedName name="fff" localSheetId="13" hidden="1">{#N/A,#N/A,TRUE,"Summary";"AnnualRentRoll",#N/A,TRUE,"RentRoll";#N/A,#N/A,TRUE,"ExitStratigy";#N/A,#N/A,TRUE,"OperatingAssumptions"}</definedName>
    <definedName name="fff" localSheetId="7" hidden="1">{#N/A,#N/A,TRUE,"Summary";"AnnualRentRoll",#N/A,TRUE,"RentRoll";#N/A,#N/A,TRUE,"ExitStratigy";#N/A,#N/A,TRUE,"OperatingAssumptions"}</definedName>
    <definedName name="fff" localSheetId="4" hidden="1">{#N/A,#N/A,TRUE,"Summary";"AnnualRentRoll",#N/A,TRUE,"RentRoll";#N/A,#N/A,TRUE,"ExitStratigy";#N/A,#N/A,TRUE,"OperatingAssumptions"}</definedName>
    <definedName name="fff" localSheetId="5" hidden="1">{#N/A,#N/A,TRUE,"Summary";"AnnualRentRoll",#N/A,TRUE,"RentRoll";#N/A,#N/A,TRUE,"ExitStratigy";#N/A,#N/A,TRUE,"OperatingAssumptions"}</definedName>
    <definedName name="fff" localSheetId="3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fffff" localSheetId="13" hidden="1">{#N/A,#N/A,FALSE,"Cashflow Analysis";#N/A,#N/A,FALSE,"Sensitivity Analysis";#N/A,#N/A,FALSE,"PV";#N/A,#N/A,FALSE,"Pro Forma"}</definedName>
    <definedName name="ffffff" localSheetId="7" hidden="1">{#N/A,#N/A,FALSE,"Cashflow Analysis";#N/A,#N/A,FALSE,"Sensitivity Analysis";#N/A,#N/A,FALSE,"PV";#N/A,#N/A,FALSE,"Pro Forma"}</definedName>
    <definedName name="ffffff" localSheetId="4" hidden="1">{#N/A,#N/A,FALSE,"Cashflow Analysis";#N/A,#N/A,FALSE,"Sensitivity Analysis";#N/A,#N/A,FALSE,"PV";#N/A,#N/A,FALSE,"Pro Forma"}</definedName>
    <definedName name="ffffff" localSheetId="5" hidden="1">{#N/A,#N/A,FALSE,"Cashflow Analysis";#N/A,#N/A,FALSE,"Sensitivity Analysis";#N/A,#N/A,FALSE,"PV";#N/A,#N/A,FALSE,"Pro Forma"}</definedName>
    <definedName name="ffffff" localSheetId="3" hidden="1">{#N/A,#N/A,FALSE,"Cashflow Analysis";#N/A,#N/A,FALSE,"Sensitivity Analysis";#N/A,#N/A,FALSE,"PV";#N/A,#N/A,FALSE,"Pro Forma"}</definedName>
    <definedName name="ffffff" hidden="1">{#N/A,#N/A,FALSE,"Cashflow Analysis";#N/A,#N/A,FALSE,"Sensitivity Analysis";#N/A,#N/A,FALSE,"PV";#N/A,#N/A,FALSE,"Pro Forma"}</definedName>
    <definedName name="ffffff.2" localSheetId="13" hidden="1">{#N/A,#N/A,FALSE,"Cashflow Analysis";#N/A,#N/A,FALSE,"Sensitivity Analysis";#N/A,#N/A,FALSE,"PV";#N/A,#N/A,FALSE,"Pro Forma"}</definedName>
    <definedName name="ffffff.2" localSheetId="7" hidden="1">{#N/A,#N/A,FALSE,"Cashflow Analysis";#N/A,#N/A,FALSE,"Sensitivity Analysis";#N/A,#N/A,FALSE,"PV";#N/A,#N/A,FALSE,"Pro Forma"}</definedName>
    <definedName name="ffffff.2" localSheetId="4" hidden="1">{#N/A,#N/A,FALSE,"Cashflow Analysis";#N/A,#N/A,FALSE,"Sensitivity Analysis";#N/A,#N/A,FALSE,"PV";#N/A,#N/A,FALSE,"Pro Forma"}</definedName>
    <definedName name="ffffff.2" localSheetId="5" hidden="1">{#N/A,#N/A,FALSE,"Cashflow Analysis";#N/A,#N/A,FALSE,"Sensitivity Analysis";#N/A,#N/A,FALSE,"PV";#N/A,#N/A,FALSE,"Pro Forma"}</definedName>
    <definedName name="ffffff.2" localSheetId="3" hidden="1">{#N/A,#N/A,FALSE,"Cashflow Analysis";#N/A,#N/A,FALSE,"Sensitivity Analysis";#N/A,#N/A,FALSE,"PV";#N/A,#N/A,FALSE,"Pro Forma"}</definedName>
    <definedName name="ffffff.2" hidden="1">{#N/A,#N/A,FALSE,"Cashflow Analysis";#N/A,#N/A,FALSE,"Sensitivity Analysis";#N/A,#N/A,FALSE,"PV";#N/A,#N/A,FALSE,"Pro Forma"}</definedName>
    <definedName name="fhg" localSheetId="1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localSheetId="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localSheetId="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localSheetId="1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localSheetId="7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localSheetId="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ill" hidden="1">#REF!</definedName>
    <definedName name="FinancingFee">Summary!$D$21</definedName>
    <definedName name="fm" localSheetId="13" hidden="1">{"summary1",#N/A,TRUE,"Comps";"summary2",#N/A,TRUE,"Comps";"summary3",#N/A,TRUE,"Comps"}</definedName>
    <definedName name="fm" localSheetId="7" hidden="1">{"summary1",#N/A,TRUE,"Comps";"summary2",#N/A,TRUE,"Comps";"summary3",#N/A,TRUE,"Comps"}</definedName>
    <definedName name="fm" localSheetId="4" hidden="1">{"summary1",#N/A,TRUE,"Comps";"summary2",#N/A,TRUE,"Comps";"summary3",#N/A,TRUE,"Comps"}</definedName>
    <definedName name="fm" localSheetId="5" hidden="1">{"summary1",#N/A,TRUE,"Comps";"summary2",#N/A,TRUE,"Comps";"summary3",#N/A,TRUE,"Comps"}</definedName>
    <definedName name="fm" localSheetId="3" hidden="1">{"summary1",#N/A,TRUE,"Comps";"summary2",#N/A,TRUE,"Comps";"summary3",#N/A,TRUE,"Comps"}</definedName>
    <definedName name="fm" hidden="1">{"summary1",#N/A,TRUE,"Comps";"summary2",#N/A,TRUE,"Comps";"summary3",#N/A,TRUE,"Comps"}</definedName>
    <definedName name="FRED" localSheetId="13" hidden="1">{#N/A,#N/A,FALSE,"Summary";#N/A,#N/A,FALSE,"Sales";#N/A,#N/A,FALSE,"Costs";#N/A,#N/A,FALSE,"1996";#N/A,#N/A,FALSE,"1997";#N/A,#N/A,FALSE,"1998";#N/A,#N/A,FALSE,"1999";#N/A,#N/A,FALSE,"2000";#N/A,#N/A,FALSE,"2001";#N/A,#N/A,FALSE,"2002";#N/A,#N/A,FALSE,"2003";#N/A,#N/A,FALSE,"2004";#N/A,#N/A,FALSE,"2005";#N/A,#N/A,FALSE,"2006"}</definedName>
    <definedName name="FRED" localSheetId="7" hidden="1">{#N/A,#N/A,FALSE,"Summary";#N/A,#N/A,FALSE,"Sales";#N/A,#N/A,FALSE,"Costs";#N/A,#N/A,FALSE,"1996";#N/A,#N/A,FALSE,"1997";#N/A,#N/A,FALSE,"1998";#N/A,#N/A,FALSE,"1999";#N/A,#N/A,FALSE,"2000";#N/A,#N/A,FALSE,"2001";#N/A,#N/A,FALSE,"2002";#N/A,#N/A,FALSE,"2003";#N/A,#N/A,FALSE,"2004";#N/A,#N/A,FALSE,"2005";#N/A,#N/A,FALSE,"2006"}</definedName>
    <definedName name="FRED" localSheetId="4" hidden="1">{#N/A,#N/A,FALSE,"Summary";#N/A,#N/A,FALSE,"Sales";#N/A,#N/A,FALSE,"Costs";#N/A,#N/A,FALSE,"1996";#N/A,#N/A,FALSE,"1997";#N/A,#N/A,FALSE,"1998";#N/A,#N/A,FALSE,"1999";#N/A,#N/A,FALSE,"2000";#N/A,#N/A,FALSE,"2001";#N/A,#N/A,FALSE,"2002";#N/A,#N/A,FALSE,"2003";#N/A,#N/A,FALSE,"2004";#N/A,#N/A,FALSE,"2005";#N/A,#N/A,FALSE,"2006"}</definedName>
    <definedName name="FRED" localSheetId="5" hidden="1">{#N/A,#N/A,FALSE,"Summary";#N/A,#N/A,FALSE,"Sales";#N/A,#N/A,FALSE,"Costs";#N/A,#N/A,FALSE,"1996";#N/A,#N/A,FALSE,"1997";#N/A,#N/A,FALSE,"1998";#N/A,#N/A,FALSE,"1999";#N/A,#N/A,FALSE,"2000";#N/A,#N/A,FALSE,"2001";#N/A,#N/A,FALSE,"2002";#N/A,#N/A,FALSE,"2003";#N/A,#N/A,FALSE,"2004";#N/A,#N/A,FALSE,"2005";#N/A,#N/A,FALSE,"2006"}</definedName>
    <definedName name="FRED" localSheetId="3" hidden="1">{#N/A,#N/A,FALSE,"Summary";#N/A,#N/A,FALSE,"Sales";#N/A,#N/A,FALSE,"Costs";#N/A,#N/A,FALSE,"1996";#N/A,#N/A,FALSE,"1997";#N/A,#N/A,FALSE,"1998";#N/A,#N/A,FALSE,"1999";#N/A,#N/A,FALSE,"2000";#N/A,#N/A,FALSE,"2001";#N/A,#N/A,FALSE,"2002";#N/A,#N/A,FALSE,"2003";#N/A,#N/A,FALSE,"2004";#N/A,#N/A,FALSE,"2005";#N/A,#N/A,FALSE,"2006"}</definedName>
    <definedName name="FRED" hidden="1">{#N/A,#N/A,FALSE,"Summary";#N/A,#N/A,FALSE,"Sales";#N/A,#N/A,FALSE,"Costs";#N/A,#N/A,FALSE,"1996";#N/A,#N/A,FALSE,"1997";#N/A,#N/A,FALSE,"1998";#N/A,#N/A,FALSE,"1999";#N/A,#N/A,FALSE,"2000";#N/A,#N/A,FALSE,"2001";#N/A,#N/A,FALSE,"2002";#N/A,#N/A,FALSE,"2003";#N/A,#N/A,FALSE,"2004";#N/A,#N/A,FALSE,"2005";#N/A,#N/A,FALSE,"2006"}</definedName>
    <definedName name="gegeg" localSheetId="13" hidden="1">{#N/A,#N/A,FALSE,"Cashflow Analysis";#N/A,#N/A,FALSE,"Sensitivity Analysis";#N/A,#N/A,FALSE,"PV";#N/A,#N/A,FALSE,"Pro Forma"}</definedName>
    <definedName name="gegeg" localSheetId="7" hidden="1">{#N/A,#N/A,FALSE,"Cashflow Analysis";#N/A,#N/A,FALSE,"Sensitivity Analysis";#N/A,#N/A,FALSE,"PV";#N/A,#N/A,FALSE,"Pro Forma"}</definedName>
    <definedName name="gegeg" localSheetId="4" hidden="1">{#N/A,#N/A,FALSE,"Cashflow Analysis";#N/A,#N/A,FALSE,"Sensitivity Analysis";#N/A,#N/A,FALSE,"PV";#N/A,#N/A,FALSE,"Pro Forma"}</definedName>
    <definedName name="gegeg" localSheetId="5" hidden="1">{#N/A,#N/A,FALSE,"Cashflow Analysis";#N/A,#N/A,FALSE,"Sensitivity Analysis";#N/A,#N/A,FALSE,"PV";#N/A,#N/A,FALSE,"Pro Forma"}</definedName>
    <definedName name="gegeg" localSheetId="3" hidden="1">{#N/A,#N/A,FALSE,"Cashflow Analysis";#N/A,#N/A,FALSE,"Sensitivity Analysis";#N/A,#N/A,FALSE,"PV";#N/A,#N/A,FALSE,"Pro Forma"}</definedName>
    <definedName name="gegeg" hidden="1">{#N/A,#N/A,FALSE,"Cashflow Analysis";#N/A,#N/A,FALSE,"Sensitivity Analysis";#N/A,#N/A,FALSE,"PV";#N/A,#N/A,FALSE,"Pro Forma"}</definedName>
    <definedName name="gegeg.2" localSheetId="13" hidden="1">{#N/A,#N/A,FALSE,"Cashflow Analysis";#N/A,#N/A,FALSE,"Sensitivity Analysis";#N/A,#N/A,FALSE,"PV";#N/A,#N/A,FALSE,"Pro Forma"}</definedName>
    <definedName name="gegeg.2" localSheetId="7" hidden="1">{#N/A,#N/A,FALSE,"Cashflow Analysis";#N/A,#N/A,FALSE,"Sensitivity Analysis";#N/A,#N/A,FALSE,"PV";#N/A,#N/A,FALSE,"Pro Forma"}</definedName>
    <definedName name="gegeg.2" localSheetId="4" hidden="1">{#N/A,#N/A,FALSE,"Cashflow Analysis";#N/A,#N/A,FALSE,"Sensitivity Analysis";#N/A,#N/A,FALSE,"PV";#N/A,#N/A,FALSE,"Pro Forma"}</definedName>
    <definedName name="gegeg.2" localSheetId="5" hidden="1">{#N/A,#N/A,FALSE,"Cashflow Analysis";#N/A,#N/A,FALSE,"Sensitivity Analysis";#N/A,#N/A,FALSE,"PV";#N/A,#N/A,FALSE,"Pro Forma"}</definedName>
    <definedName name="gegeg.2" localSheetId="3" hidden="1">{#N/A,#N/A,FALSE,"Cashflow Analysis";#N/A,#N/A,FALSE,"Sensitivity Analysis";#N/A,#N/A,FALSE,"PV";#N/A,#N/A,FALSE,"Pro Forma"}</definedName>
    <definedName name="gegeg.2" hidden="1">{#N/A,#N/A,FALSE,"Cashflow Analysis";#N/A,#N/A,FALSE,"Sensitivity Analysis";#N/A,#N/A,FALSE,"PV";#N/A,#N/A,FALSE,"Pro Forma"}</definedName>
    <definedName name="gfhs" localSheetId="13" hidden="1">{"summary1",#N/A,TRUE,"Comps";"summary2",#N/A,TRUE,"Comps";"summary3",#N/A,TRUE,"Comps"}</definedName>
    <definedName name="gfhs" localSheetId="7" hidden="1">{"summary1",#N/A,TRUE,"Comps";"summary2",#N/A,TRUE,"Comps";"summary3",#N/A,TRUE,"Comps"}</definedName>
    <definedName name="gfhs" localSheetId="4" hidden="1">{"summary1",#N/A,TRUE,"Comps";"summary2",#N/A,TRUE,"Comps";"summary3",#N/A,TRUE,"Comps"}</definedName>
    <definedName name="gfhs" localSheetId="5" hidden="1">{"summary1",#N/A,TRUE,"Comps";"summary2",#N/A,TRUE,"Comps";"summary3",#N/A,TRUE,"Comps"}</definedName>
    <definedName name="gfhs" localSheetId="3" hidden="1">{"summary1",#N/A,TRUE,"Comps";"summary2",#N/A,TRUE,"Comps";"summary3",#N/A,TRUE,"Comps"}</definedName>
    <definedName name="gfhs" hidden="1">{"summary1",#N/A,TRUE,"Comps";"summary2",#N/A,TRUE,"Comps";"summary3",#N/A,TRUE,"Comps"}</definedName>
    <definedName name="gg" localSheetId="13" hidden="1">{#N/A,#N/A,FALSE,"Cashflow Analysis";#N/A,#N/A,FALSE,"Sensitivity Analysis";#N/A,#N/A,FALSE,"PV";#N/A,#N/A,FALSE,"Pro Forma"}</definedName>
    <definedName name="gg" localSheetId="7" hidden="1">{#N/A,#N/A,FALSE,"Cashflow Analysis";#N/A,#N/A,FALSE,"Sensitivity Analysis";#N/A,#N/A,FALSE,"PV";#N/A,#N/A,FALSE,"Pro Forma"}</definedName>
    <definedName name="gg" localSheetId="4" hidden="1">{#N/A,#N/A,FALSE,"Cashflow Analysis";#N/A,#N/A,FALSE,"Sensitivity Analysis";#N/A,#N/A,FALSE,"PV";#N/A,#N/A,FALSE,"Pro Forma"}</definedName>
    <definedName name="gg" localSheetId="5" hidden="1">{#N/A,#N/A,FALSE,"Cashflow Analysis";#N/A,#N/A,FALSE,"Sensitivity Analysis";#N/A,#N/A,FALSE,"PV";#N/A,#N/A,FALSE,"Pro Forma"}</definedName>
    <definedName name="gg" localSheetId="3" hidden="1">{#N/A,#N/A,FALSE,"Cashflow Analysis";#N/A,#N/A,FALSE,"Sensitivity Analysis";#N/A,#N/A,FALSE,"PV";#N/A,#N/A,FALSE,"Pro Forma"}</definedName>
    <definedName name="gg" hidden="1">{#N/A,#N/A,FALSE,"Cashflow Analysis";#N/A,#N/A,FALSE,"Sensitivity Analysis";#N/A,#N/A,FALSE,"PV";#N/A,#N/A,FALSE,"Pro Forma"}</definedName>
    <definedName name="gg.2" localSheetId="13" hidden="1">{#N/A,#N/A,FALSE,"Cashflow Analysis";#N/A,#N/A,FALSE,"Sensitivity Analysis";#N/A,#N/A,FALSE,"PV";#N/A,#N/A,FALSE,"Pro Forma"}</definedName>
    <definedName name="gg.2" localSheetId="7" hidden="1">{#N/A,#N/A,FALSE,"Cashflow Analysis";#N/A,#N/A,FALSE,"Sensitivity Analysis";#N/A,#N/A,FALSE,"PV";#N/A,#N/A,FALSE,"Pro Forma"}</definedName>
    <definedName name="gg.2" localSheetId="4" hidden="1">{#N/A,#N/A,FALSE,"Cashflow Analysis";#N/A,#N/A,FALSE,"Sensitivity Analysis";#N/A,#N/A,FALSE,"PV";#N/A,#N/A,FALSE,"Pro Forma"}</definedName>
    <definedName name="gg.2" localSheetId="5" hidden="1">{#N/A,#N/A,FALSE,"Cashflow Analysis";#N/A,#N/A,FALSE,"Sensitivity Analysis";#N/A,#N/A,FALSE,"PV";#N/A,#N/A,FALSE,"Pro Forma"}</definedName>
    <definedName name="gg.2" localSheetId="3" hidden="1">{#N/A,#N/A,FALSE,"Cashflow Analysis";#N/A,#N/A,FALSE,"Sensitivity Analysis";#N/A,#N/A,FALSE,"PV";#N/A,#N/A,FALSE,"Pro Forma"}</definedName>
    <definedName name="gg.2" hidden="1">{#N/A,#N/A,FALSE,"Cashflow Analysis";#N/A,#N/A,FALSE,"Sensitivity Analysis";#N/A,#N/A,FALSE,"PV";#N/A,#N/A,FALSE,"Pro Forma"}</definedName>
    <definedName name="GKUY" localSheetId="1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localSheetId="7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localSheetId="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rossSF">Summary!$C$13</definedName>
    <definedName name="h" localSheetId="1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h" localSheetId="7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h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h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h" localSheetId="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h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HD" localSheetId="1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localSheetId="7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localSheetId="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jf" localSheetId="1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localSheetId="7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localSheetId="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oldPeriod">Summary!$J$7</definedName>
    <definedName name="html" localSheetId="13" hidden="1">{"'Assump'!$F$6:$J$6"}</definedName>
    <definedName name="html" localSheetId="7" hidden="1">{"'Assump'!$F$6:$J$6"}</definedName>
    <definedName name="html" localSheetId="4" hidden="1">{"'Assump'!$F$6:$J$6"}</definedName>
    <definedName name="html" localSheetId="5" hidden="1">{"'Assump'!$F$6:$J$6"}</definedName>
    <definedName name="html" localSheetId="3" hidden="1">{"'Assump'!$F$6:$J$6"}</definedName>
    <definedName name="html" hidden="1">{"'Assump'!$F$6:$J$6"}</definedName>
    <definedName name="HTML_CodePage" hidden="1">1252</definedName>
    <definedName name="HTML_Control" localSheetId="13" hidden="1">{"'Assump'!$F$6:$J$6"}</definedName>
    <definedName name="HTML_Control" localSheetId="7" hidden="1">{"'Assump'!$F$6:$J$6"}</definedName>
    <definedName name="HTML_Control" localSheetId="4" hidden="1">{"'Assump'!$F$6:$J$6"}</definedName>
    <definedName name="HTML_Control" localSheetId="5" hidden="1">{"'Assump'!$F$6:$J$6"}</definedName>
    <definedName name="HTML_Control" localSheetId="3" hidden="1">{"'Assump'!$F$6:$J$6"}</definedName>
    <definedName name="HTML_Control" hidden="1">{"'Assump'!$F$6:$J$6"}</definedName>
    <definedName name="HTML_Description" hidden="1">""</definedName>
    <definedName name="HTML_Email" hidden="1">""</definedName>
    <definedName name="HTML_Header" hidden="1">"Assump"</definedName>
    <definedName name="HTML_LastUpdate" hidden="1">"7/24/98"</definedName>
    <definedName name="HTML_LineAfter" hidden="1">FALSE</definedName>
    <definedName name="HTML_LineBefore" hidden="1">FALSE</definedName>
    <definedName name="HTML_Name" hidden="1">"Russell Caplin"</definedName>
    <definedName name="HTML_OBDlg2" hidden="1">TRUE</definedName>
    <definedName name="HTML_OBDlg4" hidden="1">TRUE</definedName>
    <definedName name="HTML_OS" hidden="1">0</definedName>
    <definedName name="HTML_PathFile" hidden="1">"C:\acg\MyHTML.htm"</definedName>
    <definedName name="HTML_Title" hidden="1">"ashish"</definedName>
    <definedName name="htmlnew" localSheetId="13" hidden="1">{"'Assump'!$F$6:$J$6"}</definedName>
    <definedName name="htmlnew" localSheetId="7" hidden="1">{"'Assump'!$F$6:$J$6"}</definedName>
    <definedName name="htmlnew" localSheetId="4" hidden="1">{"'Assump'!$F$6:$J$6"}</definedName>
    <definedName name="htmlnew" localSheetId="5" hidden="1">{"'Assump'!$F$6:$J$6"}</definedName>
    <definedName name="htmlnew" localSheetId="3" hidden="1">{"'Assump'!$F$6:$J$6"}</definedName>
    <definedName name="htmlnew" hidden="1">{"'Assump'!$F$6:$J$6"}</definedName>
    <definedName name="Hurdle2IRR">Summary!$C$31</definedName>
    <definedName name="IHMPrintCF1" hidden="1">#REF!</definedName>
    <definedName name="IHMPrintMR1" hidden="1">#REF!</definedName>
    <definedName name="IHMPrintMR2" hidden="1">#REF!</definedName>
    <definedName name="IHMPrintVAL1" hidden="1">#REF!</definedName>
    <definedName name="IHMPrintVAL2" hidden="1">#REF!</definedName>
    <definedName name="immediate" localSheetId="13" hidden="1">{"sheet a",#N/A,FALSE,"A";"2 9 casflow",#N/A,FALSE,"B"}</definedName>
    <definedName name="immediate" localSheetId="7" hidden="1">{"sheet a",#N/A,FALSE,"A";"2 9 casflow",#N/A,FALSE,"B"}</definedName>
    <definedName name="immediate" localSheetId="4" hidden="1">{"sheet a",#N/A,FALSE,"A";"2 9 casflow",#N/A,FALSE,"B"}</definedName>
    <definedName name="immediate" localSheetId="5" hidden="1">{"sheet a",#N/A,FALSE,"A";"2 9 casflow",#N/A,FALSE,"B"}</definedName>
    <definedName name="immediate" localSheetId="3" hidden="1">{"sheet a",#N/A,FALSE,"A";"2 9 casflow",#N/A,FALSE,"B"}</definedName>
    <definedName name="immediate" hidden="1">{"sheet a",#N/A,FALSE,"A";"2 9 casflow",#N/A,FALSE,"B"}</definedName>
    <definedName name="interest_reserve">'Closing Budget'!$O$84</definedName>
    <definedName name="INTROP" hidden="1">#REF!</definedName>
    <definedName name="IntroPrintArea" hidden="1">#REF!</definedName>
    <definedName name="InvestorContribution">Summary!$D$29</definedName>
    <definedName name="InvestorHurdle1">Summary!$D$30</definedName>
    <definedName name="InvestorSplit">Summary!$D$31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CCOUNT_CHANGE" hidden="1">"c413"</definedName>
    <definedName name="IQ_ACCOUNTS_PAY" hidden="1">"c32"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"c8"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"c7"</definedName>
    <definedName name="IQ_ACCUMULATED_PENSION_OBLIGATION" hidden="1">"c2108"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"c39"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"c16"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"c1471"</definedName>
    <definedName name="IQ_AMORTIZED_COST_FDIC" hidden="1">"c6426"</definedName>
    <definedName name="IQ_AMT_OUT" hidden="1">"c2145"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NAME_AP" hidden="1">"c8921"</definedName>
    <definedName name="IQ_ASSETS_NAME_AP_ABS" hidden="1">"c8940"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REUT" hidden="1">"c3630"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VOLUME" hidden="1">"c65"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_UNUSED_UNUSED" hidden="1">"c8135"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"c88"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ACT_OR_EST_CIQ" hidden="1">"c5068"</definedName>
    <definedName name="IQ_BV_OVER_SHARES" hidden="1">"c100"</definedName>
    <definedName name="IQ_BV_SHARE" hidden="1">"c100"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Y" hidden="1">"c102"</definedName>
    <definedName name="IQ_CAL_Y_EST" hidden="1">"c6797"</definedName>
    <definedName name="IQ_CAL_Y_EST_CIQ" hidden="1">"c6809"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"c115"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"c118"</definedName>
    <definedName name="IQ_CASH_ACQUIRE_CF" hidden="1">"c1630"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IVIDENDS_NET_INCOME_FDIC" hidden="1">"c6738"</definedName>
    <definedName name="IQ_CASH_DUE_BANKS" hidden="1">"c118"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OPER" hidden="1">"c6293"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SEGREG" hidden="1">"c123"</definedName>
    <definedName name="IQ_CASH_SHARE" hidden="1">"c1911"</definedName>
    <definedName name="IQ_CASH_ST" hidden="1">"c124"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URRENCY" hidden="1">"c6031"</definedName>
    <definedName name="IQ_CDS_EVAL_DATE" hidden="1">"c6029"</definedName>
    <definedName name="IQ_CDS_MID" hidden="1">"c6028"</definedName>
    <definedName name="IQ_CDS_NAME" hidden="1">"c6034"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_UNUSED_UNUSED" hidden="1">"c8280"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"c161"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"c182"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OF_FUNDING_ASSETS_FDIC" hidden="1">"c6725"</definedName>
    <definedName name="IQ_COST_REV" hidden="1">"c226"</definedName>
    <definedName name="IQ_COST_REVENUE" hidden="1">"c226"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EXPOSURE" hidden="1">"c10038"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_UNUSED_UNUSED" hidden="1">"c7947"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_UNUSED_UNUSED" hidden="1">"c8167"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"c274"</definedName>
    <definedName name="IQ_DAYS_PAYABLE_OUT" hidden="1">"c274"</definedName>
    <definedName name="IQ_DAYS_SALES_OUT" hidden="1">"c275"</definedName>
    <definedName name="IQ_DAYS_SALES_OUTST" hidden="1">"c275"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"c301"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"c315"</definedName>
    <definedName name="IQ_DEFERRED_TAXES" hidden="1">"c147"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"c247"</definedName>
    <definedName name="IQ_DEPRE_AMORT_SUPPL" hidden="1">"c1593"</definedName>
    <definedName name="IQ_DEPRE_DEPLE" hidden="1">"c261"</definedName>
    <definedName name="IQ_DEPRE_SUPP" hidden="1">"c1443"</definedName>
    <definedName name="IQ_DERIVATIVES_FDIC" hidden="1">"c6523"</definedName>
    <definedName name="IQ_DESCRIPTION_LONG" hidden="1">"c322"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"c333"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V_AMOUNT" hidden="1">"c3041"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"c330"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COVERAGE_NET_CHARGE_OFFS_FDIC" hidden="1">"c6735"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"c360"</definedName>
    <definedName name="IQ_EBIT_SBC_ACT_OR_EST" hidden="1">"c4316"</definedName>
    <definedName name="IQ_EBIT_SBC_ACT_OR_EST_CIQ" hidden="1">"c4841"</definedName>
    <definedName name="IQ_EBIT_SBC_GW_ACT_OR_EST" hidden="1">"c4320"</definedName>
    <definedName name="IQ_EBIT_SBC_GW_ACT_OR_EST_CIQ" hidden="1">"c4845"</definedName>
    <definedName name="IQ_EBIT_STDDEV_EST" hidden="1">"c1686"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CAPEX_INT" hidden="1">"c368"</definedName>
    <definedName name="IQ_EBITDA_CAPEX_OVER_TOTAL_IE" hidden="1">"c368"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OVER_TOTAL_IE" hidden="1">"c373"</definedName>
    <definedName name="IQ_EBITDA_SBC_ACT_OR_EST" hidden="1">"c4337"</definedName>
    <definedName name="IQ_EBITDA_SBC_ACT_OR_EST_CIQ" hidden="1">"c4862"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GW_ACT_OR_EST" hidden="1">"c4354"</definedName>
    <definedName name="IQ_EBT_SBC_GW_ACT_OR_EST_CIQ" hidden="1">"c4879"</definedName>
    <definedName name="IQ_EBT_SUBTOTAL_AP" hidden="1">"c8982"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27" hidden="1">"c6927"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147" hidden="1">"c7147"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367" hidden="1">"c7367"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587" hidden="1">"c7587"</definedName>
    <definedName name="IQ_ECO_METRIC_7648_UNUSED_UNUSED_UNUSED" hidden="1">"c7648"</definedName>
    <definedName name="IQ_ECO_METRIC_7704" hidden="1">"c7704"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_UNUSED_UNUSED" hidden="1">"c8436"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NTERPRISE_VALUE" hidden="1">"c84"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_CIQ" hidden="1">"c5058"</definedName>
    <definedName name="IQ_EPS_AP" hidden="1">"c8880"</definedName>
    <definedName name="IQ_EPS_AP_ABS" hidden="1">"c8899"</definedName>
    <definedName name="IQ_EPS_EST" hidden="1">"c399"</definedName>
    <definedName name="IQ_EPS_EST_CIQ" hidden="1">"c4994"</definedName>
    <definedName name="IQ_EPS_EST_REUT" hidden="1">"c5453"</definedName>
    <definedName name="IQ_EPS_GW_ACT_OR_EST_CIQ" hidden="1">"c5066"</definedName>
    <definedName name="IQ_EPS_GW_EST" hidden="1">"c1737"</definedName>
    <definedName name="IQ_EPS_GW_EST_CIQ" hidden="1">"c4723"</definedName>
    <definedName name="IQ_EPS_GW_EST_REUT" hidden="1">"c5389"</definedName>
    <definedName name="IQ_EPS_GW_HIGH_EST" hidden="1">"c1739"</definedName>
    <definedName name="IQ_EPS_GW_HIGH_EST_CIQ" hidden="1">"c4725"</definedName>
    <definedName name="IQ_EPS_GW_HIGH_EST_REUT" hidden="1">"c5391"</definedName>
    <definedName name="IQ_EPS_GW_LOW_EST" hidden="1">"c1740"</definedName>
    <definedName name="IQ_EPS_GW_LOW_EST_CIQ" hidden="1">"c4726"</definedName>
    <definedName name="IQ_EPS_GW_LOW_EST_REUT" hidden="1">"c5392"</definedName>
    <definedName name="IQ_EPS_GW_MEDIAN_EST" hidden="1">"c1738"</definedName>
    <definedName name="IQ_EPS_GW_MEDIAN_EST_CIQ" hidden="1">"c4724"</definedName>
    <definedName name="IQ_EPS_GW_MEDIAN_EST_REUT" hidden="1">"c5390"</definedName>
    <definedName name="IQ_EPS_GW_NUM_EST" hidden="1">"c1741"</definedName>
    <definedName name="IQ_EPS_GW_NUM_EST_CIQ" hidden="1">"c4727"</definedName>
    <definedName name="IQ_EPS_GW_NUM_EST_REUT" hidden="1">"c5393"</definedName>
    <definedName name="IQ_EPS_GW_STDDEV_EST" hidden="1">"c1742"</definedName>
    <definedName name="IQ_EPS_GW_STDDEV_EST_CIQ" hidden="1">"c4728"</definedName>
    <definedName name="IQ_EPS_GW_STDDEV_EST_REUT" hidden="1">"c5394"</definedName>
    <definedName name="IQ_EPS_HIGH_EST" hidden="1">"c400"</definedName>
    <definedName name="IQ_EPS_HIGH_EST_CIQ" hidden="1">"c4995"</definedName>
    <definedName name="IQ_EPS_HIGH_EST_REUT" hidden="1">"c5454"</definedName>
    <definedName name="IQ_EPS_LOW_EST" hidden="1">"c401"</definedName>
    <definedName name="IQ_EPS_LOW_EST_CIQ" hidden="1">"c4996"</definedName>
    <definedName name="IQ_EPS_LOW_EST_REUT" hidden="1">"c5455"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CIQ" hidden="1">"c4667"</definedName>
    <definedName name="IQ_EPS_NORM_EST_REUT" hidden="1">"c5326"</definedName>
    <definedName name="IQ_EPS_NORM_HIGH_EST" hidden="1">"c2228"</definedName>
    <definedName name="IQ_EPS_NORM_HIGH_EST_CIQ" hidden="1">"c4669"</definedName>
    <definedName name="IQ_EPS_NORM_HIGH_EST_REUT" hidden="1">"c5328"</definedName>
    <definedName name="IQ_EPS_NORM_LOW_EST" hidden="1">"c2229"</definedName>
    <definedName name="IQ_EPS_NORM_LOW_EST_CIQ" hidden="1">"c4670"</definedName>
    <definedName name="IQ_EPS_NORM_LOW_EST_REUT" hidden="1">"c5329"</definedName>
    <definedName name="IQ_EPS_NORM_MEDIAN_EST" hidden="1">"c2227"</definedName>
    <definedName name="IQ_EPS_NORM_MEDIAN_EST_CIQ" hidden="1">"c4668"</definedName>
    <definedName name="IQ_EPS_NORM_MEDIAN_EST_REUT" hidden="1">"c5327"</definedName>
    <definedName name="IQ_EPS_NORM_NUM_EST" hidden="1">"c2230"</definedName>
    <definedName name="IQ_EPS_NORM_NUM_EST_CIQ" hidden="1">"c4671"</definedName>
    <definedName name="IQ_EPS_NORM_NUM_EST_REUT" hidden="1">"c5330"</definedName>
    <definedName name="IQ_EPS_NORM_STDDEV_EST" hidden="1">"c2231"</definedName>
    <definedName name="IQ_EPS_NORM_STDDEV_EST_CIQ" hidden="1">"c4672"</definedName>
    <definedName name="IQ_EPS_NORM_STDDEV_EST_REUT" hidden="1">"c5331"</definedName>
    <definedName name="IQ_EPS_NUM_EST" hidden="1">"c402"</definedName>
    <definedName name="IQ_EPS_NUM_EST_CIQ" hidden="1">"c4992"</definedName>
    <definedName name="IQ_EPS_NUM_EST_REUT" hidden="1">"c5451"</definedName>
    <definedName name="IQ_EPS_REPORT_ACT_OR_EST_CIQ" hidden="1">"c5067"</definedName>
    <definedName name="IQ_EPS_REPORTED_EST" hidden="1">"c1744"</definedName>
    <definedName name="IQ_EPS_REPORTED_EST_CIQ" hidden="1">"c4730"</definedName>
    <definedName name="IQ_EPS_REPORTED_EST_REUT" hidden="1">"c5396"</definedName>
    <definedName name="IQ_EPS_REPORTED_HIGH_EST" hidden="1">"c1746"</definedName>
    <definedName name="IQ_EPS_REPORTED_HIGH_EST_CIQ" hidden="1">"c4732"</definedName>
    <definedName name="IQ_EPS_REPORTED_HIGH_EST_REUT" hidden="1">"c5398"</definedName>
    <definedName name="IQ_EPS_REPORTED_LOW_EST" hidden="1">"c1747"</definedName>
    <definedName name="IQ_EPS_REPORTED_LOW_EST_CIQ" hidden="1">"c4733"</definedName>
    <definedName name="IQ_EPS_REPORTED_LOW_EST_REUT" hidden="1">"c5399"</definedName>
    <definedName name="IQ_EPS_REPORTED_MEDIAN_EST" hidden="1">"c1745"</definedName>
    <definedName name="IQ_EPS_REPORTED_MEDIAN_EST_CIQ" hidden="1">"c4731"</definedName>
    <definedName name="IQ_EPS_REPORTED_MEDIAN_EST_REUT" hidden="1">"c5397"</definedName>
    <definedName name="IQ_EPS_REPORTED_NUM_EST" hidden="1">"c1748"</definedName>
    <definedName name="IQ_EPS_REPORTED_NUM_EST_CIQ" hidden="1">"c4734"</definedName>
    <definedName name="IQ_EPS_REPORTED_NUM_EST_REUT" hidden="1">"c5400"</definedName>
    <definedName name="IQ_EPS_REPORTED_STDDEV_EST" hidden="1">"c1749"</definedName>
    <definedName name="IQ_EPS_REPORTED_STDDEV_EST_CIQ" hidden="1">"c4735"</definedName>
    <definedName name="IQ_EPS_REPORTED_STDDEV_EST_REUT" hidden="1">"c5401"</definedName>
    <definedName name="IQ_EPS_SBC_ACT_OR_EST" hidden="1">"c4376"</definedName>
    <definedName name="IQ_EPS_SBC_ACT_OR_EST_CIQ" hidden="1">"c4901"</definedName>
    <definedName name="IQ_EPS_SBC_GW_ACT_OR_EST" hidden="1">"c4380"</definedName>
    <definedName name="IQ_EPS_SBC_GW_ACT_OR_EST_CIQ" hidden="1">"c4905"</definedName>
    <definedName name="IQ_EPS_STDDEV_EST" hidden="1">"c403"</definedName>
    <definedName name="IQ_EPS_STDDEV_EST_CIQ" hidden="1">"c4993"</definedName>
    <definedName name="IQ_EPS_STDDEV_EST_REUT" hidden="1">"c5452"</definedName>
    <definedName name="IQ_EQUITY_AFFIL" hidden="1">"c552"</definedName>
    <definedName name="IQ_EQUITY_AP" hidden="1">"c8887"</definedName>
    <definedName name="IQ_EQUITY_AP_ABS" hidden="1">"c8906"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NAME_AP" hidden="1">"c8925"</definedName>
    <definedName name="IQ_EQUITY_NAME_AP_ABS" hidden="1">"c8944"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"c739"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GW_CIQ" hidden="1">"c4729"</definedName>
    <definedName name="IQ_EST_ACT_EPS_GW_REUT" hidden="1">"c5395"</definedName>
    <definedName name="IQ_EST_ACT_EPS_NORM" hidden="1">"c2232"</definedName>
    <definedName name="IQ_EST_ACT_EPS_NORM_CIQ" hidden="1">"c4673"</definedName>
    <definedName name="IQ_EST_ACT_EPS_NORM_REUT" hidden="1">"c5332"</definedName>
    <definedName name="IQ_EST_ACT_EPS_REPORTED" hidden="1">"c1750"</definedName>
    <definedName name="IQ_EST_ACT_EPS_REPORTED_CIQ" hidden="1">"c4736"</definedName>
    <definedName name="IQ_EST_ACT_EPS_REPORTED_REUT" hidden="1">"c5402"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CIQ" hidden="1">"c4769"</definedName>
    <definedName name="IQ_EST_CURRENCY_REUT" hidden="1">"c5437"</definedName>
    <definedName name="IQ_EST_DATE" hidden="1">"c1634"</definedName>
    <definedName name="IQ_EST_DATE_CIQ" hidden="1">"c4770"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W_DIFF" hidden="1">"c1891"</definedName>
    <definedName name="IQ_EST_EPS_GW_DIFF_CIQ" hidden="1">"c4761"</definedName>
    <definedName name="IQ_EST_EPS_GW_DIFF_REUT" hidden="1">"c5429"</definedName>
    <definedName name="IQ_EST_EPS_GW_SURPRISE_PERCENT" hidden="1">"c1892"</definedName>
    <definedName name="IQ_EST_EPS_GW_SURPRISE_PERCENT_CIQ" hidden="1">"c4762"</definedName>
    <definedName name="IQ_EST_EPS_GW_SURPRISE_PERCENT_REUT" hidden="1">"c5430"</definedName>
    <definedName name="IQ_EST_EPS_NORM_DIFF" hidden="1">"c2247"</definedName>
    <definedName name="IQ_EST_EPS_NORM_DIFF_CIQ" hidden="1">"c4745"</definedName>
    <definedName name="IQ_EST_EPS_NORM_DIFF_REUT" hidden="1">"c5411"</definedName>
    <definedName name="IQ_EST_EPS_NORM_SURPRISE_PERCENT" hidden="1">"c2248"</definedName>
    <definedName name="IQ_EST_EPS_NORM_SURPRISE_PERCENT_CIQ" hidden="1">"c4746"</definedName>
    <definedName name="IQ_EST_EPS_NORM_SURPRISE_PERCENT_REUT" hidden="1">"c5412"</definedName>
    <definedName name="IQ_EST_EPS_REPORT_DIFF" hidden="1">"c1893"</definedName>
    <definedName name="IQ_EST_EPS_REPORT_DIFF_CIQ" hidden="1">"c4763"</definedName>
    <definedName name="IQ_EST_EPS_REPORT_DIFF_REUT" hidden="1">"c5431"</definedName>
    <definedName name="IQ_EST_EPS_REPORT_SURPRISE_PERCENT" hidden="1">"c1894"</definedName>
    <definedName name="IQ_EST_EPS_REPORT_SURPRISE_PERCENT_CIQ" hidden="1">"c4764"</definedName>
    <definedName name="IQ_EST_EPS_REPORT_SURPRISE_PERCENT_REUT" hidden="1">"c5432"</definedName>
    <definedName name="IQ_EST_EPS_SEQ_GROWTH_Q" hidden="1">"c1764"</definedName>
    <definedName name="IQ_EST_EPS_SURPRISE" hidden="1">"c1635"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"c1225"</definedName>
    <definedName name="IQ_EV_OVER_LTM_EBIT" hidden="1">"c1221"</definedName>
    <definedName name="IQ_EV_OVER_LTM_EBITDA" hidden="1">"c1223"</definedName>
    <definedName name="IQ_EV_OVER_LTM_REVENUE" hidden="1">"c1227"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"c406"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S_AP" hidden="1">"c8875"</definedName>
    <definedName name="IQ_EXPENSES_AP_ABS" hidden="1">"c8894"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_UNUSED_UNUSED" hidden="1">"c8401"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" hidden="1">"c11931"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" hidden="1">"c11932"</definedName>
    <definedName name="IQ_EXPORTS_GOODS_REAL_SAAR_YOY_FC_UNUSED_UNUSED_UNUSED" hidden="1">"c8292"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_UNUSED_UNUSED" hidden="1">"c7961"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_UNUSED_UNUSED" hidden="1">"c8296"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_UNUSED_UNUSED" hidden="1">"c8181"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ITEMS" hidden="1">"c413"</definedName>
    <definedName name="IQ_EXTRAORDINARY_GAINS_FDIC" hidden="1">"c6586"</definedName>
    <definedName name="IQ_FAD" hidden="1">"c8757"</definedName>
    <definedName name="IQ_FAD_PAYOUT_RATIO" hidden="1">"c8872"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DJ_ACT_OR_EST" hidden="1">"c4435"</definedName>
    <definedName name="IQ_FFO_ADJ_ACT_OR_EST_CIQ" hidden="1">"c4960"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TDDEV_EST" hidden="1">"c422"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NG_CASH" hidden="1">"c893"</definedName>
    <definedName name="IQ_FINANCING_CASH_SUPPL" hidden="1">"c899"</definedName>
    <definedName name="IQ_FINANCING_OBLIG_CURRENT" hidden="1">"c6190"</definedName>
    <definedName name="IQ_FINANCING_OBLIG_NON_CURRENT" hidden="1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Y" hidden="1">"c441"</definedName>
    <definedName name="IQ_FISCAL_Y_EST" hidden="1">"c6795"</definedName>
    <definedName name="IQ_FISCAL_Y_EST_CIQ" hidden="1">"c6807"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_UNUSED_UNUSED" hidden="1">"c8298"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_UNUSED_UNUSED" hidden="1">"c8190"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"c451"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"c452"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"c530"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"c192"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"c511"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MENT_GW" hidden="1">"c548"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_UNUSED_UNUSED" hidden="1">"c8209"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"c789"</definedName>
    <definedName name="IQ_INC_AVAIL_INCL" hidden="1">"c791"</definedName>
    <definedName name="IQ_INC_BEFORE_TAX" hidden="1">"c386"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EARING_DEPOSITS" hidden="1">"c1166"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"c907"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"c618"</definedName>
    <definedName name="IQ_INTEREST_EXP_SUPPL" hidden="1">"c1460"</definedName>
    <definedName name="IQ_INTEREST_INC" hidden="1">"c769"</definedName>
    <definedName name="IQ_INTEREST_INC_NON" hidden="1">"c619"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"c751"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"c656"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"c674"</definedName>
    <definedName name="IQ_LONG_TERM_DEBT_OVER_TOTAL_CAP" hidden="1">"c677"</definedName>
    <definedName name="IQ_LONG_TERM_GROWTH" hidden="1">"c671"</definedName>
    <definedName name="IQ_LONG_TERM_INV" hidden="1">"c697"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"c1304"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ULTIFAMILY_RESIDENTIAL_LOANS_FDIC" hidden="1">"c6311"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"c781"</definedName>
    <definedName name="IQ_NET_INC_BEFORE" hidden="1">"c344"</definedName>
    <definedName name="IQ_NET_INC_CF" hidden="1">"c793"</definedName>
    <definedName name="IQ_NET_INC_MARGIN" hidden="1">"c794"</definedName>
    <definedName name="IQ_NET_INCOME_FDIC" hidden="1">"c6587"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"c764"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BEFORE_CAPITALIZED" hidden="1">"c792"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GW_ACT_OR_EST" hidden="1">"c4478"</definedName>
    <definedName name="IQ_NI_SBC_GW_ACT_OR_EST_CIQ" hidden="1">"c5016"</definedName>
    <definedName name="IQ_NI_SFAS" hidden="1">"c795"</definedName>
    <definedName name="IQ_NI_STDDEV_EST" hidden="1">"c1721"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"c797"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BEARING_DEPOSITS" hidden="1">"c800"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EREST_EXP" hidden="1">"c801"</definedName>
    <definedName name="IQ_NON_INTEREST_INC" hidden="1">"c802"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_UNUSED_UNUSED" hidden="1">"c8248"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NSACTION_ACCOUNTS_FDIC" hidden="1">"c6552"</definedName>
    <definedName name="IQ_NONUTIL_REV" hidden="1">"c2089"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"c1176"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"c362"</definedName>
    <definedName name="IQ_OPER_INC_MEDIAN_EST" hidden="1">"c1689"</definedName>
    <definedName name="IQ_OPER_INC_NUM_EST" hidden="1">"c1692"</definedName>
    <definedName name="IQ_OPER_INC_RE" hidden="1">"c6240"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DJUSTMENTS_COVERED" hidden="1">"c9961"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"c868"</definedName>
    <definedName name="IQ_OTHER_CURRENT_LIAB" hidden="1">"c877"</definedName>
    <definedName name="IQ_OTHER_DEBT" hidden="1">"c2507"</definedName>
    <definedName name="IQ_OTHER_DEBT_PCT" hidden="1">"c2508"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"c916"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"c946"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NET" hidden="1">"c959"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"c1010"</definedName>
    <definedName name="IQ_OTHER_ROOMS" hidden="1">"c8788"</definedName>
    <definedName name="IQ_OTHER_SAVINGS_DEPOSITS_FDIC" hidden="1">"c6554"</definedName>
    <definedName name="IQ_OTHER_SQ_FT" hidden="1">"c8780"</definedName>
    <definedName name="IQ_OTHER_STRIKE_PRICE_GRANTED" hidden="1">"c2692"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"c1022"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NERSHIP_INC_RE" hidden="1">"c12039"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"c8"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IODDATE" hidden="1">"c1034"</definedName>
    <definedName name="IQ_PERIODDATE_AP" hidden="1">"c11745"</definedName>
    <definedName name="IQ_PERIODDATE_BS" hidden="1">"c1032"</definedName>
    <definedName name="IQ_PERIODDATE_CF" hidden="1">"c1033"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"c1052"</definedName>
    <definedName name="IQ_PREF_TOT" hidden="1">"c1044"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"c1068"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ICE_OVER_BVPS" hidden="1">"c1026"</definedName>
    <definedName name="IQ_PRICE_OVER_LTM_EPS" hidden="1">"c1029"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CIQ" hidden="1">"c3613"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"c795"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"c518"</definedName>
    <definedName name="IQ_PROPERTY_MGMT_FEE" hidden="1">"c1074"</definedName>
    <definedName name="IQ_PROPERTY_NET" hidden="1">"c829"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DEPR_AMORT" hidden="1">"c8750"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GAIN_LOSS_SALE_ASSETS" hidden="1">"c8751"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SHARE_ACT_OR_EST" hidden="1">"c4508"</definedName>
    <definedName name="IQ_RECURRING_PROFIT_SHARE_ACT_OR_EST_CIQ" hidden="1">"c5046"</definedName>
    <definedName name="IQ_REDEEM_PREF_STOCK" hidden="1">"c1059"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"c1090"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"c1092"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"c1117"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"c1122"</definedName>
    <definedName name="IQ_REVENUE_ACT_OR_EST" hidden="1">"c2214"</definedName>
    <definedName name="IQ_REVENUE_ACT_OR_EST_CIQ" hidden="1">"c5059"</definedName>
    <definedName name="IQ_REVENUE_EST" hidden="1">"c1126"</definedName>
    <definedName name="IQ_REVENUE_EST_CIQ" hidden="1">"c3616"</definedName>
    <definedName name="IQ_REVENUE_EST_REUT" hidden="1">"c3634"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ISION_DATE_" hidden="1">39653.7055208333</definedName>
    <definedName name="IQ_RISK_ADJ_BANK_ASSETS" hidden="1">"c2670"</definedName>
    <definedName name="IQ_RISK_WEIGHTED_ASSETS_FDIC" hidden="1">"c6370"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EC_PURCHASED_RESELL" hidden="1">"c5513"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"c83"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"c1197"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FDIC" hidden="1">"c6339"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"c1266"</definedName>
    <definedName name="IQ_TOTAL_CASH_FINAN" hidden="1">"c119"</definedName>
    <definedName name="IQ_TOTAL_CASH_INVEST" hidden="1">"c121"</definedName>
    <definedName name="IQ_TOTAL_CASH_OPER" hidden="1">"c122"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"c1022"</definedName>
    <definedName name="IQ_TOTAL_COMMON_EQUITY" hidden="1">"c1246"</definedName>
    <definedName name="IQ_TOTAL_CURRENT_ASSETS" hidden="1">"c1243"</definedName>
    <definedName name="IQ_TOTAL_CURRENT_LIAB" hidden="1">"c1245"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NON_CURRENT" hidden="1">"c6191"</definedName>
    <definedName name="IQ_TOTAL_DEBT_OVER_EBITDA" hidden="1">"c1249"</definedName>
    <definedName name="IQ_TOTAL_DEBT_OVER_TOTAL_BV" hidden="1">"c1250"</definedName>
    <definedName name="IQ_TOTAL_DEBT_OVER_TOTAL_CAP" hidden="1">"c1248"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"c1522"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SUBTOTAL_AP" hidden="1">"c8989"</definedName>
    <definedName name="IQ_TOTAL_INTEREST_EXP" hidden="1">"c591"</definedName>
    <definedName name="IQ_TOTAL_INVENTORY" hidden="1">"c622"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"c1279"</definedName>
    <definedName name="IQ_TOTAL_LIAB_TOTAL_ASSETS" hidden="1">"c1283"</definedName>
    <definedName name="IQ_TOTAL_LIABILITIES_FDIC" hidden="1">"c6348"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"c1294"</definedName>
    <definedName name="IQ_TOTAL_RISK_BASED_CAPITAL_RATIO_FDIC" hidden="1">"c6747"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"c1177"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"c40"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"c1311"</definedName>
    <definedName name="IQ_TREASURY_STOCK_TRANSACTIONS_FDIC" hidden="1">"c6501"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InvestorRemainingSplit">Summary!$D$32</definedName>
    <definedName name="IRRRemainingSplit">Summary!$C$32</definedName>
    <definedName name="IRRSponsorRemainingSplit">Summary!$E$32</definedName>
    <definedName name="jb" localSheetId="13" hidden="1">{"summary1",#N/A,TRUE,"Comps";"summary2",#N/A,TRUE,"Comps";"summary3",#N/A,TRUE,"Comps"}</definedName>
    <definedName name="jb" localSheetId="7" hidden="1">{"summary1",#N/A,TRUE,"Comps";"summary2",#N/A,TRUE,"Comps";"summary3",#N/A,TRUE,"Comps"}</definedName>
    <definedName name="jb" localSheetId="4" hidden="1">{"summary1",#N/A,TRUE,"Comps";"summary2",#N/A,TRUE,"Comps";"summary3",#N/A,TRUE,"Comps"}</definedName>
    <definedName name="jb" localSheetId="5" hidden="1">{"summary1",#N/A,TRUE,"Comps";"summary2",#N/A,TRUE,"Comps";"summary3",#N/A,TRUE,"Comps"}</definedName>
    <definedName name="jb" localSheetId="3" hidden="1">{"summary1",#N/A,TRUE,"Comps";"summary2",#N/A,TRUE,"Comps";"summary3",#N/A,TRUE,"Comps"}</definedName>
    <definedName name="jb" hidden="1">{"summary1",#N/A,TRUE,"Comps";"summary2",#N/A,TRUE,"Comps";"summary3",#N/A,TRUE,"Comps"}</definedName>
    <definedName name="jes" localSheetId="13" hidden="1">{"View1",#N/A,FALSE,"Sheet1";"View2",#N/A,FALSE,"Sheet1"}</definedName>
    <definedName name="jes" localSheetId="7" hidden="1">{"View1",#N/A,FALSE,"Sheet1";"View2",#N/A,FALSE,"Sheet1"}</definedName>
    <definedName name="jes" localSheetId="4" hidden="1">{"View1",#N/A,FALSE,"Sheet1";"View2",#N/A,FALSE,"Sheet1"}</definedName>
    <definedName name="jes" localSheetId="5" hidden="1">{"View1",#N/A,FALSE,"Sheet1";"View2",#N/A,FALSE,"Sheet1"}</definedName>
    <definedName name="jes" localSheetId="3" hidden="1">{"View1",#N/A,FALSE,"Sheet1";"View2",#N/A,FALSE,"Sheet1"}</definedName>
    <definedName name="jes" hidden="1">{"View1",#N/A,FALSE,"Sheet1";"View2",#N/A,FALSE,"Sheet1"}</definedName>
    <definedName name="jk" localSheetId="1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localSheetId="7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localSheetId="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lkj" localSheetId="13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jlkj" localSheetId="7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jlkj" localSheetId="4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jlkj" localSheetId="5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jlkj" localSheetId="3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jlkj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jn" localSheetId="13" hidden="1">{"Data Input",#N/A,TRUE,"Data Input";"10-Yr Cash Flow",#N/A,TRUE,"Cash Flow";"10-Yr Value",#N/A,TRUE,"Value "}</definedName>
    <definedName name="jn" localSheetId="7" hidden="1">{"Data Input",#N/A,TRUE,"Data Input";"10-Yr Cash Flow",#N/A,TRUE,"Cash Flow";"10-Yr Value",#N/A,TRUE,"Value "}</definedName>
    <definedName name="jn" localSheetId="4" hidden="1">{"Data Input",#N/A,TRUE,"Data Input";"10-Yr Cash Flow",#N/A,TRUE,"Cash Flow";"10-Yr Value",#N/A,TRUE,"Value "}</definedName>
    <definedName name="jn" localSheetId="5" hidden="1">{"Data Input",#N/A,TRUE,"Data Input";"10-Yr Cash Flow",#N/A,TRUE,"Cash Flow";"10-Yr Value",#N/A,TRUE,"Value "}</definedName>
    <definedName name="jn" localSheetId="3" hidden="1">{"Data Input",#N/A,TRUE,"Data Input";"10-Yr Cash Flow",#N/A,TRUE,"Cash Flow";"10-Yr Value",#N/A,TRUE,"Value "}</definedName>
    <definedName name="jn" hidden="1">{"Data Input",#N/A,TRUE,"Data Input";"10-Yr Cash Flow",#N/A,TRUE,"Cash Flow";"10-Yr Value",#N/A,TRUE,"Value "}</definedName>
    <definedName name="jnm" localSheetId="13" hidden="1">{"Data Input",#N/A,TRUE,"Data Input";"15-Yr Cash Flow",#N/A,TRUE,"Cash Flow";"15-Yr Value",#N/A,TRUE,"Value "}</definedName>
    <definedName name="jnm" localSheetId="7" hidden="1">{"Data Input",#N/A,TRUE,"Data Input";"15-Yr Cash Flow",#N/A,TRUE,"Cash Flow";"15-Yr Value",#N/A,TRUE,"Value "}</definedName>
    <definedName name="jnm" localSheetId="4" hidden="1">{"Data Input",#N/A,TRUE,"Data Input";"15-Yr Cash Flow",#N/A,TRUE,"Cash Flow";"15-Yr Value",#N/A,TRUE,"Value "}</definedName>
    <definedName name="jnm" localSheetId="5" hidden="1">{"Data Input",#N/A,TRUE,"Data Input";"15-Yr Cash Flow",#N/A,TRUE,"Cash Flow";"15-Yr Value",#N/A,TRUE,"Value "}</definedName>
    <definedName name="jnm" localSheetId="3" hidden="1">{"Data Input",#N/A,TRUE,"Data Input";"15-Yr Cash Flow",#N/A,TRUE,"Cash Flow";"15-Yr Value",#N/A,TRUE,"Value "}</definedName>
    <definedName name="jnm" hidden="1">{"Data Input",#N/A,TRUE,"Data Input";"15-Yr Cash Flow",#N/A,TRUE,"Cash Flow";"15-Yr Value",#N/A,TRUE,"Value "}</definedName>
    <definedName name="JuniorAmor">Summary!$D$47</definedName>
    <definedName name="JuniorInterest">Summary!$D$42</definedName>
    <definedName name="JuniorIO">Summary!$D$43</definedName>
    <definedName name="JuniorLoanAmount">Summary!$D$37</definedName>
    <definedName name="JuniorLoanFee">Summary!$D$44</definedName>
    <definedName name="JuniorLTV">Summary!$D$38</definedName>
    <definedName name="JuniorPrePaySwitch">Summary!$D$45</definedName>
    <definedName name="JV_reserve">'Closing Budget'!$G$89</definedName>
    <definedName name="k" localSheetId="13" hidden="1">{"View1",#N/A,FALSE,"Sheet1";"View2",#N/A,FALSE,"Sheet1"}</definedName>
    <definedName name="k" localSheetId="7" hidden="1">{"View1",#N/A,FALSE,"Sheet1";"View2",#N/A,FALSE,"Sheet1"}</definedName>
    <definedName name="k" localSheetId="4" hidden="1">{"View1",#N/A,FALSE,"Sheet1";"View2",#N/A,FALSE,"Sheet1"}</definedName>
    <definedName name="k" localSheetId="5" hidden="1">{"View1",#N/A,FALSE,"Sheet1";"View2",#N/A,FALSE,"Sheet1"}</definedName>
    <definedName name="k" localSheetId="3" hidden="1">{"View1",#N/A,FALSE,"Sheet1";"View2",#N/A,FALSE,"Sheet1"}</definedName>
    <definedName name="k" hidden="1">{"View1",#N/A,FALSE,"Sheet1";"View2",#N/A,FALSE,"Sheet1"}</definedName>
    <definedName name="K2_WBEVMODE" hidden="1">0</definedName>
    <definedName name="KGKHJ" localSheetId="1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localSheetId="7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localSheetId="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ill" localSheetId="1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" localSheetId="7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" localSheetId="4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" localSheetId="5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" localSheetId="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kill2" localSheetId="1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" localSheetId="7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" localSheetId="4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" localSheetId="5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" localSheetId="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2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kill3" localSheetId="1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" localSheetId="7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" localSheetId="4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" localSheetId="5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" localSheetId="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kill4" localSheetId="1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" localSheetId="7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" localSheetId="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" localSheetId="5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" localSheetId="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ill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kjj" localSheetId="13" hidden="1">binary</definedName>
    <definedName name="kjj" localSheetId="7" hidden="1">binary</definedName>
    <definedName name="kjj" localSheetId="4" hidden="1">binary</definedName>
    <definedName name="kjj" localSheetId="5" hidden="1">binary</definedName>
    <definedName name="kjj" localSheetId="3" hidden="1">binary</definedName>
    <definedName name="kjj" hidden="1">binary</definedName>
    <definedName name="kjjjjkjhk" localSheetId="13" hidden="1">{"sheet a",#N/A,FALSE,"A";"sheet b 1",#N/A,FALSE,"B";"sheet b 2",#N/A,FALSE,"B"}</definedName>
    <definedName name="kjjjjkjhk" localSheetId="7" hidden="1">{"sheet a",#N/A,FALSE,"A";"sheet b 1",#N/A,FALSE,"B";"sheet b 2",#N/A,FALSE,"B"}</definedName>
    <definedName name="kjjjjkjhk" localSheetId="4" hidden="1">{"sheet a",#N/A,FALSE,"A";"sheet b 1",#N/A,FALSE,"B";"sheet b 2",#N/A,FALSE,"B"}</definedName>
    <definedName name="kjjjjkjhk" localSheetId="5" hidden="1">{"sheet a",#N/A,FALSE,"A";"sheet b 1",#N/A,FALSE,"B";"sheet b 2",#N/A,FALSE,"B"}</definedName>
    <definedName name="kjjjjkjhk" localSheetId="3" hidden="1">{"sheet a",#N/A,FALSE,"A";"sheet b 1",#N/A,FALSE,"B";"sheet b 2",#N/A,FALSE,"B"}</definedName>
    <definedName name="kjjjjkjhk" hidden="1">{"sheet a",#N/A,FALSE,"A";"sheet b 1",#N/A,FALSE,"B";"sheet b 2",#N/A,FALSE,"B"}</definedName>
    <definedName name="kk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kk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kk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kk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kk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kk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kyd.ChngCell.01." hidden="1">#REF!</definedName>
    <definedName name="kyd.CounterLimitCell.01." hidden="1">"x"</definedName>
    <definedName name="kyd.Dim.01." hidden="1">"toad:Company"</definedName>
    <definedName name="kyd.ElementList.01." hidden="1">#REF!</definedName>
    <definedName name="kyd.ElementType.01." hidden="1">3</definedName>
    <definedName name="kyd.ItemType.01." hidden="1">2</definedName>
    <definedName name="kyd.MacroAtEnd." hidden="1">""</definedName>
    <definedName name="kyd.MacroEachCycle." hidden="1">""</definedName>
    <definedName name="kyd.MacroEndOfEachCycle." hidden="1">""</definedName>
    <definedName name="kyd.NumLevels.01." hidden="1">999</definedName>
    <definedName name="kyd.PanicStop." hidden="1">FALSE</definedName>
    <definedName name="kyd.ParentName.01." hidden="1">""</definedName>
    <definedName name="kyd.PreScreenData." hidden="1">FALSE</definedName>
    <definedName name="kyd.PrintParent.01." hidden="1">TRUE</definedName>
    <definedName name="kyd.PrintStdWhen." hidden="1">1</definedName>
    <definedName name="kyd.SaveAsFile." hidden="1">FALSE</definedName>
    <definedName name="kyd.SelectString.01." hidden="1">"*"</definedName>
    <definedName name="kyd.StdSortHide." hidden="1">FALSE</definedName>
    <definedName name="limcount" hidden="1">1</definedName>
    <definedName name="lll" localSheetId="13" hidden="1">{"Outflow 1",#N/A,FALSE,"Outflows-Inflows";"Outflow 2",#N/A,FALSE,"Outflows-Inflows";"Inflow 1",#N/A,FALSE,"Outflows-Inflows";"Inflow 2",#N/A,FALSE,"Outflows-Inflows"}</definedName>
    <definedName name="lll" localSheetId="7" hidden="1">{"Outflow 1",#N/A,FALSE,"Outflows-Inflows";"Outflow 2",#N/A,FALSE,"Outflows-Inflows";"Inflow 1",#N/A,FALSE,"Outflows-Inflows";"Inflow 2",#N/A,FALSE,"Outflows-Inflows"}</definedName>
    <definedName name="lll" localSheetId="4" hidden="1">{"Outflow 1",#N/A,FALSE,"Outflows-Inflows";"Outflow 2",#N/A,FALSE,"Outflows-Inflows";"Inflow 1",#N/A,FALSE,"Outflows-Inflows";"Inflow 2",#N/A,FALSE,"Outflows-Inflows"}</definedName>
    <definedName name="lll" localSheetId="5" hidden="1">{"Outflow 1",#N/A,FALSE,"Outflows-Inflows";"Outflow 2",#N/A,FALSE,"Outflows-Inflows";"Inflow 1",#N/A,FALSE,"Outflows-Inflows";"Inflow 2",#N/A,FALSE,"Outflows-Inflows"}</definedName>
    <definedName name="lll" localSheetId="3" hidden="1">{"Outflow 1",#N/A,FALSE,"Outflows-Inflows";"Outflow 2",#N/A,FALSE,"Outflows-Inflows";"Inflow 1",#N/A,FALSE,"Outflows-Inflows";"Inflow 2",#N/A,FALSE,"Outflows-Inflows"}</definedName>
    <definedName name="lll" hidden="1">{"Outflow 1",#N/A,FALSE,"Outflows-Inflows";"Outflow 2",#N/A,FALSE,"Outflows-Inflows";"Inflow 1",#N/A,FALSE,"Outflows-Inflows";"Inflow 2",#N/A,FALSE,"Outflows-Inflows"}</definedName>
    <definedName name="LoanTerm1st">Summary!$C$48</definedName>
    <definedName name="LoanTerm2nd">Summary!$D$48</definedName>
    <definedName name="LoanTermRefi">Summary!$E$48</definedName>
    <definedName name="matrix" localSheetId="13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atrix" localSheetId="7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atrix" localSheetId="4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atrix" localSheetId="5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atrix" localSheetId="3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atrix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EWarning" hidden="1">1</definedName>
    <definedName name="MGHM" localSheetId="1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localSheetId="7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localSheetId="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1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7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m" localSheetId="13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m" localSheetId="7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m" localSheetId="4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m" localSheetId="5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m" localSheetId="3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m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mmm" localSheetId="13" hidden="1">{"View1",#N/A,FALSE,"Sheet1";"View2",#N/A,FALSE,"Sheet1"}</definedName>
    <definedName name="mmm" localSheetId="7" hidden="1">{"View1",#N/A,FALSE,"Sheet1";"View2",#N/A,FALSE,"Sheet1"}</definedName>
    <definedName name="mmm" localSheetId="4" hidden="1">{"View1",#N/A,FALSE,"Sheet1";"View2",#N/A,FALSE,"Sheet1"}</definedName>
    <definedName name="mmm" localSheetId="5" hidden="1">{"View1",#N/A,FALSE,"Sheet1";"View2",#N/A,FALSE,"Sheet1"}</definedName>
    <definedName name="mmm" localSheetId="3" hidden="1">{"View1",#N/A,FALSE,"Sheet1";"View2",#N/A,FALSE,"Sheet1"}</definedName>
    <definedName name="mmm" hidden="1">{"View1",#N/A,FALSE,"Sheet1";"View2",#N/A,FALSE,"Sheet1"}</definedName>
    <definedName name="mmmmm" hidden="1">'[12]2004 Op Exp'!#REF!</definedName>
    <definedName name="Name">Summary!$E$6</definedName>
    <definedName name="name1" hidden="1">{"SIMPLIFD_P1",#N/A,FALSE,"SIMPLIFD"}</definedName>
    <definedName name="Nane2" hidden="1">{"TEST1",#N/A,FALSE,"SIMPLIFD"}</definedName>
    <definedName name="new_order1" hidden="1">255</definedName>
    <definedName name="newhtml" localSheetId="13" hidden="1">{"'Assump'!$F$6:$J$6"}</definedName>
    <definedName name="newhtml" localSheetId="7" hidden="1">{"'Assump'!$F$6:$J$6"}</definedName>
    <definedName name="newhtml" localSheetId="4" hidden="1">{"'Assump'!$F$6:$J$6"}</definedName>
    <definedName name="newhtml" localSheetId="5" hidden="1">{"'Assump'!$F$6:$J$6"}</definedName>
    <definedName name="newhtml" localSheetId="3" hidden="1">{"'Assump'!$F$6:$J$6"}</definedName>
    <definedName name="newhtml" hidden="1">{"'Assump'!$F$6:$J$6"}</definedName>
    <definedName name="NRA">'Unit Mix-Reno Schedule'!$E$23</definedName>
    <definedName name="o" localSheetId="1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localSheetId="7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localSheetId="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ldhtl" localSheetId="13" hidden="1">{"'Assump'!$F$6:$J$6"}</definedName>
    <definedName name="oldhtl" localSheetId="7" hidden="1">{"'Assump'!$F$6:$J$6"}</definedName>
    <definedName name="oldhtl" localSheetId="4" hidden="1">{"'Assump'!$F$6:$J$6"}</definedName>
    <definedName name="oldhtl" localSheetId="5" hidden="1">{"'Assump'!$F$6:$J$6"}</definedName>
    <definedName name="oldhtl" localSheetId="3" hidden="1">{"'Assump'!$F$6:$J$6"}</definedName>
    <definedName name="oldhtl" hidden="1">{"'Assump'!$F$6:$J$6"}</definedName>
    <definedName name="Oldtable" hidden="1">'[4]#REF'!$E$16</definedName>
    <definedName name="oldtable1" hidden="1">'[4]#REF'!$E$18</definedName>
    <definedName name="Ops_reserve">'Closing Budget'!#REF!</definedName>
    <definedName name="ORDER" hidden="1">0</definedName>
    <definedName name="p" localSheetId="13" hidden="1">{"summary1",#N/A,TRUE,"Comps";"summary2",#N/A,TRUE,"Comps";"summary3",#N/A,TRUE,"Comps"}</definedName>
    <definedName name="p" localSheetId="7" hidden="1">{"summary1",#N/A,TRUE,"Comps";"summary2",#N/A,TRUE,"Comps";"summary3",#N/A,TRUE,"Comps"}</definedName>
    <definedName name="p" localSheetId="4" hidden="1">{"summary1",#N/A,TRUE,"Comps";"summary2",#N/A,TRUE,"Comps";"summary3",#N/A,TRUE,"Comps"}</definedName>
    <definedName name="p" localSheetId="5" hidden="1">{"summary1",#N/A,TRUE,"Comps";"summary2",#N/A,TRUE,"Comps";"summary3",#N/A,TRUE,"Comps"}</definedName>
    <definedName name="p" localSheetId="3" hidden="1">{"summary1",#N/A,TRUE,"Comps";"summary2",#N/A,TRUE,"Comps";"summary3",#N/A,TRUE,"Comps"}</definedName>
    <definedName name="p" hidden="1">{"summary1",#N/A,TRUE,"Comps";"summary2",#N/A,TRUE,"Comps";"summary3",#N/A,TRUE,"Comps"}</definedName>
    <definedName name="PEaccrualInt">Summary!$T$39</definedName>
    <definedName name="PEcurrentInt">Summary!$T$38</definedName>
    <definedName name="PEfee">'Closing Budget'!$I$66</definedName>
    <definedName name="PEloanAMT">Summary!$T$36</definedName>
    <definedName name="PEltv">Summary!$T$37</definedName>
    <definedName name="PercentReassessed">'Opex Budget'!$E$14</definedName>
    <definedName name="PEswitch">Summary!$E$49</definedName>
    <definedName name="PreferredReturn">Summary!$C$30</definedName>
    <definedName name="PrePayPercent2nd">Summary!$D$46</definedName>
    <definedName name="PrepayPercentFirst">Summary!$C$46</definedName>
    <definedName name="PrepayPercentRefi">Summary!$E$46</definedName>
    <definedName name="_xlnm.Print_Area" localSheetId="17">Notes!$B$20</definedName>
    <definedName name="PRINTAREA" hidden="1">#REF!</definedName>
    <definedName name="Profit" hidden="1">#REF!</definedName>
    <definedName name="PropManagementFee">'Ops Assumptions'!$P$35</definedName>
    <definedName name="proxy1" hidden="1">{"Full Sheet",#N/A,FALSE,"Expense Comparison"}</definedName>
    <definedName name="proxy2" hidden="1">{#N/A,#N/A,FALSE,"Expense Comparison"}</definedName>
    <definedName name="proxy3" hidden="1">{"Full Sheet",#N/A,FALSE,"Expense Comparison"}</definedName>
    <definedName name="proxy4" hidden="1">{#N/A,#N/A,FALSE,"Expense Comparison"}</definedName>
    <definedName name="PUB_FileID" hidden="1">"L10003363.xls"</definedName>
    <definedName name="PUB_UserID" hidden="1">"MAYERX"</definedName>
    <definedName name="PurchasePrice">Summary!$E$16</definedName>
    <definedName name="q" localSheetId="13" hidden="1">{"summary1",#N/A,TRUE,"Comps";"summary2",#N/A,TRUE,"Comps";"summary3",#N/A,TRUE,"Comps"}</definedName>
    <definedName name="q" localSheetId="7" hidden="1">{"summary1",#N/A,TRUE,"Comps";"summary2",#N/A,TRUE,"Comps";"summary3",#N/A,TRUE,"Comps"}</definedName>
    <definedName name="q" localSheetId="4" hidden="1">{"summary1",#N/A,TRUE,"Comps";"summary2",#N/A,TRUE,"Comps";"summary3",#N/A,TRUE,"Comps"}</definedName>
    <definedName name="q" localSheetId="5" hidden="1">{"summary1",#N/A,TRUE,"Comps";"summary2",#N/A,TRUE,"Comps";"summary3",#N/A,TRUE,"Comps"}</definedName>
    <definedName name="q" localSheetId="3" hidden="1">{"summary1",#N/A,TRUE,"Comps";"summary2",#N/A,TRUE,"Comps";"summary3",#N/A,TRUE,"Comps"}</definedName>
    <definedName name="q" hidden="1">{"summary1",#N/A,TRUE,"Comps";"summary2",#N/A,TRUE,"Comps";"summary3",#N/A,TRUE,"Comps"}</definedName>
    <definedName name="qq" hidden="1">{"SIMPLIFD_P1",#N/A,FALSE,"SIMPLIFD"}</definedName>
    <definedName name="qqq" hidden="1">{"TEST1",#N/A,FALSE,"SIMPLIFD"}</definedName>
    <definedName name="qre" localSheetId="1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localSheetId="7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localSheetId="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wert" localSheetId="1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localSheetId="7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localSheetId="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Radnor" localSheetId="13" hidden="1">binary</definedName>
    <definedName name="Radnor" localSheetId="7" hidden="1">binary</definedName>
    <definedName name="Radnor" localSheetId="4" hidden="1">binary</definedName>
    <definedName name="Radnor" localSheetId="5" hidden="1">binary</definedName>
    <definedName name="Radnor" localSheetId="3" hidden="1">binary</definedName>
    <definedName name="Radnor" hidden="1">binary</definedName>
    <definedName name="re" hidden="1">'[11]PCI Cash Flows'!#REF!</definedName>
    <definedName name="ReassessTrigger">'Opex Budget'!$D$25</definedName>
    <definedName name="RefiAmor">Summary!$E$47</definedName>
    <definedName name="RefiInterestRate">Summary!$E$42</definedName>
    <definedName name="RefiIO">Summary!$E$43</definedName>
    <definedName name="RefiLoanAmount">Summary!$E$37</definedName>
    <definedName name="RefiLoanFee">Summary!$E$44</definedName>
    <definedName name="RefiLTV">Summary!$E$38</definedName>
    <definedName name="RefiMonth">Summary!$E$36</definedName>
    <definedName name="RefiPrePaySwitch">Summary!$E$45</definedName>
    <definedName name="reno_units">'Unit Mix-Reno Schedule'!$AI$21</definedName>
    <definedName name="report1" localSheetId="1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7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1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7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serve_release_period">'Closing Budget'!$O$87</definedName>
    <definedName name="Rock2" localSheetId="13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Rock2" localSheetId="7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Rock2" localSheetId="4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Rock2" localSheetId="5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Rock2" localSheetId="3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Rock2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Rockwell" localSheetId="13" hidden="1">{"LBO Summary",#N/A,FALSE,"Summary"}</definedName>
    <definedName name="Rockwell" localSheetId="7" hidden="1">{"LBO Summary",#N/A,FALSE,"Summary"}</definedName>
    <definedName name="Rockwell" localSheetId="4" hidden="1">{"LBO Summary",#N/A,FALSE,"Summary"}</definedName>
    <definedName name="Rockwell" localSheetId="5" hidden="1">{"LBO Summary",#N/A,FALSE,"Summary"}</definedName>
    <definedName name="Rockwell" localSheetId="3" hidden="1">{"LBO Summary",#N/A,FALSE,"Summary"}</definedName>
    <definedName name="Rockwell" hidden="1">{"LBO Summary",#N/A,FALSE,"Summary"}</definedName>
    <definedName name="RPA" localSheetId="13" hidden="1">{#N/A,#N/A,FALSE,"Cashflow Analysis";#N/A,#N/A,FALSE,"Sensitivity Analysis";#N/A,#N/A,FALSE,"PV";#N/A,#N/A,FALSE,"Pro Forma"}</definedName>
    <definedName name="RPA" localSheetId="7" hidden="1">{#N/A,#N/A,FALSE,"Cashflow Analysis";#N/A,#N/A,FALSE,"Sensitivity Analysis";#N/A,#N/A,FALSE,"PV";#N/A,#N/A,FALSE,"Pro Forma"}</definedName>
    <definedName name="RPA" localSheetId="4" hidden="1">{#N/A,#N/A,FALSE,"Cashflow Analysis";#N/A,#N/A,FALSE,"Sensitivity Analysis";#N/A,#N/A,FALSE,"PV";#N/A,#N/A,FALSE,"Pro Forma"}</definedName>
    <definedName name="RPA" localSheetId="5" hidden="1">{#N/A,#N/A,FALSE,"Cashflow Analysis";#N/A,#N/A,FALSE,"Sensitivity Analysis";#N/A,#N/A,FALSE,"PV";#N/A,#N/A,FALSE,"Pro Forma"}</definedName>
    <definedName name="RPA" localSheetId="3" hidden="1">{#N/A,#N/A,FALSE,"Cashflow Analysis";#N/A,#N/A,FALSE,"Sensitivity Analysis";#N/A,#N/A,FALSE,"PV";#N/A,#N/A,FALSE,"Pro Forma"}</definedName>
    <definedName name="RPA" hidden="1">{#N/A,#N/A,FALSE,"Cashflow Analysis";#N/A,#N/A,FALSE,"Sensitivity Analysis";#N/A,#N/A,FALSE,"PV";#N/A,#N/A,FALSE,"Pro Forma"}</definedName>
    <definedName name="RPA.2" localSheetId="13" hidden="1">{#N/A,#N/A,FALSE,"Cashflow Analysis";#N/A,#N/A,FALSE,"Sensitivity Analysis";#N/A,#N/A,FALSE,"PV";#N/A,#N/A,FALSE,"Pro Forma"}</definedName>
    <definedName name="RPA.2" localSheetId="7" hidden="1">{#N/A,#N/A,FALSE,"Cashflow Analysis";#N/A,#N/A,FALSE,"Sensitivity Analysis";#N/A,#N/A,FALSE,"PV";#N/A,#N/A,FALSE,"Pro Forma"}</definedName>
    <definedName name="RPA.2" localSheetId="4" hidden="1">{#N/A,#N/A,FALSE,"Cashflow Analysis";#N/A,#N/A,FALSE,"Sensitivity Analysis";#N/A,#N/A,FALSE,"PV";#N/A,#N/A,FALSE,"Pro Forma"}</definedName>
    <definedName name="RPA.2" localSheetId="5" hidden="1">{#N/A,#N/A,FALSE,"Cashflow Analysis";#N/A,#N/A,FALSE,"Sensitivity Analysis";#N/A,#N/A,FALSE,"PV";#N/A,#N/A,FALSE,"Pro Forma"}</definedName>
    <definedName name="RPA.2" localSheetId="3" hidden="1">{#N/A,#N/A,FALSE,"Cashflow Analysis";#N/A,#N/A,FALSE,"Sensitivity Analysis";#N/A,#N/A,FALSE,"PV";#N/A,#N/A,FALSE,"Pro Forma"}</definedName>
    <definedName name="RPA.2" hidden="1">{#N/A,#N/A,FALSE,"Cashflow Analysis";#N/A,#N/A,FALSE,"Sensitivity Analysis";#N/A,#N/A,FALSE,"PV";#N/A,#N/A,FALSE,"Pro Forma"}</definedName>
    <definedName name="rt" localSheetId="13" hidden="1">{"inputs raw data",#N/A,TRUE,"INPUT"}</definedName>
    <definedName name="rt" localSheetId="7" hidden="1">{"inputs raw data",#N/A,TRUE,"INPUT"}</definedName>
    <definedName name="rt" localSheetId="4" hidden="1">{"inputs raw data",#N/A,TRUE,"INPUT"}</definedName>
    <definedName name="rt" localSheetId="5" hidden="1">{"inputs raw data",#N/A,TRUE,"INPUT"}</definedName>
    <definedName name="rt" localSheetId="3" hidden="1">{"inputs raw data",#N/A,TRUE,"INPUT"}</definedName>
    <definedName name="rt" hidden="1">{"inputs raw data",#N/A,TRUE,"INPUT"}</definedName>
    <definedName name="sa" localSheetId="13" hidden="1">{"cap_structure",#N/A,FALSE,"Graph-Mkt Cap";"price",#N/A,FALSE,"Graph-Price";"ebit",#N/A,FALSE,"Graph-EBITDA";"ebitda",#N/A,FALSE,"Graph-EBITDA"}</definedName>
    <definedName name="sa" localSheetId="7" hidden="1">{"cap_structure",#N/A,FALSE,"Graph-Mkt Cap";"price",#N/A,FALSE,"Graph-Price";"ebit",#N/A,FALSE,"Graph-EBITDA";"ebitda",#N/A,FALSE,"Graph-EBITDA"}</definedName>
    <definedName name="sa" localSheetId="4" hidden="1">{"cap_structure",#N/A,FALSE,"Graph-Mkt Cap";"price",#N/A,FALSE,"Graph-Price";"ebit",#N/A,FALSE,"Graph-EBITDA";"ebitda",#N/A,FALSE,"Graph-EBITDA"}</definedName>
    <definedName name="sa" localSheetId="5" hidden="1">{"cap_structure",#N/A,FALSE,"Graph-Mkt Cap";"price",#N/A,FALSE,"Graph-Price";"ebit",#N/A,FALSE,"Graph-EBITDA";"ebitda",#N/A,FALSE,"Graph-EBITDA"}</definedName>
    <definedName name="sa" localSheetId="3" hidden="1">{"cap_structure",#N/A,FALSE,"Graph-Mkt Cap";"price",#N/A,FALSE,"Graph-Price";"ebit",#N/A,FALSE,"Graph-EBITDA";"ebitda",#N/A,FALSE,"Graph-EBITDA"}</definedName>
    <definedName name="sa" hidden="1">{"cap_structure",#N/A,FALSE,"Graph-Mkt Cap";"price",#N/A,FALSE,"Graph-Price";"ebit",#N/A,FALSE,"Graph-EBITDA";"ebitda",#N/A,FALSE,"Graph-EBITDA"}</definedName>
    <definedName name="saa" localSheetId="13" hidden="1">{"rtn",#N/A,FALSE,"RTN";"tables",#N/A,FALSE,"RTN";"cf",#N/A,FALSE,"CF";"stats",#N/A,FALSE,"Stats";"prop",#N/A,FALSE,"Prop"}</definedName>
    <definedName name="saa" localSheetId="7" hidden="1">{"rtn",#N/A,FALSE,"RTN";"tables",#N/A,FALSE,"RTN";"cf",#N/A,FALSE,"CF";"stats",#N/A,FALSE,"Stats";"prop",#N/A,FALSE,"Prop"}</definedName>
    <definedName name="saa" localSheetId="4" hidden="1">{"rtn",#N/A,FALSE,"RTN";"tables",#N/A,FALSE,"RTN";"cf",#N/A,FALSE,"CF";"stats",#N/A,FALSE,"Stats";"prop",#N/A,FALSE,"Prop"}</definedName>
    <definedName name="saa" localSheetId="5" hidden="1">{"rtn",#N/A,FALSE,"RTN";"tables",#N/A,FALSE,"RTN";"cf",#N/A,FALSE,"CF";"stats",#N/A,FALSE,"Stats";"prop",#N/A,FALSE,"Prop"}</definedName>
    <definedName name="saa" localSheetId="3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dsadsa" localSheetId="13" hidden="1">{"'Assump'!$F$6:$J$6"}</definedName>
    <definedName name="sadsadsa" localSheetId="7" hidden="1">{"'Assump'!$F$6:$J$6"}</definedName>
    <definedName name="sadsadsa" localSheetId="4" hidden="1">{"'Assump'!$F$6:$J$6"}</definedName>
    <definedName name="sadsadsa" localSheetId="5" hidden="1">{"'Assump'!$F$6:$J$6"}</definedName>
    <definedName name="sadsadsa" localSheetId="3" hidden="1">{"'Assump'!$F$6:$J$6"}</definedName>
    <definedName name="sadsadsa" hidden="1">{"'Assump'!$F$6:$J$6"}</definedName>
    <definedName name="sagf" localSheetId="1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localSheetId="7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localSheetId="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s" localSheetId="13" hidden="1">{"Outflow 1",#N/A,FALSE,"Outflows-Inflows";"Outflow 2",#N/A,FALSE,"Outflows-Inflows";"Inflow 1",#N/A,FALSE,"Outflows-Inflows";"Inflow 2",#N/A,FALSE,"Outflows-Inflows"}</definedName>
    <definedName name="sas" localSheetId="7" hidden="1">{"Outflow 1",#N/A,FALSE,"Outflows-Inflows";"Outflow 2",#N/A,FALSE,"Outflows-Inflows";"Inflow 1",#N/A,FALSE,"Outflows-Inflows";"Inflow 2",#N/A,FALSE,"Outflows-Inflows"}</definedName>
    <definedName name="sas" localSheetId="4" hidden="1">{"Outflow 1",#N/A,FALSE,"Outflows-Inflows";"Outflow 2",#N/A,FALSE,"Outflows-Inflows";"Inflow 1",#N/A,FALSE,"Outflows-Inflows";"Inflow 2",#N/A,FALSE,"Outflows-Inflows"}</definedName>
    <definedName name="sas" localSheetId="5" hidden="1">{"Outflow 1",#N/A,FALSE,"Outflows-Inflows";"Outflow 2",#N/A,FALSE,"Outflows-Inflows";"Inflow 1",#N/A,FALSE,"Outflows-Inflows";"Inflow 2",#N/A,FALSE,"Outflows-Inflows"}</definedName>
    <definedName name="sas" localSheetId="3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cds" localSheetId="13" hidden="1">{"'Assump'!$F$6:$J$6"}</definedName>
    <definedName name="sdcds" localSheetId="7" hidden="1">{"'Assump'!$F$6:$J$6"}</definedName>
    <definedName name="sdcds" localSheetId="4" hidden="1">{"'Assump'!$F$6:$J$6"}</definedName>
    <definedName name="sdcds" localSheetId="5" hidden="1">{"'Assump'!$F$6:$J$6"}</definedName>
    <definedName name="sdcds" localSheetId="3" hidden="1">{"'Assump'!$F$6:$J$6"}</definedName>
    <definedName name="sdcds" hidden="1">{"'Assump'!$F$6:$J$6"}</definedName>
    <definedName name="sdfass" localSheetId="13" hidden="1">{"Outflow 1",#N/A,FALSE,"Outflows-Inflows";"Outflow 2",#N/A,FALSE,"Outflows-Inflows";"Inflow 1",#N/A,FALSE,"Outflows-Inflows";"Inflow 2",#N/A,FALSE,"Outflows-Inflows"}</definedName>
    <definedName name="sdfass" localSheetId="7" hidden="1">{"Outflow 1",#N/A,FALSE,"Outflows-Inflows";"Outflow 2",#N/A,FALSE,"Outflows-Inflows";"Inflow 1",#N/A,FALSE,"Outflows-Inflows";"Inflow 2",#N/A,FALSE,"Outflows-Inflows"}</definedName>
    <definedName name="sdfass" localSheetId="4" hidden="1">{"Outflow 1",#N/A,FALSE,"Outflows-Inflows";"Outflow 2",#N/A,FALSE,"Outflows-Inflows";"Inflow 1",#N/A,FALSE,"Outflows-Inflows";"Inflow 2",#N/A,FALSE,"Outflows-Inflows"}</definedName>
    <definedName name="sdfass" localSheetId="5" hidden="1">{"Outflow 1",#N/A,FALSE,"Outflows-Inflows";"Outflow 2",#N/A,FALSE,"Outflows-Inflows";"Inflow 1",#N/A,FALSE,"Outflows-Inflows";"Inflow 2",#N/A,FALSE,"Outflows-Inflows"}</definedName>
    <definedName name="sdfass" localSheetId="3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ga" localSheetId="1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localSheetId="7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localSheetId="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eg_LBO_Summ" localSheetId="13" hidden="1">{"LBO Summary",#N/A,FALSE,"Summary"}</definedName>
    <definedName name="Seg_LBO_Summ" localSheetId="7" hidden="1">{"LBO Summary",#N/A,FALSE,"Summary"}</definedName>
    <definedName name="Seg_LBO_Summ" localSheetId="4" hidden="1">{"LBO Summary",#N/A,FALSE,"Summary"}</definedName>
    <definedName name="Seg_LBO_Summ" localSheetId="5" hidden="1">{"LBO Summary",#N/A,FALSE,"Summary"}</definedName>
    <definedName name="Seg_LBO_Summ" localSheetId="3" hidden="1">{"LBO Summary",#N/A,FALSE,"Summary"}</definedName>
    <definedName name="Seg_LBO_Summ" hidden="1">{"LBO Summary",#N/A,FALSE,"Summary"}</definedName>
    <definedName name="sencount" hidden="1">1</definedName>
    <definedName name="Senior_Amort">Summary!$C$47</definedName>
    <definedName name="Senior_Proceeds">Summary!$C$37</definedName>
    <definedName name="SeniorInt">Summary!$C$42</definedName>
    <definedName name="SeniorIO">Summary!$C$43</definedName>
    <definedName name="SeniorLTV">Summary!$C$38</definedName>
    <definedName name="SeniorPrePaySwitch">Summary!$C$45</definedName>
    <definedName name="shit" localSheetId="13" hidden="1">{#N/A,"Base",FALSE,"Dividend";#N/A,"Conservative",FALSE,"Dividend";#N/A,"Downside",FALSE,"Dividend"}</definedName>
    <definedName name="shit" localSheetId="7" hidden="1">{#N/A,"Base",FALSE,"Dividend";#N/A,"Conservative",FALSE,"Dividend";#N/A,"Downside",FALSE,"Dividend"}</definedName>
    <definedName name="shit" localSheetId="4" hidden="1">{#N/A,"Base",FALSE,"Dividend";#N/A,"Conservative",FALSE,"Dividend";#N/A,"Downside",FALSE,"Dividend"}</definedName>
    <definedName name="shit" localSheetId="5" hidden="1">{#N/A,"Base",FALSE,"Dividend";#N/A,"Conservative",FALSE,"Dividend";#N/A,"Downside",FALSE,"Dividend"}</definedName>
    <definedName name="shit" localSheetId="3" hidden="1">{#N/A,"Base",FALSE,"Dividend";#N/A,"Conservative",FALSE,"Dividend";#N/A,"Downside",FALSE,"Dividend"}</definedName>
    <definedName name="shit" hidden="1">{#N/A,"Base",FALSE,"Dividend";#N/A,"Conservative",FALSE,"Dividend";#N/A,"Downside",FALSE,"Dividend"}</definedName>
    <definedName name="Snr_Loan_Fee">'Closing Budget'!$I$60</definedName>
    <definedName name="solver_adj" localSheetId="0" hidden="1">Summary!$C$38</definedName>
    <definedName name="solver_adj" hidden="1">[13]CFADS!#REF!</definedName>
    <definedName name="solver_cvg" localSheetId="0" hidden="1">0.0001</definedName>
    <definedName name="solver_cvg" hidden="1">0.0001</definedName>
    <definedName name="solver_drv" localSheetId="0" hidden="1">1</definedName>
    <definedName name="solver_drv" hidden="1">1</definedName>
    <definedName name="solver_eng" localSheetId="0" hidden="1">1</definedName>
    <definedName name="solver_est" hidden="1">1</definedName>
    <definedName name="solver_itr" localSheetId="0" hidden="1">2147483647</definedName>
    <definedName name="solver_itr" hidden="1">100</definedName>
    <definedName name="solver_lhs1" hidden="1">[13]CFADS!#REF!</definedName>
    <definedName name="solver_lhs10" hidden="1">[13]CFADS!#REF!</definedName>
    <definedName name="solver_lhs11" hidden="1">[13]CFADS!#REF!</definedName>
    <definedName name="solver_lhs12" hidden="1">[14]CFADS!#REF!</definedName>
    <definedName name="solver_lhs13" hidden="1">[13]CFADS!#REF!</definedName>
    <definedName name="solver_lhs14" hidden="1">[13]CFADS!#REF!</definedName>
    <definedName name="solver_lhs15" hidden="1">[13]CFADS!#REF!</definedName>
    <definedName name="solver_lhs16" hidden="1">[13]CFADS!#REF!</definedName>
    <definedName name="solver_lhs17" hidden="1">[13]CFADS!#REF!</definedName>
    <definedName name="solver_lhs18" hidden="1">[13]CFADS!#REF!</definedName>
    <definedName name="solver_lhs19" hidden="1">[13]CFADS!#REF!</definedName>
    <definedName name="solver_lhs2" hidden="1">[13]CFADS!#REF!</definedName>
    <definedName name="solver_lhs20" hidden="1">[13]CFADS!#REF!</definedName>
    <definedName name="solver_lhs21" hidden="1">[13]CFADS!#REF!</definedName>
    <definedName name="solver_lhs22" hidden="1">[13]CFADS!#REF!</definedName>
    <definedName name="solver_lhs23" hidden="1">[13]CFADS!#REF!</definedName>
    <definedName name="solver_lhs24" hidden="1">[13]CFADS!#REF!</definedName>
    <definedName name="solver_lhs25" hidden="1">[13]CFADS!#REF!</definedName>
    <definedName name="solver_lhs26" hidden="1">[13]CFADS!#REF!</definedName>
    <definedName name="solver_lhs27" hidden="1">[13]CFADS!#REF!</definedName>
    <definedName name="solver_lhs28" hidden="1">[13]CFADS!#REF!</definedName>
    <definedName name="solver_lhs29" hidden="1">[13]CFADS!#REF!</definedName>
    <definedName name="solver_lhs3" hidden="1">[13]CFADS!#REF!</definedName>
    <definedName name="solver_lhs30" hidden="1">[13]CFADS!#REF!</definedName>
    <definedName name="solver_lhs31" hidden="1">[13]CFADS!#REF!</definedName>
    <definedName name="solver_lhs32" hidden="1">[13]CFADS!#REF!</definedName>
    <definedName name="solver_lhs33" hidden="1">[13]CFADS!#REF!</definedName>
    <definedName name="solver_lhs34" hidden="1">[14]CFADS!#REF!</definedName>
    <definedName name="solver_lhs35" hidden="1">[13]CFADS!#REF!</definedName>
    <definedName name="solver_lhs36" hidden="1">[13]CFADS!#REF!</definedName>
    <definedName name="solver_lhs37" hidden="1">[13]CFADS!#REF!</definedName>
    <definedName name="solver_lhs38" hidden="1">[13]CFADS!#REF!</definedName>
    <definedName name="solver_lhs39" hidden="1">[13]CFADS!#REF!</definedName>
    <definedName name="solver_lhs4" hidden="1">[13]CFADS!#REF!</definedName>
    <definedName name="solver_lhs40" hidden="1">[13]CFADS!#REF!</definedName>
    <definedName name="solver_lhs41" hidden="1">[13]CFADS!#REF!</definedName>
    <definedName name="solver_lhs42" hidden="1">[13]CFADS!#REF!</definedName>
    <definedName name="solver_lhs43" hidden="1">[13]CFADS!#REF!</definedName>
    <definedName name="solver_lhs44" hidden="1">[13]CFADS!#REF!</definedName>
    <definedName name="solver_lhs45" hidden="1">[13]CFADS!#REF!</definedName>
    <definedName name="solver_lhs46" hidden="1">[13]CFADS!#REF!</definedName>
    <definedName name="solver_lhs47" hidden="1">[13]CFADS!#REF!</definedName>
    <definedName name="solver_lhs48" hidden="1">[13]CFADS!#REF!</definedName>
    <definedName name="solver_lhs49" hidden="1">[13]CFADS!#REF!</definedName>
    <definedName name="solver_lhs5" hidden="1">[13]CFADS!#REF!</definedName>
    <definedName name="solver_lhs50" hidden="1">[13]CFADS!#REF!</definedName>
    <definedName name="solver_lhs51" hidden="1">[13]CFADS!#REF!</definedName>
    <definedName name="solver_lhs52" hidden="1">[13]CFADS!#REF!</definedName>
    <definedName name="solver_lhs53" hidden="1">[13]CFADS!#REF!</definedName>
    <definedName name="solver_lhs54" hidden="1">[13]CFADS!#REF!</definedName>
    <definedName name="solver_lhs55" hidden="1">[13]CFADS!#REF!</definedName>
    <definedName name="solver_lhs56" hidden="1">[14]CFADS!#REF!</definedName>
    <definedName name="solver_lhs57" hidden="1">[13]CFADS!#REF!</definedName>
    <definedName name="solver_lhs58" hidden="1">[13]CFADS!#REF!</definedName>
    <definedName name="solver_lhs59" hidden="1">[13]CFADS!#REF!</definedName>
    <definedName name="solver_lhs6" hidden="1">[13]CFADS!#REF!</definedName>
    <definedName name="solver_lhs60" hidden="1">[13]CFADS!#REF!</definedName>
    <definedName name="solver_lhs61" hidden="1">[13]CFADS!#REF!</definedName>
    <definedName name="solver_lhs62" hidden="1">[13]CFADS!#REF!</definedName>
    <definedName name="solver_lhs63" hidden="1">[13]CFADS!#REF!</definedName>
    <definedName name="solver_lhs64" hidden="1">[13]CFADS!#REF!</definedName>
    <definedName name="solver_lhs65" hidden="1">[13]CFADS!#REF!</definedName>
    <definedName name="solver_lhs66" hidden="1">[13]CFADS!#REF!</definedName>
    <definedName name="solver_lhs67" hidden="1">[13]CFADS!#REF!</definedName>
    <definedName name="solver_lhs68" hidden="1">[13]CFADS!#REF!</definedName>
    <definedName name="solver_lhs69" hidden="1">[13]CFADS!#REF!</definedName>
    <definedName name="solver_lhs7" hidden="1">[13]CFADS!#REF!</definedName>
    <definedName name="solver_lhs70" hidden="1">[13]CFADS!#REF!</definedName>
    <definedName name="solver_lhs71" hidden="1">[13]CFADS!#REF!</definedName>
    <definedName name="solver_lhs72" hidden="1">[13]CFADS!#REF!</definedName>
    <definedName name="solver_lhs73" hidden="1">[13]CFADS!#REF!</definedName>
    <definedName name="solver_lhs74" hidden="1">[13]CFADS!#REF!</definedName>
    <definedName name="solver_lhs75" hidden="1">[13]CFADS!#REF!</definedName>
    <definedName name="solver_lhs76" hidden="1">[13]CFADS!#REF!</definedName>
    <definedName name="solver_lhs77" hidden="1">[13]CFADS!#REF!</definedName>
    <definedName name="solver_lhs78" hidden="1">[14]CFADS!#REF!</definedName>
    <definedName name="solver_lhs79" hidden="1">[13]CFADS!#REF!</definedName>
    <definedName name="solver_lhs8" hidden="1">[13]CFADS!#REF!</definedName>
    <definedName name="solver_lhs80" hidden="1">[13]CFADS!#REF!</definedName>
    <definedName name="solver_lhs81" hidden="1">[13]CFADS!#REF!</definedName>
    <definedName name="solver_lhs82" hidden="1">[13]CFADS!#REF!</definedName>
    <definedName name="solver_lhs83" hidden="1">[13]CFADS!#REF!</definedName>
    <definedName name="solver_lhs84" hidden="1">[13]CFADS!#REF!</definedName>
    <definedName name="solver_lhs85" hidden="1">[13]CFADS!#REF!</definedName>
    <definedName name="solver_lhs86" hidden="1">[13]CFADS!#REF!</definedName>
    <definedName name="solver_lhs87" hidden="1">[13]CFADS!#REF!</definedName>
    <definedName name="solver_lhs88" hidden="1">[13]CFADS!#REF!</definedName>
    <definedName name="solver_lhs9" hidden="1">[13]CFADS!#REF!</definedName>
    <definedName name="solver_lin" localSheetId="0" hidden="1">2</definedName>
    <definedName name="solver_lin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hidden="1">2</definedName>
    <definedName name="solver_nod" localSheetId="0" hidden="1">2147483647</definedName>
    <definedName name="solver_num" localSheetId="0" hidden="1">0</definedName>
    <definedName name="solver_num" hidden="1">22</definedName>
    <definedName name="solver_nwt" hidden="1">1</definedName>
    <definedName name="solver_opt" localSheetId="0" hidden="1">Summary!$C$53</definedName>
    <definedName name="solver_opt" hidden="1">[13]CFADS!#REF!</definedName>
    <definedName name="solver_pre" localSheetId="0" hidden="1">0.000001</definedName>
    <definedName name="solver_pre" hidden="1">0.000001</definedName>
    <definedName name="solver_rbv" localSheetId="0" hidden="1">1</definedName>
    <definedName name="solver_rel1" hidden="1">1</definedName>
    <definedName name="solver_rel10" hidden="1">5</definedName>
    <definedName name="solver_rel11" hidden="1">5</definedName>
    <definedName name="solver_rel12" hidden="1">5</definedName>
    <definedName name="solver_rel13" hidden="1">5</definedName>
    <definedName name="solver_rel14" hidden="1">5</definedName>
    <definedName name="solver_rel15" hidden="1">5</definedName>
    <definedName name="solver_rel16" hidden="1">5</definedName>
    <definedName name="solver_rel17" hidden="1">5</definedName>
    <definedName name="solver_rel18" hidden="1">5</definedName>
    <definedName name="solver_rel19" hidden="1">5</definedName>
    <definedName name="solver_rel2" hidden="1">5</definedName>
    <definedName name="solver_rel20" hidden="1">5</definedName>
    <definedName name="solver_rel21" hidden="1">5</definedName>
    <definedName name="solver_rel22" hidden="1">5</definedName>
    <definedName name="solver_rel23" hidden="1">1</definedName>
    <definedName name="solver_rel24" hidden="1">5</definedName>
    <definedName name="solver_rel25" hidden="1">5</definedName>
    <definedName name="solver_rel26" hidden="1">5</definedName>
    <definedName name="solver_rel27" hidden="1">5</definedName>
    <definedName name="solver_rel28" hidden="1">5</definedName>
    <definedName name="solver_rel29" hidden="1">5</definedName>
    <definedName name="solver_rel3" hidden="1">5</definedName>
    <definedName name="solver_rel30" hidden="1">5</definedName>
    <definedName name="solver_rel31" hidden="1">5</definedName>
    <definedName name="solver_rel32" hidden="1">5</definedName>
    <definedName name="solver_rel33" hidden="1">5</definedName>
    <definedName name="solver_rel34" hidden="1">5</definedName>
    <definedName name="solver_rel35" hidden="1">5</definedName>
    <definedName name="solver_rel36" hidden="1">5</definedName>
    <definedName name="solver_rel37" hidden="1">5</definedName>
    <definedName name="solver_rel38" hidden="1">5</definedName>
    <definedName name="solver_rel39" hidden="1">5</definedName>
    <definedName name="solver_rel4" hidden="1">5</definedName>
    <definedName name="solver_rel40" hidden="1">5</definedName>
    <definedName name="solver_rel41" hidden="1">5</definedName>
    <definedName name="solver_rel42" hidden="1">5</definedName>
    <definedName name="solver_rel43" hidden="1">5</definedName>
    <definedName name="solver_rel44" hidden="1">5</definedName>
    <definedName name="solver_rel45" hidden="1">1</definedName>
    <definedName name="solver_rel46" hidden="1">5</definedName>
    <definedName name="solver_rel47" hidden="1">5</definedName>
    <definedName name="solver_rel48" hidden="1">5</definedName>
    <definedName name="solver_rel49" hidden="1">5</definedName>
    <definedName name="solver_rel5" hidden="1">5</definedName>
    <definedName name="solver_rel50" hidden="1">5</definedName>
    <definedName name="solver_rel51" hidden="1">5</definedName>
    <definedName name="solver_rel52" hidden="1">5</definedName>
    <definedName name="solver_rel53" hidden="1">5</definedName>
    <definedName name="solver_rel54" hidden="1">5</definedName>
    <definedName name="solver_rel55" hidden="1">5</definedName>
    <definedName name="solver_rel56" hidden="1">5</definedName>
    <definedName name="solver_rel57" hidden="1">5</definedName>
    <definedName name="solver_rel58" hidden="1">5</definedName>
    <definedName name="solver_rel59" hidden="1">5</definedName>
    <definedName name="solver_rel6" hidden="1">5</definedName>
    <definedName name="solver_rel60" hidden="1">5</definedName>
    <definedName name="solver_rel61" hidden="1">5</definedName>
    <definedName name="solver_rel62" hidden="1">5</definedName>
    <definedName name="solver_rel63" hidden="1">5</definedName>
    <definedName name="solver_rel64" hidden="1">5</definedName>
    <definedName name="solver_rel65" hidden="1">5</definedName>
    <definedName name="solver_rel66" hidden="1">5</definedName>
    <definedName name="solver_rel67" hidden="1">1</definedName>
    <definedName name="solver_rel68" hidden="1">5</definedName>
    <definedName name="solver_rel69" hidden="1">5</definedName>
    <definedName name="solver_rel7" hidden="1">5</definedName>
    <definedName name="solver_rel70" hidden="1">5</definedName>
    <definedName name="solver_rel71" hidden="1">5</definedName>
    <definedName name="solver_rel72" hidden="1">5</definedName>
    <definedName name="solver_rel73" hidden="1">5</definedName>
    <definedName name="solver_rel74" hidden="1">5</definedName>
    <definedName name="solver_rel75" hidden="1">5</definedName>
    <definedName name="solver_rel76" hidden="1">5</definedName>
    <definedName name="solver_rel77" hidden="1">5</definedName>
    <definedName name="solver_rel78" hidden="1">5</definedName>
    <definedName name="solver_rel79" hidden="1">5</definedName>
    <definedName name="solver_rel8" hidden="1">5</definedName>
    <definedName name="solver_rel80" hidden="1">5</definedName>
    <definedName name="solver_rel81" hidden="1">5</definedName>
    <definedName name="solver_rel82" hidden="1">5</definedName>
    <definedName name="solver_rel83" hidden="1">5</definedName>
    <definedName name="solver_rel84" hidden="1">5</definedName>
    <definedName name="solver_rel85" hidden="1">5</definedName>
    <definedName name="solver_rel86" hidden="1">5</definedName>
    <definedName name="solver_rel87" hidden="1">5</definedName>
    <definedName name="solver_rel88" hidden="1">5</definedName>
    <definedName name="solver_rel9" hidden="1">5</definedName>
    <definedName name="solver_rhs1" hidden="1">[13]CFADS!#REF!</definedName>
    <definedName name="solver_rhs10" localSheetId="13" hidden="1">binary</definedName>
    <definedName name="solver_rhs10" localSheetId="7" hidden="1">binary</definedName>
    <definedName name="solver_rhs10" localSheetId="4" hidden="1">binary</definedName>
    <definedName name="solver_rhs10" localSheetId="5" hidden="1">binary</definedName>
    <definedName name="solver_rhs10" localSheetId="3" hidden="1">binary</definedName>
    <definedName name="solver_rhs10" hidden="1">binary</definedName>
    <definedName name="solver_rhs11" localSheetId="13" hidden="1">binary</definedName>
    <definedName name="solver_rhs11" localSheetId="7" hidden="1">binary</definedName>
    <definedName name="solver_rhs11" localSheetId="4" hidden="1">binary</definedName>
    <definedName name="solver_rhs11" localSheetId="5" hidden="1">binary</definedName>
    <definedName name="solver_rhs11" localSheetId="3" hidden="1">binary</definedName>
    <definedName name="solver_rhs11" hidden="1">binary</definedName>
    <definedName name="solver_rhs12" localSheetId="13" hidden="1">binary</definedName>
    <definedName name="solver_rhs12" localSheetId="7" hidden="1">binary</definedName>
    <definedName name="solver_rhs12" localSheetId="4" hidden="1">binary</definedName>
    <definedName name="solver_rhs12" localSheetId="5" hidden="1">binary</definedName>
    <definedName name="solver_rhs12" localSheetId="3" hidden="1">binary</definedName>
    <definedName name="solver_rhs12" hidden="1">binary</definedName>
    <definedName name="solver_rhs13" localSheetId="13" hidden="1">binary</definedName>
    <definedName name="solver_rhs13" localSheetId="7" hidden="1">binary</definedName>
    <definedName name="solver_rhs13" localSheetId="4" hidden="1">binary</definedName>
    <definedName name="solver_rhs13" localSheetId="5" hidden="1">binary</definedName>
    <definedName name="solver_rhs13" localSheetId="3" hidden="1">binary</definedName>
    <definedName name="solver_rhs13" hidden="1">binary</definedName>
    <definedName name="solver_rhs14" localSheetId="13" hidden="1">binary</definedName>
    <definedName name="solver_rhs14" localSheetId="7" hidden="1">binary</definedName>
    <definedName name="solver_rhs14" localSheetId="4" hidden="1">binary</definedName>
    <definedName name="solver_rhs14" localSheetId="5" hidden="1">binary</definedName>
    <definedName name="solver_rhs14" localSheetId="3" hidden="1">binary</definedName>
    <definedName name="solver_rhs14" hidden="1">binary</definedName>
    <definedName name="solver_rhs15" localSheetId="13" hidden="1">binary</definedName>
    <definedName name="solver_rhs15" localSheetId="7" hidden="1">binary</definedName>
    <definedName name="solver_rhs15" localSheetId="4" hidden="1">binary</definedName>
    <definedName name="solver_rhs15" localSheetId="5" hidden="1">binary</definedName>
    <definedName name="solver_rhs15" localSheetId="3" hidden="1">binary</definedName>
    <definedName name="solver_rhs15" hidden="1">binary</definedName>
    <definedName name="solver_rhs16" localSheetId="13" hidden="1">binary</definedName>
    <definedName name="solver_rhs16" localSheetId="7" hidden="1">binary</definedName>
    <definedName name="solver_rhs16" localSheetId="4" hidden="1">binary</definedName>
    <definedName name="solver_rhs16" localSheetId="5" hidden="1">binary</definedName>
    <definedName name="solver_rhs16" localSheetId="3" hidden="1">binary</definedName>
    <definedName name="solver_rhs16" hidden="1">binary</definedName>
    <definedName name="solver_rhs17" localSheetId="13" hidden="1">binary</definedName>
    <definedName name="solver_rhs17" localSheetId="7" hidden="1">binary</definedName>
    <definedName name="solver_rhs17" localSheetId="4" hidden="1">binary</definedName>
    <definedName name="solver_rhs17" localSheetId="5" hidden="1">binary</definedName>
    <definedName name="solver_rhs17" localSheetId="3" hidden="1">binary</definedName>
    <definedName name="solver_rhs17" hidden="1">binary</definedName>
    <definedName name="solver_rhs18" localSheetId="13" hidden="1">binary</definedName>
    <definedName name="solver_rhs18" localSheetId="7" hidden="1">binary</definedName>
    <definedName name="solver_rhs18" localSheetId="4" hidden="1">binary</definedName>
    <definedName name="solver_rhs18" localSheetId="5" hidden="1">binary</definedName>
    <definedName name="solver_rhs18" localSheetId="3" hidden="1">binary</definedName>
    <definedName name="solver_rhs18" hidden="1">binary</definedName>
    <definedName name="solver_rhs19" localSheetId="13" hidden="1">binary</definedName>
    <definedName name="solver_rhs19" localSheetId="7" hidden="1">binary</definedName>
    <definedName name="solver_rhs19" localSheetId="4" hidden="1">binary</definedName>
    <definedName name="solver_rhs19" localSheetId="5" hidden="1">binary</definedName>
    <definedName name="solver_rhs19" localSheetId="3" hidden="1">binary</definedName>
    <definedName name="solver_rhs19" hidden="1">binary</definedName>
    <definedName name="solver_rhs2" localSheetId="13" hidden="1">binary</definedName>
    <definedName name="solver_rhs2" localSheetId="7" hidden="1">binary</definedName>
    <definedName name="solver_rhs2" localSheetId="4" hidden="1">binary</definedName>
    <definedName name="solver_rhs2" localSheetId="5" hidden="1">binary</definedName>
    <definedName name="solver_rhs2" localSheetId="3" hidden="1">binary</definedName>
    <definedName name="solver_rhs2" hidden="1">binary</definedName>
    <definedName name="solver_rhs20" localSheetId="13" hidden="1">binary</definedName>
    <definedName name="solver_rhs20" localSheetId="7" hidden="1">binary</definedName>
    <definedName name="solver_rhs20" localSheetId="4" hidden="1">binary</definedName>
    <definedName name="solver_rhs20" localSheetId="5" hidden="1">binary</definedName>
    <definedName name="solver_rhs20" localSheetId="3" hidden="1">binary</definedName>
    <definedName name="solver_rhs20" hidden="1">binary</definedName>
    <definedName name="solver_rhs21" localSheetId="13" hidden="1">binary</definedName>
    <definedName name="solver_rhs21" localSheetId="7" hidden="1">binary</definedName>
    <definedName name="solver_rhs21" localSheetId="4" hidden="1">binary</definedName>
    <definedName name="solver_rhs21" localSheetId="5" hidden="1">binary</definedName>
    <definedName name="solver_rhs21" localSheetId="3" hidden="1">binary</definedName>
    <definedName name="solver_rhs21" hidden="1">binary</definedName>
    <definedName name="solver_rhs22" localSheetId="13" hidden="1">binary</definedName>
    <definedName name="solver_rhs22" localSheetId="7" hidden="1">binary</definedName>
    <definedName name="solver_rhs22" localSheetId="4" hidden="1">binary</definedName>
    <definedName name="solver_rhs22" localSheetId="5" hidden="1">binary</definedName>
    <definedName name="solver_rhs22" localSheetId="3" hidden="1">binary</definedName>
    <definedName name="solver_rhs22" hidden="1">binary</definedName>
    <definedName name="solver_rhs23" hidden="1">[13]CFADS!#REF!</definedName>
    <definedName name="solver_rhs24" localSheetId="13" hidden="1">binary</definedName>
    <definedName name="solver_rhs24" localSheetId="7" hidden="1">binary</definedName>
    <definedName name="solver_rhs24" localSheetId="4" hidden="1">binary</definedName>
    <definedName name="solver_rhs24" localSheetId="5" hidden="1">binary</definedName>
    <definedName name="solver_rhs24" localSheetId="3" hidden="1">binary</definedName>
    <definedName name="solver_rhs24" hidden="1">binary</definedName>
    <definedName name="solver_rhs25" localSheetId="13" hidden="1">binary</definedName>
    <definedName name="solver_rhs25" localSheetId="7" hidden="1">binary</definedName>
    <definedName name="solver_rhs25" localSheetId="4" hidden="1">binary</definedName>
    <definedName name="solver_rhs25" localSheetId="5" hidden="1">binary</definedName>
    <definedName name="solver_rhs25" localSheetId="3" hidden="1">binary</definedName>
    <definedName name="solver_rhs25" hidden="1">binary</definedName>
    <definedName name="solver_rhs26" localSheetId="13" hidden="1">binary</definedName>
    <definedName name="solver_rhs26" localSheetId="7" hidden="1">binary</definedName>
    <definedName name="solver_rhs26" localSheetId="4" hidden="1">binary</definedName>
    <definedName name="solver_rhs26" localSheetId="5" hidden="1">binary</definedName>
    <definedName name="solver_rhs26" localSheetId="3" hidden="1">binary</definedName>
    <definedName name="solver_rhs26" hidden="1">binary</definedName>
    <definedName name="solver_rhs27" localSheetId="13" hidden="1">binary</definedName>
    <definedName name="solver_rhs27" localSheetId="7" hidden="1">binary</definedName>
    <definedName name="solver_rhs27" localSheetId="4" hidden="1">binary</definedName>
    <definedName name="solver_rhs27" localSheetId="5" hidden="1">binary</definedName>
    <definedName name="solver_rhs27" localSheetId="3" hidden="1">binary</definedName>
    <definedName name="solver_rhs27" hidden="1">binary</definedName>
    <definedName name="solver_rhs28" localSheetId="13" hidden="1">binary</definedName>
    <definedName name="solver_rhs28" localSheetId="7" hidden="1">binary</definedName>
    <definedName name="solver_rhs28" localSheetId="4" hidden="1">binary</definedName>
    <definedName name="solver_rhs28" localSheetId="5" hidden="1">binary</definedName>
    <definedName name="solver_rhs28" localSheetId="3" hidden="1">binary</definedName>
    <definedName name="solver_rhs28" hidden="1">binary</definedName>
    <definedName name="solver_rhs29" localSheetId="13" hidden="1">binary</definedName>
    <definedName name="solver_rhs29" localSheetId="7" hidden="1">binary</definedName>
    <definedName name="solver_rhs29" localSheetId="4" hidden="1">binary</definedName>
    <definedName name="solver_rhs29" localSheetId="5" hidden="1">binary</definedName>
    <definedName name="solver_rhs29" localSheetId="3" hidden="1">binary</definedName>
    <definedName name="solver_rhs29" hidden="1">binary</definedName>
    <definedName name="solver_rhs3" localSheetId="13" hidden="1">binary</definedName>
    <definedName name="solver_rhs3" localSheetId="7" hidden="1">binary</definedName>
    <definedName name="solver_rhs3" localSheetId="4" hidden="1">binary</definedName>
    <definedName name="solver_rhs3" localSheetId="5" hidden="1">binary</definedName>
    <definedName name="solver_rhs3" localSheetId="3" hidden="1">binary</definedName>
    <definedName name="solver_rhs3" hidden="1">binary</definedName>
    <definedName name="solver_rhs30" localSheetId="13" hidden="1">binary</definedName>
    <definedName name="solver_rhs30" localSheetId="7" hidden="1">binary</definedName>
    <definedName name="solver_rhs30" localSheetId="4" hidden="1">binary</definedName>
    <definedName name="solver_rhs30" localSheetId="5" hidden="1">binary</definedName>
    <definedName name="solver_rhs30" localSheetId="3" hidden="1">binary</definedName>
    <definedName name="solver_rhs30" hidden="1">binary</definedName>
    <definedName name="solver_rhs31" localSheetId="13" hidden="1">binary</definedName>
    <definedName name="solver_rhs31" localSheetId="7" hidden="1">binary</definedName>
    <definedName name="solver_rhs31" localSheetId="4" hidden="1">binary</definedName>
    <definedName name="solver_rhs31" localSheetId="5" hidden="1">binary</definedName>
    <definedName name="solver_rhs31" localSheetId="3" hidden="1">binary</definedName>
    <definedName name="solver_rhs31" hidden="1">binary</definedName>
    <definedName name="solver_rhs32" localSheetId="13" hidden="1">binary</definedName>
    <definedName name="solver_rhs32" localSheetId="7" hidden="1">binary</definedName>
    <definedName name="solver_rhs32" localSheetId="4" hidden="1">binary</definedName>
    <definedName name="solver_rhs32" localSheetId="5" hidden="1">binary</definedName>
    <definedName name="solver_rhs32" localSheetId="3" hidden="1">binary</definedName>
    <definedName name="solver_rhs32" hidden="1">binary</definedName>
    <definedName name="solver_rhs33" localSheetId="13" hidden="1">binary</definedName>
    <definedName name="solver_rhs33" localSheetId="7" hidden="1">binary</definedName>
    <definedName name="solver_rhs33" localSheetId="4" hidden="1">binary</definedName>
    <definedName name="solver_rhs33" localSheetId="5" hidden="1">binary</definedName>
    <definedName name="solver_rhs33" localSheetId="3" hidden="1">binary</definedName>
    <definedName name="solver_rhs33" hidden="1">binary</definedName>
    <definedName name="solver_rhs34" localSheetId="13" hidden="1">binary</definedName>
    <definedName name="solver_rhs34" localSheetId="7" hidden="1">binary</definedName>
    <definedName name="solver_rhs34" localSheetId="4" hidden="1">binary</definedName>
    <definedName name="solver_rhs34" localSheetId="5" hidden="1">binary</definedName>
    <definedName name="solver_rhs34" localSheetId="3" hidden="1">binary</definedName>
    <definedName name="solver_rhs34" hidden="1">binary</definedName>
    <definedName name="solver_rhs35" localSheetId="13" hidden="1">binary</definedName>
    <definedName name="solver_rhs35" localSheetId="7" hidden="1">binary</definedName>
    <definedName name="solver_rhs35" localSheetId="4" hidden="1">binary</definedName>
    <definedName name="solver_rhs35" localSheetId="5" hidden="1">binary</definedName>
    <definedName name="solver_rhs35" localSheetId="3" hidden="1">binary</definedName>
    <definedName name="solver_rhs35" hidden="1">binary</definedName>
    <definedName name="solver_rhs36" localSheetId="13" hidden="1">binary</definedName>
    <definedName name="solver_rhs36" localSheetId="7" hidden="1">binary</definedName>
    <definedName name="solver_rhs36" localSheetId="4" hidden="1">binary</definedName>
    <definedName name="solver_rhs36" localSheetId="5" hidden="1">binary</definedName>
    <definedName name="solver_rhs36" localSheetId="3" hidden="1">binary</definedName>
    <definedName name="solver_rhs36" hidden="1">binary</definedName>
    <definedName name="solver_rhs37" localSheetId="13" hidden="1">binary</definedName>
    <definedName name="solver_rhs37" localSheetId="7" hidden="1">binary</definedName>
    <definedName name="solver_rhs37" localSheetId="4" hidden="1">binary</definedName>
    <definedName name="solver_rhs37" localSheetId="5" hidden="1">binary</definedName>
    <definedName name="solver_rhs37" localSheetId="3" hidden="1">binary</definedName>
    <definedName name="solver_rhs37" hidden="1">binary</definedName>
    <definedName name="solver_rhs38" localSheetId="13" hidden="1">binary</definedName>
    <definedName name="solver_rhs38" localSheetId="7" hidden="1">binary</definedName>
    <definedName name="solver_rhs38" localSheetId="4" hidden="1">binary</definedName>
    <definedName name="solver_rhs38" localSheetId="5" hidden="1">binary</definedName>
    <definedName name="solver_rhs38" localSheetId="3" hidden="1">binary</definedName>
    <definedName name="solver_rhs38" hidden="1">binary</definedName>
    <definedName name="solver_rhs39" localSheetId="13" hidden="1">binary</definedName>
    <definedName name="solver_rhs39" localSheetId="7" hidden="1">binary</definedName>
    <definedName name="solver_rhs39" localSheetId="4" hidden="1">binary</definedName>
    <definedName name="solver_rhs39" localSheetId="5" hidden="1">binary</definedName>
    <definedName name="solver_rhs39" localSheetId="3" hidden="1">binary</definedName>
    <definedName name="solver_rhs39" hidden="1">binary</definedName>
    <definedName name="solver_rhs4" localSheetId="13" hidden="1">binary</definedName>
    <definedName name="solver_rhs4" localSheetId="7" hidden="1">binary</definedName>
    <definedName name="solver_rhs4" localSheetId="4" hidden="1">binary</definedName>
    <definedName name="solver_rhs4" localSheetId="5" hidden="1">binary</definedName>
    <definedName name="solver_rhs4" localSheetId="3" hidden="1">binary</definedName>
    <definedName name="solver_rhs4" hidden="1">binary</definedName>
    <definedName name="solver_rhs40" localSheetId="13" hidden="1">binary</definedName>
    <definedName name="solver_rhs40" localSheetId="7" hidden="1">binary</definedName>
    <definedName name="solver_rhs40" localSheetId="4" hidden="1">binary</definedName>
    <definedName name="solver_rhs40" localSheetId="5" hidden="1">binary</definedName>
    <definedName name="solver_rhs40" localSheetId="3" hidden="1">binary</definedName>
    <definedName name="solver_rhs40" hidden="1">binary</definedName>
    <definedName name="solver_rhs41" localSheetId="13" hidden="1">binary</definedName>
    <definedName name="solver_rhs41" localSheetId="7" hidden="1">binary</definedName>
    <definedName name="solver_rhs41" localSheetId="4" hidden="1">binary</definedName>
    <definedName name="solver_rhs41" localSheetId="5" hidden="1">binary</definedName>
    <definedName name="solver_rhs41" localSheetId="3" hidden="1">binary</definedName>
    <definedName name="solver_rhs41" hidden="1">binary</definedName>
    <definedName name="solver_rhs42" localSheetId="13" hidden="1">binary</definedName>
    <definedName name="solver_rhs42" localSheetId="7" hidden="1">binary</definedName>
    <definedName name="solver_rhs42" localSheetId="4" hidden="1">binary</definedName>
    <definedName name="solver_rhs42" localSheetId="5" hidden="1">binary</definedName>
    <definedName name="solver_rhs42" localSheetId="3" hidden="1">binary</definedName>
    <definedName name="solver_rhs42" hidden="1">binary</definedName>
    <definedName name="solver_rhs43" localSheetId="13" hidden="1">binary</definedName>
    <definedName name="solver_rhs43" localSheetId="7" hidden="1">binary</definedName>
    <definedName name="solver_rhs43" localSheetId="4" hidden="1">binary</definedName>
    <definedName name="solver_rhs43" localSheetId="5" hidden="1">binary</definedName>
    <definedName name="solver_rhs43" localSheetId="3" hidden="1">binary</definedName>
    <definedName name="solver_rhs43" hidden="1">binary</definedName>
    <definedName name="solver_rhs44" localSheetId="13" hidden="1">binary</definedName>
    <definedName name="solver_rhs44" localSheetId="7" hidden="1">binary</definedName>
    <definedName name="solver_rhs44" localSheetId="4" hidden="1">binary</definedName>
    <definedName name="solver_rhs44" localSheetId="5" hidden="1">binary</definedName>
    <definedName name="solver_rhs44" localSheetId="3" hidden="1">binary</definedName>
    <definedName name="solver_rhs44" hidden="1">binary</definedName>
    <definedName name="solver_rhs45" hidden="1">[13]CFADS!#REF!</definedName>
    <definedName name="solver_rhs46" localSheetId="13" hidden="1">binary</definedName>
    <definedName name="solver_rhs46" localSheetId="7" hidden="1">binary</definedName>
    <definedName name="solver_rhs46" localSheetId="4" hidden="1">binary</definedName>
    <definedName name="solver_rhs46" localSheetId="5" hidden="1">binary</definedName>
    <definedName name="solver_rhs46" localSheetId="3" hidden="1">binary</definedName>
    <definedName name="solver_rhs46" hidden="1">binary</definedName>
    <definedName name="solver_rhs47" localSheetId="13" hidden="1">binary</definedName>
    <definedName name="solver_rhs47" localSheetId="7" hidden="1">binary</definedName>
    <definedName name="solver_rhs47" localSheetId="4" hidden="1">binary</definedName>
    <definedName name="solver_rhs47" localSheetId="5" hidden="1">binary</definedName>
    <definedName name="solver_rhs47" localSheetId="3" hidden="1">binary</definedName>
    <definedName name="solver_rhs47" hidden="1">binary</definedName>
    <definedName name="solver_rhs48" localSheetId="13" hidden="1">binary</definedName>
    <definedName name="solver_rhs48" localSheetId="7" hidden="1">binary</definedName>
    <definedName name="solver_rhs48" localSheetId="4" hidden="1">binary</definedName>
    <definedName name="solver_rhs48" localSheetId="5" hidden="1">binary</definedName>
    <definedName name="solver_rhs48" localSheetId="3" hidden="1">binary</definedName>
    <definedName name="solver_rhs48" hidden="1">binary</definedName>
    <definedName name="solver_rhs49" localSheetId="13" hidden="1">binary</definedName>
    <definedName name="solver_rhs49" localSheetId="7" hidden="1">binary</definedName>
    <definedName name="solver_rhs49" localSheetId="4" hidden="1">binary</definedName>
    <definedName name="solver_rhs49" localSheetId="5" hidden="1">binary</definedName>
    <definedName name="solver_rhs49" localSheetId="3" hidden="1">binary</definedName>
    <definedName name="solver_rhs49" hidden="1">binary</definedName>
    <definedName name="solver_rhs5" localSheetId="13" hidden="1">binary</definedName>
    <definedName name="solver_rhs5" localSheetId="7" hidden="1">binary</definedName>
    <definedName name="solver_rhs5" localSheetId="4" hidden="1">binary</definedName>
    <definedName name="solver_rhs5" localSheetId="5" hidden="1">binary</definedName>
    <definedName name="solver_rhs5" localSheetId="3" hidden="1">binary</definedName>
    <definedName name="solver_rhs5" hidden="1">binary</definedName>
    <definedName name="solver_rhs50" localSheetId="13" hidden="1">binary</definedName>
    <definedName name="solver_rhs50" localSheetId="7" hidden="1">binary</definedName>
    <definedName name="solver_rhs50" localSheetId="4" hidden="1">binary</definedName>
    <definedName name="solver_rhs50" localSheetId="5" hidden="1">binary</definedName>
    <definedName name="solver_rhs50" localSheetId="3" hidden="1">binary</definedName>
    <definedName name="solver_rhs50" hidden="1">binary</definedName>
    <definedName name="solver_rhs51" localSheetId="13" hidden="1">binary</definedName>
    <definedName name="solver_rhs51" localSheetId="7" hidden="1">binary</definedName>
    <definedName name="solver_rhs51" localSheetId="4" hidden="1">binary</definedName>
    <definedName name="solver_rhs51" localSheetId="5" hidden="1">binary</definedName>
    <definedName name="solver_rhs51" localSheetId="3" hidden="1">binary</definedName>
    <definedName name="solver_rhs51" hidden="1">binary</definedName>
    <definedName name="solver_rhs52" localSheetId="13" hidden="1">binary</definedName>
    <definedName name="solver_rhs52" localSheetId="7" hidden="1">binary</definedName>
    <definedName name="solver_rhs52" localSheetId="4" hidden="1">binary</definedName>
    <definedName name="solver_rhs52" localSheetId="5" hidden="1">binary</definedName>
    <definedName name="solver_rhs52" localSheetId="3" hidden="1">binary</definedName>
    <definedName name="solver_rhs52" hidden="1">binary</definedName>
    <definedName name="solver_rhs53" localSheetId="13" hidden="1">binary</definedName>
    <definedName name="solver_rhs53" localSheetId="7" hidden="1">binary</definedName>
    <definedName name="solver_rhs53" localSheetId="4" hidden="1">binary</definedName>
    <definedName name="solver_rhs53" localSheetId="5" hidden="1">binary</definedName>
    <definedName name="solver_rhs53" localSheetId="3" hidden="1">binary</definedName>
    <definedName name="solver_rhs53" hidden="1">binary</definedName>
    <definedName name="solver_rhs54" localSheetId="13" hidden="1">binary</definedName>
    <definedName name="solver_rhs54" localSheetId="7" hidden="1">binary</definedName>
    <definedName name="solver_rhs54" localSheetId="4" hidden="1">binary</definedName>
    <definedName name="solver_rhs54" localSheetId="5" hidden="1">binary</definedName>
    <definedName name="solver_rhs54" localSheetId="3" hidden="1">binary</definedName>
    <definedName name="solver_rhs54" hidden="1">binary</definedName>
    <definedName name="solver_rhs55" localSheetId="13" hidden="1">binary</definedName>
    <definedName name="solver_rhs55" localSheetId="7" hidden="1">binary</definedName>
    <definedName name="solver_rhs55" localSheetId="4" hidden="1">binary</definedName>
    <definedName name="solver_rhs55" localSheetId="5" hidden="1">binary</definedName>
    <definedName name="solver_rhs55" localSheetId="3" hidden="1">binary</definedName>
    <definedName name="solver_rhs55" hidden="1">binary</definedName>
    <definedName name="solver_rhs56" localSheetId="13" hidden="1">binary</definedName>
    <definedName name="solver_rhs56" localSheetId="7" hidden="1">binary</definedName>
    <definedName name="solver_rhs56" localSheetId="4" hidden="1">binary</definedName>
    <definedName name="solver_rhs56" localSheetId="5" hidden="1">binary</definedName>
    <definedName name="solver_rhs56" localSheetId="3" hidden="1">binary</definedName>
    <definedName name="solver_rhs56" hidden="1">binary</definedName>
    <definedName name="solver_rhs57" localSheetId="13" hidden="1">binary</definedName>
    <definedName name="solver_rhs57" localSheetId="7" hidden="1">binary</definedName>
    <definedName name="solver_rhs57" localSheetId="4" hidden="1">binary</definedName>
    <definedName name="solver_rhs57" localSheetId="5" hidden="1">binary</definedName>
    <definedName name="solver_rhs57" localSheetId="3" hidden="1">binary</definedName>
    <definedName name="solver_rhs57" hidden="1">binary</definedName>
    <definedName name="solver_rhs58" localSheetId="13" hidden="1">binary</definedName>
    <definedName name="solver_rhs58" localSheetId="7" hidden="1">binary</definedName>
    <definedName name="solver_rhs58" localSheetId="4" hidden="1">binary</definedName>
    <definedName name="solver_rhs58" localSheetId="5" hidden="1">binary</definedName>
    <definedName name="solver_rhs58" localSheetId="3" hidden="1">binary</definedName>
    <definedName name="solver_rhs58" hidden="1">binary</definedName>
    <definedName name="solver_rhs59" localSheetId="13" hidden="1">binary</definedName>
    <definedName name="solver_rhs59" localSheetId="7" hidden="1">binary</definedName>
    <definedName name="solver_rhs59" localSheetId="4" hidden="1">binary</definedName>
    <definedName name="solver_rhs59" localSheetId="5" hidden="1">binary</definedName>
    <definedName name="solver_rhs59" localSheetId="3" hidden="1">binary</definedName>
    <definedName name="solver_rhs59" hidden="1">binary</definedName>
    <definedName name="solver_rhs6" localSheetId="13" hidden="1">binary</definedName>
    <definedName name="solver_rhs6" localSheetId="7" hidden="1">binary</definedName>
    <definedName name="solver_rhs6" localSheetId="4" hidden="1">binary</definedName>
    <definedName name="solver_rhs6" localSheetId="5" hidden="1">binary</definedName>
    <definedName name="solver_rhs6" localSheetId="3" hidden="1">binary</definedName>
    <definedName name="solver_rhs6" hidden="1">binary</definedName>
    <definedName name="solver_rhs60" localSheetId="13" hidden="1">binary</definedName>
    <definedName name="solver_rhs60" localSheetId="7" hidden="1">binary</definedName>
    <definedName name="solver_rhs60" localSheetId="4" hidden="1">binary</definedName>
    <definedName name="solver_rhs60" localSheetId="5" hidden="1">binary</definedName>
    <definedName name="solver_rhs60" localSheetId="3" hidden="1">binary</definedName>
    <definedName name="solver_rhs60" hidden="1">binary</definedName>
    <definedName name="solver_rhs61" localSheetId="13" hidden="1">binary</definedName>
    <definedName name="solver_rhs61" localSheetId="7" hidden="1">binary</definedName>
    <definedName name="solver_rhs61" localSheetId="4" hidden="1">binary</definedName>
    <definedName name="solver_rhs61" localSheetId="5" hidden="1">binary</definedName>
    <definedName name="solver_rhs61" localSheetId="3" hidden="1">binary</definedName>
    <definedName name="solver_rhs61" hidden="1">binary</definedName>
    <definedName name="solver_rhs62" localSheetId="13" hidden="1">binary</definedName>
    <definedName name="solver_rhs62" localSheetId="7" hidden="1">binary</definedName>
    <definedName name="solver_rhs62" localSheetId="4" hidden="1">binary</definedName>
    <definedName name="solver_rhs62" localSheetId="5" hidden="1">binary</definedName>
    <definedName name="solver_rhs62" localSheetId="3" hidden="1">binary</definedName>
    <definedName name="solver_rhs62" hidden="1">binary</definedName>
    <definedName name="solver_rhs63" localSheetId="13" hidden="1">binary</definedName>
    <definedName name="solver_rhs63" localSheetId="7" hidden="1">binary</definedName>
    <definedName name="solver_rhs63" localSheetId="4" hidden="1">binary</definedName>
    <definedName name="solver_rhs63" localSheetId="5" hidden="1">binary</definedName>
    <definedName name="solver_rhs63" localSheetId="3" hidden="1">binary</definedName>
    <definedName name="solver_rhs63" hidden="1">binary</definedName>
    <definedName name="solver_rhs64" localSheetId="13" hidden="1">binary</definedName>
    <definedName name="solver_rhs64" localSheetId="7" hidden="1">binary</definedName>
    <definedName name="solver_rhs64" localSheetId="4" hidden="1">binary</definedName>
    <definedName name="solver_rhs64" localSheetId="5" hidden="1">binary</definedName>
    <definedName name="solver_rhs64" localSheetId="3" hidden="1">binary</definedName>
    <definedName name="solver_rhs64" hidden="1">binary</definedName>
    <definedName name="solver_rhs65" localSheetId="13" hidden="1">binary</definedName>
    <definedName name="solver_rhs65" localSheetId="7" hidden="1">binary</definedName>
    <definedName name="solver_rhs65" localSheetId="4" hidden="1">binary</definedName>
    <definedName name="solver_rhs65" localSheetId="5" hidden="1">binary</definedName>
    <definedName name="solver_rhs65" localSheetId="3" hidden="1">binary</definedName>
    <definedName name="solver_rhs65" hidden="1">binary</definedName>
    <definedName name="solver_rhs66" localSheetId="13" hidden="1">binary</definedName>
    <definedName name="solver_rhs66" localSheetId="7" hidden="1">binary</definedName>
    <definedName name="solver_rhs66" localSheetId="4" hidden="1">binary</definedName>
    <definedName name="solver_rhs66" localSheetId="5" hidden="1">binary</definedName>
    <definedName name="solver_rhs66" localSheetId="3" hidden="1">binary</definedName>
    <definedName name="solver_rhs66" hidden="1">binary</definedName>
    <definedName name="solver_rhs67" hidden="1">[13]CFADS!#REF!</definedName>
    <definedName name="solver_rhs68" localSheetId="13" hidden="1">binary</definedName>
    <definedName name="solver_rhs68" localSheetId="7" hidden="1">binary</definedName>
    <definedName name="solver_rhs68" localSheetId="4" hidden="1">binary</definedName>
    <definedName name="solver_rhs68" localSheetId="5" hidden="1">binary</definedName>
    <definedName name="solver_rhs68" localSheetId="3" hidden="1">binary</definedName>
    <definedName name="solver_rhs68" hidden="1">binary</definedName>
    <definedName name="solver_rhs69" localSheetId="13" hidden="1">binary</definedName>
    <definedName name="solver_rhs69" localSheetId="7" hidden="1">binary</definedName>
    <definedName name="solver_rhs69" localSheetId="4" hidden="1">binary</definedName>
    <definedName name="solver_rhs69" localSheetId="5" hidden="1">binary</definedName>
    <definedName name="solver_rhs69" localSheetId="3" hidden="1">binary</definedName>
    <definedName name="solver_rhs69" hidden="1">binary</definedName>
    <definedName name="solver_rhs7" localSheetId="13" hidden="1">binary</definedName>
    <definedName name="solver_rhs7" localSheetId="7" hidden="1">binary</definedName>
    <definedName name="solver_rhs7" localSheetId="4" hidden="1">binary</definedName>
    <definedName name="solver_rhs7" localSheetId="5" hidden="1">binary</definedName>
    <definedName name="solver_rhs7" localSheetId="3" hidden="1">binary</definedName>
    <definedName name="solver_rhs7" hidden="1">binary</definedName>
    <definedName name="solver_rhs70" localSheetId="13" hidden="1">binary</definedName>
    <definedName name="solver_rhs70" localSheetId="7" hidden="1">binary</definedName>
    <definedName name="solver_rhs70" localSheetId="4" hidden="1">binary</definedName>
    <definedName name="solver_rhs70" localSheetId="5" hidden="1">binary</definedName>
    <definedName name="solver_rhs70" localSheetId="3" hidden="1">binary</definedName>
    <definedName name="solver_rhs70" hidden="1">binary</definedName>
    <definedName name="solver_rhs71" localSheetId="13" hidden="1">binary</definedName>
    <definedName name="solver_rhs71" localSheetId="7" hidden="1">binary</definedName>
    <definedName name="solver_rhs71" localSheetId="4" hidden="1">binary</definedName>
    <definedName name="solver_rhs71" localSheetId="5" hidden="1">binary</definedName>
    <definedName name="solver_rhs71" localSheetId="3" hidden="1">binary</definedName>
    <definedName name="solver_rhs71" hidden="1">binary</definedName>
    <definedName name="solver_rhs72" localSheetId="13" hidden="1">binary</definedName>
    <definedName name="solver_rhs72" localSheetId="7" hidden="1">binary</definedName>
    <definedName name="solver_rhs72" localSheetId="4" hidden="1">binary</definedName>
    <definedName name="solver_rhs72" localSheetId="5" hidden="1">binary</definedName>
    <definedName name="solver_rhs72" localSheetId="3" hidden="1">binary</definedName>
    <definedName name="solver_rhs72" hidden="1">binary</definedName>
    <definedName name="solver_rhs73" localSheetId="13" hidden="1">binary</definedName>
    <definedName name="solver_rhs73" localSheetId="7" hidden="1">binary</definedName>
    <definedName name="solver_rhs73" localSheetId="4" hidden="1">binary</definedName>
    <definedName name="solver_rhs73" localSheetId="5" hidden="1">binary</definedName>
    <definedName name="solver_rhs73" localSheetId="3" hidden="1">binary</definedName>
    <definedName name="solver_rhs73" hidden="1">binary</definedName>
    <definedName name="solver_rhs74" localSheetId="13" hidden="1">binary</definedName>
    <definedName name="solver_rhs74" localSheetId="7" hidden="1">binary</definedName>
    <definedName name="solver_rhs74" localSheetId="4" hidden="1">binary</definedName>
    <definedName name="solver_rhs74" localSheetId="5" hidden="1">binary</definedName>
    <definedName name="solver_rhs74" localSheetId="3" hidden="1">binary</definedName>
    <definedName name="solver_rhs74" hidden="1">binary</definedName>
    <definedName name="solver_rhs75" localSheetId="13" hidden="1">binary</definedName>
    <definedName name="solver_rhs75" localSheetId="7" hidden="1">binary</definedName>
    <definedName name="solver_rhs75" localSheetId="4" hidden="1">binary</definedName>
    <definedName name="solver_rhs75" localSheetId="5" hidden="1">binary</definedName>
    <definedName name="solver_rhs75" localSheetId="3" hidden="1">binary</definedName>
    <definedName name="solver_rhs75" hidden="1">binary</definedName>
    <definedName name="solver_rhs76" localSheetId="13" hidden="1">binary</definedName>
    <definedName name="solver_rhs76" localSheetId="7" hidden="1">binary</definedName>
    <definedName name="solver_rhs76" localSheetId="4" hidden="1">binary</definedName>
    <definedName name="solver_rhs76" localSheetId="5" hidden="1">binary</definedName>
    <definedName name="solver_rhs76" localSheetId="3" hidden="1">binary</definedName>
    <definedName name="solver_rhs76" hidden="1">binary</definedName>
    <definedName name="solver_rhs77" localSheetId="13" hidden="1">binary</definedName>
    <definedName name="solver_rhs77" localSheetId="7" hidden="1">binary</definedName>
    <definedName name="solver_rhs77" localSheetId="4" hidden="1">binary</definedName>
    <definedName name="solver_rhs77" localSheetId="5" hidden="1">binary</definedName>
    <definedName name="solver_rhs77" localSheetId="3" hidden="1">binary</definedName>
    <definedName name="solver_rhs77" hidden="1">binary</definedName>
    <definedName name="solver_rhs78" localSheetId="13" hidden="1">binary</definedName>
    <definedName name="solver_rhs78" localSheetId="7" hidden="1">binary</definedName>
    <definedName name="solver_rhs78" localSheetId="4" hidden="1">binary</definedName>
    <definedName name="solver_rhs78" localSheetId="5" hidden="1">binary</definedName>
    <definedName name="solver_rhs78" localSheetId="3" hidden="1">binary</definedName>
    <definedName name="solver_rhs78" hidden="1">binary</definedName>
    <definedName name="solver_rhs79" localSheetId="13" hidden="1">binary</definedName>
    <definedName name="solver_rhs79" localSheetId="7" hidden="1">binary</definedName>
    <definedName name="solver_rhs79" localSheetId="4" hidden="1">binary</definedName>
    <definedName name="solver_rhs79" localSheetId="5" hidden="1">binary</definedName>
    <definedName name="solver_rhs79" localSheetId="3" hidden="1">binary</definedName>
    <definedName name="solver_rhs79" hidden="1">binary</definedName>
    <definedName name="solver_rhs8" localSheetId="13" hidden="1">binary</definedName>
    <definedName name="solver_rhs8" localSheetId="7" hidden="1">binary</definedName>
    <definedName name="solver_rhs8" localSheetId="4" hidden="1">binary</definedName>
    <definedName name="solver_rhs8" localSheetId="5" hidden="1">binary</definedName>
    <definedName name="solver_rhs8" localSheetId="3" hidden="1">binary</definedName>
    <definedName name="solver_rhs8" hidden="1">binary</definedName>
    <definedName name="solver_rhs80" localSheetId="13" hidden="1">binary</definedName>
    <definedName name="solver_rhs80" localSheetId="7" hidden="1">binary</definedName>
    <definedName name="solver_rhs80" localSheetId="4" hidden="1">binary</definedName>
    <definedName name="solver_rhs80" localSheetId="5" hidden="1">binary</definedName>
    <definedName name="solver_rhs80" localSheetId="3" hidden="1">binary</definedName>
    <definedName name="solver_rhs80" hidden="1">binary</definedName>
    <definedName name="solver_rhs81" localSheetId="13" hidden="1">binary</definedName>
    <definedName name="solver_rhs81" localSheetId="7" hidden="1">binary</definedName>
    <definedName name="solver_rhs81" localSheetId="4" hidden="1">binary</definedName>
    <definedName name="solver_rhs81" localSheetId="5" hidden="1">binary</definedName>
    <definedName name="solver_rhs81" localSheetId="3" hidden="1">binary</definedName>
    <definedName name="solver_rhs81" hidden="1">binary</definedName>
    <definedName name="solver_rhs82" localSheetId="13" hidden="1">binary</definedName>
    <definedName name="solver_rhs82" localSheetId="7" hidden="1">binary</definedName>
    <definedName name="solver_rhs82" localSheetId="4" hidden="1">binary</definedName>
    <definedName name="solver_rhs82" localSheetId="5" hidden="1">binary</definedName>
    <definedName name="solver_rhs82" localSheetId="3" hidden="1">binary</definedName>
    <definedName name="solver_rhs82" hidden="1">binary</definedName>
    <definedName name="solver_rhs83" localSheetId="13" hidden="1">binary</definedName>
    <definedName name="solver_rhs83" localSheetId="7" hidden="1">binary</definedName>
    <definedName name="solver_rhs83" localSheetId="4" hidden="1">binary</definedName>
    <definedName name="solver_rhs83" localSheetId="5" hidden="1">binary</definedName>
    <definedName name="solver_rhs83" localSheetId="3" hidden="1">binary</definedName>
    <definedName name="solver_rhs83" hidden="1">binary</definedName>
    <definedName name="solver_rhs84" localSheetId="13" hidden="1">binary</definedName>
    <definedName name="solver_rhs84" localSheetId="7" hidden="1">binary</definedName>
    <definedName name="solver_rhs84" localSheetId="4" hidden="1">binary</definedName>
    <definedName name="solver_rhs84" localSheetId="5" hidden="1">binary</definedName>
    <definedName name="solver_rhs84" localSheetId="3" hidden="1">binary</definedName>
    <definedName name="solver_rhs84" hidden="1">binary</definedName>
    <definedName name="solver_rhs85" localSheetId="13" hidden="1">binary</definedName>
    <definedName name="solver_rhs85" localSheetId="7" hidden="1">binary</definedName>
    <definedName name="solver_rhs85" localSheetId="4" hidden="1">binary</definedName>
    <definedName name="solver_rhs85" localSheetId="5" hidden="1">binary</definedName>
    <definedName name="solver_rhs85" localSheetId="3" hidden="1">binary</definedName>
    <definedName name="solver_rhs85" hidden="1">binary</definedName>
    <definedName name="solver_rhs86" localSheetId="13" hidden="1">binary</definedName>
    <definedName name="solver_rhs86" localSheetId="7" hidden="1">binary</definedName>
    <definedName name="solver_rhs86" localSheetId="4" hidden="1">binary</definedName>
    <definedName name="solver_rhs86" localSheetId="5" hidden="1">binary</definedName>
    <definedName name="solver_rhs86" localSheetId="3" hidden="1">binary</definedName>
    <definedName name="solver_rhs86" hidden="1">binary</definedName>
    <definedName name="solver_rhs87" localSheetId="13" hidden="1">binary</definedName>
    <definedName name="solver_rhs87" localSheetId="7" hidden="1">binary</definedName>
    <definedName name="solver_rhs87" localSheetId="4" hidden="1">binary</definedName>
    <definedName name="solver_rhs87" localSheetId="5" hidden="1">binary</definedName>
    <definedName name="solver_rhs87" localSheetId="3" hidden="1">binary</definedName>
    <definedName name="solver_rhs87" hidden="1">binary</definedName>
    <definedName name="solver_rhs88" localSheetId="13" hidden="1">binary</definedName>
    <definedName name="solver_rhs88" localSheetId="7" hidden="1">binary</definedName>
    <definedName name="solver_rhs88" localSheetId="4" hidden="1">binary</definedName>
    <definedName name="solver_rhs88" localSheetId="5" hidden="1">binary</definedName>
    <definedName name="solver_rhs88" localSheetId="3" hidden="1">binary</definedName>
    <definedName name="solver_rhs88" hidden="1">binary</definedName>
    <definedName name="solver_rhs9" localSheetId="13" hidden="1">binary</definedName>
    <definedName name="solver_rhs9" localSheetId="7" hidden="1">binary</definedName>
    <definedName name="solver_rhs9" localSheetId="4" hidden="1">binary</definedName>
    <definedName name="solver_rhs9" localSheetId="5" hidden="1">binary</definedName>
    <definedName name="solver_rhs9" localSheetId="3" hidden="1">binary</definedName>
    <definedName name="solver_rhs9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cl" hidden="1">2</definedName>
    <definedName name="solver_sho" localSheetId="0" hidden="1">2</definedName>
    <definedName name="solver_sho" hidden="1">2</definedName>
    <definedName name="solver_ssz" localSheetId="0" hidden="1">100</definedName>
    <definedName name="solver_tim" localSheetId="0" hidden="1">2147483647</definedName>
    <definedName name="solver_tim" hidden="1">100</definedName>
    <definedName name="solver_tol" localSheetId="0" hidden="1">0.01</definedName>
    <definedName name="solver_tol" hidden="1">0.05</definedName>
    <definedName name="solver_typ" localSheetId="0" hidden="1">3</definedName>
    <definedName name="solver_typ" hidden="1">1</definedName>
    <definedName name="solver_val" localSheetId="0" hidden="1">20500000</definedName>
    <definedName name="solver_val" hidden="1">0</definedName>
    <definedName name="solver_ver" localSheetId="0" hidden="1">2</definedName>
    <definedName name="solver2" hidden="1">'[15]14-2010'!#REF!</definedName>
    <definedName name="SPM" localSheetId="13" hidden="1">{#N/A,#N/A,FALSE,"Cashflow Analysis";#N/A,#N/A,FALSE,"Sensitivity Analysis";#N/A,#N/A,FALSE,"PV";#N/A,#N/A,FALSE,"Pro Forma"}</definedName>
    <definedName name="SPM" localSheetId="7" hidden="1">{#N/A,#N/A,FALSE,"Cashflow Analysis";#N/A,#N/A,FALSE,"Sensitivity Analysis";#N/A,#N/A,FALSE,"PV";#N/A,#N/A,FALSE,"Pro Forma"}</definedName>
    <definedName name="SPM" localSheetId="4" hidden="1">{#N/A,#N/A,FALSE,"Cashflow Analysis";#N/A,#N/A,FALSE,"Sensitivity Analysis";#N/A,#N/A,FALSE,"PV";#N/A,#N/A,FALSE,"Pro Forma"}</definedName>
    <definedName name="SPM" localSheetId="5" hidden="1">{#N/A,#N/A,FALSE,"Cashflow Analysis";#N/A,#N/A,FALSE,"Sensitivity Analysis";#N/A,#N/A,FALSE,"PV";#N/A,#N/A,FALSE,"Pro Forma"}</definedName>
    <definedName name="SPM" localSheetId="3" hidden="1">{#N/A,#N/A,FALSE,"Cashflow Analysis";#N/A,#N/A,FALSE,"Sensitivity Analysis";#N/A,#N/A,FALSE,"PV";#N/A,#N/A,FALSE,"Pro Forma"}</definedName>
    <definedName name="SPM" hidden="1">{#N/A,#N/A,FALSE,"Cashflow Analysis";#N/A,#N/A,FALSE,"Sensitivity Analysis";#N/A,#N/A,FALSE,"PV";#N/A,#N/A,FALSE,"Pro Forma"}</definedName>
    <definedName name="SPM.2" localSheetId="13" hidden="1">{#N/A,#N/A,FALSE,"Cashflow Analysis";#N/A,#N/A,FALSE,"Sensitivity Analysis";#N/A,#N/A,FALSE,"PV";#N/A,#N/A,FALSE,"Pro Forma"}</definedName>
    <definedName name="SPM.2" localSheetId="7" hidden="1">{#N/A,#N/A,FALSE,"Cashflow Analysis";#N/A,#N/A,FALSE,"Sensitivity Analysis";#N/A,#N/A,FALSE,"PV";#N/A,#N/A,FALSE,"Pro Forma"}</definedName>
    <definedName name="SPM.2" localSheetId="4" hidden="1">{#N/A,#N/A,FALSE,"Cashflow Analysis";#N/A,#N/A,FALSE,"Sensitivity Analysis";#N/A,#N/A,FALSE,"PV";#N/A,#N/A,FALSE,"Pro Forma"}</definedName>
    <definedName name="SPM.2" localSheetId="5" hidden="1">{#N/A,#N/A,FALSE,"Cashflow Analysis";#N/A,#N/A,FALSE,"Sensitivity Analysis";#N/A,#N/A,FALSE,"PV";#N/A,#N/A,FALSE,"Pro Forma"}</definedName>
    <definedName name="SPM.2" localSheetId="3" hidden="1">{#N/A,#N/A,FALSE,"Cashflow Analysis";#N/A,#N/A,FALSE,"Sensitivity Analysis";#N/A,#N/A,FALSE,"PV";#N/A,#N/A,FALSE,"Pro Forma"}</definedName>
    <definedName name="SPM.2" hidden="1">{#N/A,#N/A,FALSE,"Cashflow Analysis";#N/A,#N/A,FALSE,"Sensitivity Analysis";#N/A,#N/A,FALSE,"PV";#N/A,#N/A,FALSE,"Pro Forma"}</definedName>
    <definedName name="SponsorContribution">Summary!$E$29</definedName>
    <definedName name="SponsorHurdle1">Summary!$E$30</definedName>
    <definedName name="SponsorSplit">Summary!$E$31</definedName>
    <definedName name="tax_growth_rate">'Ops Assumptions'!$P$34</definedName>
    <definedName name="TaxRate">'Opex Budget'!$E$16</definedName>
    <definedName name="TotalHardCosts" hidden="1">[16]CostBreakdownSummary!$F$94</definedName>
    <definedName name="TotalProjectCosts">'Closing Budget'!$I$73</definedName>
    <definedName name="TotalProjectOHLot" hidden="1">[16]CostBreakdownSummary!$F$25</definedName>
    <definedName name="TotalRenovationTime">'Renovation Budget'!$H$39</definedName>
    <definedName name="TotalSalesPrice" hidden="1">[16]CostBreakdownSummary!$F$9</definedName>
    <definedName name="trial" localSheetId="13" hidden="1">{"Outflow 1",#N/A,FALSE,"Outflows-Inflows";"Outflow 2",#N/A,FALSE,"Outflows-Inflows";"Inflow 1",#N/A,FALSE,"Outflows-Inflows";"Inflow 2",#N/A,FALSE,"Outflows-Inflows"}</definedName>
    <definedName name="trial" localSheetId="7" hidden="1">{"Outflow 1",#N/A,FALSE,"Outflows-Inflows";"Outflow 2",#N/A,FALSE,"Outflows-Inflows";"Inflow 1",#N/A,FALSE,"Outflows-Inflows";"Inflow 2",#N/A,FALSE,"Outflows-Inflows"}</definedName>
    <definedName name="trial" localSheetId="4" hidden="1">{"Outflow 1",#N/A,FALSE,"Outflows-Inflows";"Outflow 2",#N/A,FALSE,"Outflows-Inflows";"Inflow 1",#N/A,FALSE,"Outflows-Inflows";"Inflow 2",#N/A,FALSE,"Outflows-Inflows"}</definedName>
    <definedName name="trial" localSheetId="5" hidden="1">{"Outflow 1",#N/A,FALSE,"Outflows-Inflows";"Outflow 2",#N/A,FALSE,"Outflows-Inflows";"Inflow 1",#N/A,FALSE,"Outflows-Inflows";"Inflow 2",#N/A,FALSE,"Outflows-Inflows"}</definedName>
    <definedName name="trial" localSheetId="3" hidden="1">{"Outflow 1",#N/A,FALSE,"Outflows-Inflows";"Outflow 2",#N/A,FALSE,"Outflows-Inflows";"Inflow 1",#N/A,FALSE,"Outflows-Inflows";"Inflow 2",#N/A,FALSE,"Outflows-Inflows"}</definedName>
    <definedName name="trial" hidden="1">{"Outflow 1",#N/A,FALSE,"Outflows-Inflows";"Outflow 2",#N/A,FALSE,"Outflows-Inflows";"Inflow 1",#N/A,FALSE,"Outflows-Inflows";"Inflow 2",#N/A,FALSE,"Outflows-Inflows"}</definedName>
    <definedName name="tyler" localSheetId="1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tyler" localSheetId="7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tyler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tyler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tyler" localSheetId="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tyler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tyler1" localSheetId="1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tyler1" localSheetId="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tyler1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tyler1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tyler1" localSheetId="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tyler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nitMixCount">OFFSET( Summary!$AR$6,,,COUNTIF(Summary!$AR$6:$AR$12,"&gt;"&amp;0),)</definedName>
    <definedName name="UnitMixType">OFFSET( Summary!$AQ$6,,,COUNTIF(Summary!$AR$6:$AR$12,"&gt;"&amp;0),)</definedName>
    <definedName name="units">'Unit Mix-Reno Schedule'!$C$22</definedName>
    <definedName name="uyfkf" localSheetId="1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localSheetId="7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localSheetId="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localSheetId="1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localSheetId="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localSheetId="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alue" localSheetId="13" hidden="1">{#N/A,#N/A,FALSE,"Cashflow Analysis";#N/A,#N/A,FALSE,"Sensitivity Analysis";#N/A,#N/A,FALSE,"PV";#N/A,#N/A,FALSE,"Pro Forma"}</definedName>
    <definedName name="Value" localSheetId="7" hidden="1">{#N/A,#N/A,FALSE,"Cashflow Analysis";#N/A,#N/A,FALSE,"Sensitivity Analysis";#N/A,#N/A,FALSE,"PV";#N/A,#N/A,FALSE,"Pro Forma"}</definedName>
    <definedName name="Value" localSheetId="4" hidden="1">{#N/A,#N/A,FALSE,"Cashflow Analysis";#N/A,#N/A,FALSE,"Sensitivity Analysis";#N/A,#N/A,FALSE,"PV";#N/A,#N/A,FALSE,"Pro Forma"}</definedName>
    <definedName name="Value" localSheetId="5" hidden="1">{#N/A,#N/A,FALSE,"Cashflow Analysis";#N/A,#N/A,FALSE,"Sensitivity Analysis";#N/A,#N/A,FALSE,"PV";#N/A,#N/A,FALSE,"Pro Forma"}</definedName>
    <definedName name="Value" localSheetId="3" hidden="1">{#N/A,#N/A,FALSE,"Cashflow Analysis";#N/A,#N/A,FALSE,"Sensitivity Analysis";#N/A,#N/A,FALSE,"PV";#N/A,#N/A,FALSE,"Pro Forma"}</definedName>
    <definedName name="Value" hidden="1">{#N/A,#N/A,FALSE,"Cashflow Analysis";#N/A,#N/A,FALSE,"Sensitivity Analysis";#N/A,#N/A,FALSE,"PV";#N/A,#N/A,FALSE,"Pro Forma"}</definedName>
    <definedName name="Value.2" localSheetId="13" hidden="1">{#N/A,#N/A,FALSE,"Cashflow Analysis";#N/A,#N/A,FALSE,"Sensitivity Analysis";#N/A,#N/A,FALSE,"PV";#N/A,#N/A,FALSE,"Pro Forma"}</definedName>
    <definedName name="Value.2" localSheetId="7" hidden="1">{#N/A,#N/A,FALSE,"Cashflow Analysis";#N/A,#N/A,FALSE,"Sensitivity Analysis";#N/A,#N/A,FALSE,"PV";#N/A,#N/A,FALSE,"Pro Forma"}</definedName>
    <definedName name="Value.2" localSheetId="4" hidden="1">{#N/A,#N/A,FALSE,"Cashflow Analysis";#N/A,#N/A,FALSE,"Sensitivity Analysis";#N/A,#N/A,FALSE,"PV";#N/A,#N/A,FALSE,"Pro Forma"}</definedName>
    <definedName name="Value.2" localSheetId="5" hidden="1">{#N/A,#N/A,FALSE,"Cashflow Analysis";#N/A,#N/A,FALSE,"Sensitivity Analysis";#N/A,#N/A,FALSE,"PV";#N/A,#N/A,FALSE,"Pro Forma"}</definedName>
    <definedName name="Value.2" localSheetId="3" hidden="1">{#N/A,#N/A,FALSE,"Cashflow Analysis";#N/A,#N/A,FALSE,"Sensitivity Analysis";#N/A,#N/A,FALSE,"PV";#N/A,#N/A,FALSE,"Pro Forma"}</definedName>
    <definedName name="Value.2" hidden="1">{#N/A,#N/A,FALSE,"Cashflow Analysis";#N/A,#N/A,FALSE,"Sensitivity Analysis";#N/A,#N/A,FALSE,"PV";#N/A,#N/A,FALSE,"Pro Forma"}</definedName>
    <definedName name="value1" localSheetId="13" hidden="1">{#N/A,#N/A,FALSE,"Cashflow Analysis";#N/A,#N/A,FALSE,"Sensitivity Analysis";#N/A,#N/A,FALSE,"PV";#N/A,#N/A,FALSE,"Pro Forma"}</definedName>
    <definedName name="value1" localSheetId="7" hidden="1">{#N/A,#N/A,FALSE,"Cashflow Analysis";#N/A,#N/A,FALSE,"Sensitivity Analysis";#N/A,#N/A,FALSE,"PV";#N/A,#N/A,FALSE,"Pro Forma"}</definedName>
    <definedName name="value1" localSheetId="4" hidden="1">{#N/A,#N/A,FALSE,"Cashflow Analysis";#N/A,#N/A,FALSE,"Sensitivity Analysis";#N/A,#N/A,FALSE,"PV";#N/A,#N/A,FALSE,"Pro Forma"}</definedName>
    <definedName name="value1" localSheetId="5" hidden="1">{#N/A,#N/A,FALSE,"Cashflow Analysis";#N/A,#N/A,FALSE,"Sensitivity Analysis";#N/A,#N/A,FALSE,"PV";#N/A,#N/A,FALSE,"Pro Forma"}</definedName>
    <definedName name="value1" localSheetId="3" hidden="1">{#N/A,#N/A,FALSE,"Cashflow Analysis";#N/A,#N/A,FALSE,"Sensitivity Analysis";#N/A,#N/A,FALSE,"PV";#N/A,#N/A,FALSE,"Pro Forma"}</definedName>
    <definedName name="value1" hidden="1">{#N/A,#N/A,FALSE,"Cashflow Analysis";#N/A,#N/A,FALSE,"Sensitivity Analysis";#N/A,#N/A,FALSE,"PV";#N/A,#N/A,FALSE,"Pro Forma"}</definedName>
    <definedName name="value1.2" localSheetId="13" hidden="1">{#N/A,#N/A,FALSE,"Cashflow Analysis";#N/A,#N/A,FALSE,"Sensitivity Analysis";#N/A,#N/A,FALSE,"PV";#N/A,#N/A,FALSE,"Pro Forma"}</definedName>
    <definedName name="value1.2" localSheetId="7" hidden="1">{#N/A,#N/A,FALSE,"Cashflow Analysis";#N/A,#N/A,FALSE,"Sensitivity Analysis";#N/A,#N/A,FALSE,"PV";#N/A,#N/A,FALSE,"Pro Forma"}</definedName>
    <definedName name="value1.2" localSheetId="4" hidden="1">{#N/A,#N/A,FALSE,"Cashflow Analysis";#N/A,#N/A,FALSE,"Sensitivity Analysis";#N/A,#N/A,FALSE,"PV";#N/A,#N/A,FALSE,"Pro Forma"}</definedName>
    <definedName name="value1.2" localSheetId="5" hidden="1">{#N/A,#N/A,FALSE,"Cashflow Analysis";#N/A,#N/A,FALSE,"Sensitivity Analysis";#N/A,#N/A,FALSE,"PV";#N/A,#N/A,FALSE,"Pro Forma"}</definedName>
    <definedName name="value1.2" localSheetId="3" hidden="1">{#N/A,#N/A,FALSE,"Cashflow Analysis";#N/A,#N/A,FALSE,"Sensitivity Analysis";#N/A,#N/A,FALSE,"PV";#N/A,#N/A,FALSE,"Pro Forma"}</definedName>
    <definedName name="value1.2" hidden="1">{#N/A,#N/A,FALSE,"Cashflow Analysis";#N/A,#N/A,FALSE,"Sensitivity Analysis";#N/A,#N/A,FALSE,"PV";#N/A,#N/A,FALSE,"Pro Forma"}</definedName>
    <definedName name="vvvv" localSheetId="13" hidden="1">{#N/A,#N/A,FALSE,"Cashflow Analysis";#N/A,#N/A,FALSE,"Sensitivity Analysis";#N/A,#N/A,FALSE,"PV";#N/A,#N/A,FALSE,"Pro Forma"}</definedName>
    <definedName name="vvvv" localSheetId="7" hidden="1">{#N/A,#N/A,FALSE,"Cashflow Analysis";#N/A,#N/A,FALSE,"Sensitivity Analysis";#N/A,#N/A,FALSE,"PV";#N/A,#N/A,FALSE,"Pro Forma"}</definedName>
    <definedName name="vvvv" localSheetId="4" hidden="1">{#N/A,#N/A,FALSE,"Cashflow Analysis";#N/A,#N/A,FALSE,"Sensitivity Analysis";#N/A,#N/A,FALSE,"PV";#N/A,#N/A,FALSE,"Pro Forma"}</definedName>
    <definedName name="vvvv" localSheetId="5" hidden="1">{#N/A,#N/A,FALSE,"Cashflow Analysis";#N/A,#N/A,FALSE,"Sensitivity Analysis";#N/A,#N/A,FALSE,"PV";#N/A,#N/A,FALSE,"Pro Forma"}</definedName>
    <definedName name="vvvv" localSheetId="3" hidden="1">{#N/A,#N/A,FALSE,"Cashflow Analysis";#N/A,#N/A,FALSE,"Sensitivity Analysis";#N/A,#N/A,FALSE,"PV";#N/A,#N/A,FALSE,"Pro Forma"}</definedName>
    <definedName name="vvvv" hidden="1">{#N/A,#N/A,FALSE,"Cashflow Analysis";#N/A,#N/A,FALSE,"Sensitivity Analysis";#N/A,#N/A,FALSE,"PV";#N/A,#N/A,FALSE,"Pro Forma"}</definedName>
    <definedName name="VVVV.2" localSheetId="13" hidden="1">{#N/A,#N/A,FALSE,"Cashflow Analysis";#N/A,#N/A,FALSE,"Sensitivity Analysis";#N/A,#N/A,FALSE,"PV";#N/A,#N/A,FALSE,"Pro Forma"}</definedName>
    <definedName name="VVVV.2" localSheetId="7" hidden="1">{#N/A,#N/A,FALSE,"Cashflow Analysis";#N/A,#N/A,FALSE,"Sensitivity Analysis";#N/A,#N/A,FALSE,"PV";#N/A,#N/A,FALSE,"Pro Forma"}</definedName>
    <definedName name="VVVV.2" localSheetId="4" hidden="1">{#N/A,#N/A,FALSE,"Cashflow Analysis";#N/A,#N/A,FALSE,"Sensitivity Analysis";#N/A,#N/A,FALSE,"PV";#N/A,#N/A,FALSE,"Pro Forma"}</definedName>
    <definedName name="VVVV.2" localSheetId="5" hidden="1">{#N/A,#N/A,FALSE,"Cashflow Analysis";#N/A,#N/A,FALSE,"Sensitivity Analysis";#N/A,#N/A,FALSE,"PV";#N/A,#N/A,FALSE,"Pro Forma"}</definedName>
    <definedName name="VVVV.2" localSheetId="3" hidden="1">{#N/A,#N/A,FALSE,"Cashflow Analysis";#N/A,#N/A,FALSE,"Sensitivity Analysis";#N/A,#N/A,FALSE,"PV";#N/A,#N/A,FALSE,"Pro Forma"}</definedName>
    <definedName name="VVVV.2" hidden="1">{#N/A,#N/A,FALSE,"Cashflow Analysis";#N/A,#N/A,FALSE,"Sensitivity Analysis";#N/A,#N/A,FALSE,"PV";#N/A,#N/A,FALSE,"Pro Forma"}</definedName>
    <definedName name="w" localSheetId="13" hidden="1">{"cap_structure",#N/A,FALSE,"Graph-Mkt Cap";"price",#N/A,FALSE,"Graph-Price";"ebit",#N/A,FALSE,"Graph-EBITDA";"ebitda",#N/A,FALSE,"Graph-EBITDA"}</definedName>
    <definedName name="w" localSheetId="7" hidden="1">{"cap_structure",#N/A,FALSE,"Graph-Mkt Cap";"price",#N/A,FALSE,"Graph-Price";"ebit",#N/A,FALSE,"Graph-EBITDA";"ebitda",#N/A,FALSE,"Graph-EBITDA"}</definedName>
    <definedName name="w" localSheetId="4" hidden="1">{"cap_structure",#N/A,FALSE,"Graph-Mkt Cap";"price",#N/A,FALSE,"Graph-Price";"ebit",#N/A,FALSE,"Graph-EBITDA";"ebitda",#N/A,FALSE,"Graph-EBITDA"}</definedName>
    <definedName name="w" localSheetId="5" hidden="1">{"cap_structure",#N/A,FALSE,"Graph-Mkt Cap";"price",#N/A,FALSE,"Graph-Price";"ebit",#N/A,FALSE,"Graph-EBITDA";"ebitda",#N/A,FALSE,"Graph-EBITDA"}</definedName>
    <definedName name="w" localSheetId="3" hidden="1">{"cap_structure",#N/A,FALSE,"Graph-Mkt Cap";"price",#N/A,FALSE,"Graph-Price";"ebit",#N/A,FALSE,"Graph-EBITDA";"ebitda",#N/A,FALSE,"Graph-EBITDA"}</definedName>
    <definedName name="w" hidden="1">{"cap_structure",#N/A,FALSE,"Graph-Mkt Cap";"price",#N/A,FALSE,"Graph-Price";"ebit",#N/A,FALSE,"Graph-EBITDA";"ebitda",#N/A,FALSE,"Graph-EBITDA"}</definedName>
    <definedName name="wafe" localSheetId="13" hidden="1">{"summary1",#N/A,TRUE,"Comps";"summary2",#N/A,TRUE,"Comps";"summary3",#N/A,TRUE,"Comps"}</definedName>
    <definedName name="wafe" localSheetId="7" hidden="1">{"summary1",#N/A,TRUE,"Comps";"summary2",#N/A,TRUE,"Comps";"summary3",#N/A,TRUE,"Comps"}</definedName>
    <definedName name="wafe" localSheetId="4" hidden="1">{"summary1",#N/A,TRUE,"Comps";"summary2",#N/A,TRUE,"Comps";"summary3",#N/A,TRUE,"Comps"}</definedName>
    <definedName name="wafe" localSheetId="5" hidden="1">{"summary1",#N/A,TRUE,"Comps";"summary2",#N/A,TRUE,"Comps";"summary3",#N/A,TRUE,"Comps"}</definedName>
    <definedName name="wafe" localSheetId="3" hidden="1">{"summary1",#N/A,TRUE,"Comps";"summary2",#N/A,TRUE,"Comps";"summary3",#N/A,TRUE,"Comps"}</definedName>
    <definedName name="wafe" hidden="1">{"summary1",#N/A,TRUE,"Comps";"summary2",#N/A,TRUE,"Comps";"summary3",#N/A,TRUE,"Comps"}</definedName>
    <definedName name="WEA" localSheetId="1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localSheetId="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localSheetId="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1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QQE" localSheetId="13" hidden="1">{"summary1",#N/A,TRUE,"Comps";"summary2",#N/A,TRUE,"Comps";"summary3",#N/A,TRUE,"Comps"}</definedName>
    <definedName name="WEQQE" localSheetId="7" hidden="1">{"summary1",#N/A,TRUE,"Comps";"summary2",#N/A,TRUE,"Comps";"summary3",#N/A,TRUE,"Comps"}</definedName>
    <definedName name="WEQQE" localSheetId="4" hidden="1">{"summary1",#N/A,TRUE,"Comps";"summary2",#N/A,TRUE,"Comps";"summary3",#N/A,TRUE,"Comps"}</definedName>
    <definedName name="WEQQE" localSheetId="5" hidden="1">{"summary1",#N/A,TRUE,"Comps";"summary2",#N/A,TRUE,"Comps";"summary3",#N/A,TRUE,"Comps"}</definedName>
    <definedName name="WEQQE" localSheetId="3" hidden="1">{"summary1",#N/A,TRUE,"Comps";"summary2",#N/A,TRUE,"Comps";"summary3",#N/A,TRUE,"Comps"}</definedName>
    <definedName name="WEQQE" hidden="1">{"summary1",#N/A,TRUE,"Comps";"summary2",#N/A,TRUE,"Comps";"summary3",#N/A,TRUE,"Comps"}</definedName>
    <definedName name="WQE" localSheetId="1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localSheetId="7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localSheetId="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localSheetId="1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localSheetId="7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localSheetId="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d.2._.pagers.3" localSheetId="13" hidden="1">{"Cover",#N/A,FALSE,"Cover";"Summary",#N/A,FALSE,"Summarpage"}</definedName>
    <definedName name="wrd.2._.pagers.3" localSheetId="7" hidden="1">{"Cover",#N/A,FALSE,"Cover";"Summary",#N/A,FALSE,"Summarpage"}</definedName>
    <definedName name="wrd.2._.pagers.3" localSheetId="4" hidden="1">{"Cover",#N/A,FALSE,"Cover";"Summary",#N/A,FALSE,"Summarpage"}</definedName>
    <definedName name="wrd.2._.pagers.3" localSheetId="5" hidden="1">{"Cover",#N/A,FALSE,"Cover";"Summary",#N/A,FALSE,"Summarpage"}</definedName>
    <definedName name="wrd.2._.pagers.3" localSheetId="3" hidden="1">{"Cover",#N/A,FALSE,"Cover";"Summary",#N/A,FALSE,"Summarpage"}</definedName>
    <definedName name="wrd.2._.pagers.3" hidden="1">{"Cover",#N/A,FALSE,"Cover";"Summary",#N/A,FALSE,"Summarpage"}</definedName>
    <definedName name="wrn.10._.Year._.Analysis." localSheetId="13" hidden="1">{"Data Input",#N/A,TRUE,"Data Input";"10-Yr Cash Flow",#N/A,TRUE,"Cash Flow";"10-Yr Value",#N/A,TRUE,"Value "}</definedName>
    <definedName name="wrn.10._.Year._.Analysis." localSheetId="7" hidden="1">{"Data Input",#N/A,TRUE,"Data Input";"10-Yr Cash Flow",#N/A,TRUE,"Cash Flow";"10-Yr Value",#N/A,TRUE,"Value "}</definedName>
    <definedName name="wrn.10._.Year._.Analysis." localSheetId="4" hidden="1">{"Data Input",#N/A,TRUE,"Data Input";"10-Yr Cash Flow",#N/A,TRUE,"Cash Flow";"10-Yr Value",#N/A,TRUE,"Value "}</definedName>
    <definedName name="wrn.10._.Year._.Analysis." localSheetId="5" hidden="1">{"Data Input",#N/A,TRUE,"Data Input";"10-Yr Cash Flow",#N/A,TRUE,"Cash Flow";"10-Yr Value",#N/A,TRUE,"Value "}</definedName>
    <definedName name="wrn.10._.Year._.Analysis." localSheetId="3" hidden="1">{"Data Input",#N/A,TRUE,"Data Input";"10-Yr Cash Flow",#N/A,TRUE,"Cash Flow";"10-Yr Value",#N/A,TRUE,"Value "}</definedName>
    <definedName name="wrn.10._.Year._.Analysis." hidden="1">{"Data Input",#N/A,TRUE,"Data Input";"10-Yr Cash Flow",#N/A,TRUE,"Cash Flow";"10-Yr Value",#N/A,TRUE,"Value "}</definedName>
    <definedName name="wrn.15._.Year._.Analysis." localSheetId="13" hidden="1">{"Data Input",#N/A,TRUE,"Data Input";"15-Yr Cash Flow",#N/A,TRUE,"Cash Flow";"15-Yr Value",#N/A,TRUE,"Value "}</definedName>
    <definedName name="wrn.15._.Year._.Analysis." localSheetId="7" hidden="1">{"Data Input",#N/A,TRUE,"Data Input";"15-Yr Cash Flow",#N/A,TRUE,"Cash Flow";"15-Yr Value",#N/A,TRUE,"Value "}</definedName>
    <definedName name="wrn.15._.Year._.Analysis." localSheetId="4" hidden="1">{"Data Input",#N/A,TRUE,"Data Input";"15-Yr Cash Flow",#N/A,TRUE,"Cash Flow";"15-Yr Value",#N/A,TRUE,"Value "}</definedName>
    <definedName name="wrn.15._.Year._.Analysis." localSheetId="5" hidden="1">{"Data Input",#N/A,TRUE,"Data Input";"15-Yr Cash Flow",#N/A,TRUE,"Cash Flow";"15-Yr Value",#N/A,TRUE,"Value "}</definedName>
    <definedName name="wrn.15._.Year._.Analysis." localSheetId="3" hidden="1">{"Data Input",#N/A,TRUE,"Data Input";"15-Yr Cash Flow",#N/A,TRUE,"Cash Flow";"15-Yr Value",#N/A,TRUE,"Value "}</definedName>
    <definedName name="wrn.15._.Year._.Analysis." hidden="1">{"Data Input",#N/A,TRUE,"Data Input";"15-Yr Cash Flow",#N/A,TRUE,"Cash Flow";"15-Yr Value",#N/A,TRUE,"Value "}</definedName>
    <definedName name="wrn.2._.pagers." localSheetId="13" hidden="1">{"Cover",#N/A,FALSE,"Cover";"Summary",#N/A,FALSE,"Summarpage"}</definedName>
    <definedName name="wrn.2._.pagers." localSheetId="7" hidden="1">{"Cover",#N/A,FALSE,"Cover";"Summary",#N/A,FALSE,"Summarpage"}</definedName>
    <definedName name="wrn.2._.pagers." localSheetId="4" hidden="1">{"Cover",#N/A,FALSE,"Cover";"Summary",#N/A,FALSE,"Summarpage"}</definedName>
    <definedName name="wrn.2._.pagers." localSheetId="5" hidden="1">{"Cover",#N/A,FALSE,"Cover";"Summary",#N/A,FALSE,"Summarpage"}</definedName>
    <definedName name="wrn.2._.pagers." localSheetId="3" hidden="1">{"Cover",#N/A,FALSE,"Cover";"Summary",#N/A,FALSE,"Summarpage"}</definedName>
    <definedName name="wrn.2._.pagers." hidden="1">{"Cover",#N/A,FALSE,"Cover";"Summary",#N/A,FALSE,"Summarpage"}</definedName>
    <definedName name="wrn.2._.pagers.2" localSheetId="13" hidden="1">{"Cover",#N/A,FALSE,"Cover";"Summary",#N/A,FALSE,"Summarpage"}</definedName>
    <definedName name="wrn.2._.pagers.2" localSheetId="7" hidden="1">{"Cover",#N/A,FALSE,"Cover";"Summary",#N/A,FALSE,"Summarpage"}</definedName>
    <definedName name="wrn.2._.pagers.2" localSheetId="4" hidden="1">{"Cover",#N/A,FALSE,"Cover";"Summary",#N/A,FALSE,"Summarpage"}</definedName>
    <definedName name="wrn.2._.pagers.2" localSheetId="5" hidden="1">{"Cover",#N/A,FALSE,"Cover";"Summary",#N/A,FALSE,"Summarpage"}</definedName>
    <definedName name="wrn.2._.pagers.2" localSheetId="3" hidden="1">{"Cover",#N/A,FALSE,"Cover";"Summary",#N/A,FALSE,"Summarpage"}</definedName>
    <definedName name="wrn.2._.pagers.2" hidden="1">{"Cover",#N/A,FALSE,"Cover";"Summary",#N/A,FALSE,"Summarpage"}</definedName>
    <definedName name="wrn.3cases." localSheetId="13" hidden="1">{#N/A,"Base",FALSE,"Dividend";#N/A,"Conservative",FALSE,"Dividend";#N/A,"Downside",FALSE,"Dividend"}</definedName>
    <definedName name="wrn.3cases." localSheetId="7" hidden="1">{#N/A,"Base",FALSE,"Dividend";#N/A,"Conservative",FALSE,"Dividend";#N/A,"Downside",FALSE,"Dividend"}</definedName>
    <definedName name="wrn.3cases." localSheetId="4" hidden="1">{#N/A,"Base",FALSE,"Dividend";#N/A,"Conservative",FALSE,"Dividend";#N/A,"Downside",FALSE,"Dividend"}</definedName>
    <definedName name="wrn.3cases." localSheetId="5" hidden="1">{#N/A,"Base",FALSE,"Dividend";#N/A,"Conservative",FALSE,"Dividend";#N/A,"Downside",FALSE,"Dividend"}</definedName>
    <definedName name="wrn.3cases." localSheetId="3" hidden="1">{#N/A,"Base",FALSE,"Dividend";#N/A,"Conservative",FALSE,"Dividend";#N/A,"Downside",FALSE,"Dividend"}</definedName>
    <definedName name="wrn.3cases." hidden="1">{#N/A,"Base",FALSE,"Dividend";#N/A,"Conservative",FALSE,"Dividend";#N/A,"Downside",FALSE,"Dividend"}</definedName>
    <definedName name="wrn.3yr.CF." localSheetId="13" hidden="1">{"assume",#N/A,FALSE,"K&amp;20th Month CF";"MoCF",#N/A,FALSE,"K&amp;20th Month CF";"AnCF",#N/A,FALSE,"K&amp;20th Month CF"}</definedName>
    <definedName name="wrn.3yr.CF." localSheetId="7" hidden="1">{"assume",#N/A,FALSE,"K&amp;20th Month CF";"MoCF",#N/A,FALSE,"K&amp;20th Month CF";"AnCF",#N/A,FALSE,"K&amp;20th Month CF"}</definedName>
    <definedName name="wrn.3yr.CF." localSheetId="4" hidden="1">{"assume",#N/A,FALSE,"K&amp;20th Month CF";"MoCF",#N/A,FALSE,"K&amp;20th Month CF";"AnCF",#N/A,FALSE,"K&amp;20th Month CF"}</definedName>
    <definedName name="wrn.3yr.CF." localSheetId="5" hidden="1">{"assume",#N/A,FALSE,"K&amp;20th Month CF";"MoCF",#N/A,FALSE,"K&amp;20th Month CF";"AnCF",#N/A,FALSE,"K&amp;20th Month CF"}</definedName>
    <definedName name="wrn.3yr.CF." localSheetId="3" hidden="1">{"assume",#N/A,FALSE,"K&amp;20th Month CF";"MoCF",#N/A,FALSE,"K&amp;20th Month CF";"AnCF",#N/A,FALSE,"K&amp;20th Month CF"}</definedName>
    <definedName name="wrn.3yr.CF." hidden="1">{"assume",#N/A,FALSE,"K&amp;20th Month CF";"MoCF",#N/A,FALSE,"K&amp;20th Month CF";"AnCF",#N/A,FALSE,"K&amp;20th Month CF"}</definedName>
    <definedName name="wrn.Accretion." localSheetId="13" hidden="1">{"Accretion",#N/A,FALSE,"Assum"}</definedName>
    <definedName name="wrn.Accretion." localSheetId="7" hidden="1">{"Accretion",#N/A,FALSE,"Assum"}</definedName>
    <definedName name="wrn.Accretion." localSheetId="4" hidden="1">{"Accretion",#N/A,FALSE,"Assum"}</definedName>
    <definedName name="wrn.Accretion." localSheetId="5" hidden="1">{"Accretion",#N/A,FALSE,"Assum"}</definedName>
    <definedName name="wrn.Accretion." localSheetId="3" hidden="1">{"Accretion",#N/A,FALSE,"Assum"}</definedName>
    <definedName name="wrn.Accretion." hidden="1">{"Accretion",#N/A,FALSE,"Assum"}</definedName>
    <definedName name="wrn.All." hidden="1">{#N/A,#N/A,FALSE,"Summary";#N/A,#N/A,FALSE,"Gen. Wash.";#N/A,#N/A,FALSE,"Iris Court";#N/A,#N/A,FALSE,"Castle Court";#N/A,#N/A,FALSE,"Edge Hills";#N/A,#N/A,FALSE,"Talbot Woods";#N/A,#N/A,FALSE,"Edge Terrace";#N/A,#N/A,FALSE,"Edge Village";#N/A,#N/A,FALSE,"Westgate";#N/A,#N/A,FALSE,"Century Hills";#N/A,#N/A,FALSE,"Parkview";#N/A,#N/A,FALSE,"Park Bethesda";#N/A,#N/A,FALSE,"Fairfax";#N/A,#N/A,FALSE,"North Park";#N/A,#N/A,FALSE,"Huntington";#N/A,#N/A,FALSE,"Bennington"}</definedName>
    <definedName name="wrn.AnnualRentRoll." localSheetId="13" hidden="1">{"AnnualRentRoll",#N/A,FALSE,"RentRoll"}</definedName>
    <definedName name="wrn.AnnualRentRoll." localSheetId="7" hidden="1">{"AnnualRentRoll",#N/A,FALSE,"RentRoll"}</definedName>
    <definedName name="wrn.AnnualRentRoll." localSheetId="4" hidden="1">{"AnnualRentRoll",#N/A,FALSE,"RentRoll"}</definedName>
    <definedName name="wrn.AnnualRentRoll." localSheetId="5" hidden="1">{"AnnualRentRoll",#N/A,FALSE,"RentRoll"}</definedName>
    <definedName name="wrn.AnnualRentRoll." localSheetId="3" hidden="1">{"AnnualRentRoll",#N/A,FALSE,"RentRoll"}</definedName>
    <definedName name="wrn.AnnualRentRoll." hidden="1">{"AnnualRentRoll",#N/A,FALSE,"RentRoll"}</definedName>
    <definedName name="wrn.Assumptions." localSheetId="13" hidden="1">{"Assumptions",#N/A,FALSE,"Assum"}</definedName>
    <definedName name="wrn.Assumptions." localSheetId="7" hidden="1">{"Assumptions",#N/A,FALSE,"Assum"}</definedName>
    <definedName name="wrn.Assumptions." localSheetId="4" hidden="1">{"Assumptions",#N/A,FALSE,"Assum"}</definedName>
    <definedName name="wrn.Assumptions." localSheetId="5" hidden="1">{"Assumptions",#N/A,FALSE,"Assum"}</definedName>
    <definedName name="wrn.Assumptions." localSheetId="3" hidden="1">{"Assumptions",#N/A,FALSE,"Assum"}</definedName>
    <definedName name="wrn.Assumptions." hidden="1">{"Assumptions",#N/A,FALSE,"Assum"}</definedName>
    <definedName name="wrn.Auto._.Comp." localSheetId="13" hidden="1">{#N/A,#N/A,FALSE,"Sheet1"}</definedName>
    <definedName name="wrn.Auto._.Comp." localSheetId="7" hidden="1">{#N/A,#N/A,FALSE,"Sheet1"}</definedName>
    <definedName name="wrn.Auto._.Comp." localSheetId="4" hidden="1">{#N/A,#N/A,FALSE,"Sheet1"}</definedName>
    <definedName name="wrn.Auto._.Comp." localSheetId="5" hidden="1">{#N/A,#N/A,FALSE,"Sheet1"}</definedName>
    <definedName name="wrn.Auto._.Comp." localSheetId="3" hidden="1">{#N/A,#N/A,FALSE,"Sheet1"}</definedName>
    <definedName name="wrn.Auto._.Comp." hidden="1">{#N/A,#N/A,FALSE,"Sheet1"}</definedName>
    <definedName name="wrn.BIGGER." localSheetId="13" hidden="1">{"PROFORMA",#N/A,FALSE,"A";"BIGGER 1",#N/A,FALSE,"B";"BIGGER 2",#N/A,FALSE,"B";"BIGGER 3",#N/A,FALSE,"B";"SMALL CF 1",#N/A,FALSE,"C"}</definedName>
    <definedName name="wrn.BIGGER." localSheetId="7" hidden="1">{"PROFORMA",#N/A,FALSE,"A";"BIGGER 1",#N/A,FALSE,"B";"BIGGER 2",#N/A,FALSE,"B";"BIGGER 3",#N/A,FALSE,"B";"SMALL CF 1",#N/A,FALSE,"C"}</definedName>
    <definedName name="wrn.BIGGER." localSheetId="4" hidden="1">{"PROFORMA",#N/A,FALSE,"A";"BIGGER 1",#N/A,FALSE,"B";"BIGGER 2",#N/A,FALSE,"B";"BIGGER 3",#N/A,FALSE,"B";"SMALL CF 1",#N/A,FALSE,"C"}</definedName>
    <definedName name="wrn.BIGGER." localSheetId="5" hidden="1">{"PROFORMA",#N/A,FALSE,"A";"BIGGER 1",#N/A,FALSE,"B";"BIGGER 2",#N/A,FALSE,"B";"BIGGER 3",#N/A,FALSE,"B";"SMALL CF 1",#N/A,FALSE,"C"}</definedName>
    <definedName name="wrn.BIGGER." localSheetId="3" hidden="1">{"PROFORMA",#N/A,FALSE,"A";"BIGGER 1",#N/A,FALSE,"B";"BIGGER 2",#N/A,FALSE,"B";"BIGGER 3",#N/A,FALSE,"B";"SMALL CF 1",#N/A,FALSE,"C"}</definedName>
    <definedName name="wrn.BIGGER." hidden="1">{"PROFORMA",#N/A,FALSE,"A";"BIGGER 1",#N/A,FALSE,"B";"BIGGER 2",#N/A,FALSE,"B";"BIGGER 3",#N/A,FALSE,"B";"SMALL CF 1",#N/A,FALSE,"C"}</definedName>
    <definedName name="wrn.BlackWhite." localSheetId="13" hidden="1">{#N/A,#N/A,FALSE,"NNN sum";#N/A,#N/A,FALSE,"10-yr Opt. A Sum";#N/A,#N/A,FALSE,"10-yr Opt A Other Costs";#N/A,#N/A,FALSE,"Purchase Sum";#N/A,#N/A,FALSE,"Purchase Other Costs"}</definedName>
    <definedName name="wrn.BlackWhite." localSheetId="7" hidden="1">{#N/A,#N/A,FALSE,"NNN sum";#N/A,#N/A,FALSE,"10-yr Opt. A Sum";#N/A,#N/A,FALSE,"10-yr Opt A Other Costs";#N/A,#N/A,FALSE,"Purchase Sum";#N/A,#N/A,FALSE,"Purchase Other Costs"}</definedName>
    <definedName name="wrn.BlackWhite." localSheetId="4" hidden="1">{#N/A,#N/A,FALSE,"NNN sum";#N/A,#N/A,FALSE,"10-yr Opt. A Sum";#N/A,#N/A,FALSE,"10-yr Opt A Other Costs";#N/A,#N/A,FALSE,"Purchase Sum";#N/A,#N/A,FALSE,"Purchase Other Costs"}</definedName>
    <definedName name="wrn.BlackWhite." localSheetId="5" hidden="1">{#N/A,#N/A,FALSE,"NNN sum";#N/A,#N/A,FALSE,"10-yr Opt. A Sum";#N/A,#N/A,FALSE,"10-yr Opt A Other Costs";#N/A,#N/A,FALSE,"Purchase Sum";#N/A,#N/A,FALSE,"Purchase Other Costs"}</definedName>
    <definedName name="wrn.BlackWhite." localSheetId="3" hidden="1">{#N/A,#N/A,FALSE,"NNN sum";#N/A,#N/A,FALSE,"10-yr Opt. A Sum";#N/A,#N/A,FALSE,"10-yr Opt A Other Costs";#N/A,#N/A,FALSE,"Purchase Sum";#N/A,#N/A,FALSE,"Purchase Other Costs"}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localSheetId="13" hidden="1">{#N/A,#N/A,FALSE,"NNN sum";#N/A,#N/A,FALSE,"10-yr Opt. A Sum";#N/A,#N/A,FALSE,"10-yr Opt A Other Costs";#N/A,#N/A,FALSE,"Purchase Sum";#N/A,#N/A,FALSE,"Purchase Other Costs"}</definedName>
    <definedName name="wrn.BlackWhite5" localSheetId="7" hidden="1">{#N/A,#N/A,FALSE,"NNN sum";#N/A,#N/A,FALSE,"10-yr Opt. A Sum";#N/A,#N/A,FALSE,"10-yr Opt A Other Costs";#N/A,#N/A,FALSE,"Purchase Sum";#N/A,#N/A,FALSE,"Purchase Other Costs"}</definedName>
    <definedName name="wrn.BlackWhite5" localSheetId="4" hidden="1">{#N/A,#N/A,FALSE,"NNN sum";#N/A,#N/A,FALSE,"10-yr Opt. A Sum";#N/A,#N/A,FALSE,"10-yr Opt A Other Costs";#N/A,#N/A,FALSE,"Purchase Sum";#N/A,#N/A,FALSE,"Purchase Other Costs"}</definedName>
    <definedName name="wrn.BlackWhite5" localSheetId="5" hidden="1">{#N/A,#N/A,FALSE,"NNN sum";#N/A,#N/A,FALSE,"10-yr Opt. A Sum";#N/A,#N/A,FALSE,"10-yr Opt A Other Costs";#N/A,#N/A,FALSE,"Purchase Sum";#N/A,#N/A,FALSE,"Purchase Other Costs"}</definedName>
    <definedName name="wrn.BlackWhite5" localSheetId="3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leu4." localSheetId="13" hidden="1">{#N/A,#N/A,FALSE}</definedName>
    <definedName name="wrn.bleu4." localSheetId="7" hidden="1">{#N/A,#N/A,FALSE}</definedName>
    <definedName name="wrn.bleu4." localSheetId="4" hidden="1">{#N/A,#N/A,FALSE}</definedName>
    <definedName name="wrn.bleu4." localSheetId="5" hidden="1">{#N/A,#N/A,FALSE}</definedName>
    <definedName name="wrn.bleu4." localSheetId="3" hidden="1">{#N/A,#N/A,FALSE}</definedName>
    <definedName name="wrn.bleu4." hidden="1">{#N/A,#N/A,FALSE}</definedName>
    <definedName name="wrn.Blue._.Book._.Sections." localSheetId="13" hidden="1">{#N/A,#N/A,TRUE,"Summary";#N/A,#N/A,TRUE,"Program Scheme";#N/A,#N/A,TRUE,"Assumptions";#N/A,#N/A,TRUE,"Development Budget &amp; Timing";#N/A,#N/A,TRUE,"Cash Flow";#N/A,#N/A,TRUE,"Cash Flow to Debt &amp; Equity"}</definedName>
    <definedName name="wrn.Blue._.Book._.Sections." localSheetId="7" hidden="1">{#N/A,#N/A,TRUE,"Summary";#N/A,#N/A,TRUE,"Program Scheme";#N/A,#N/A,TRUE,"Assumptions";#N/A,#N/A,TRUE,"Development Budget &amp; Timing";#N/A,#N/A,TRUE,"Cash Flow";#N/A,#N/A,TRUE,"Cash Flow to Debt &amp; Equity"}</definedName>
    <definedName name="wrn.Blue._.Book._.Sections." localSheetId="4" hidden="1">{#N/A,#N/A,TRUE,"Summary";#N/A,#N/A,TRUE,"Program Scheme";#N/A,#N/A,TRUE,"Assumptions";#N/A,#N/A,TRUE,"Development Budget &amp; Timing";#N/A,#N/A,TRUE,"Cash Flow";#N/A,#N/A,TRUE,"Cash Flow to Debt &amp; Equity"}</definedName>
    <definedName name="wrn.Blue._.Book._.Sections." localSheetId="5" hidden="1">{#N/A,#N/A,TRUE,"Summary";#N/A,#N/A,TRUE,"Program Scheme";#N/A,#N/A,TRUE,"Assumptions";#N/A,#N/A,TRUE,"Development Budget &amp; Timing";#N/A,#N/A,TRUE,"Cash Flow";#N/A,#N/A,TRUE,"Cash Flow to Debt &amp; Equity"}</definedName>
    <definedName name="wrn.Blue._.Book._.Sections." localSheetId="3" hidden="1">{#N/A,#N/A,TRUE,"Summary";#N/A,#N/A,TRUE,"Program Scheme";#N/A,#N/A,TRUE,"Assumptions";#N/A,#N/A,TRUE,"Development Budget &amp; Timing";#N/A,#N/A,TRUE,"Cash Flow";#N/A,#N/A,TRUE,"Cash Flow to Debt &amp; Equity"}</definedName>
    <definedName name="wrn.Blue._.Book._.Sections." hidden="1">{#N/A,#N/A,TRUE,"Summary";#N/A,#N/A,TRUE,"Program Scheme";#N/A,#N/A,TRUE,"Assumptions";#N/A,#N/A,TRUE,"Development Budget &amp; Timing";#N/A,#N/A,TRUE,"Cash Flow";#N/A,#N/A,TRUE,"Cash Flow to Debt &amp; Equity"}</definedName>
    <definedName name="wrn.CAPREIT." localSheetId="13" hidden="1">{#N/A,#N/A,FALSE,"CAPREIT"}</definedName>
    <definedName name="wrn.CAPREIT." localSheetId="7" hidden="1">{#N/A,#N/A,FALSE,"CAPREIT"}</definedName>
    <definedName name="wrn.CAPREIT." localSheetId="4" hidden="1">{#N/A,#N/A,FALSE,"CAPREIT"}</definedName>
    <definedName name="wrn.CAPREIT." localSheetId="5" hidden="1">{#N/A,#N/A,FALSE,"CAPREIT"}</definedName>
    <definedName name="wrn.CAPREIT." localSheetId="3" hidden="1">{#N/A,#N/A,FALSE,"CAPREIT"}</definedName>
    <definedName name="wrn.CAPREIT." hidden="1">{#N/A,#N/A,FALSE,"CAPREIT"}</definedName>
    <definedName name="wrn.CAPREIT2" localSheetId="13" hidden="1">{#N/A,#N/A,FALSE,"CAPREIT"}</definedName>
    <definedName name="wrn.CAPREIT2" localSheetId="7" hidden="1">{#N/A,#N/A,FALSE,"CAPREIT"}</definedName>
    <definedName name="wrn.CAPREIT2" localSheetId="4" hidden="1">{#N/A,#N/A,FALSE,"CAPREIT"}</definedName>
    <definedName name="wrn.CAPREIT2" localSheetId="5" hidden="1">{#N/A,#N/A,FALSE,"CAPREIT"}</definedName>
    <definedName name="wrn.CAPREIT2" localSheetId="3" hidden="1">{#N/A,#N/A,FALSE,"CAPREIT"}</definedName>
    <definedName name="wrn.CAPREIT2" hidden="1">{#N/A,#N/A,FALSE,"CAPREIT"}</definedName>
    <definedName name="wrn.Cash._.Flow._.Analysis." localSheetId="13" hidden="1">{"CF",#N/A,FALSE,"Cash Flow";"RET",#N/A,FALSE,"Returns";"NPV",#N/A,FALSE,"Values";"ASMPT",#N/A,FALSE,"Assumptions"}</definedName>
    <definedName name="wrn.Cash._.Flow._.Analysis." localSheetId="7" hidden="1">{"CF",#N/A,FALSE,"Cash Flow";"RET",#N/A,FALSE,"Returns";"NPV",#N/A,FALSE,"Values";"ASMPT",#N/A,FALSE,"Assumptions"}</definedName>
    <definedName name="wrn.Cash._.Flow._.Analysis." localSheetId="4" hidden="1">{"CF",#N/A,FALSE,"Cash Flow";"RET",#N/A,FALSE,"Returns";"NPV",#N/A,FALSE,"Values";"ASMPT",#N/A,FALSE,"Assumptions"}</definedName>
    <definedName name="wrn.Cash._.Flow._.Analysis." localSheetId="5" hidden="1">{"CF",#N/A,FALSE,"Cash Flow";"RET",#N/A,FALSE,"Returns";"NPV",#N/A,FALSE,"Values";"ASMPT",#N/A,FALSE,"Assumptions"}</definedName>
    <definedName name="wrn.Cash._.Flow._.Analysis." localSheetId="3" hidden="1">{"CF",#N/A,FALSE,"Cash Flow";"RET",#N/A,FALSE,"Returns";"NPV",#N/A,FALSE,"Values";"ASMPT",#N/A,FALSE,"Assumptions"}</definedName>
    <definedName name="wrn.Cash._.Flow._.Analysis." hidden="1">{"CF",#N/A,FALSE,"Cash Flow";"RET",#N/A,FALSE,"Returns";"NPV",#N/A,FALSE,"Values";"ASMPT",#N/A,FALSE,"Assumptions"}</definedName>
    <definedName name="wrn.check." localSheetId="1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" localSheetId="7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" localSheetId="4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" localSheetId="5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" localSheetId="3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heck." hidden="1">{#N/A,#N/A,FALSE,"Summary";#N/A,#N/A,FALSE,"Project Summary";#N/A,#N/A,FALSE,"Development Cost Summary";#N/A,#N/A,FALSE,"Development Cost Allocation";#N/A,#N/A,FALSE,"Pad Fees";#N/A,#N/A,FALSE,"Costs";#N/A,#N/A,FALSE,"Parking Budget";#N/A,#N/A,FALSE,"Retail Development Budget";#N/A,#N/A,FALSE,"Office Development Budget";#N/A,#N/A,FALSE,"Hotel Development Budget"}</definedName>
    <definedName name="wrn.Competition." hidden="1">{#N/A,#N/A,FALSE,"CompSummary";#N/A,#N/A,FALSE,"Comp1";#N/A,#N/A,FALSE,"Comp2";#N/A,#N/A,FALSE,"Comp3";#N/A,#N/A,FALSE,"Comp4";#N/A,#N/A,FALSE,"Comp5";#N/A,#N/A,FALSE,"Our Prop";#N/A,#N/A,FALSE,"Projection Sheet"}</definedName>
    <definedName name="wrn.Complete." localSheetId="13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" localSheetId="7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" localSheetId="4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" localSheetId="5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" localSheetId="3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Budget." localSheetId="13" hidden="1">{#N/A,#N/A,FALSE,"PropInfo";#N/A,#N/A,FALSE,"Summary";#N/A,#N/A,FALSE,"Comparitive";#N/A,#N/A,FALSE,"RevSummary";#N/A,#N/A,FALSE,"Rooms";#N/A,#N/A,FALSE,"Van";#N/A,#N/A,FALSE,"F&amp;B Rev";#N/A,#N/A,FALSE,"Food";#N/A,#N/A,FALSE,"Bev";#N/A,#N/A,FALSE,"PBX";#N/A,#N/A,FALSE,"Fitness";#N/A,#N/A,FALSE,"Golf #1";#N/A,#N/A,FALSE,"Golf #2 ";#N/A,#N/A,FALSE,"Tennis";#N/A,#N/A,FALSE,"BusCtr";#N/A,#N/A,FALSE,"InRoomVend";#N/A,#N/A,FALSE,"Retail #1";#N/A,#N/A,FALSE,"Retail #2";#N/A,#N/A,FALSE,"Parking";#N/A,#N/A,FALSE,"Rents&amp;Other";#N/A,#N/A,FALSE,"A&amp;G";#N/A,#N/A,FALSE,"A&amp;P";#N/A,#N/A,FALSE,"Comp";#N/A,#N/A,FALSE,"R&amp;M";#N/A,#N/A,FALSE,"Energy";#N/A,#N/A,FALSE,"Capital";#N/A,#N/A,FALSE,"Laundry";#N/A,#N/A,FALSE,"EmpCafe";#N/A,#N/A,FALSE,"PTEB";#N/A,#N/A,FALSE,"Rent Calc"}</definedName>
    <definedName name="wrn.Complete._.Budget." localSheetId="7" hidden="1">{#N/A,#N/A,FALSE,"PropInfo";#N/A,#N/A,FALSE,"Summary";#N/A,#N/A,FALSE,"Comparitive";#N/A,#N/A,FALSE,"RevSummary";#N/A,#N/A,FALSE,"Rooms";#N/A,#N/A,FALSE,"Van";#N/A,#N/A,FALSE,"F&amp;B Rev";#N/A,#N/A,FALSE,"Food";#N/A,#N/A,FALSE,"Bev";#N/A,#N/A,FALSE,"PBX";#N/A,#N/A,FALSE,"Fitness";#N/A,#N/A,FALSE,"Golf #1";#N/A,#N/A,FALSE,"Golf #2 ";#N/A,#N/A,FALSE,"Tennis";#N/A,#N/A,FALSE,"BusCtr";#N/A,#N/A,FALSE,"InRoomVend";#N/A,#N/A,FALSE,"Retail #1";#N/A,#N/A,FALSE,"Retail #2";#N/A,#N/A,FALSE,"Parking";#N/A,#N/A,FALSE,"Rents&amp;Other";#N/A,#N/A,FALSE,"A&amp;G";#N/A,#N/A,FALSE,"A&amp;P";#N/A,#N/A,FALSE,"Comp";#N/A,#N/A,FALSE,"R&amp;M";#N/A,#N/A,FALSE,"Energy";#N/A,#N/A,FALSE,"Capital";#N/A,#N/A,FALSE,"Laundry";#N/A,#N/A,FALSE,"EmpCafe";#N/A,#N/A,FALSE,"PTEB";#N/A,#N/A,FALSE,"Rent Calc"}</definedName>
    <definedName name="wrn.Complete._.Budget." localSheetId="4" hidden="1">{#N/A,#N/A,FALSE,"PropInfo";#N/A,#N/A,FALSE,"Summary";#N/A,#N/A,FALSE,"Comparitive";#N/A,#N/A,FALSE,"RevSummary";#N/A,#N/A,FALSE,"Rooms";#N/A,#N/A,FALSE,"Van";#N/A,#N/A,FALSE,"F&amp;B Rev";#N/A,#N/A,FALSE,"Food";#N/A,#N/A,FALSE,"Bev";#N/A,#N/A,FALSE,"PBX";#N/A,#N/A,FALSE,"Fitness";#N/A,#N/A,FALSE,"Golf #1";#N/A,#N/A,FALSE,"Golf #2 ";#N/A,#N/A,FALSE,"Tennis";#N/A,#N/A,FALSE,"BusCtr";#N/A,#N/A,FALSE,"InRoomVend";#N/A,#N/A,FALSE,"Retail #1";#N/A,#N/A,FALSE,"Retail #2";#N/A,#N/A,FALSE,"Parking";#N/A,#N/A,FALSE,"Rents&amp;Other";#N/A,#N/A,FALSE,"A&amp;G";#N/A,#N/A,FALSE,"A&amp;P";#N/A,#N/A,FALSE,"Comp";#N/A,#N/A,FALSE,"R&amp;M";#N/A,#N/A,FALSE,"Energy";#N/A,#N/A,FALSE,"Capital";#N/A,#N/A,FALSE,"Laundry";#N/A,#N/A,FALSE,"EmpCafe";#N/A,#N/A,FALSE,"PTEB";#N/A,#N/A,FALSE,"Rent Calc"}</definedName>
    <definedName name="wrn.Complete._.Budget." localSheetId="5" hidden="1">{#N/A,#N/A,FALSE,"PropInfo";#N/A,#N/A,FALSE,"Summary";#N/A,#N/A,FALSE,"Comparitive";#N/A,#N/A,FALSE,"RevSummary";#N/A,#N/A,FALSE,"Rooms";#N/A,#N/A,FALSE,"Van";#N/A,#N/A,FALSE,"F&amp;B Rev";#N/A,#N/A,FALSE,"Food";#N/A,#N/A,FALSE,"Bev";#N/A,#N/A,FALSE,"PBX";#N/A,#N/A,FALSE,"Fitness";#N/A,#N/A,FALSE,"Golf #1";#N/A,#N/A,FALSE,"Golf #2 ";#N/A,#N/A,FALSE,"Tennis";#N/A,#N/A,FALSE,"BusCtr";#N/A,#N/A,FALSE,"InRoomVend";#N/A,#N/A,FALSE,"Retail #1";#N/A,#N/A,FALSE,"Retail #2";#N/A,#N/A,FALSE,"Parking";#N/A,#N/A,FALSE,"Rents&amp;Other";#N/A,#N/A,FALSE,"A&amp;G";#N/A,#N/A,FALSE,"A&amp;P";#N/A,#N/A,FALSE,"Comp";#N/A,#N/A,FALSE,"R&amp;M";#N/A,#N/A,FALSE,"Energy";#N/A,#N/A,FALSE,"Capital";#N/A,#N/A,FALSE,"Laundry";#N/A,#N/A,FALSE,"EmpCafe";#N/A,#N/A,FALSE,"PTEB";#N/A,#N/A,FALSE,"Rent Calc"}</definedName>
    <definedName name="wrn.Complete._.Budget." localSheetId="3" hidden="1">{#N/A,#N/A,FALSE,"PropInfo";#N/A,#N/A,FALSE,"Summary";#N/A,#N/A,FALSE,"Comparitive";#N/A,#N/A,FALSE,"RevSummary";#N/A,#N/A,FALSE,"Rooms";#N/A,#N/A,FALSE,"Van";#N/A,#N/A,FALSE,"F&amp;B Rev";#N/A,#N/A,FALSE,"Food";#N/A,#N/A,FALSE,"Bev";#N/A,#N/A,FALSE,"PBX";#N/A,#N/A,FALSE,"Fitness";#N/A,#N/A,FALSE,"Golf #1";#N/A,#N/A,FALSE,"Golf #2 ";#N/A,#N/A,FALSE,"Tennis";#N/A,#N/A,FALSE,"BusCtr";#N/A,#N/A,FALSE,"InRoomVend";#N/A,#N/A,FALSE,"Retail #1";#N/A,#N/A,FALSE,"Retail #2";#N/A,#N/A,FALSE,"Parking";#N/A,#N/A,FALSE,"Rents&amp;Other";#N/A,#N/A,FALSE,"A&amp;G";#N/A,#N/A,FALSE,"A&amp;P";#N/A,#N/A,FALSE,"Comp";#N/A,#N/A,FALSE,"R&amp;M";#N/A,#N/A,FALSE,"Energy";#N/A,#N/A,FALSE,"Capital";#N/A,#N/A,FALSE,"Laundry";#N/A,#N/A,FALSE,"EmpCafe";#N/A,#N/A,FALSE,"PTEB";#N/A,#N/A,FALSE,"Rent Calc"}</definedName>
    <definedName name="wrn.Complete._.Budget." hidden="1">{#N/A,#N/A,FALSE,"PropInfo";#N/A,#N/A,FALSE,"Summary";#N/A,#N/A,FALSE,"Comparitive";#N/A,#N/A,FALSE,"RevSummary";#N/A,#N/A,FALSE,"Rooms";#N/A,#N/A,FALSE,"Van";#N/A,#N/A,FALSE,"F&amp;B Rev";#N/A,#N/A,FALSE,"Food";#N/A,#N/A,FALSE,"Bev";#N/A,#N/A,FALSE,"PBX";#N/A,#N/A,FALSE,"Fitness";#N/A,#N/A,FALSE,"Golf #1";#N/A,#N/A,FALSE,"Golf #2 ";#N/A,#N/A,FALSE,"Tennis";#N/A,#N/A,FALSE,"BusCtr";#N/A,#N/A,FALSE,"InRoomVend";#N/A,#N/A,FALSE,"Retail #1";#N/A,#N/A,FALSE,"Retail #2";#N/A,#N/A,FALSE,"Parking";#N/A,#N/A,FALSE,"Rents&amp;Other";#N/A,#N/A,FALSE,"A&amp;G";#N/A,#N/A,FALSE,"A&amp;P";#N/A,#N/A,FALSE,"Comp";#N/A,#N/A,FALSE,"R&amp;M";#N/A,#N/A,FALSE,"Energy";#N/A,#N/A,FALSE,"Capital";#N/A,#N/A,FALSE,"Laundry";#N/A,#N/A,FALSE,"EmpCafe";#N/A,#N/A,FALSE,"PTEB";#N/A,#N/A,FALSE,"Rent Calc"}</definedName>
    <definedName name="wrn.Complete.2" localSheetId="13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2" localSheetId="7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2" localSheetId="4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2" localSheetId="5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2" localSheetId="3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2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3" localSheetId="13" hidden="1">{"Cover",#N/A,FALSE,"Cover";"Summary",#N/A,FALSE,"Summarpage";"_x0006__x0006__x001A__x001A__x0006__x0006__x0010__x0010__x001B__x001B__x001A__x001A__x0007__x0007__x001A__x001A__x0008__x0008__x001A__x001A_	",#N/A,FALSE,"_x0007__x0007__x001A__x001A__x0008__x0008__x001A__x001A_		_x001A__x001A_
_x001A__x001A__x000B__x000B__x001A__x001A__x000C__x000C__x001A__x001A__x000D__x000D_";"
_x001A__x001A__x000B__x000B__x001A__x001A__x000C__x000C__x001A__x001A__x000D__x000D__x001A__x001A__x000E__x000E__x001A__x001A__x000F__x000F__x001A__x001A__x0010__x0010_",#N/A,FALSE,"_x001A__x001A__x000D__x000D__x001A__x001A__x000E__x000E__x001A__x001A__x000F__x000F_";"_x000F__x000F__x001A__x001A__x0010__x0010__x001A__x001A__x0011__x0011__x001A__x001A__x0012__x0012__x001A__x001A__x0013__x0013__x001A__x001A__x0014__x0014__x001A__x001A__x0015__x0015_",#N/A,FALSE,"_x001A__x001A__x0012__x0012__x001A__x001A__x0013__x0013__x001A__x001A__x0014__x0014__x001A__x001A__x0015__x0015__x001A_";"_x0014__x0014__x001A__x001A__x0015__x0015__x001A__x001A__x0016__x0016__x001A__x001A__x0017__x0017__x001A__x001A__x0018__x0018__x001A__x001A__x0019__x0019__x001A__x001A__x0006__x0006_",#N/A,FALSE,"_x001A__x001A__x0018__x0018__x001A__x001A__x0019__x0019__x001A__x001A__x0006__x0006__x0015__x0015__x0006__x0006__x001A__x001A__x0006__x0006__x0010__x0010__x001B_";"_x001A__x001A__x0006__x0006__x0015__x0015__x0006__x0006__x001A__x001A__x0006__x0006__x0010__x0010__x001B__x001B__x001A__x001A__x0007__x0007__x001A__x001A__x0008__x0008__x001A_",#N/A,FALSE,"_x0006__x0006__x0010__x0010__x001B__x001B__x001A__x001A__x0007__x0007__x001A__x001A__x0008__x0008__x001A__x001A_		_x001A__x001A_
_x001A__x001A__x000B__x000B_";"_x001A__x001A__x0008__x0008__x001A__x001A_	",#N/A,FALSE,"_x000C__x000C__x001A__x001A__x000D__x000D__x001A__x001A__x000E__x000E__x001A__x001A__x000F__x000F__x001A__x001A__x0010__x0010__x001A__x001A__x0011__x0011__x001A__x001A__x0012__x0012_";"_x001A__x001A__x000E__x000E__x001A__x001A__x000F__x000F__x001A__x001A__x0010__x0010__x001A_",#N/A,FALSE,"_x001A__x001A__x0012__x0012__x001A__x001A__x0013__x0013__x001A__x001A__x0014__x0014__x001A__x001A__x0015__x0015__x001A_";"_x0013__x0013__x001A__x001A__x0014__x0014__x001A__x001A__x0015__x0015__x001A__x001A__x0016__x0016__x001A__x001A__x0017__x0017__x001A__x001A__x0018__x0018__x001A__x001A__x0019__x0019_",#N/A,FALSE,"_x0017__x0017__x001A__x001A__x0018__x0018__x001A__x001A__x0019__x0019__x001A__x001A__x0006__x0006_Wood Earning";"Wood E",#N/A,FALSE,"Wood Products";"Pulp Production",#N/A,FALSE,"Pulp";"Pulp Earnings",#N/A,FALSE,"Pulp"}</definedName>
    <definedName name="wrn.Complete.3" localSheetId="7" hidden="1">{"Cover",#N/A,FALSE,"Cover";"Summary",#N/A,FALSE,"Summarpage";"_x0006__x0006__x001A__x001A__x0006__x0006__x0010__x0010__x001B__x001B__x001A__x001A__x0007__x0007__x001A__x001A__x0008__x0008__x001A__x001A_	",#N/A,FALSE,"_x0007__x0007__x001A__x001A__x0008__x0008__x001A__x001A_		_x001A__x001A_
_x001A__x001A__x000B__x000B__x001A__x001A__x000C__x000C__x001A__x001A__x000D__x000D_";"
_x001A__x001A__x000B__x000B__x001A__x001A__x000C__x000C__x001A__x001A__x000D__x000D__x001A__x001A__x000E__x000E__x001A__x001A__x000F__x000F__x001A__x001A__x0010__x0010_",#N/A,FALSE,"_x001A__x001A__x000D__x000D__x001A__x001A__x000E__x000E__x001A__x001A__x000F__x000F_";"_x000F__x000F__x001A__x001A__x0010__x0010__x001A__x001A__x0011__x0011__x001A__x001A__x0012__x0012__x001A__x001A__x0013__x0013__x001A__x001A__x0014__x0014__x001A__x001A__x0015__x0015_",#N/A,FALSE,"_x001A__x001A__x0012__x0012__x001A__x001A__x0013__x0013__x001A__x001A__x0014__x0014__x001A__x001A__x0015__x0015__x001A_";"_x0014__x0014__x001A__x001A__x0015__x0015__x001A__x001A__x0016__x0016__x001A__x001A__x0017__x0017__x001A__x001A__x0018__x0018__x001A__x001A__x0019__x0019__x001A__x001A__x0006__x0006_",#N/A,FALSE,"_x001A__x001A__x0018__x0018__x001A__x001A__x0019__x0019__x001A__x001A__x0006__x0006__x0015__x0015__x0006__x0006__x001A__x001A__x0006__x0006__x0010__x0010__x001B_";"_x001A__x001A__x0006__x0006__x0015__x0015__x0006__x0006__x001A__x001A__x0006__x0006__x0010__x0010__x001B__x001B__x001A__x001A__x0007__x0007__x001A__x001A__x0008__x0008__x001A_",#N/A,FALSE,"_x0006__x0006__x0010__x0010__x001B__x001B__x001A__x001A__x0007__x0007__x001A__x001A__x0008__x0008__x001A__x001A_		_x001A__x001A_
_x001A__x001A__x000B__x000B_";"_x001A__x001A__x0008__x0008__x001A__x001A_	",#N/A,FALSE,"_x000C__x000C__x001A__x001A__x000D__x000D__x001A__x001A__x000E__x000E__x001A__x001A__x000F__x000F__x001A__x001A__x0010__x0010__x001A__x001A__x0011__x0011__x001A__x001A__x0012__x0012_";"_x001A__x001A__x000E__x000E__x001A__x001A__x000F__x000F__x001A__x001A__x0010__x0010__x001A_",#N/A,FALSE,"_x001A__x001A__x0012__x0012__x001A__x001A__x0013__x0013__x001A__x001A__x0014__x0014__x001A__x001A__x0015__x0015__x001A_";"_x0013__x0013__x001A__x001A__x0014__x0014__x001A__x001A__x0015__x0015__x001A__x001A__x0016__x0016__x001A__x001A__x0017__x0017__x001A__x001A__x0018__x0018__x001A__x001A__x0019__x0019_",#N/A,FALSE,"_x0017__x0017__x001A__x001A__x0018__x0018__x001A__x001A__x0019__x0019__x001A__x001A__x0006__x0006_Wood Earning";"Wood E",#N/A,FALSE,"Wood Products";"Pulp Production",#N/A,FALSE,"Pulp";"Pulp Earnings",#N/A,FALSE,"Pulp"}</definedName>
    <definedName name="wrn.Complete.3" localSheetId="4" hidden="1">{"Cover",#N/A,FALSE,"Cover";"Summary",#N/A,FALSE,"Summarpage";"_x0006__x0006__x001A__x001A__x0006__x0006__x0010__x0010__x001B__x001B__x001A__x001A__x0007__x0007__x001A__x001A__x0008__x0008__x001A__x001A_	",#N/A,FALSE,"_x0007__x0007__x001A__x001A__x0008__x0008__x001A__x001A_		_x001A__x001A_
_x001A__x001A__x000B__x000B__x001A__x001A__x000C__x000C__x001A__x001A__x000D__x000D_";"
_x001A__x001A__x000B__x000B__x001A__x001A__x000C__x000C__x001A__x001A__x000D__x000D__x001A__x001A__x000E__x000E__x001A__x001A__x000F__x000F__x001A__x001A__x0010__x0010_",#N/A,FALSE,"_x001A__x001A__x000D__x000D__x001A__x001A__x000E__x000E__x001A__x001A__x000F__x000F_";"_x000F__x000F__x001A__x001A__x0010__x0010__x001A__x001A__x0011__x0011__x001A__x001A__x0012__x0012__x001A__x001A__x0013__x0013__x001A__x001A__x0014__x0014__x001A__x001A__x0015__x0015_",#N/A,FALSE,"_x001A__x001A__x0012__x0012__x001A__x001A__x0013__x0013__x001A__x001A__x0014__x0014__x001A__x001A__x0015__x0015__x001A_";"_x0014__x0014__x001A__x001A__x0015__x0015__x001A__x001A__x0016__x0016__x001A__x001A__x0017__x0017__x001A__x001A__x0018__x0018__x001A__x001A__x0019__x0019__x001A__x001A__x0006__x0006_",#N/A,FALSE,"_x001A__x001A__x0018__x0018__x001A__x001A__x0019__x0019__x001A__x001A__x0006__x0006__x0015__x0015__x0006__x0006__x001A__x001A__x0006__x0006__x0010__x0010__x001B_";"_x001A__x001A__x0006__x0006__x0015__x0015__x0006__x0006__x001A__x001A__x0006__x0006__x0010__x0010__x001B__x001B__x001A__x001A__x0007__x0007__x001A__x001A__x0008__x0008__x001A_",#N/A,FALSE,"_x0006__x0006__x0010__x0010__x001B__x001B__x001A__x001A__x0007__x0007__x001A__x001A__x0008__x0008__x001A__x001A_		_x001A__x001A_
_x001A__x001A__x000B__x000B_";"_x001A__x001A__x0008__x0008__x001A__x001A_	",#N/A,FALSE,"_x000C__x000C__x001A__x001A__x000D__x000D__x001A__x001A__x000E__x000E__x001A__x001A__x000F__x000F__x001A__x001A__x0010__x0010__x001A__x001A__x0011__x0011__x001A__x001A__x0012__x0012_";"_x001A__x001A__x000E__x000E__x001A__x001A__x000F__x000F__x001A__x001A__x0010__x0010__x001A_",#N/A,FALSE,"_x001A__x001A__x0012__x0012__x001A__x001A__x0013__x0013__x001A__x001A__x0014__x0014__x001A__x001A__x0015__x0015__x001A_";"_x0013__x0013__x001A__x001A__x0014__x0014__x001A__x001A__x0015__x0015__x001A__x001A__x0016__x0016__x001A__x001A__x0017__x0017__x001A__x001A__x0018__x0018__x001A__x001A__x0019__x0019_",#N/A,FALSE,"_x0017__x0017__x001A__x001A__x0018__x0018__x001A__x001A__x0019__x0019__x001A__x001A__x0006__x0006_Wood Earning";"Wood E",#N/A,FALSE,"Wood Products";"Pulp Production",#N/A,FALSE,"Pulp";"Pulp Earnings",#N/A,FALSE,"Pulp"}</definedName>
    <definedName name="wrn.Complete.3" localSheetId="5" hidden="1">{"Cover",#N/A,FALSE,"Cover";"Summary",#N/A,FALSE,"Summarpage";"_x0006__x0006__x001A__x001A__x0006__x0006__x0010__x0010__x001B__x001B__x001A__x001A__x0007__x0007__x001A__x001A__x0008__x0008__x001A__x001A_	",#N/A,FALSE,"_x0007__x0007__x001A__x001A__x0008__x0008__x001A__x001A_		_x001A__x001A_
_x001A__x001A__x000B__x000B__x001A__x001A__x000C__x000C__x001A__x001A__x000D__x000D_";"
_x001A__x001A__x000B__x000B__x001A__x001A__x000C__x000C__x001A__x001A__x000D__x000D__x001A__x001A__x000E__x000E__x001A__x001A__x000F__x000F__x001A__x001A__x0010__x0010_",#N/A,FALSE,"_x001A__x001A__x000D__x000D__x001A__x001A__x000E__x000E__x001A__x001A__x000F__x000F_";"_x000F__x000F__x001A__x001A__x0010__x0010__x001A__x001A__x0011__x0011__x001A__x001A__x0012__x0012__x001A__x001A__x0013__x0013__x001A__x001A__x0014__x0014__x001A__x001A__x0015__x0015_",#N/A,FALSE,"_x001A__x001A__x0012__x0012__x001A__x001A__x0013__x0013__x001A__x001A__x0014__x0014__x001A__x001A__x0015__x0015__x001A_";"_x0014__x0014__x001A__x001A__x0015__x0015__x001A__x001A__x0016__x0016__x001A__x001A__x0017__x0017__x001A__x001A__x0018__x0018__x001A__x001A__x0019__x0019__x001A__x001A__x0006__x0006_",#N/A,FALSE,"_x001A__x001A__x0018__x0018__x001A__x001A__x0019__x0019__x001A__x001A__x0006__x0006__x0015__x0015__x0006__x0006__x001A__x001A__x0006__x0006__x0010__x0010__x001B_";"_x001A__x001A__x0006__x0006__x0015__x0015__x0006__x0006__x001A__x001A__x0006__x0006__x0010__x0010__x001B__x001B__x001A__x001A__x0007__x0007__x001A__x001A__x0008__x0008__x001A_",#N/A,FALSE,"_x0006__x0006__x0010__x0010__x001B__x001B__x001A__x001A__x0007__x0007__x001A__x001A__x0008__x0008__x001A__x001A_		_x001A__x001A_
_x001A__x001A__x000B__x000B_";"_x001A__x001A__x0008__x0008__x001A__x001A_	",#N/A,FALSE,"_x000C__x000C__x001A__x001A__x000D__x000D__x001A__x001A__x000E__x000E__x001A__x001A__x000F__x000F__x001A__x001A__x0010__x0010__x001A__x001A__x0011__x0011__x001A__x001A__x0012__x0012_";"_x001A__x001A__x000E__x000E__x001A__x001A__x000F__x000F__x001A__x001A__x0010__x0010__x001A_",#N/A,FALSE,"_x001A__x001A__x0012__x0012__x001A__x001A__x0013__x0013__x001A__x001A__x0014__x0014__x001A__x001A__x0015__x0015__x001A_";"_x0013__x0013__x001A__x001A__x0014__x0014__x001A__x001A__x0015__x0015__x001A__x001A__x0016__x0016__x001A__x001A__x0017__x0017__x001A__x001A__x0018__x0018__x001A__x001A__x0019__x0019_",#N/A,FALSE,"_x0017__x0017__x001A__x001A__x0018__x0018__x001A__x001A__x0019__x0019__x001A__x001A__x0006__x0006_Wood Earning";"Wood E",#N/A,FALSE,"Wood Products";"Pulp Production",#N/A,FALSE,"Pulp";"Pulp Earnings",#N/A,FALSE,"Pulp"}</definedName>
    <definedName name="wrn.Complete.3" localSheetId="3" hidden="1">{"Cover",#N/A,FALSE,"Cover";"Summary",#N/A,FALSE,"Summarpage";"_x0006__x0006__x001A__x001A__x0006__x0006__x0010__x0010__x001B__x001B__x001A__x001A__x0007__x0007__x001A__x001A__x0008__x0008__x001A__x001A_	",#N/A,FALSE,"_x0007__x0007__x001A__x001A__x0008__x0008__x001A__x001A_		_x001A__x001A_
_x001A__x001A__x000B__x000B__x001A__x001A__x000C__x000C__x001A__x001A__x000D__x000D_";"
_x001A__x001A__x000B__x000B__x001A__x001A__x000C__x000C__x001A__x001A__x000D__x000D__x001A__x001A__x000E__x000E__x001A__x001A__x000F__x000F__x001A__x001A__x0010__x0010_",#N/A,FALSE,"_x001A__x001A__x000D__x000D__x001A__x001A__x000E__x000E__x001A__x001A__x000F__x000F_";"_x000F__x000F__x001A__x001A__x0010__x0010__x001A__x001A__x0011__x0011__x001A__x001A__x0012__x0012__x001A__x001A__x0013__x0013__x001A__x001A__x0014__x0014__x001A__x001A__x0015__x0015_",#N/A,FALSE,"_x001A__x001A__x0012__x0012__x001A__x001A__x0013__x0013__x001A__x001A__x0014__x0014__x001A__x001A__x0015__x0015__x001A_";"_x0014__x0014__x001A__x001A__x0015__x0015__x001A__x001A__x0016__x0016__x001A__x001A__x0017__x0017__x001A__x001A__x0018__x0018__x001A__x001A__x0019__x0019__x001A__x001A__x0006__x0006_",#N/A,FALSE,"_x001A__x001A__x0018__x0018__x001A__x001A__x0019__x0019__x001A__x001A__x0006__x0006__x0015__x0015__x0006__x0006__x001A__x001A__x0006__x0006__x0010__x0010__x001B_";"_x001A__x001A__x0006__x0006__x0015__x0015__x0006__x0006__x001A__x001A__x0006__x0006__x0010__x0010__x001B__x001B__x001A__x001A__x0007__x0007__x001A__x001A__x0008__x0008__x001A_",#N/A,FALSE,"_x0006__x0006__x0010__x0010__x001B__x001B__x001A__x001A__x0007__x0007__x001A__x001A__x0008__x0008__x001A__x001A_		_x001A__x001A_
_x001A__x001A__x000B__x000B_";"_x001A__x001A__x0008__x0008__x001A__x001A_	",#N/A,FALSE,"_x000C__x000C__x001A__x001A__x000D__x000D__x001A__x001A__x000E__x000E__x001A__x001A__x000F__x000F__x001A__x001A__x0010__x0010__x001A__x001A__x0011__x0011__x001A__x001A__x0012__x0012_";"_x001A__x001A__x000E__x000E__x001A__x001A__x000F__x000F__x001A__x001A__x0010__x0010__x001A_",#N/A,FALSE,"_x001A__x001A__x0012__x0012__x001A__x001A__x0013__x0013__x001A__x001A__x0014__x0014__x001A__x001A__x0015__x0015__x001A_";"_x0013__x0013__x001A__x001A__x0014__x0014__x001A__x001A__x0015__x0015__x001A__x001A__x0016__x0016__x001A__x001A__x0017__x0017__x001A__x001A__x0018__x0018__x001A__x001A__x0019__x0019_",#N/A,FALSE,"_x0017__x0017__x001A__x001A__x0018__x0018__x001A__x001A__x0019__x0019__x001A__x001A__x0006__x0006_Wood Earning";"Wood E",#N/A,FALSE,"Wood Products";"Pulp Production",#N/A,FALSE,"Pulp";"Pulp Earnings",#N/A,FALSE,"Pulp"}</definedName>
    <definedName name="wrn.Complete.3" hidden="1">{"Cover",#N/A,FALSE,"Cover";"Summary",#N/A,FALSE,"Summarpage";"_x0006__x0006__x001A__x001A__x0006__x0006__x0010__x0010__x001B__x001B__x001A__x001A__x0007__x0007__x001A__x001A__x0008__x0008__x001A__x001A_	",#N/A,FALSE,"_x0007__x0007__x001A__x001A__x0008__x0008__x001A__x001A_		_x001A__x001A_
_x001A__x001A__x000B__x000B__x001A__x001A__x000C__x000C__x001A__x001A__x000D__x000D_";"
_x001A__x001A__x000B__x000B__x001A__x001A__x000C__x000C__x001A__x001A__x000D__x000D__x001A__x001A__x000E__x000E__x001A__x001A__x000F__x000F__x001A__x001A__x0010__x0010_",#N/A,FALSE,"_x001A__x001A__x000D__x000D__x001A__x001A__x000E__x000E__x001A__x001A__x000F__x000F_";"_x000F__x000F__x001A__x001A__x0010__x0010__x001A__x001A__x0011__x0011__x001A__x001A__x0012__x0012__x001A__x001A__x0013__x0013__x001A__x001A__x0014__x0014__x001A__x001A__x0015__x0015_",#N/A,FALSE,"_x001A__x001A__x0012__x0012__x001A__x001A__x0013__x0013__x001A__x001A__x0014__x0014__x001A__x001A__x0015__x0015__x001A_";"_x0014__x0014__x001A__x001A__x0015__x0015__x001A__x001A__x0016__x0016__x001A__x001A__x0017__x0017__x001A__x001A__x0018__x0018__x001A__x001A__x0019__x0019__x001A__x001A__x0006__x0006_",#N/A,FALSE,"_x001A__x001A__x0018__x0018__x001A__x001A__x0019__x0019__x001A__x001A__x0006__x0006__x0015__x0015__x0006__x0006__x001A__x001A__x0006__x0006__x0010__x0010__x001B_";"_x001A__x001A__x0006__x0006__x0015__x0015__x0006__x0006__x001A__x001A__x0006__x0006__x0010__x0010__x001B__x001B__x001A__x001A__x0007__x0007__x001A__x001A__x0008__x0008__x001A_",#N/A,FALSE,"_x0006__x0006__x0010__x0010__x001B__x001B__x001A__x001A__x0007__x0007__x001A__x001A__x0008__x0008__x001A__x001A_		_x001A__x001A_
_x001A__x001A__x000B__x000B_";"_x001A__x001A__x0008__x0008__x001A__x001A_	",#N/A,FALSE,"_x000C__x000C__x001A__x001A__x000D__x000D__x001A__x001A__x000E__x000E__x001A__x001A__x000F__x000F__x001A__x001A__x0010__x0010__x001A__x001A__x0011__x0011__x001A__x001A__x0012__x0012_";"_x001A__x001A__x000E__x000E__x001A__x001A__x000F__x000F__x001A__x001A__x0010__x0010__x001A_",#N/A,FALSE,"_x001A__x001A__x0012__x0012__x001A__x001A__x0013__x0013__x001A__x001A__x0014__x0014__x001A__x001A__x0015__x0015__x001A_";"_x0013__x0013__x001A__x001A__x0014__x0014__x001A__x001A__x0015__x0015__x001A__x001A__x0016__x0016__x001A__x001A__x0017__x0017__x001A__x001A__x0018__x0018__x001A__x001A__x0019__x0019_",#N/A,FALSE,"_x0017__x0017__x001A__x001A__x0018__x0018__x001A__x001A__x0019__x0019__x001A__x001A__x0006__x0006_Wood Earning";"Wood E",#N/A,FALSE,"Wood Products";"Pulp Production",#N/A,FALSE,"Pulp";"Pulp Earnings",#N/A,FALSE,"Pulp"}</definedName>
    <definedName name="wrn.cotop." localSheetId="13" hidden="1">{"ReportTop",#N/A,FALSE,"report top"}</definedName>
    <definedName name="wrn.cotop." localSheetId="7" hidden="1">{"ReportTop",#N/A,FALSE,"report top"}</definedName>
    <definedName name="wrn.cotop." localSheetId="4" hidden="1">{"ReportTop",#N/A,FALSE,"report top"}</definedName>
    <definedName name="wrn.cotop." localSheetId="5" hidden="1">{"ReportTop",#N/A,FALSE,"report top"}</definedName>
    <definedName name="wrn.cotop." localSheetId="3" hidden="1">{"ReportTop",#N/A,FALSE,"report top"}</definedName>
    <definedName name="wrn.cotop." hidden="1">{"ReportTop",#N/A,FALSE,"report top"}</definedName>
    <definedName name="wrn.data." localSheetId="13" hidden="1">{"data",#N/A,FALSE,"INPUT"}</definedName>
    <definedName name="wrn.data." localSheetId="7" hidden="1">{"data",#N/A,FALSE,"INPUT"}</definedName>
    <definedName name="wrn.data." localSheetId="4" hidden="1">{"data",#N/A,FALSE,"INPUT"}</definedName>
    <definedName name="wrn.data." localSheetId="5" hidden="1">{"data",#N/A,FALSE,"INPUT"}</definedName>
    <definedName name="wrn.data." localSheetId="3" hidden="1">{"data",#N/A,FALSE,"INPUT"}</definedName>
    <definedName name="wrn.data." hidden="1">{"data",#N/A,FALSE,"INPUT"}</definedName>
    <definedName name="wrn.data5" localSheetId="13" hidden="1">{"data",#N/A,FALSE,"INPUT"}</definedName>
    <definedName name="wrn.data5" localSheetId="7" hidden="1">{"data",#N/A,FALSE,"INPUT"}</definedName>
    <definedName name="wrn.data5" localSheetId="4" hidden="1">{"data",#N/A,FALSE,"INPUT"}</definedName>
    <definedName name="wrn.data5" localSheetId="5" hidden="1">{"data",#N/A,FALSE,"INPUT"}</definedName>
    <definedName name="wrn.data5" localSheetId="3" hidden="1">{"data",#N/A,FALSE,"INPUT"}</definedName>
    <definedName name="wrn.data5" hidden="1">{"data",#N/A,FALSE,"INPUT"}</definedName>
    <definedName name="wrn.detail." localSheetId="13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localSheetId="7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localSheetId="4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localSheetId="5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localSheetId="3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vdeal." localSheetId="13" hidden="1">{"top",#N/A,TRUE,"Detail";"next",#N/A,TRUE,"Detail";"then",#N/A,TRUE,"Detail";"and",#N/A,TRUE,"Detail";"inaddition",#N/A,TRUE,"Detail";"finally",#N/A,TRUE,"Detail"}</definedName>
    <definedName name="wrn.devdeal." localSheetId="7" hidden="1">{"top",#N/A,TRUE,"Detail";"next",#N/A,TRUE,"Detail";"then",#N/A,TRUE,"Detail";"and",#N/A,TRUE,"Detail";"inaddition",#N/A,TRUE,"Detail";"finally",#N/A,TRUE,"Detail"}</definedName>
    <definedName name="wrn.devdeal." localSheetId="4" hidden="1">{"top",#N/A,TRUE,"Detail";"next",#N/A,TRUE,"Detail";"then",#N/A,TRUE,"Detail";"and",#N/A,TRUE,"Detail";"inaddition",#N/A,TRUE,"Detail";"finally",#N/A,TRUE,"Detail"}</definedName>
    <definedName name="wrn.devdeal." localSheetId="5" hidden="1">{"top",#N/A,TRUE,"Detail";"next",#N/A,TRUE,"Detail";"then",#N/A,TRUE,"Detail";"and",#N/A,TRUE,"Detail";"inaddition",#N/A,TRUE,"Detail";"finally",#N/A,TRUE,"Detail"}</definedName>
    <definedName name="wrn.devdeal." localSheetId="3" hidden="1">{"top",#N/A,TRUE,"Detail";"next",#N/A,TRUE,"Detail";"then",#N/A,TRUE,"Detail";"and",#N/A,TRUE,"Detail";"inaddition",#N/A,TRUE,"Detail";"finally",#N/A,TRUE,"Detail"}</definedName>
    <definedName name="wrn.devdeal." hidden="1">{"top",#N/A,TRUE,"Detail";"next",#N/A,TRUE,"Detail";"then",#N/A,TRUE,"Detail";"and",#N/A,TRUE,"Detail";"inaddition",#N/A,TRUE,"Detail";"finally",#N/A,TRUE,"Detail"}</definedName>
    <definedName name="wrn.ExecMgt._.Reports." localSheetId="13" hidden="1">{#N/A,#N/A,FALSE,"PropInfo";#N/A,#N/A,FALSE,"Summary";#N/A,#N/A,FALSE,"Comparitive";#N/A,#N/A,FALSE,"RevSummary"}</definedName>
    <definedName name="wrn.ExecMgt._.Reports." localSheetId="7" hidden="1">{#N/A,#N/A,FALSE,"PropInfo";#N/A,#N/A,FALSE,"Summary";#N/A,#N/A,FALSE,"Comparitive";#N/A,#N/A,FALSE,"RevSummary"}</definedName>
    <definedName name="wrn.ExecMgt._.Reports." localSheetId="4" hidden="1">{#N/A,#N/A,FALSE,"PropInfo";#N/A,#N/A,FALSE,"Summary";#N/A,#N/A,FALSE,"Comparitive";#N/A,#N/A,FALSE,"RevSummary"}</definedName>
    <definedName name="wrn.ExecMgt._.Reports." localSheetId="5" hidden="1">{#N/A,#N/A,FALSE,"PropInfo";#N/A,#N/A,FALSE,"Summary";#N/A,#N/A,FALSE,"Comparitive";#N/A,#N/A,FALSE,"RevSummary"}</definedName>
    <definedName name="wrn.ExecMgt._.Reports." localSheetId="3" hidden="1">{#N/A,#N/A,FALSE,"PropInfo";#N/A,#N/A,FALSE,"Summary";#N/A,#N/A,FALSE,"Comparitive";#N/A,#N/A,FALSE,"RevSummary"}</definedName>
    <definedName name="wrn.ExecMgt._.Reports." hidden="1">{#N/A,#N/A,FALSE,"PropInfo";#N/A,#N/A,FALSE,"Summary";#N/A,#N/A,FALSE,"Comparitive";#N/A,#N/A,FALSE,"RevSummary"}</definedName>
    <definedName name="wrn.ExitAndSalesAssumptions." localSheetId="13" hidden="1">{#N/A,#N/A,FALSE,"ExitStratigy"}</definedName>
    <definedName name="wrn.ExitAndSalesAssumptions." localSheetId="7" hidden="1">{#N/A,#N/A,FALSE,"ExitStratigy"}</definedName>
    <definedName name="wrn.ExitAndSalesAssumptions." localSheetId="4" hidden="1">{#N/A,#N/A,FALSE,"ExitStratigy"}</definedName>
    <definedName name="wrn.ExitAndSalesAssumptions." localSheetId="5" hidden="1">{#N/A,#N/A,FALSE,"ExitStratigy"}</definedName>
    <definedName name="wrn.ExitAndSalesAssumptions." localSheetId="3" hidden="1">{#N/A,#N/A,FALSE,"ExitStratigy"}</definedName>
    <definedName name="wrn.ExitAndSalesAssumptions." hidden="1">{#N/A,#N/A,FALSE,"ExitStratigy"}</definedName>
    <definedName name="wrn.FCB." localSheetId="13" hidden="1">{"FCB_ALL",#N/A,FALSE,"FCB"}</definedName>
    <definedName name="wrn.FCB." localSheetId="7" hidden="1">{"FCB_ALL",#N/A,FALSE,"FCB"}</definedName>
    <definedName name="wrn.FCB." localSheetId="4" hidden="1">{"FCB_ALL",#N/A,FALSE,"FCB"}</definedName>
    <definedName name="wrn.FCB." localSheetId="5" hidden="1">{"FCB_ALL",#N/A,FALSE,"FCB"}</definedName>
    <definedName name="wrn.FCB." localSheetId="3" hidden="1">{"FCB_ALL",#N/A,FALSE,"FCB"}</definedName>
    <definedName name="wrn.FCB." hidden="1">{"FCB_ALL",#N/A,FALSE,"FCB"}</definedName>
    <definedName name="wrn.fcb2" localSheetId="13" hidden="1">{"FCB_ALL",#N/A,FALSE,"FCB"}</definedName>
    <definedName name="wrn.fcb2" localSheetId="7" hidden="1">{"FCB_ALL",#N/A,FALSE,"FCB"}</definedName>
    <definedName name="wrn.fcb2" localSheetId="4" hidden="1">{"FCB_ALL",#N/A,FALSE,"FCB"}</definedName>
    <definedName name="wrn.fcb2" localSheetId="5" hidden="1">{"FCB_ALL",#N/A,FALSE,"FCB"}</definedName>
    <definedName name="wrn.fcb2" localSheetId="3" hidden="1">{"FCB_ALL",#N/A,FALSE,"FCB"}</definedName>
    <definedName name="wrn.fcb2" hidden="1">{"FCB_ALL",#N/A,FALSE,"FCB"}</definedName>
    <definedName name="wrn.FCG." hidden="1">{#N/A,#N/A,TRUE,"Title Page";#N/A,#N/A,TRUE,"Executive Summary";#N/A,#N/A,TRUE,"Cash Flow";#N/A,#N/A,TRUE,"Exp Detail";#N/A,#N/A,TRUE,"Pricing Matrix";#N/A,#N/A,TRUE,"Value Matrix";#N/A,#N/A,TRUE,"Assumptions";#N/A,#N/A,TRUE,"Vacant Space";#N/A,#N/A,TRUE,"2nd Generation";#N/A,#N/A,TRUE,"Existing vs Mkt";#N/A,#N/A,TRUE,"Expiration Schedule";#N/A,#N/A,TRUE,"Expiration Graph ";#N/A,#N/A,TRUE,"Residual - Marketing";#N/A,#N/A,TRUE,"Vacancy Detail"}</definedName>
    <definedName name="wrn.FCG._.Express." localSheetId="13" hidden="1">{#N/A,#N/A,TRUE,"Title Page";#N/A,#N/A,TRUE,"Executive Summary";#N/A,#N/A,TRUE,"Assumptions";#N/A,#N/A,TRUE,"Footnotes";#N/A,#N/A,TRUE,"Narrative Assumptions";#N/A,#N/A,TRUE,"2nd Generation";#N/A,#N/A,TRUE,"Existing vs Mkt";#N/A,#N/A,TRUE,"Cash Flow";#N/A,#N/A,TRUE,"Residual - Marketing";#N/A,#N/A,TRUE,"Pricing Matrix";#N/A,#N/A,TRUE,"Expiration Schedule";#N/A,#N/A,TRUE,"Expiration Graph "}</definedName>
    <definedName name="wrn.FCG._.Express." localSheetId="7" hidden="1">{#N/A,#N/A,TRUE,"Title Page";#N/A,#N/A,TRUE,"Executive Summary";#N/A,#N/A,TRUE,"Assumptions";#N/A,#N/A,TRUE,"Footnotes";#N/A,#N/A,TRUE,"Narrative Assumptions";#N/A,#N/A,TRUE,"2nd Generation";#N/A,#N/A,TRUE,"Existing vs Mkt";#N/A,#N/A,TRUE,"Cash Flow";#N/A,#N/A,TRUE,"Residual - Marketing";#N/A,#N/A,TRUE,"Pricing Matrix";#N/A,#N/A,TRUE,"Expiration Schedule";#N/A,#N/A,TRUE,"Expiration Graph "}</definedName>
    <definedName name="wrn.FCG._.Express." localSheetId="4" hidden="1">{#N/A,#N/A,TRUE,"Title Page";#N/A,#N/A,TRUE,"Executive Summary";#N/A,#N/A,TRUE,"Assumptions";#N/A,#N/A,TRUE,"Footnotes";#N/A,#N/A,TRUE,"Narrative Assumptions";#N/A,#N/A,TRUE,"2nd Generation";#N/A,#N/A,TRUE,"Existing vs Mkt";#N/A,#N/A,TRUE,"Cash Flow";#N/A,#N/A,TRUE,"Residual - Marketing";#N/A,#N/A,TRUE,"Pricing Matrix";#N/A,#N/A,TRUE,"Expiration Schedule";#N/A,#N/A,TRUE,"Expiration Graph "}</definedName>
    <definedName name="wrn.FCG._.Express." localSheetId="5" hidden="1">{#N/A,#N/A,TRUE,"Title Page";#N/A,#N/A,TRUE,"Executive Summary";#N/A,#N/A,TRUE,"Assumptions";#N/A,#N/A,TRUE,"Footnotes";#N/A,#N/A,TRUE,"Narrative Assumptions";#N/A,#N/A,TRUE,"2nd Generation";#N/A,#N/A,TRUE,"Existing vs Mkt";#N/A,#N/A,TRUE,"Cash Flow";#N/A,#N/A,TRUE,"Residual - Marketing";#N/A,#N/A,TRUE,"Pricing Matrix";#N/A,#N/A,TRUE,"Expiration Schedule";#N/A,#N/A,TRUE,"Expiration Graph "}</definedName>
    <definedName name="wrn.FCG._.Express." localSheetId="3" hidden="1">{#N/A,#N/A,TRUE,"Title Page";#N/A,#N/A,TRUE,"Executive Summary";#N/A,#N/A,TRUE,"Assumptions";#N/A,#N/A,TRUE,"Footnotes";#N/A,#N/A,TRUE,"Narrative Assumptions";#N/A,#N/A,TRUE,"2nd Generation";#N/A,#N/A,TRUE,"Existing vs Mkt";#N/A,#N/A,TRUE,"Cash Flow";#N/A,#N/A,TRUE,"Residual - Marketing";#N/A,#N/A,TRUE,"Pricing Matrix";#N/A,#N/A,TRUE,"Expiration Schedule";#N/A,#N/A,TRUE,"Expiration Graph "}</definedName>
    <definedName name="wrn.FCG._.Express." hidden="1">{#N/A,#N/A,TRUE,"Title Page";#N/A,#N/A,TRUE,"Executive Summary";#N/A,#N/A,TRUE,"Assumptions";#N/A,#N/A,TRUE,"Footnotes";#N/A,#N/A,TRUE,"Narrative Assumptions";#N/A,#N/A,TRUE,"2nd Generation";#N/A,#N/A,TRUE,"Existing vs Mkt";#N/A,#N/A,TRUE,"Cash Flow";#N/A,#N/A,TRUE,"Residual - Marketing";#N/A,#N/A,TRUE,"Pricing Matrix";#N/A,#N/A,TRUE,"Expiration Schedule";#N/A,#N/A,TRUE,"Expiration Graph "}</definedName>
    <definedName name="wrn.FCG._.Full." localSheetId="13" hidden="1">{#N/A,#N/A,TRUE,"Title Page";#N/A,#N/A,TRUE,"Executive Summary";#N/A,#N/A,TRUE,"Assumptions";#N/A,#N/A,TRUE,"Footnotes";#N/A,#N/A,TRUE,"Narrative Assumptions";#N/A,#N/A,TRUE,"Vacant Space";#N/A,#N/A,TRUE,"2nd Generation";#N/A,#N/A,TRUE,"Existing vs Mkt";#N/A,#N/A,TRUE,"Cash Flow";#N/A,#N/A,TRUE,"Residual - Marketing";#N/A,#N/A,TRUE,"Pricing Matrix";#N/A,#N/A,TRUE,"Vacancy Detail";#N/A,#N/A,TRUE,"Expiration Schedule";#N/A,#N/A,TRUE,"Expiration Graph ";#N/A,#N/A,TRUE,"Value Matrix";#N/A,#N/A,TRUE,"Value Matrix (2)";#N/A,#N/A,TRUE,"GI Detail";#N/A,#N/A,TRUE,"Exp Detail";#N/A,#N/A,TRUE,"ALease-up Schedule"}</definedName>
    <definedName name="wrn.FCG._.Full." localSheetId="7" hidden="1">{#N/A,#N/A,TRUE,"Title Page";#N/A,#N/A,TRUE,"Executive Summary";#N/A,#N/A,TRUE,"Assumptions";#N/A,#N/A,TRUE,"Footnotes";#N/A,#N/A,TRUE,"Narrative Assumptions";#N/A,#N/A,TRUE,"Vacant Space";#N/A,#N/A,TRUE,"2nd Generation";#N/A,#N/A,TRUE,"Existing vs Mkt";#N/A,#N/A,TRUE,"Cash Flow";#N/A,#N/A,TRUE,"Residual - Marketing";#N/A,#N/A,TRUE,"Pricing Matrix";#N/A,#N/A,TRUE,"Vacancy Detail";#N/A,#N/A,TRUE,"Expiration Schedule";#N/A,#N/A,TRUE,"Expiration Graph ";#N/A,#N/A,TRUE,"Value Matrix";#N/A,#N/A,TRUE,"Value Matrix (2)";#N/A,#N/A,TRUE,"GI Detail";#N/A,#N/A,TRUE,"Exp Detail";#N/A,#N/A,TRUE,"ALease-up Schedule"}</definedName>
    <definedName name="wrn.FCG._.Full." localSheetId="4" hidden="1">{#N/A,#N/A,TRUE,"Title Page";#N/A,#N/A,TRUE,"Executive Summary";#N/A,#N/A,TRUE,"Assumptions";#N/A,#N/A,TRUE,"Footnotes";#N/A,#N/A,TRUE,"Narrative Assumptions";#N/A,#N/A,TRUE,"Vacant Space";#N/A,#N/A,TRUE,"2nd Generation";#N/A,#N/A,TRUE,"Existing vs Mkt";#N/A,#N/A,TRUE,"Cash Flow";#N/A,#N/A,TRUE,"Residual - Marketing";#N/A,#N/A,TRUE,"Pricing Matrix";#N/A,#N/A,TRUE,"Vacancy Detail";#N/A,#N/A,TRUE,"Expiration Schedule";#N/A,#N/A,TRUE,"Expiration Graph ";#N/A,#N/A,TRUE,"Value Matrix";#N/A,#N/A,TRUE,"Value Matrix (2)";#N/A,#N/A,TRUE,"GI Detail";#N/A,#N/A,TRUE,"Exp Detail";#N/A,#N/A,TRUE,"ALease-up Schedule"}</definedName>
    <definedName name="wrn.FCG._.Full." localSheetId="5" hidden="1">{#N/A,#N/A,TRUE,"Title Page";#N/A,#N/A,TRUE,"Executive Summary";#N/A,#N/A,TRUE,"Assumptions";#N/A,#N/A,TRUE,"Footnotes";#N/A,#N/A,TRUE,"Narrative Assumptions";#N/A,#N/A,TRUE,"Vacant Space";#N/A,#N/A,TRUE,"2nd Generation";#N/A,#N/A,TRUE,"Existing vs Mkt";#N/A,#N/A,TRUE,"Cash Flow";#N/A,#N/A,TRUE,"Residual - Marketing";#N/A,#N/A,TRUE,"Pricing Matrix";#N/A,#N/A,TRUE,"Vacancy Detail";#N/A,#N/A,TRUE,"Expiration Schedule";#N/A,#N/A,TRUE,"Expiration Graph ";#N/A,#N/A,TRUE,"Value Matrix";#N/A,#N/A,TRUE,"Value Matrix (2)";#N/A,#N/A,TRUE,"GI Detail";#N/A,#N/A,TRUE,"Exp Detail";#N/A,#N/A,TRUE,"ALease-up Schedule"}</definedName>
    <definedName name="wrn.FCG._.Full." localSheetId="3" hidden="1">{#N/A,#N/A,TRUE,"Title Page";#N/A,#N/A,TRUE,"Executive Summary";#N/A,#N/A,TRUE,"Assumptions";#N/A,#N/A,TRUE,"Footnotes";#N/A,#N/A,TRUE,"Narrative Assumptions";#N/A,#N/A,TRUE,"Vacant Space";#N/A,#N/A,TRUE,"2nd Generation";#N/A,#N/A,TRUE,"Existing vs Mkt";#N/A,#N/A,TRUE,"Cash Flow";#N/A,#N/A,TRUE,"Residual - Marketing";#N/A,#N/A,TRUE,"Pricing Matrix";#N/A,#N/A,TRUE,"Vacancy Detail";#N/A,#N/A,TRUE,"Expiration Schedule";#N/A,#N/A,TRUE,"Expiration Graph ";#N/A,#N/A,TRUE,"Value Matrix";#N/A,#N/A,TRUE,"Value Matrix (2)";#N/A,#N/A,TRUE,"GI Detail";#N/A,#N/A,TRUE,"Exp Detail";#N/A,#N/A,TRUE,"ALease-up Schedule"}</definedName>
    <definedName name="wrn.FCG._.Full." hidden="1">{#N/A,#N/A,TRUE,"Title Page";#N/A,#N/A,TRUE,"Executive Summary";#N/A,#N/A,TRUE,"Assumptions";#N/A,#N/A,TRUE,"Footnotes";#N/A,#N/A,TRUE,"Narrative Assumptions";#N/A,#N/A,TRUE,"Vacant Space";#N/A,#N/A,TRUE,"2nd Generation";#N/A,#N/A,TRUE,"Existing vs Mkt";#N/A,#N/A,TRUE,"Cash Flow";#N/A,#N/A,TRUE,"Residual - Marketing";#N/A,#N/A,TRUE,"Pricing Matrix";#N/A,#N/A,TRUE,"Vacancy Detail";#N/A,#N/A,TRUE,"Expiration Schedule";#N/A,#N/A,TRUE,"Expiration Graph ";#N/A,#N/A,TRUE,"Value Matrix";#N/A,#N/A,TRUE,"Value Matrix (2)";#N/A,#N/A,TRUE,"GI Detail";#N/A,#N/A,TRUE,"Exp Detail";#N/A,#N/A,TRUE,"ALease-up Schedule"}</definedName>
    <definedName name="wrn.Feb98." localSheetId="13" hidden="1">{"sheet a",#N/A,FALSE,"A";"2 9 casflow",#N/A,FALSE,"B"}</definedName>
    <definedName name="wrn.Feb98." localSheetId="7" hidden="1">{"sheet a",#N/A,FALSE,"A";"2 9 casflow",#N/A,FALSE,"B"}</definedName>
    <definedName name="wrn.Feb98." localSheetId="4" hidden="1">{"sheet a",#N/A,FALSE,"A";"2 9 casflow",#N/A,FALSE,"B"}</definedName>
    <definedName name="wrn.Feb98." localSheetId="5" hidden="1">{"sheet a",#N/A,FALSE,"A";"2 9 casflow",#N/A,FALSE,"B"}</definedName>
    <definedName name="wrn.Feb98." localSheetId="3" hidden="1">{"sheet a",#N/A,FALSE,"A";"2 9 casflow",#N/A,FALSE,"B"}</definedName>
    <definedName name="wrn.Feb98." hidden="1">{"sheet a",#N/A,FALSE,"A";"2 9 casflow",#N/A,FALSE,"B"}</definedName>
    <definedName name="wrn.Financial._.Model." hidden="1">{#N/A,#N/A,TRUE,"Input Sheet Model";#N/A,#N/A,TRUE,"Project Proforma Detail";#N/A,#N/A,TRUE,"Signoff Summary";#N/A,#N/A,TRUE,"Assumptions";#N/A,#N/A,TRUE,"Constr. Int. Inc.";#N/A,#N/A,TRUE,"Cashflow Projection"}</definedName>
    <definedName name="wrn.FOschedules." localSheetId="13" hidden="1">{"FOschedule1",#N/A,FALSE,"Sheet1";"FOschedule2",#N/A,FALSE,"Sheet1";"FOschedule3",#N/A,FALSE,"Sheet1"}</definedName>
    <definedName name="wrn.FOschedules." localSheetId="7" hidden="1">{"FOschedule1",#N/A,FALSE,"Sheet1";"FOschedule2",#N/A,FALSE,"Sheet1";"FOschedule3",#N/A,FALSE,"Sheet1"}</definedName>
    <definedName name="wrn.FOschedules." localSheetId="4" hidden="1">{"FOschedule1",#N/A,FALSE,"Sheet1";"FOschedule2",#N/A,FALSE,"Sheet1";"FOschedule3",#N/A,FALSE,"Sheet1"}</definedName>
    <definedName name="wrn.FOschedules." localSheetId="5" hidden="1">{"FOschedule1",#N/A,FALSE,"Sheet1";"FOschedule2",#N/A,FALSE,"Sheet1";"FOschedule3",#N/A,FALSE,"Sheet1"}</definedName>
    <definedName name="wrn.FOschedules." localSheetId="3" hidden="1">{"FOschedule1",#N/A,FALSE,"Sheet1";"FOschedule2",#N/A,FALSE,"Sheet1";"FOschedule3",#N/A,FALSE,"Sheet1"}</definedName>
    <definedName name="wrn.FOschedules." hidden="1">{"FOschedule1",#N/A,FALSE,"Sheet1";"FOschedule2",#N/A,FALSE,"Sheet1";"FOschedule3",#N/A,FALSE,"Sheet1"}</definedName>
    <definedName name="wrn.FULL._.COMPARISON." hidden="1">{"Full Sheet",#N/A,FALSE,"Expense Comparison"}</definedName>
    <definedName name="wrn.Full._.Report." localSheetId="1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" localSheetId="7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" localSheetId="4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" localSheetId="5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" localSheetId="3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._.Report." hidden="1">{#N/A,#N/A,FALSE,"Summary";#N/A,#N/A,FALSE,"Project Summary";#N/A,#N/A,FALSE,"Master Developer Cash Flow";#N/A,#N/A,FALSE,"Development Cost Allocation";#N/A,#N/A,FALSE,"Costs";#N/A,#N/A,FALSE,"Pad Fees";#N/A,#N/A,FALSE,"Parking Budget";#N/A,#N/A,FALSE,"Podium Monthly Development #1";#N/A,#N/A,FALSE,"Podium Monthly Development #2";#N/A,#N/A,FALSE,"Podium Quarterly Development Bu";#N/A,#N/A,FALSE,"Parking Cash Flow";#N/A,#N/A,FALSE,"Parking Assumptions";#N/A,#N/A,FALSE,"Bond Debt Service";#N/A,#N/A,FALSE,"Bond Shortfall";#N/A,#N/A,FALSE,"Retail Development Budget";#N/A,#N/A,FALSE,"Retail Monthly Development Budg";#N/A,#N/A,FALSE,"Retail Quarterly Development Bu";#N/A,#N/A,FALSE,"Retail Cash Flow";#N/A,#N/A,FALSE,"Retail Cash Flow";#N/A,#N/A,FALSE,"Retail Assumptions";#N/A,#N/A,FALSE,"Retail Debt Service";#N/A,#N/A,FALSE,"Office Development Budget";#N/A,#N/A,FALSE,"Office Monthly Development Budg";#N/A,#N/A,FALSE,"Office Quarterly Development Bu";#N/A,#N/A,FALSE,"Office Cash Flow";#N/A,#N/A,FALSE,"Office Assumptions";#N/A,#N/A,FALSE,"Office Debt Service";#N/A,#N/A,FALSE,"Hotel Development Budget";#N/A,#N/A,FALSE,"Hotel Monthly Development Budge";#N/A,#N/A,FALSE,"Hotel Quarterly Development Bud";#N/A,#N/A,FALSE,"Hotel Cash Flow";#N/A,#N/A,FALSE,"Hotel Assumptions";#N/A,#N/A,FALSE,"Hotel Debt Service";#N/A,#N/A,FALSE,"Demographics-Hotel";#N/A,#N/A,FALSE,"Land Lease NPV"}</definedName>
    <definedName name="wrn.Full_Template." localSheetId="13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Full_Template." localSheetId="7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Full_Template." localSheetId="4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Full_Template." localSheetId="5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Full_Template." localSheetId="2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Full_Template." localSheetId="3" hidden="1">{#N/A,#N/A,FALSE,"1Summary";#N/A,#N/A,FALSE,"2Assumptions";#N/A,#N/A,FALSE,"3Cash Flow";#N/A,#N/A,FALSE,"4Return of Investment Chart";#N/A,#N/A,FALSE,"5Year 1 Reconciliation";#N/A,#N/A,FALSE,"6Residual";#N/A,#N/A,FALSE,"7Pricing Matrix";#N/A,#N/A,FALSE,"8Vacancy Matrix";#N/A,#N/A,FALSE,"9Vacancy Chart";#N/A,#N/A,FALSE,"AExpiration Schedule";#N/A,#N/A,FALSE,"BExpiration Chart";#N/A,#N/A,FALSE,"CLease-up Schedule";#N/A,#N/A,FALSE,"DWeighted Average Calculation"}</definedName>
    <definedName name="wrn.Full_Template." hidden="1">{#N/A,#N/A,FALSE,"1Summary";#N/A,#N/A,FALSE,"2Assumptions";#N/A,#N/A,FALSE,"3Cash Flow";#N/A,#N/A,FALSE,"4Year 1 Reconciliation";#N/A,#N/A,FALSE,"5Residual";#N/A,#N/A,FALSE,"6Residual (Year 20)";#N/A,#N/A,FALSE,"7Financing Sensitivity";#N/A,#N/A,FALSE,"8Residual Sensitivity";#N/A,#N/A,FALSE,"9Pricing Matrix";#N/A,#N/A,FALSE,"10Vacancy Matrix";#N/A,#N/A,FALSE,"11Expiration Schedule";#N/A,#N/A,FALSE,"12Lease-up Schedule";#N/A,#N/A,FALSE,"13Residual 2007";#N/A,#N/A,FALSE,"14Residual 2008";#N/A,#N/A,FALSE,"15Residual 2009";#N/A,#N/A,FALSE,"16Residual 2010";#N/A,#N/A,FALSE,"17Residual 2011";#N/A,#N/A,FALSE,"18Hold Disposition Matrix";#N/A,#N/A,FALSE,"19Other Disposition Matrix"}</definedName>
    <definedName name="wrn.GSA._.PRINT." localSheetId="13" hidden="1">{#N/A,#N/A,FALSE,"DEV COSTS";#N/A,#N/A,FALSE,"10-YR C. F."}</definedName>
    <definedName name="wrn.GSA._.PRINT." localSheetId="7" hidden="1">{#N/A,#N/A,FALSE,"DEV COSTS";#N/A,#N/A,FALSE,"10-YR C. F."}</definedName>
    <definedName name="wrn.GSA._.PRINT." localSheetId="4" hidden="1">{#N/A,#N/A,FALSE,"DEV COSTS";#N/A,#N/A,FALSE,"10-YR C. F."}</definedName>
    <definedName name="wrn.GSA._.PRINT." localSheetId="5" hidden="1">{#N/A,#N/A,FALSE,"DEV COSTS";#N/A,#N/A,FALSE,"10-YR C. F."}</definedName>
    <definedName name="wrn.GSA._.PRINT." localSheetId="3" hidden="1">{#N/A,#N/A,FALSE,"DEV COSTS";#N/A,#N/A,FALSE,"10-YR C. F."}</definedName>
    <definedName name="wrn.GSA._.PRINT." hidden="1">{#N/A,#N/A,FALSE,"DEV COSTS";#N/A,#N/A,FALSE,"10-YR C. F."}</definedName>
    <definedName name="wrn.gsa._PRINT5" localSheetId="13" hidden="1">{#N/A,#N/A,FALSE,"DEV COSTS";#N/A,#N/A,FALSE,"10-YR C. F."}</definedName>
    <definedName name="wrn.gsa._PRINT5" localSheetId="7" hidden="1">{#N/A,#N/A,FALSE,"DEV COSTS";#N/A,#N/A,FALSE,"10-YR C. F."}</definedName>
    <definedName name="wrn.gsa._PRINT5" localSheetId="4" hidden="1">{#N/A,#N/A,FALSE,"DEV COSTS";#N/A,#N/A,FALSE,"10-YR C. F."}</definedName>
    <definedName name="wrn.gsa._PRINT5" localSheetId="5" hidden="1">{#N/A,#N/A,FALSE,"DEV COSTS";#N/A,#N/A,FALSE,"10-YR C. F."}</definedName>
    <definedName name="wrn.gsa._PRINT5" localSheetId="3" hidden="1">{#N/A,#N/A,FALSE,"DEV COSTS";#N/A,#N/A,FALSE,"10-YR C. F."}</definedName>
    <definedName name="wrn.gsa._PRINT5" hidden="1">{#N/A,#N/A,FALSE,"DEV COSTS";#N/A,#N/A,FALSE,"10-YR C. F."}</definedName>
    <definedName name="wrn.heathrow." localSheetId="13" hidden="1">{#N/A,#N/A,FALSE,"Summary";#N/A,#N/A,FALSE,"Sales";#N/A,#N/A,FALSE,"Costs";#N/A,#N/A,FALSE,"1996";#N/A,#N/A,FALSE,"1997";#N/A,#N/A,FALSE,"1998";#N/A,#N/A,FALSE,"1999";#N/A,#N/A,FALSE,"2000";#N/A,#N/A,FALSE,"2001";#N/A,#N/A,FALSE,"2002";#N/A,#N/A,FALSE,"2003";#N/A,#N/A,FALSE,"2004";#N/A,#N/A,FALSE,"2005";#N/A,#N/A,FALSE,"2006"}</definedName>
    <definedName name="wrn.heathrow." localSheetId="7" hidden="1">{#N/A,#N/A,FALSE,"Summary";#N/A,#N/A,FALSE,"Sales";#N/A,#N/A,FALSE,"Costs";#N/A,#N/A,FALSE,"1996";#N/A,#N/A,FALSE,"1997";#N/A,#N/A,FALSE,"1998";#N/A,#N/A,FALSE,"1999";#N/A,#N/A,FALSE,"2000";#N/A,#N/A,FALSE,"2001";#N/A,#N/A,FALSE,"2002";#N/A,#N/A,FALSE,"2003";#N/A,#N/A,FALSE,"2004";#N/A,#N/A,FALSE,"2005";#N/A,#N/A,FALSE,"2006"}</definedName>
    <definedName name="wrn.heathrow." localSheetId="4" hidden="1">{#N/A,#N/A,FALSE,"Summary";#N/A,#N/A,FALSE,"Sales";#N/A,#N/A,FALSE,"Costs";#N/A,#N/A,FALSE,"1996";#N/A,#N/A,FALSE,"1997";#N/A,#N/A,FALSE,"1998";#N/A,#N/A,FALSE,"1999";#N/A,#N/A,FALSE,"2000";#N/A,#N/A,FALSE,"2001";#N/A,#N/A,FALSE,"2002";#N/A,#N/A,FALSE,"2003";#N/A,#N/A,FALSE,"2004";#N/A,#N/A,FALSE,"2005";#N/A,#N/A,FALSE,"2006"}</definedName>
    <definedName name="wrn.heathrow." localSheetId="5" hidden="1">{#N/A,#N/A,FALSE,"Summary";#N/A,#N/A,FALSE,"Sales";#N/A,#N/A,FALSE,"Costs";#N/A,#N/A,FALSE,"1996";#N/A,#N/A,FALSE,"1997";#N/A,#N/A,FALSE,"1998";#N/A,#N/A,FALSE,"1999";#N/A,#N/A,FALSE,"2000";#N/A,#N/A,FALSE,"2001";#N/A,#N/A,FALSE,"2002";#N/A,#N/A,FALSE,"2003";#N/A,#N/A,FALSE,"2004";#N/A,#N/A,FALSE,"2005";#N/A,#N/A,FALSE,"2006"}</definedName>
    <definedName name="wrn.heathrow." localSheetId="3" hidden="1">{#N/A,#N/A,FALSE,"Summary";#N/A,#N/A,FALSE,"Sales";#N/A,#N/A,FALSE,"Costs";#N/A,#N/A,FALSE,"1996";#N/A,#N/A,FALSE,"1997";#N/A,#N/A,FALSE,"1998";#N/A,#N/A,FALSE,"1999";#N/A,#N/A,FALSE,"2000";#N/A,#N/A,FALSE,"2001";#N/A,#N/A,FALSE,"2002";#N/A,#N/A,FALSE,"2003";#N/A,#N/A,FALSE,"2004";#N/A,#N/A,FALSE,"2005";#N/A,#N/A,FALSE,"2006"}</definedName>
    <definedName name="wrn.heathrow." hidden="1">{#N/A,#N/A,FALSE,"Summary";#N/A,#N/A,FALSE,"Sales";#N/A,#N/A,FALSE,"Costs";#N/A,#N/A,FALSE,"1996";#N/A,#N/A,FALSE,"1997";#N/A,#N/A,FALSE,"1998";#N/A,#N/A,FALSE,"1999";#N/A,#N/A,FALSE,"2000";#N/A,#N/A,FALSE,"2001";#N/A,#N/A,FALSE,"2002";#N/A,#N/A,FALSE,"2003";#N/A,#N/A,FALSE,"2004";#N/A,#N/A,FALSE,"2005";#N/A,#N/A,FALSE,"2006"}</definedName>
    <definedName name="wrn.Hold._.Sell." hidden="1">{#N/A,#N/A,FALSE,"13Residual 2007";#N/A,#N/A,FALSE,"14Residual 2008";#N/A,#N/A,FALSE,"15Residual 2009";#N/A,#N/A,FALSE,"16Residual 2010";#N/A,#N/A,FALSE,"17Residual 2011";#N/A,#N/A,FALSE,"18Hold Disposition Matrix";#N/A,#N/A,FALSE,"19Other Disposition Matrix"}</definedName>
    <definedName name="wrn.IPO._.Valuation." localSheetId="13" hidden="1">{"assumptions",#N/A,FALSE,"Scenario 1";"valuation",#N/A,FALSE,"Scenario 1"}</definedName>
    <definedName name="wrn.IPO._.Valuation." localSheetId="7" hidden="1">{"assumptions",#N/A,FALSE,"Scenario 1";"valuation",#N/A,FALSE,"Scenario 1"}</definedName>
    <definedName name="wrn.IPO._.Valuation." localSheetId="4" hidden="1">{"assumptions",#N/A,FALSE,"Scenario 1";"valuation",#N/A,FALSE,"Scenario 1"}</definedName>
    <definedName name="wrn.IPO._.Valuation." localSheetId="5" hidden="1">{"assumptions",#N/A,FALSE,"Scenario 1";"valuation",#N/A,FALSE,"Scenario 1"}</definedName>
    <definedName name="wrn.IPO._.Valuation." localSheetId="3" hidden="1">{"assumptions",#N/A,FALSE,"Scenario 1";"valuation",#N/A,FALSE,"Scenario 1"}</definedName>
    <definedName name="wrn.IPO._.Valuation." hidden="1">{"assumptions",#N/A,FALSE,"Scenario 1";"valuation",#N/A,FALSE,"Scenario 1"}</definedName>
    <definedName name="wrn.jan._.98." localSheetId="13" hidden="1">{"sheet a",#N/A,FALSE,"A";"sheet b 1",#N/A,FALSE,"B";"sheet b 2",#N/A,FALSE,"B"}</definedName>
    <definedName name="wrn.jan._.98." localSheetId="7" hidden="1">{"sheet a",#N/A,FALSE,"A";"sheet b 1",#N/A,FALSE,"B";"sheet b 2",#N/A,FALSE,"B"}</definedName>
    <definedName name="wrn.jan._.98." localSheetId="4" hidden="1">{"sheet a",#N/A,FALSE,"A";"sheet b 1",#N/A,FALSE,"B";"sheet b 2",#N/A,FALSE,"B"}</definedName>
    <definedName name="wrn.jan._.98." localSheetId="5" hidden="1">{"sheet a",#N/A,FALSE,"A";"sheet b 1",#N/A,FALSE,"B";"sheet b 2",#N/A,FALSE,"B"}</definedName>
    <definedName name="wrn.jan._.98." localSheetId="3" hidden="1">{"sheet a",#N/A,FALSE,"A";"sheet b 1",#N/A,FALSE,"B";"sheet b 2",#N/A,FALSE,"B"}</definedName>
    <definedName name="wrn.jan._.98." hidden="1">{"sheet a",#N/A,FALSE,"A";"sheet b 1",#N/A,FALSE,"B";"sheet b 2",#N/A,FALSE,"B"}</definedName>
    <definedName name="wrn.JODM._.Graphs." localSheetId="13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ODM._.Graphs." localSheetId="7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ODM._.Graphs." localSheetId="4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ODM._.Graphs." localSheetId="5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ODM._.Graphs." localSheetId="3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ODM._.Graphs.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LBO._.Summary." localSheetId="13" hidden="1">{"LBO Summary",#N/A,FALSE,"Summary"}</definedName>
    <definedName name="wrn.LBO._.Summary." localSheetId="7" hidden="1">{"LBO Summary",#N/A,FALSE,"Summary"}</definedName>
    <definedName name="wrn.LBO._.Summary." localSheetId="4" hidden="1">{"LBO Summary",#N/A,FALSE,"Summary"}</definedName>
    <definedName name="wrn.LBO._.Summary." localSheetId="5" hidden="1">{"LBO Summary",#N/A,FALSE,"Summary"}</definedName>
    <definedName name="wrn.LBO._.Summary." localSheetId="3" hidden="1">{"LBO Summary",#N/A,FALSE,"Summary"}</definedName>
    <definedName name="wrn.LBO._.Summary." hidden="1">{"LBO Summary",#N/A,FALSE,"Summary"}</definedName>
    <definedName name="wrn.LoanInformation." localSheetId="13" hidden="1">{#N/A,#N/A,FALSE,"LoanAssumptions"}</definedName>
    <definedName name="wrn.LoanInformation." localSheetId="7" hidden="1">{#N/A,#N/A,FALSE,"LoanAssumptions"}</definedName>
    <definedName name="wrn.LoanInformation." localSheetId="4" hidden="1">{#N/A,#N/A,FALSE,"LoanAssumptions"}</definedName>
    <definedName name="wrn.LoanInformation." localSheetId="5" hidden="1">{#N/A,#N/A,FALSE,"LoanAssumptions"}</definedName>
    <definedName name="wrn.LoanInformation." localSheetId="3" hidden="1">{#N/A,#N/A,FALSE,"LoanAssumptions"}</definedName>
    <definedName name="wrn.LoanInformation." hidden="1">{#N/A,#N/A,FALSE,"LoanAssumptions"}</definedName>
    <definedName name="wrn.Ltd._.Service._.Budget." localSheetId="13" hidden="1">{#N/A,#N/A,FALSE,"PropInfo";#N/A,#N/A,FALSE,"Summary";#N/A,#N/A,FALSE,"Comparitive";#N/A,#N/A,FALSE,"RevSummary";#N/A,#N/A,FALSE,"Rooms";#N/A,#N/A,FALSE,"PBX";#N/A,#N/A,FALSE,"Rents&amp;Other";#N/A,#N/A,FALSE,"A&amp;G";#N/A,#N/A,FALSE,"A&amp;P";#N/A,#N/A,FALSE,"Comp";#N/A,#N/A,FALSE,"R&amp;M";#N/A,#N/A,FALSE,"Energy";#N/A,#N/A,FALSE,"Capital";#N/A,#N/A,FALSE,"Laundry";#N/A,#N/A,FALSE,"PTEB";#N/A,#N/A,FALSE,"Rent Calc"}</definedName>
    <definedName name="wrn.Ltd._.Service._.Budget." localSheetId="7" hidden="1">{#N/A,#N/A,FALSE,"PropInfo";#N/A,#N/A,FALSE,"Summary";#N/A,#N/A,FALSE,"Comparitive";#N/A,#N/A,FALSE,"RevSummary";#N/A,#N/A,FALSE,"Rooms";#N/A,#N/A,FALSE,"PBX";#N/A,#N/A,FALSE,"Rents&amp;Other";#N/A,#N/A,FALSE,"A&amp;G";#N/A,#N/A,FALSE,"A&amp;P";#N/A,#N/A,FALSE,"Comp";#N/A,#N/A,FALSE,"R&amp;M";#N/A,#N/A,FALSE,"Energy";#N/A,#N/A,FALSE,"Capital";#N/A,#N/A,FALSE,"Laundry";#N/A,#N/A,FALSE,"PTEB";#N/A,#N/A,FALSE,"Rent Calc"}</definedName>
    <definedName name="wrn.Ltd._.Service._.Budget." localSheetId="4" hidden="1">{#N/A,#N/A,FALSE,"PropInfo";#N/A,#N/A,FALSE,"Summary";#N/A,#N/A,FALSE,"Comparitive";#N/A,#N/A,FALSE,"RevSummary";#N/A,#N/A,FALSE,"Rooms";#N/A,#N/A,FALSE,"PBX";#N/A,#N/A,FALSE,"Rents&amp;Other";#N/A,#N/A,FALSE,"A&amp;G";#N/A,#N/A,FALSE,"A&amp;P";#N/A,#N/A,FALSE,"Comp";#N/A,#N/A,FALSE,"R&amp;M";#N/A,#N/A,FALSE,"Energy";#N/A,#N/A,FALSE,"Capital";#N/A,#N/A,FALSE,"Laundry";#N/A,#N/A,FALSE,"PTEB";#N/A,#N/A,FALSE,"Rent Calc"}</definedName>
    <definedName name="wrn.Ltd._.Service._.Budget." localSheetId="5" hidden="1">{#N/A,#N/A,FALSE,"PropInfo";#N/A,#N/A,FALSE,"Summary";#N/A,#N/A,FALSE,"Comparitive";#N/A,#N/A,FALSE,"RevSummary";#N/A,#N/A,FALSE,"Rooms";#N/A,#N/A,FALSE,"PBX";#N/A,#N/A,FALSE,"Rents&amp;Other";#N/A,#N/A,FALSE,"A&amp;G";#N/A,#N/A,FALSE,"A&amp;P";#N/A,#N/A,FALSE,"Comp";#N/A,#N/A,FALSE,"R&amp;M";#N/A,#N/A,FALSE,"Energy";#N/A,#N/A,FALSE,"Capital";#N/A,#N/A,FALSE,"Laundry";#N/A,#N/A,FALSE,"PTEB";#N/A,#N/A,FALSE,"Rent Calc"}</definedName>
    <definedName name="wrn.Ltd._.Service._.Budget." localSheetId="3" hidden="1">{#N/A,#N/A,FALSE,"PropInfo";#N/A,#N/A,FALSE,"Summary";#N/A,#N/A,FALSE,"Comparitive";#N/A,#N/A,FALSE,"RevSummary";#N/A,#N/A,FALSE,"Rooms";#N/A,#N/A,FALSE,"PBX";#N/A,#N/A,FALSE,"Rents&amp;Other";#N/A,#N/A,FALSE,"A&amp;G";#N/A,#N/A,FALSE,"A&amp;P";#N/A,#N/A,FALSE,"Comp";#N/A,#N/A,FALSE,"R&amp;M";#N/A,#N/A,FALSE,"Energy";#N/A,#N/A,FALSE,"Capital";#N/A,#N/A,FALSE,"Laundry";#N/A,#N/A,FALSE,"PTEB";#N/A,#N/A,FALSE,"Rent Calc"}</definedName>
    <definedName name="wrn.Ltd._.Service._.Budget." hidden="1">{#N/A,#N/A,FALSE,"PropInfo";#N/A,#N/A,FALSE,"Summary";#N/A,#N/A,FALSE,"Comparitive";#N/A,#N/A,FALSE,"RevSummary";#N/A,#N/A,FALSE,"Rooms";#N/A,#N/A,FALSE,"PBX";#N/A,#N/A,FALSE,"Rents&amp;Other";#N/A,#N/A,FALSE,"A&amp;G";#N/A,#N/A,FALSE,"A&amp;P";#N/A,#N/A,FALSE,"Comp";#N/A,#N/A,FALSE,"R&amp;M";#N/A,#N/A,FALSE,"Energy";#N/A,#N/A,FALSE,"Capital";#N/A,#N/A,FALSE,"Laundry";#N/A,#N/A,FALSE,"PTEB";#N/A,#N/A,FALSE,"Rent Calc"}</definedName>
    <definedName name="wrn.Market._.Values." localSheetId="13" hidden="1">{#N/A,#N/A,TRUE,"10 Yr Hold";#N/A,#N/A,TRUE,"7 Yr Hold";#N/A,#N/A,TRUE,"5 Yr Hold";#N/A,#N/A,TRUE,"3 Yr Hold"}</definedName>
    <definedName name="wrn.Market._.Values." localSheetId="7" hidden="1">{#N/A,#N/A,TRUE,"10 Yr Hold";#N/A,#N/A,TRUE,"7 Yr Hold";#N/A,#N/A,TRUE,"5 Yr Hold";#N/A,#N/A,TRUE,"3 Yr Hold"}</definedName>
    <definedName name="wrn.Market._.Values." localSheetId="4" hidden="1">{#N/A,#N/A,TRUE,"10 Yr Hold";#N/A,#N/A,TRUE,"7 Yr Hold";#N/A,#N/A,TRUE,"5 Yr Hold";#N/A,#N/A,TRUE,"3 Yr Hold"}</definedName>
    <definedName name="wrn.Market._.Values." localSheetId="5" hidden="1">{#N/A,#N/A,TRUE,"10 Yr Hold";#N/A,#N/A,TRUE,"7 Yr Hold";#N/A,#N/A,TRUE,"5 Yr Hold";#N/A,#N/A,TRUE,"3 Yr Hold"}</definedName>
    <definedName name="wrn.Market._.Values." localSheetId="3" hidden="1">{#N/A,#N/A,TRUE,"10 Yr Hold";#N/A,#N/A,TRUE,"7 Yr Hold";#N/A,#N/A,TRUE,"5 Yr Hold";#N/A,#N/A,TRUE,"3 Yr Hold"}</definedName>
    <definedName name="wrn.Market._.Values." hidden="1">{#N/A,#N/A,TRUE,"10 Yr Hold";#N/A,#N/A,TRUE,"7 Yr Hold";#N/A,#N/A,TRUE,"5 Yr Hold";#N/A,#N/A,TRUE,"3 Yr Hold"}</definedName>
    <definedName name="wrn.Marketing." hidden="1">{#N/A,#N/A,FALSE,"2Assumptions";#N/A,#N/A,FALSE,"3Cash Flow";#N/A,#N/A,FALSE,"I&amp;E";#N/A,#N/A,FALSE,"I&amp;E (2)";#N/A,#N/A,FALSE,"10Vacancy Matrix";#N/A,#N/A,FALSE,"11Expiration Schedule"}</definedName>
    <definedName name="wrn.MODEL." localSheetId="1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localSheetId="7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localSheetId="4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localSheetId="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localSheetId="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1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7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4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3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RentRoll." localSheetId="13" hidden="1">{"MonthlyRentRoll",#N/A,FALSE,"RentRoll"}</definedName>
    <definedName name="wrn.MonthlyRentRoll." localSheetId="7" hidden="1">{"MonthlyRentRoll",#N/A,FALSE,"RentRoll"}</definedName>
    <definedName name="wrn.MonthlyRentRoll." localSheetId="4" hidden="1">{"MonthlyRentRoll",#N/A,FALSE,"RentRoll"}</definedName>
    <definedName name="wrn.MonthlyRentRoll." localSheetId="5" hidden="1">{"MonthlyRentRoll",#N/A,FALSE,"RentRoll"}</definedName>
    <definedName name="wrn.MonthlyRentRoll." localSheetId="3" hidden="1">{"MonthlyRentRoll",#N/A,FALSE,"RentRoll"}</definedName>
    <definedName name="wrn.MonthlyRentRoll." hidden="1">{"MonthlyRentRoll",#N/A,FALSE,"RentRoll"}</definedName>
    <definedName name="wrn.ODB." localSheetId="13" hidden="1">{"ODB",#N/A,FALSE,"Hold Scenario"}</definedName>
    <definedName name="wrn.ODB." localSheetId="7" hidden="1">{"ODB",#N/A,FALSE,"Hold Scenario"}</definedName>
    <definedName name="wrn.ODB." localSheetId="4" hidden="1">{"ODB",#N/A,FALSE,"Hold Scenario"}</definedName>
    <definedName name="wrn.ODB." localSheetId="5" hidden="1">{"ODB",#N/A,FALSE,"Hold Scenario"}</definedName>
    <definedName name="wrn.ODB." localSheetId="3" hidden="1">{"ODB",#N/A,FALSE,"Hold Scenario"}</definedName>
    <definedName name="wrn.ODB." hidden="1">{"ODB",#N/A,FALSE,"Hold Scenario"}</definedName>
    <definedName name="wrn.office." localSheetId="1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" localSheetId="7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" localSheetId="4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" localSheetId="5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" localSheetId="3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ffice." hidden="1">{#N/A,#N/A,FALSE,"Pad Fees";#N/A,#N/A,FALSE,"Parking Budget";#N/A,#N/A,FALSE,"Parking Cash Flow";#N/A,#N/A,FALSE,"Parking Assumptions Summary";#N/A,#N/A,FALSE,"Assumptions-M";#N/A,#N/A,FALSE,"Assumptions-T";#N/A,#N/A,FALSE,"Assumptions-W";#N/A,#N/A,FALSE,"Assumptions-R";#N/A,#N/A,FALSE,"Assumptions-F";#N/A,#N/A,FALSE,"Assumptions-Sa";#N/A,#N/A,FALSE,"Assumptions-Su";#N/A,#N/A,FALSE,"Bond Debt Service";#N/A,#N/A,FALSE,"Bond Shortfall"}</definedName>
    <definedName name="wrn.OperatingAssumtions." localSheetId="13" hidden="1">{#N/A,#N/A,FALSE,"OperatingAssumptions"}</definedName>
    <definedName name="wrn.OperatingAssumtions." localSheetId="7" hidden="1">{#N/A,#N/A,FALSE,"OperatingAssumptions"}</definedName>
    <definedName name="wrn.OperatingAssumtions." localSheetId="4" hidden="1">{#N/A,#N/A,FALSE,"OperatingAssumptions"}</definedName>
    <definedName name="wrn.OperatingAssumtions." localSheetId="5" hidden="1">{#N/A,#N/A,FALSE,"OperatingAssumptions"}</definedName>
    <definedName name="wrn.OperatingAssumtions." localSheetId="3" hidden="1">{#N/A,#N/A,FALSE,"OperatingAssumptions"}</definedName>
    <definedName name="wrn.OperatingAssumtions." hidden="1">{#N/A,#N/A,FALSE,"OperatingAssumptions"}</definedName>
    <definedName name="wrn.Package." hidden="1">{#N/A,#N/A,FALSE,"Executive Summary";#N/A,#N/A,FALSE,"Assumptions";#N/A,#N/A,FALSE,"Cash Flow";#N/A,#N/A,FALSE,"I&amp;E ";#N/A,#N/A,FALSE,"Occupancy Cost";#N/A,#N/A,FALSE,"Vacancy (Mall)";#N/A,#N/A,FALSE,"Expiration Schedule";#N/A,#N/A,FALSE,"Expiration Graph ";#N/A,#N/A,FALSE,"sales graph";#N/A,#N/A,FALSE,"Vacant rents";#N/A,#N/A,FALSE,"Hist Sales";#N/A,#N/A,FALSE,"Monthly Sales";#N/A,#N/A,FALSE,"Rent Roll"}</definedName>
    <definedName name="wrn.PARTIAL." localSheetId="13" hidden="1">{"new",#N/A,FALSE,"D";"PROFORMA",#N/A,FALSE,"A";"partial 1",#N/A,FALSE,"B";"partial 2",#N/A,FALSE,"B";"partial 3",#N/A,FALSE,"B";"SMALL CF 1",#N/A,FALSE,"C"}</definedName>
    <definedName name="wrn.PARTIAL." localSheetId="7" hidden="1">{"new",#N/A,FALSE,"D";"PROFORMA",#N/A,FALSE,"A";"partial 1",#N/A,FALSE,"B";"partial 2",#N/A,FALSE,"B";"partial 3",#N/A,FALSE,"B";"SMALL CF 1",#N/A,FALSE,"C"}</definedName>
    <definedName name="wrn.PARTIAL." localSheetId="4" hidden="1">{"new",#N/A,FALSE,"D";"PROFORMA",#N/A,FALSE,"A";"partial 1",#N/A,FALSE,"B";"partial 2",#N/A,FALSE,"B";"partial 3",#N/A,FALSE,"B";"SMALL CF 1",#N/A,FALSE,"C"}</definedName>
    <definedName name="wrn.PARTIAL." localSheetId="5" hidden="1">{"new",#N/A,FALSE,"D";"PROFORMA",#N/A,FALSE,"A";"partial 1",#N/A,FALSE,"B";"partial 2",#N/A,FALSE,"B";"partial 3",#N/A,FALSE,"B";"SMALL CF 1",#N/A,FALSE,"C"}</definedName>
    <definedName name="wrn.PARTIAL." localSheetId="2" hidden="1">{"new",#N/A,FALSE,"D";"PROFORMA",#N/A,FALSE,"A";"partial 1",#N/A,FALSE,"B";"partial 2",#N/A,FALSE,"B";"partial 3",#N/A,FALSE,"B";"SMALL CF 1",#N/A,FALSE,"C"}</definedName>
    <definedName name="wrn.PARTIAL." localSheetId="3" hidden="1">{"new",#N/A,FALSE,"D";"PROFORMA",#N/A,FALSE,"A";"partial 1",#N/A,FALSE,"B";"partial 2",#N/A,FALSE,"B";"partial 3",#N/A,FALSE,"B";"SMALL CF 1",#N/A,FALSE,"C"}</definedName>
    <definedName name="wrn.Partial." hidden="1">{#N/A,#N/A,FALSE,"Exec Sum 10Yr";#N/A,#N/A,FALSE,"Assumptions";#N/A,#N/A,FALSE,"Rent Roll Summary";#N/A,#N/A,FALSE,"Effective Rental Income Detail";#N/A,#N/A,FALSE,"Cash Flow Projections";#N/A,#N/A,FALSE,"Operating Statement";#N/A,#N/A,FALSE,"Pricing Matrix"}</definedName>
    <definedName name="wrn.PLX." localSheetId="13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LX." localSheetId="7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LX." localSheetId="4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LX." localSheetId="5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LX." localSheetId="3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LX.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ortfolio." hidden="1">{#N/A,#N/A,FALSE,"Portfolio Summary";#N/A,#N/A,FALSE,"Portfolio Operating Stmt";#N/A,#N/A,FALSE,"Portfolio Cash Flow"}</definedName>
    <definedName name="wrn.Presentation." localSheetId="13" hidden="1">{#N/A,#N/A,TRUE,"Summary";"AnnualRentRoll",#N/A,TRUE,"RentRoll";#N/A,#N/A,TRUE,"ExitStratigy";#N/A,#N/A,TRUE,"OperatingAssumptions"}</definedName>
    <definedName name="wrn.Presentation." localSheetId="7" hidden="1">{#N/A,#N/A,TRUE,"Summary";"AnnualRentRoll",#N/A,TRUE,"RentRoll";#N/A,#N/A,TRUE,"ExitStratigy";#N/A,#N/A,TRUE,"OperatingAssumptions"}</definedName>
    <definedName name="wrn.Presentation." localSheetId="4" hidden="1">{#N/A,#N/A,TRUE,"Summary";"AnnualRentRoll",#N/A,TRUE,"RentRoll";#N/A,#N/A,TRUE,"ExitStratigy";#N/A,#N/A,TRUE,"OperatingAssumptions"}</definedName>
    <definedName name="wrn.Presentation." localSheetId="5" hidden="1">{#N/A,#N/A,TRUE,"Summary";"AnnualRentRoll",#N/A,TRUE,"RentRoll";#N/A,#N/A,TRUE,"ExitStratigy";#N/A,#N/A,TRUE,"OperatingAssumptions"}</definedName>
    <definedName name="wrn.Presentation." localSheetId="3" hidden="1">{#N/A,#N/A,TRUE,"Summary";"AnnualRentRoll",#N/A,TRUE,"RentRoll";#N/A,#N/A,TRUE,"ExitStratigy";#N/A,#N/A,TRUE,"OperatingAssumptions"}</definedName>
    <definedName name="wrn.Presentation." hidden="1">{#N/A,#N/A,TRUE,"Summary";"AnnualRentRoll",#N/A,TRUE,"RentRoll";#N/A,#N/A,TRUE,"ExitStratigy";#N/A,#N/A,TRUE,"OperatingAssumptions"}</definedName>
    <definedName name="wrn.Pricing._.Strategy." hidden="1">{#N/A,#N/A,FALSE,"1Summary";#N/A,#N/A,FALSE,"2Assumptions";#N/A,#N/A,FALSE,"3Cash Flow";#N/A,#N/A,FALSE,"4Year 1 Reconciliation";#N/A,#N/A,FALSE,"5Residual";#N/A,#N/A,FALSE,"6Residual (Year 20)";#N/A,#N/A,FALSE,"7Financing Sensitivity";#N/A,#N/A,FALSE,"8Residual Sensitivity";#N/A,#N/A,FALSE,"9Pricing Matrix";#N/A,#N/A,FALSE,"10Vacancy Matrix";#N/A,#N/A,FALSE,"11Expiration Schedule";#N/A,#N/A,FALSE,"12Lease-up Schedule"}</definedName>
    <definedName name="wrn.Print." localSheetId="1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" localSheetId="7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" localSheetId="4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" localSheetId="5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" localSheetId="3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" hidden="1">{#N/A,#N/A,TRUE,"Cover";#N/A,#N/A,TRUE,"Stack";#N/A,#N/A,TRUE,"Cost S";#N/A,#N/A,TRUE,"Financing";#N/A,#N/A,TRUE," CF";#N/A,#N/A,TRUE,"CF Mnthly";#N/A,#N/A,TRUE,"CF assum";#N/A,#N/A,TRUE,"Unit Sales";#N/A,#N/A,TRUE,"REV";#N/A,#N/A,TRUE,"Bdgt Backup"}</definedName>
    <definedName name="wrn.Print._.4." localSheetId="13" hidden="1">{"Outflow 1",#N/A,FALSE,"Outflows-Inflows";"Outflow 2",#N/A,FALSE,"Outflows-Inflows";"Inflow 1",#N/A,FALSE,"Outflows-Inflows";"Inflow 2",#N/A,FALSE,"Outflows-Inflows"}</definedName>
    <definedName name="wrn.Print._.4." localSheetId="7" hidden="1">{"Outflow 1",#N/A,FALSE,"Outflows-Inflows";"Outflow 2",#N/A,FALSE,"Outflows-Inflows";"Inflow 1",#N/A,FALSE,"Outflows-Inflows";"Inflow 2",#N/A,FALSE,"Outflows-Inflows"}</definedName>
    <definedName name="wrn.Print._.4." localSheetId="4" hidden="1">{"Outflow 1",#N/A,FALSE,"Outflows-Inflows";"Outflow 2",#N/A,FALSE,"Outflows-Inflows";"Inflow 1",#N/A,FALSE,"Outflows-Inflows";"Inflow 2",#N/A,FALSE,"Outflows-Inflows"}</definedName>
    <definedName name="wrn.Print._.4." localSheetId="5" hidden="1">{"Outflow 1",#N/A,FALSE,"Outflows-Inflows";"Outflow 2",#N/A,FALSE,"Outflows-Inflows";"Inflow 1",#N/A,FALSE,"Outflows-Inflows";"Inflow 2",#N/A,FALSE,"Outflows-Inflows"}</definedName>
    <definedName name="wrn.Print._.4." localSheetId="3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13" hidden="1">{"print 1.6",#N/A,FALSE,"Sheet1";"print 2.6",#N/A,FALSE,"Sheet1";"print 3.6",#N/A,FALSE,"Sheet1";"print 4.6",#N/A,FALSE,"Sheet1";"print 5.6",#N/A,FALSE,"Sheet1";"print 6.6",#N/A,FALSE,"Sheet1"}</definedName>
    <definedName name="wrn.Print._.6." localSheetId="7" hidden="1">{"print 1.6",#N/A,FALSE,"Sheet1";"print 2.6",#N/A,FALSE,"Sheet1";"print 3.6",#N/A,FALSE,"Sheet1";"print 4.6",#N/A,FALSE,"Sheet1";"print 5.6",#N/A,FALSE,"Sheet1";"print 6.6",#N/A,FALSE,"Sheet1"}</definedName>
    <definedName name="wrn.Print._.6." localSheetId="4" hidden="1">{"print 1.6",#N/A,FALSE,"Sheet1";"print 2.6",#N/A,FALSE,"Sheet1";"print 3.6",#N/A,FALSE,"Sheet1";"print 4.6",#N/A,FALSE,"Sheet1";"print 5.6",#N/A,FALSE,"Sheet1";"print 6.6",#N/A,FALSE,"Sheet1"}</definedName>
    <definedName name="wrn.Print._.6." localSheetId="5" hidden="1">{"print 1.6",#N/A,FALSE,"Sheet1";"print 2.6",#N/A,FALSE,"Sheet1";"print 3.6",#N/A,FALSE,"Sheet1";"print 4.6",#N/A,FALSE,"Sheet1";"print 5.6",#N/A,FALSE,"Sheet1";"print 6.6",#N/A,FALSE,"Sheet1"}</definedName>
    <definedName name="wrn.Print._.6." localSheetId="3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All._.Pages." localSheetId="13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" localSheetId="7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" localSheetId="4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" localSheetId="5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" localSheetId="3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All._.Pages." hidden="1">{"LBO Summary",#N/A,FALSE,"Summary";"Income Statement",#N/A,FALSE,"Model";"Cash Flow",#N/A,FALSE,"Model";"Balance Sheet",#N/A,FALSE,"Model";"Working Capital",#N/A,FALSE,"Model";"Pro Forma Balance Sheets",#N/A,FALSE,"PFBS";"Debt Balances",#N/A,FALSE,"Model";"Fee Schedules",#N/A,FALSE,"Model"}</definedName>
    <definedName name="wrn.print._.graphs." localSheetId="13" hidden="1">{"cap_structure",#N/A,FALSE,"Graph-Mkt Cap";"price",#N/A,FALSE,"Graph-Price";"ebit",#N/A,FALSE,"Graph-EBITDA";"ebitda",#N/A,FALSE,"Graph-EBITDA"}</definedName>
    <definedName name="wrn.print._.graphs." localSheetId="7" hidden="1">{"cap_structure",#N/A,FALSE,"Graph-Mkt Cap";"price",#N/A,FALSE,"Graph-Price";"ebit",#N/A,FALSE,"Graph-EBITDA";"ebitda",#N/A,FALSE,"Graph-EBITDA"}</definedName>
    <definedName name="wrn.print._.graphs." localSheetId="4" hidden="1">{"cap_structure",#N/A,FALSE,"Graph-Mkt Cap";"price",#N/A,FALSE,"Graph-Price";"ebit",#N/A,FALSE,"Graph-EBITDA";"ebitda",#N/A,FALSE,"Graph-EBITDA"}</definedName>
    <definedName name="wrn.print._.graphs." localSheetId="5" hidden="1">{"cap_structure",#N/A,FALSE,"Graph-Mkt Cap";"price",#N/A,FALSE,"Graph-Price";"ebit",#N/A,FALSE,"Graph-EBITDA";"ebitda",#N/A,FALSE,"Graph-EBITDA"}</definedName>
    <definedName name="wrn.print._.graphs." localSheetId="3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It." localSheetId="13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._.It." localSheetId="7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._.It." localSheetId="4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._.It." localSheetId="5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._.It." localSheetId="3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._.raw._.data._.entry." localSheetId="13" hidden="1">{"inputs raw data",#N/A,TRUE,"INPUT"}</definedName>
    <definedName name="wrn.print._.raw._.data._.entry." localSheetId="7" hidden="1">{"inputs raw data",#N/A,TRUE,"INPUT"}</definedName>
    <definedName name="wrn.print._.raw._.data._.entry." localSheetId="4" hidden="1">{"inputs raw data",#N/A,TRUE,"INPUT"}</definedName>
    <definedName name="wrn.print._.raw._.data._.entry." localSheetId="5" hidden="1">{"inputs raw data",#N/A,TRUE,"INPUT"}</definedName>
    <definedName name="wrn.print._.raw._.data._.entry." localSheetId="3" hidden="1">{"inputs raw data",#N/A,TRUE,"INPUT"}</definedName>
    <definedName name="wrn.print._.raw._.data._.entry." hidden="1">{"inputs raw data",#N/A,TRUE,"INPUT"}</definedName>
    <definedName name="wrn.print._.summary._.sheets." localSheetId="13" hidden="1">{"summary1",#N/A,TRUE,"Comps";"summary2",#N/A,TRUE,"Comps";"summary3",#N/A,TRUE,"Comps"}</definedName>
    <definedName name="wrn.print._.summary._.sheets." localSheetId="7" hidden="1">{"summary1",#N/A,TRUE,"Comps";"summary2",#N/A,TRUE,"Comps";"summary3",#N/A,TRUE,"Comps"}</definedName>
    <definedName name="wrn.print._.summary._.sheets." localSheetId="4" hidden="1">{"summary1",#N/A,TRUE,"Comps";"summary2",#N/A,TRUE,"Comps";"summary3",#N/A,TRUE,"Comps"}</definedName>
    <definedName name="wrn.print._.summary._.sheets." localSheetId="5" hidden="1">{"summary1",#N/A,TRUE,"Comps";"summary2",#N/A,TRUE,"Comps";"summary3",#N/A,TRUE,"Comps"}</definedName>
    <definedName name="wrn.print._.summary._.sheets." localSheetId="3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print2." localSheetId="13" hidden="1">{"Assump",#N/A,TRUE,"Proforma";"first",#N/A,TRUE,"Proforma";"second",#N/A,TRUE,"Proforma";"lease1",#N/A,TRUE,"Proforma";"lease2",#N/A,TRUE,"Proforma"}</definedName>
    <definedName name="wrn.print2." localSheetId="7" hidden="1">{"Assump",#N/A,TRUE,"Proforma";"first",#N/A,TRUE,"Proforma";"second",#N/A,TRUE,"Proforma";"lease1",#N/A,TRUE,"Proforma";"lease2",#N/A,TRUE,"Proforma"}</definedName>
    <definedName name="wrn.print2." localSheetId="4" hidden="1">{"Assump",#N/A,TRUE,"Proforma";"first",#N/A,TRUE,"Proforma";"second",#N/A,TRUE,"Proforma";"lease1",#N/A,TRUE,"Proforma";"lease2",#N/A,TRUE,"Proforma"}</definedName>
    <definedName name="wrn.print2." localSheetId="5" hidden="1">{"Assump",#N/A,TRUE,"Proforma";"first",#N/A,TRUE,"Proforma";"second",#N/A,TRUE,"Proforma";"lease1",#N/A,TRUE,"Proforma";"lease2",#N/A,TRUE,"Proforma"}</definedName>
    <definedName name="wrn.print2." localSheetId="3" hidden="1">{"Assump",#N/A,TRUE,"Proforma";"first",#N/A,TRUE,"Proforma";"second",#N/A,TRUE,"Proforma";"lease1",#N/A,TRUE,"Proforma";"lease2",#N/A,TRUE,"Proforma"}</definedName>
    <definedName name="wrn.print2." hidden="1">{"Assump",#N/A,TRUE,"Proforma";"first",#N/A,TRUE,"Proforma";"second",#N/A,TRUE,"Proforma";"lease1",#N/A,TRUE,"Proforma";"lease2",#N/A,TRUE,"Proforma"}</definedName>
    <definedName name="wrn.print5" localSheetId="13" hidden="1">{"Assump",#N/A,TRUE,"Proforma";"first",#N/A,TRUE,"Proforma";"second",#N/A,TRUE,"Proforma";"lease1",#N/A,TRUE,"Proforma";"lease2",#N/A,TRUE,"Proforma"}</definedName>
    <definedName name="wrn.print5" localSheetId="7" hidden="1">{"Assump",#N/A,TRUE,"Proforma";"first",#N/A,TRUE,"Proforma";"second",#N/A,TRUE,"Proforma";"lease1",#N/A,TRUE,"Proforma";"lease2",#N/A,TRUE,"Proforma"}</definedName>
    <definedName name="wrn.print5" localSheetId="4" hidden="1">{"Assump",#N/A,TRUE,"Proforma";"first",#N/A,TRUE,"Proforma";"second",#N/A,TRUE,"Proforma";"lease1",#N/A,TRUE,"Proforma";"lease2",#N/A,TRUE,"Proforma"}</definedName>
    <definedName name="wrn.print5" localSheetId="5" hidden="1">{"Assump",#N/A,TRUE,"Proforma";"first",#N/A,TRUE,"Proforma";"second",#N/A,TRUE,"Proforma";"lease1",#N/A,TRUE,"Proforma";"lease2",#N/A,TRUE,"Proforma"}</definedName>
    <definedName name="wrn.print5" localSheetId="3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intAll." localSheetId="13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wrn.PrintAll." localSheetId="7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wrn.PrintAll." localSheetId="4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wrn.PrintAll." localSheetId="5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wrn.PrintAll." localSheetId="2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wrn.PrintAll." localSheetId="3" hidden="1">{#N/A,#N/A,FALSE,"OpEx (PP)";#N/A,#N/A,FALSE,"Lease Comps (O)-BT";#N/A,#N/A,FALSE,"OpEx (CC)";#N/A,#N/A,FALSE,"Value (PP-Base)";#N/A,#N/A,FALSE,"Value (CC-Base)";#N/A,#N/A,FALSE,"Sales Comps (R)";#N/A,#N/A,FALSE,"Sales Comps (O)"}</definedName>
    <definedName name="wrn.PrintAll." hidden="1">{#N/A,#N/A,FALSE,"Broker Sheet";#N/A,#N/A,FALSE,"Exec.Summary";#N/A,#N/A,FALSE,"Argus Cash Flow";#N/A,#N/A,FALSE,"SPF";#N/A,#N/A,FALSE,"RentRoll"}</definedName>
    <definedName name="wrn.Prints._.All." localSheetId="1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.All." localSheetId="7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.All." localSheetId="4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.All." localSheetId="5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.All." localSheetId="3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oforma." hidden="1">{#N/A,#N/A,TRUE,"Summary";#N/A,#N/A,TRUE,"InPlace";#N/A,#N/A,TRUE,"Stable";#N/A,#N/A,TRUE,"RentRoll";#N/A,#N/A,TRUE,"I&amp;E";#N/A,#N/A,TRUE,"Expense Detail";#N/A,#N/A,TRUE,"CAM Recov(InPlace)";#N/A,#N/A,TRUE,"CAM Recov(Stable)";#N/A,#N/A,TRUE,"Tax Recov";#N/A,#N/A,TRUE,"Expiration";#N/A,#N/A,TRUE,"Sales";#N/A,#N/A,TRUE,"Tax"}</definedName>
    <definedName name="wrn.PropertyInformation." localSheetId="13" hidden="1">{#N/A,#N/A,FALSE,"PropertyInfo"}</definedName>
    <definedName name="wrn.PropertyInformation." localSheetId="7" hidden="1">{#N/A,#N/A,FALSE,"PropertyInfo"}</definedName>
    <definedName name="wrn.PropertyInformation." localSheetId="4" hidden="1">{#N/A,#N/A,FALSE,"PropertyInfo"}</definedName>
    <definedName name="wrn.PropertyInformation." localSheetId="5" hidden="1">{#N/A,#N/A,FALSE,"PropertyInfo"}</definedName>
    <definedName name="wrn.PropertyInformation." localSheetId="3" hidden="1">{#N/A,#N/A,FALSE,"PropertyInfo"}</definedName>
    <definedName name="wrn.PropertyInformation." hidden="1">{#N/A,#N/A,FALSE,"PropertyInfo"}</definedName>
    <definedName name="wrn.Pulp." localSheetId="13" hidden="1">{"Pulp Production",#N/A,FALSE,"Pulp";"Pulp Earnings",#N/A,FALSE,"Pulp"}</definedName>
    <definedName name="wrn.Pulp." localSheetId="7" hidden="1">{"Pulp Production",#N/A,FALSE,"Pulp";"Pulp Earnings",#N/A,FALSE,"Pulp"}</definedName>
    <definedName name="wrn.Pulp." localSheetId="4" hidden="1">{"Pulp Production",#N/A,FALSE,"Pulp";"Pulp Earnings",#N/A,FALSE,"Pulp"}</definedName>
    <definedName name="wrn.Pulp." localSheetId="5" hidden="1">{"Pulp Production",#N/A,FALSE,"Pulp";"Pulp Earnings",#N/A,FALSE,"Pulp"}</definedName>
    <definedName name="wrn.Pulp." localSheetId="3" hidden="1">{"Pulp Production",#N/A,FALSE,"Pulp";"Pulp Earnings",#N/A,FALSE,"Pulp"}</definedName>
    <definedName name="wrn.Pulp." hidden="1">{"Pulp Production",#N/A,FALSE,"Pulp";"Pulp Earnings",#N/A,FALSE,"Pulp"}</definedName>
    <definedName name="wrn.Pulp.2" localSheetId="13" hidden="1">{"Pulp Production",#N/A,FALSE,"Pulp";"Pulp Earnings",#N/A,FALSE,"Pulp"}</definedName>
    <definedName name="wrn.Pulp.2" localSheetId="7" hidden="1">{"Pulp Production",#N/A,FALSE,"Pulp";"Pulp Earnings",#N/A,FALSE,"Pulp"}</definedName>
    <definedName name="wrn.Pulp.2" localSheetId="4" hidden="1">{"Pulp Production",#N/A,FALSE,"Pulp";"Pulp Earnings",#N/A,FALSE,"Pulp"}</definedName>
    <definedName name="wrn.Pulp.2" localSheetId="5" hidden="1">{"Pulp Production",#N/A,FALSE,"Pulp";"Pulp Earnings",#N/A,FALSE,"Pulp"}</definedName>
    <definedName name="wrn.Pulp.2" localSheetId="3" hidden="1">{"Pulp Production",#N/A,FALSE,"Pulp";"Pulp Earnings",#N/A,FALSE,"Pulp"}</definedName>
    <definedName name="wrn.Pulp.2" hidden="1">{"Pulp Production",#N/A,FALSE,"Pulp";"Pulp Earnings",#N/A,FALSE,"Pulp"}</definedName>
    <definedName name="wrn.Pulp.3" localSheetId="13" hidden="1">{"Pulp Production",#N/A,FALSE,"Pulp";"Pulp Earnings",#N/A,FALSE,"Pulp"}</definedName>
    <definedName name="wrn.Pulp.3" localSheetId="7" hidden="1">{"Pulp Production",#N/A,FALSE,"Pulp";"Pulp Earnings",#N/A,FALSE,"Pulp"}</definedName>
    <definedName name="wrn.Pulp.3" localSheetId="4" hidden="1">{"Pulp Production",#N/A,FALSE,"Pulp";"Pulp Earnings",#N/A,FALSE,"Pulp"}</definedName>
    <definedName name="wrn.Pulp.3" localSheetId="5" hidden="1">{"Pulp Production",#N/A,FALSE,"Pulp";"Pulp Earnings",#N/A,FALSE,"Pulp"}</definedName>
    <definedName name="wrn.Pulp.3" localSheetId="3" hidden="1">{"Pulp Production",#N/A,FALSE,"Pulp";"Pulp Earnings",#N/A,FALSE,"Pulp"}</definedName>
    <definedName name="wrn.Pulp.3" hidden="1">{"Pulp Production",#N/A,FALSE,"Pulp";"Pulp Earnings",#N/A,FALSE,"Pulp"}</definedName>
    <definedName name="wrn.Relevant._.Sections." localSheetId="13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elevant._.Sections." localSheetId="7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elevant._.Sections." localSheetId="4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elevant._.Sections." localSheetId="5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elevant._.Sections." localSheetId="3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eport." localSheetId="1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7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2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hidden="1">{#N/A,#N/A,FALSE,"Bennington";#N/A,#N/A,FALSE,"Castle Court";#N/A,#N/A,FALSE,"Century Hills";#N/A,#N/A,FALSE,"Edgewater Hills";#N/A,#N/A,FALSE,"Edgewater Terrace";#N/A,#N/A,FALSE,"Edgewater Village";#N/A,#N/A,FALSE,"Fairfax";#N/A,#N/A,FALSE,"Gen. Wash.";#N/A,#N/A,FALSE,"Huntington-Unfurnished";#N/A,#N/A,FALSE,"Huntington-Furnished";#N/A,#N/A,FALSE,"Iris Court";#N/A,#N/A,FALSE,"North Park";#N/A,#N/A,FALSE,"Talbot Woods";#N/A,#N/A,FALSE,"Parkview";#N/A,#N/A,FALSE,"Westgate"}</definedName>
    <definedName name="wrn.REPORT_1." hidden="1">{"SIMPLIFD_P1",#N/A,FALSE,"SIMPLIFD"}</definedName>
    <definedName name="wrn.Report1." localSheetId="1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7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1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7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3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schedules." localSheetId="13" hidden="1">{"schedule1",#N/A,FALSE,"Sheet1";"schedule2",#N/A,FALSE,"Sheet1";"schedule3",#N/A,FALSE,"Sheet1";"schedule4",#N/A,FALSE,"Sheet1";"schedule5",#N/A,FALSE,"Sheet1";"schedule6",#N/A,FALSE,"Sheet1"}</definedName>
    <definedName name="wrn.schedules." localSheetId="7" hidden="1">{"schedule1",#N/A,FALSE,"Sheet1";"schedule2",#N/A,FALSE,"Sheet1";"schedule3",#N/A,FALSE,"Sheet1";"schedule4",#N/A,FALSE,"Sheet1";"schedule5",#N/A,FALSE,"Sheet1";"schedule6",#N/A,FALSE,"Sheet1"}</definedName>
    <definedName name="wrn.schedules." localSheetId="4" hidden="1">{"schedule1",#N/A,FALSE,"Sheet1";"schedule2",#N/A,FALSE,"Sheet1";"schedule3",#N/A,FALSE,"Sheet1";"schedule4",#N/A,FALSE,"Sheet1";"schedule5",#N/A,FALSE,"Sheet1";"schedule6",#N/A,FALSE,"Sheet1"}</definedName>
    <definedName name="wrn.schedules." localSheetId="5" hidden="1">{"schedule1",#N/A,FALSE,"Sheet1";"schedule2",#N/A,FALSE,"Sheet1";"schedule3",#N/A,FALSE,"Sheet1";"schedule4",#N/A,FALSE,"Sheet1";"schedule5",#N/A,FALSE,"Sheet1";"schedule6",#N/A,FALSE,"Sheet1"}</definedName>
    <definedName name="wrn.schedules." localSheetId="3" hidden="1">{"schedule1",#N/A,FALSE,"Sheet1";"schedule2",#N/A,FALSE,"Sheet1";"schedule3",#N/A,FALSE,"Sheet1";"schedule4",#N/A,FALSE,"Sheet1";"schedule5",#N/A,FALSE,"Sheet1";"schedule6",#N/A,FALSE,"Sheet1"}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eafirst." localSheetId="1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" localSheetId="7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" localSheetId="4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" localSheetId="5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" localSheetId="3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eafirst." hidden="1">{#N/A,#N/A,FALSE,"Project Summary";#N/A,#N/A,FALSE,"Master Developer Cash Flow";#N/A,#N/A,FALSE,"Parking Budget";#N/A,#N/A,FALSE,"Parking Cash Flow2";#N/A,#N/A,FALSE,"Parking Assumptions";#N/A,#N/A,FALSE,"Bond Structure - Lease";#N/A,#N/A,FALSE,"Retail Development Budget";#N/A,#N/A,FALSE,"Retail Cash Flow";#N/A,#N/A,FALSE,"Retail Assumptions Summary";#N/A,#N/A,FALSE,"Retail Income Assumptions";#N/A,#N/A,FALSE,"Retail % Rent";#N/A,#N/A,FALSE,"Retail Debt Service";#N/A,#N/A,FALSE,"Office Development Budget";#N/A,#N/A,FALSE,"Office Cash Flow";#N/A,#N/A,FALSE,"Office Assumptions";#N/A,#N/A,FALSE,"Office Debt Service";#N/A,#N/A,FALSE,"Hotel Development Budget";#N/A,#N/A,FALSE,"Hotel Cash Flow";#N/A,#N/A,FALSE,"Hotel Assumptions";#N/A,#N/A,FALSE,"Hotel Debt Service"}</definedName>
    <definedName name="wrn.Short._.Print." localSheetId="13" hidden="1">{#N/A,#N/A,FALSE,"Cover";#N/A,#N/A,FALSE,"Stack";#N/A,#N/A,FALSE,"Cost S";#N/A,#N/A,FALSE," CF";#N/A,#N/A,FALSE,"Investor"}</definedName>
    <definedName name="wrn.Short._.Print." localSheetId="7" hidden="1">{#N/A,#N/A,FALSE,"Cover";#N/A,#N/A,FALSE,"Stack";#N/A,#N/A,FALSE,"Cost S";#N/A,#N/A,FALSE," CF";#N/A,#N/A,FALSE,"Investor"}</definedName>
    <definedName name="wrn.Short._.Print." localSheetId="4" hidden="1">{#N/A,#N/A,FALSE,"Cover";#N/A,#N/A,FALSE,"Stack";#N/A,#N/A,FALSE,"Cost S";#N/A,#N/A,FALSE," CF";#N/A,#N/A,FALSE,"Investor"}</definedName>
    <definedName name="wrn.Short._.Print." localSheetId="5" hidden="1">{#N/A,#N/A,FALSE,"Cover";#N/A,#N/A,FALSE,"Stack";#N/A,#N/A,FALSE,"Cost S";#N/A,#N/A,FALSE," CF";#N/A,#N/A,FALSE,"Investor"}</definedName>
    <definedName name="wrn.Short._.Print." localSheetId="3" hidden="1">{#N/A,#N/A,FALSE,"Cover";#N/A,#N/A,FALSE,"Stack";#N/A,#N/A,FALSE,"Cost S";#N/A,#N/A,FALSE," CF";#N/A,#N/A,FALSE,"Investor"}</definedName>
    <definedName name="wrn.Short._.Print." hidden="1">{#N/A,#N/A,FALSE,"Cover";#N/A,#N/A,FALSE,"Stack";#N/A,#N/A,FALSE,"Cost S";#N/A,#N/A,FALSE," CF";#N/A,#N/A,FALSE,"Investor"}</definedName>
    <definedName name="wrn.Side._.by._.Side." localSheetId="13" hidden="1">{"Side 99",#N/A,FALSE,"S&amp;U Side by Side"}</definedName>
    <definedName name="wrn.Side._.by._.Side." localSheetId="7" hidden="1">{"Side 99",#N/A,FALSE,"S&amp;U Side by Side"}</definedName>
    <definedName name="wrn.Side._.by._.Side." localSheetId="4" hidden="1">{"Side 99",#N/A,FALSE,"S&amp;U Side by Side"}</definedName>
    <definedName name="wrn.Side._.by._.Side." localSheetId="5" hidden="1">{"Side 99",#N/A,FALSE,"S&amp;U Side by Side"}</definedName>
    <definedName name="wrn.Side._.by._.Side." localSheetId="3" hidden="1">{"Side 99",#N/A,FALSE,"S&amp;U Side by Side"}</definedName>
    <definedName name="wrn.Side._.by._.Side." hidden="1">{"Side 99",#N/A,FALSE,"S&amp;U Side by Side"}</definedName>
    <definedName name="wrn.STAND_ALONE_BOTH." localSheetId="13" hidden="1">{"FCB_ALL",#N/A,FALSE,"FCB";"GREY_ALL",#N/A,FALSE,"GREY"}</definedName>
    <definedName name="wrn.STAND_ALONE_BOTH." localSheetId="7" hidden="1">{"FCB_ALL",#N/A,FALSE,"FCB";"GREY_ALL",#N/A,FALSE,"GREY"}</definedName>
    <definedName name="wrn.STAND_ALONE_BOTH." localSheetId="4" hidden="1">{"FCB_ALL",#N/A,FALSE,"FCB";"GREY_ALL",#N/A,FALSE,"GREY"}</definedName>
    <definedName name="wrn.STAND_ALONE_BOTH." localSheetId="5" hidden="1">{"FCB_ALL",#N/A,FALSE,"FCB";"GREY_ALL",#N/A,FALSE,"GREY"}</definedName>
    <definedName name="wrn.STAND_ALONE_BOTH." localSheetId="3" hidden="1">{"FCB_ALL",#N/A,FALSE,"FCB";"GREY_ALL",#N/A,FALSE,"GREY"}</definedName>
    <definedName name="wrn.STAND_ALONE_BOTH." hidden="1">{"FCB_ALL",#N/A,FALSE,"FCB";"GREY_ALL",#N/A,FALSE,"GREY"}</definedName>
    <definedName name="wrn.Statements." localSheetId="13" hidden="1">{"Co1statements",#N/A,FALSE,"Cmpy1";"Co2statement",#N/A,FALSE,"Cmpy2";"co1pm",#N/A,FALSE,"Co1PM";"co2PM",#N/A,FALSE,"Co2PM";"value",#N/A,FALSE,"value";"opco",#N/A,FALSE,"NewSparkle";"adjusts",#N/A,FALSE,"Adjustments"}</definedName>
    <definedName name="wrn.Statements." localSheetId="7" hidden="1">{"Co1statements",#N/A,FALSE,"Cmpy1";"Co2statement",#N/A,FALSE,"Cmpy2";"co1pm",#N/A,FALSE,"Co1PM";"co2PM",#N/A,FALSE,"Co2PM";"value",#N/A,FALSE,"value";"opco",#N/A,FALSE,"NewSparkle";"adjusts",#N/A,FALSE,"Adjustments"}</definedName>
    <definedName name="wrn.Statements." localSheetId="4" hidden="1">{"Co1statements",#N/A,FALSE,"Cmpy1";"Co2statement",#N/A,FALSE,"Cmpy2";"co1pm",#N/A,FALSE,"Co1PM";"co2PM",#N/A,FALSE,"Co2PM";"value",#N/A,FALSE,"value";"opco",#N/A,FALSE,"NewSparkle";"adjusts",#N/A,FALSE,"Adjustments"}</definedName>
    <definedName name="wrn.Statements." localSheetId="5" hidden="1">{"Co1statements",#N/A,FALSE,"Cmpy1";"Co2statement",#N/A,FALSE,"Cmpy2";"co1pm",#N/A,FALSE,"Co1PM";"co2PM",#N/A,FALSE,"Co2PM";"value",#N/A,FALSE,"value";"opco",#N/A,FALSE,"NewSparkle";"adjusts",#N/A,FALSE,"Adjustments"}</definedName>
    <definedName name="wrn.Statements." localSheetId="3" hidden="1">{"Co1statements",#N/A,FALSE,"Cmpy1";"Co2statement",#N/A,FALSE,"Cmpy2";"co1pm",#N/A,FALSE,"Co1PM";"co2PM",#N/A,FALSE,"Co2PM";"value",#N/A,FALSE,"value";"opco",#N/A,FALSE,"NewSparkle";"adjusts",#N/A,FALSE,"Adjustments"}</definedName>
    <definedName name="wrn.Statements." hidden="1">{"Co1statements",#N/A,FALSE,"Cmpy1";"Co2statement",#N/A,FALSE,"Cmpy2";"co1pm",#N/A,FALSE,"Co1PM";"co2PM",#N/A,FALSE,"Co2PM";"value",#N/A,FALSE,"value";"opco",#N/A,FALSE,"NewSparkle";"adjusts",#N/A,FALSE,"Adjustments"}</definedName>
    <definedName name="wrn.Summary." localSheetId="13" hidden="1">{#N/A,#N/A,FALSE,"Summary"}</definedName>
    <definedName name="wrn.Summary." localSheetId="7" hidden="1">{#N/A,#N/A,FALSE,"Summary"}</definedName>
    <definedName name="wrn.Summary." localSheetId="4" hidden="1">{#N/A,#N/A,FALSE,"Summary"}</definedName>
    <definedName name="wrn.Summary." localSheetId="5" hidden="1">{#N/A,#N/A,FALSE,"Summary"}</definedName>
    <definedName name="wrn.Summary." localSheetId="3" hidden="1">{#N/A,#N/A,FALSE,"Summary"}</definedName>
    <definedName name="wrn.Summary." hidden="1">{#N/A,#N/A,FALSE,"Summary"}</definedName>
    <definedName name="wrn.TANASBOURNE._.ONLY." hidden="1">{#N/A,#N/A,FALSE,"Expense Comparison"}</definedName>
    <definedName name="wrn.Template." hidden="1">{#N/A,#N/A,FALSE,"1_Executive Summary";#N/A,#N/A,FALSE,"2_Assumptions";#N/A,#N/A,FALSE,"3_Footnotes";#N/A,#N/A,FALSE,"4_Cash Flow";#N/A,#N/A,FALSE,"6_Residual - Marketing";#N/A,#N/A,FALSE,"7_Residual Matrix";#N/A,#N/A,FALSE,"8_Pricing Matrix";#N/A,#N/A,FALSE,"9_Value Matrix";#N/A,#N/A,FALSE,"10_Vacancy Detail";#N/A,#N/A,FALSE,"11_Basic Expiration"}</definedName>
    <definedName name="wrn.TEST1." hidden="1">{"TEST1",#N/A,FALSE,"SIMPLIFD"}</definedName>
    <definedName name="wrn.TOCHTERMAN." localSheetId="1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" localSheetId="7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" localSheetId="4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" localSheetId="5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" localSheetId="3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CHTERMAN." hidden="1">{#N/A,#N/A,FALSE,"Project Summary";#N/A,#N/A,FALSE,"Parking Budget";#N/A,#N/A,FALSE,"Parking Cash Flow";#N/A,#N/A,FALSE,"Parking Assumptions";#N/A,#N/A,FALSE,"Bond Debt Service";#N/A,#N/A,FALSE,"Pad Fees";#N/A,#N/A,FALSE,"Bond Shortfall";#N/A,#N/A,FALSE,"Retail Development Budget";#N/A,#N/A,FALSE,"Retail Cash Flow";#N/A,#N/A,FALSE,"Retail Assumptions Summary";#N/A,#N/A,FALSE,"Office Development Budget";#N/A,#N/A,FALSE,"Office Cash Flow";#N/A,#N/A,FALSE,"Office Assumptions";#N/A,#N/A,FALSE,"Hotel Development Budget";#N/A,#N/A,FALSE,"Hotel Cash Flow";#N/A,#N/A,FALSE,"Land Lease NPV"}</definedName>
    <definedName name="wrn.Total." localSheetId="1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localSheetId="7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localSheetId="4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localSheetId="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localSheetId="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localSheetId="13" hidden="1">{#N/A,#N/A,FALSE,"DEV COSTS";#N/A,#N/A,FALSE,"10-YR C. F."}</definedName>
    <definedName name="wrn.TOTAL._.SHEETS." localSheetId="7" hidden="1">{#N/A,#N/A,FALSE,"DEV COSTS";#N/A,#N/A,FALSE,"10-YR C. F."}</definedName>
    <definedName name="wrn.TOTAL._.SHEETS." localSheetId="4" hidden="1">{#N/A,#N/A,FALSE,"DEV COSTS";#N/A,#N/A,FALSE,"10-YR C. F."}</definedName>
    <definedName name="wrn.TOTAL._.SHEETS." localSheetId="5" hidden="1">{#N/A,#N/A,FALSE,"DEV COSTS";#N/A,#N/A,FALSE,"10-YR C. F."}</definedName>
    <definedName name="wrn.TOTAL._.SHEETS." localSheetId="3" hidden="1">{#N/A,#N/A,FALSE,"DEV COSTS";#N/A,#N/A,FALSE,"10-YR C. F."}</definedName>
    <definedName name="wrn.TOTAL._.SHEETS." hidden="1">{#N/A,#N/A,FALSE,"DEV COSTS";#N/A,#N/A,FALSE,"10-YR C. F."}</definedName>
    <definedName name="wrn.TOTAL._.SHEETS5" localSheetId="13" hidden="1">{#N/A,#N/A,FALSE,"DEV COSTS";#N/A,#N/A,FALSE,"10-YR C. F."}</definedName>
    <definedName name="wrn.TOTAL._.SHEETS5" localSheetId="7" hidden="1">{#N/A,#N/A,FALSE,"DEV COSTS";#N/A,#N/A,FALSE,"10-YR C. F."}</definedName>
    <definedName name="wrn.TOTAL._.SHEETS5" localSheetId="4" hidden="1">{#N/A,#N/A,FALSE,"DEV COSTS";#N/A,#N/A,FALSE,"10-YR C. F."}</definedName>
    <definedName name="wrn.TOTAL._.SHEETS5" localSheetId="5" hidden="1">{#N/A,#N/A,FALSE,"DEV COSTS";#N/A,#N/A,FALSE,"10-YR C. F."}</definedName>
    <definedName name="wrn.TOTAL._.SHEETS5" localSheetId="3" hidden="1">{#N/A,#N/A,FALSE,"DEV COSTS";#N/A,#N/A,FALSE,"10-YR C. F."}</definedName>
    <definedName name="wrn.TOTAL._.SHEETS5" hidden="1">{#N/A,#N/A,FALSE,"DEV COSTS";#N/A,#N/A,FALSE,"10-YR C. F."}</definedName>
    <definedName name="wrn.Total5" localSheetId="1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localSheetId="7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localSheetId="4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localSheetId="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localSheetId="3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ycon._.Model." localSheetId="13" hidden="1">{"rtn",#N/A,FALSE,"RTN";"tables",#N/A,FALSE,"RTN";"cf",#N/A,FALSE,"CF";"stats",#N/A,FALSE,"Stats";"prop",#N/A,FALSE,"Prop"}</definedName>
    <definedName name="wrn.Tycon._.Model." localSheetId="7" hidden="1">{"rtn",#N/A,FALSE,"RTN";"tables",#N/A,FALSE,"RTN";"cf",#N/A,FALSE,"CF";"stats",#N/A,FALSE,"Stats";"prop",#N/A,FALSE,"Prop"}</definedName>
    <definedName name="wrn.Tycon._.Model." localSheetId="4" hidden="1">{"rtn",#N/A,FALSE,"RTN";"tables",#N/A,FALSE,"RTN";"cf",#N/A,FALSE,"CF";"stats",#N/A,FALSE,"Stats";"prop",#N/A,FALSE,"Prop"}</definedName>
    <definedName name="wrn.Tycon._.Model." localSheetId="5" hidden="1">{"rtn",#N/A,FALSE,"RTN";"tables",#N/A,FALSE,"RTN";"cf",#N/A,FALSE,"CF";"stats",#N/A,FALSE,"Stats";"prop",#N/A,FALSE,"Prop"}</definedName>
    <definedName name="wrn.Tycon._.Model." localSheetId="3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rn.USSC_Reports." hidden="1">{#N/A,#N/A,FALSE,"9Pricing Matrix";#N/A,#N/A,FALSE,"1Summary";#N/A,#N/A,FALSE,"2Assumptions";#N/A,#N/A,FALSE,"3Cash Flow";#N/A,#N/A,FALSE,"5Residual";#N/A,#N/A,FALSE,"Occupancy Cost";#N/A,#N/A,FALSE,"7Financing Sensitivity";#N/A,#N/A,FALSE,"8Residual Sensitivity";#N/A,#N/A,FALSE,"10Vacancy Matrix";#N/A,#N/A,FALSE,"11Expiration Schedule";#N/A,#N/A,FALSE,"12Lease-up Schedule";#N/A,#N/A,FALSE,"OFS-Lease-up Schedule";#N/A,#N/A,FALSE,"Short Holds"}</definedName>
    <definedName name="wrn.Value." localSheetId="13" hidden="1">{#N/A,#N/A,FALSE,"Cashflow Analysis";#N/A,#N/A,FALSE,"Sensitivity Analysis";#N/A,#N/A,FALSE,"PV";#N/A,#N/A,FALSE,"Pro Forma"}</definedName>
    <definedName name="wrn.Value." localSheetId="7" hidden="1">{#N/A,#N/A,FALSE,"Cashflow Analysis";#N/A,#N/A,FALSE,"Sensitivity Analysis";#N/A,#N/A,FALSE,"PV";#N/A,#N/A,FALSE,"Pro Forma"}</definedName>
    <definedName name="wrn.Value." localSheetId="4" hidden="1">{#N/A,#N/A,FALSE,"Cashflow Analysis";#N/A,#N/A,FALSE,"Sensitivity Analysis";#N/A,#N/A,FALSE,"PV";#N/A,#N/A,FALSE,"Pro Forma"}</definedName>
    <definedName name="wrn.Value." localSheetId="5" hidden="1">{#N/A,#N/A,FALSE,"Cashflow Analysis";#N/A,#N/A,FALSE,"Sensitivity Analysis";#N/A,#N/A,FALSE,"PV";#N/A,#N/A,FALSE,"Pro Forma"}</definedName>
    <definedName name="wrn.Value." localSheetId="3" hidden="1">{#N/A,#N/A,FALSE,"Cashflow Analysis";#N/A,#N/A,FALSE,"Sensitivity Analysis";#N/A,#N/A,FALSE,"PV";#N/A,#N/A,FALSE,"Pro Forma"}</definedName>
    <definedName name="wrn.Value." hidden="1">{#N/A,#N/A,FALSE,"Cashflow Analysis";#N/A,#N/A,FALSE,"Sensitivity Analysis";#N/A,#N/A,FALSE,"PV";#N/A,#N/A,FALSE,"Pro Forma"}</definedName>
    <definedName name="wrn.Value.2" localSheetId="13" hidden="1">{#N/A,#N/A,FALSE,"Cashflow Analysis";#N/A,#N/A,FALSE,"Sensitivity Analysis";#N/A,#N/A,FALSE,"PV";#N/A,#N/A,FALSE,"Pro Forma"}</definedName>
    <definedName name="wrn.Value.2" localSheetId="7" hidden="1">{#N/A,#N/A,FALSE,"Cashflow Analysis";#N/A,#N/A,FALSE,"Sensitivity Analysis";#N/A,#N/A,FALSE,"PV";#N/A,#N/A,FALSE,"Pro Forma"}</definedName>
    <definedName name="wrn.Value.2" localSheetId="4" hidden="1">{#N/A,#N/A,FALSE,"Cashflow Analysis";#N/A,#N/A,FALSE,"Sensitivity Analysis";#N/A,#N/A,FALSE,"PV";#N/A,#N/A,FALSE,"Pro Forma"}</definedName>
    <definedName name="wrn.Value.2" localSheetId="5" hidden="1">{#N/A,#N/A,FALSE,"Cashflow Analysis";#N/A,#N/A,FALSE,"Sensitivity Analysis";#N/A,#N/A,FALSE,"PV";#N/A,#N/A,FALSE,"Pro Forma"}</definedName>
    <definedName name="wrn.Value.2" localSheetId="3" hidden="1">{#N/A,#N/A,FALSE,"Cashflow Analysis";#N/A,#N/A,FALSE,"Sensitivity Analysis";#N/A,#N/A,FALSE,"PV";#N/A,#N/A,FALSE,"Pro Forma"}</definedName>
    <definedName name="wrn.Value.2" hidden="1">{#N/A,#N/A,FALSE,"Cashflow Analysis";#N/A,#N/A,FALSE,"Sensitivity Analysis";#N/A,#N/A,FALSE,"PV";#N/A,#N/A,FALSE,"Pro Forma"}</definedName>
    <definedName name="wrn.XL._.DTR." localSheetId="13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rn.XL._.DTR." localSheetId="7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rn.XL._.DTR." localSheetId="4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rn.XL._.DTR." localSheetId="5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rn.XL._.DTR." localSheetId="3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rn.XL._.DTR.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wt" localSheetId="1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localSheetId="7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localSheetId="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inputs._.raw._.data." localSheetId="1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7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1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7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1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7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1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" localSheetId="13" hidden="1">{"FCB_ALL",#N/A,FALSE,"FCB";"GREY_ALL",#N/A,FALSE,"GREY"}</definedName>
    <definedName name="x" localSheetId="7" hidden="1">{"FCB_ALL",#N/A,FALSE,"FCB";"GREY_ALL",#N/A,FALSE,"GREY"}</definedName>
    <definedName name="x" localSheetId="4" hidden="1">{"FCB_ALL",#N/A,FALSE,"FCB";"GREY_ALL",#N/A,FALSE,"GREY"}</definedName>
    <definedName name="x" localSheetId="5" hidden="1">{"FCB_ALL",#N/A,FALSE,"FCB";"GREY_ALL",#N/A,FALSE,"GREY"}</definedName>
    <definedName name="x" localSheetId="3" hidden="1">{"FCB_ALL",#N/A,FALSE,"FCB";"GREY_ALL",#N/A,FALSE,"GREY"}</definedName>
    <definedName name="x" hidden="1">{"FCB_ALL",#N/A,FALSE,"FCB";"GREY_ALL",#N/A,FALSE,"GREY"}</definedName>
    <definedName name="xxd" localSheetId="13" hidden="1">{#N/A,#N/A,FALSE,"Cashflow Analysis";#N/A,#N/A,FALSE,"Sensitivity Analysis";#N/A,#N/A,FALSE,"PV";#N/A,#N/A,FALSE,"Pro Forma"}</definedName>
    <definedName name="xxd" localSheetId="7" hidden="1">{#N/A,#N/A,FALSE,"Cashflow Analysis";#N/A,#N/A,FALSE,"Sensitivity Analysis";#N/A,#N/A,FALSE,"PV";#N/A,#N/A,FALSE,"Pro Forma"}</definedName>
    <definedName name="xxd" localSheetId="4" hidden="1">{#N/A,#N/A,FALSE,"Cashflow Analysis";#N/A,#N/A,FALSE,"Sensitivity Analysis";#N/A,#N/A,FALSE,"PV";#N/A,#N/A,FALSE,"Pro Forma"}</definedName>
    <definedName name="xxd" localSheetId="5" hidden="1">{#N/A,#N/A,FALSE,"Cashflow Analysis";#N/A,#N/A,FALSE,"Sensitivity Analysis";#N/A,#N/A,FALSE,"PV";#N/A,#N/A,FALSE,"Pro Forma"}</definedName>
    <definedName name="xxd" localSheetId="3" hidden="1">{#N/A,#N/A,FALSE,"Cashflow Analysis";#N/A,#N/A,FALSE,"Sensitivity Analysis";#N/A,#N/A,FALSE,"PV";#N/A,#N/A,FALSE,"Pro Forma"}</definedName>
    <definedName name="xxd" hidden="1">{#N/A,#N/A,FALSE,"Cashflow Analysis";#N/A,#N/A,FALSE,"Sensitivity Analysis";#N/A,#N/A,FALSE,"PV";#N/A,#N/A,FALSE,"Pro Forma"}</definedName>
    <definedName name="xxd.2" localSheetId="13" hidden="1">{#N/A,#N/A,FALSE,"Cashflow Analysis";#N/A,#N/A,FALSE,"Sensitivity Analysis";#N/A,#N/A,FALSE,"PV";#N/A,#N/A,FALSE,"Pro Forma"}</definedName>
    <definedName name="xxd.2" localSheetId="7" hidden="1">{#N/A,#N/A,FALSE,"Cashflow Analysis";#N/A,#N/A,FALSE,"Sensitivity Analysis";#N/A,#N/A,FALSE,"PV";#N/A,#N/A,FALSE,"Pro Forma"}</definedName>
    <definedName name="xxd.2" localSheetId="4" hidden="1">{#N/A,#N/A,FALSE,"Cashflow Analysis";#N/A,#N/A,FALSE,"Sensitivity Analysis";#N/A,#N/A,FALSE,"PV";#N/A,#N/A,FALSE,"Pro Forma"}</definedName>
    <definedName name="xxd.2" localSheetId="5" hidden="1">{#N/A,#N/A,FALSE,"Cashflow Analysis";#N/A,#N/A,FALSE,"Sensitivity Analysis";#N/A,#N/A,FALSE,"PV";#N/A,#N/A,FALSE,"Pro Forma"}</definedName>
    <definedName name="xxd.2" localSheetId="3" hidden="1">{#N/A,#N/A,FALSE,"Cashflow Analysis";#N/A,#N/A,FALSE,"Sensitivity Analysis";#N/A,#N/A,FALSE,"PV";#N/A,#N/A,FALSE,"Pro Forma"}</definedName>
    <definedName name="xxd.2" hidden="1">{#N/A,#N/A,FALSE,"Cashflow Analysis";#N/A,#N/A,FALSE,"Sensitivity Analysis";#N/A,#N/A,FALSE,"PV";#N/A,#N/A,FALSE,"Pro Forma"}</definedName>
    <definedName name="xxx" hidden="1">#REF!</definedName>
    <definedName name="xyz" localSheetId="13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xyz" localSheetId="7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xyz" localSheetId="4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xyz" localSheetId="5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xyz" localSheetId="3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xyz" hidden="1">{#N/A,#N/A,TRUE,"XL Cash Flow";#N/A,#N/A,TRUE,"Prop Valuation";#N/A,#N/A,TRUE,"Equity";#N/A,#N/A,TRUE,"Modeling assumptions";#N/A,#N/A,TRUE,"NER Model";#N/A,#N/A,TRUE,"Lease Exp";#N/A,#N/A,TRUE,"Inc &amp; Exp";#N/A,#N/A,TRUE,"Formatted - roll";#N/A,#N/A,TRUE,"Debt Model";#N/A,#N/A,TRUE,"Debt-Moody";#N/A,#N/A,TRUE,"Debt"}</definedName>
    <definedName name="y" localSheetId="1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y" localSheetId="7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y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y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y" localSheetId="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YGJ" localSheetId="1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localSheetId="7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localSheetId="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Z_7A335D06_3E2B_11D5_982F_00B0D0A6BCF2_.wvu.PrintArea" hidden="1">[13]CFADS!$AC$1:$AQ$124</definedName>
    <definedName name="Z_C48E6361_ADB0_4860_9633_040747E5D3D8_.wvu.Cols" localSheetId="8" hidden="1">'Monthly Pro Forma'!#REF!</definedName>
    <definedName name="Z_C48E6361_ADB0_4860_9633_040747E5D3D8_.wvu.PrintArea" localSheetId="8" hidden="1">'Monthly Pro Forma'!$A$4:$EH$112</definedName>
    <definedName name="Z_C48E6361_ADB0_4860_9633_040747E5D3D8_.wvu.PrintArea" localSheetId="6" hidden="1">'Renovation Budget'!$B$2:$EZ$105</definedName>
    <definedName name="Z_C48E6361_ADB0_4860_9633_040747E5D3D8_.wvu.PrintArea" localSheetId="0" hidden="1">Summary!$A$1:$Q$50</definedName>
    <definedName name="Z_F4D26AD1_3E1A_11D5_A9C5_00A0C91596F2_.wvu.PrintArea" hidden="1">[13]CFADS!$AC$1:$AQ$124</definedName>
  </definedNames>
  <calcPr calcId="191028" calcMode="autoNoTable"/>
  <customWorkbookViews>
    <customWorkbookView name="1 page" guid="{C48E6361-ADB0-4860-9633-040747E5D3D8}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8" i="1" l="1"/>
  <c r="G29" i="1"/>
  <c r="P9" i="1"/>
  <c r="N9" i="1"/>
  <c r="I9" i="1"/>
  <c r="J9" i="1"/>
  <c r="K9" i="1"/>
  <c r="L9" i="1"/>
  <c r="J10" i="1"/>
  <c r="J11" i="1"/>
  <c r="J12" i="1"/>
  <c r="J13" i="1"/>
  <c r="J14" i="1"/>
  <c r="J15" i="1"/>
  <c r="J16" i="1"/>
  <c r="J17" i="1"/>
  <c r="J18" i="1"/>
  <c r="J19" i="1"/>
  <c r="J20" i="1"/>
  <c r="J21" i="1"/>
  <c r="H10" i="1"/>
  <c r="H11" i="1"/>
  <c r="H12" i="1"/>
  <c r="H13" i="1"/>
  <c r="H14" i="1"/>
  <c r="H15" i="1"/>
  <c r="H16" i="1"/>
  <c r="H17" i="1"/>
  <c r="H18" i="1"/>
  <c r="H19" i="1"/>
  <c r="H20" i="1"/>
  <c r="H21" i="1"/>
  <c r="H9" i="1"/>
  <c r="G9" i="1"/>
  <c r="G11" i="1"/>
  <c r="G12" i="1"/>
  <c r="G13" i="1"/>
  <c r="G14" i="1"/>
  <c r="G15" i="1"/>
  <c r="G16" i="1"/>
  <c r="G17" i="1"/>
  <c r="G18" i="1"/>
  <c r="G19" i="1"/>
  <c r="G20" i="1"/>
  <c r="G21" i="1"/>
  <c r="G10" i="1"/>
  <c r="I68" i="63"/>
  <c r="E68" i="63"/>
  <c r="G68" i="63" s="1"/>
  <c r="G40" i="41"/>
  <c r="H40" i="41"/>
  <c r="I40" i="41"/>
  <c r="J40" i="41"/>
  <c r="K40" i="41"/>
  <c r="L40" i="41"/>
  <c r="M40" i="41"/>
  <c r="C42" i="41"/>
  <c r="C41" i="41"/>
  <c r="D40" i="41"/>
  <c r="E40" i="41"/>
  <c r="F40" i="41"/>
  <c r="F8" i="53" l="1"/>
  <c r="B73" i="32"/>
  <c r="D73" i="32"/>
  <c r="D60" i="32"/>
  <c r="D59" i="32"/>
  <c r="B60" i="32"/>
  <c r="B61" i="32"/>
  <c r="B59" i="32"/>
  <c r="B69" i="32"/>
  <c r="E69" i="32"/>
  <c r="F69" i="32"/>
  <c r="G69" i="32"/>
  <c r="H69" i="32"/>
  <c r="I69" i="32"/>
  <c r="J69" i="32"/>
  <c r="K69" i="32"/>
  <c r="L69" i="32"/>
  <c r="M69" i="32"/>
  <c r="N69" i="32"/>
  <c r="O69" i="32"/>
  <c r="B70" i="32"/>
  <c r="D70" i="32"/>
  <c r="B71" i="32"/>
  <c r="B66" i="32"/>
  <c r="C54" i="1" l="1"/>
  <c r="BO107" i="5" l="1"/>
  <c r="BP107" i="5"/>
  <c r="BQ107" i="5"/>
  <c r="BR107" i="5"/>
  <c r="BS107" i="5"/>
  <c r="BT107" i="5"/>
  <c r="BU107" i="5"/>
  <c r="BV107" i="5"/>
  <c r="BW107" i="5"/>
  <c r="BX107" i="5"/>
  <c r="BY107" i="5"/>
  <c r="BZ107" i="5"/>
  <c r="CA107" i="5"/>
  <c r="CB107" i="5"/>
  <c r="CC107" i="5"/>
  <c r="CD107" i="5"/>
  <c r="CE107" i="5"/>
  <c r="CF107" i="5"/>
  <c r="CG107" i="5"/>
  <c r="CH107" i="5"/>
  <c r="CI107" i="5"/>
  <c r="CJ107" i="5"/>
  <c r="CK107" i="5"/>
  <c r="CL107" i="5"/>
  <c r="CM107" i="5"/>
  <c r="CN107" i="5"/>
  <c r="CO107" i="5"/>
  <c r="CP107" i="5"/>
  <c r="CQ107" i="5"/>
  <c r="CR107" i="5"/>
  <c r="CS107" i="5"/>
  <c r="CT107" i="5"/>
  <c r="CU107" i="5"/>
  <c r="CV107" i="5"/>
  <c r="CW107" i="5"/>
  <c r="CX107" i="5"/>
  <c r="CY107" i="5"/>
  <c r="CZ107" i="5"/>
  <c r="DA107" i="5"/>
  <c r="DB107" i="5"/>
  <c r="DC107" i="5"/>
  <c r="DD107" i="5"/>
  <c r="DE107" i="5"/>
  <c r="DF107" i="5"/>
  <c r="DG107" i="5"/>
  <c r="DH107" i="5"/>
  <c r="DI107" i="5"/>
  <c r="DJ107" i="5"/>
  <c r="DK107" i="5"/>
  <c r="DL107" i="5"/>
  <c r="DM107" i="5"/>
  <c r="DN107" i="5"/>
  <c r="DO107" i="5"/>
  <c r="DP107" i="5"/>
  <c r="DQ107" i="5"/>
  <c r="DR107" i="5"/>
  <c r="DS107" i="5"/>
  <c r="DT107" i="5"/>
  <c r="DU107" i="5"/>
  <c r="DV107" i="5"/>
  <c r="DW107" i="5"/>
  <c r="DX107" i="5"/>
  <c r="DY107" i="5"/>
  <c r="DZ107" i="5"/>
  <c r="EA107" i="5"/>
  <c r="EB107" i="5"/>
  <c r="EC107" i="5"/>
  <c r="ED107" i="5"/>
  <c r="EE107" i="5"/>
  <c r="EF107" i="5"/>
  <c r="EG107" i="5"/>
  <c r="EH107" i="5"/>
  <c r="F90" i="5" l="1"/>
  <c r="D71" i="32" l="1"/>
  <c r="C43" i="41"/>
  <c r="E36" i="63"/>
  <c r="G36" i="63" s="1"/>
  <c r="K95" i="63" l="1"/>
  <c r="F5" i="65" l="1"/>
  <c r="H39" i="65" s="1" a="1"/>
  <c r="H39" i="65" s="1"/>
  <c r="C31" i="59"/>
  <c r="E28" i="63"/>
  <c r="G28" i="63" s="1"/>
  <c r="E62" i="63"/>
  <c r="G62" i="63" s="1"/>
  <c r="C31" i="41"/>
  <c r="C33" i="41" s="1"/>
  <c r="D6" i="32"/>
  <c r="E6" i="32" s="1"/>
  <c r="F6" i="32" s="1"/>
  <c r="G6" i="32" s="1"/>
  <c r="H6" i="32" s="1"/>
  <c r="I6" i="32" s="1"/>
  <c r="J6" i="32" s="1"/>
  <c r="K6" i="32" s="1"/>
  <c r="L6" i="32" s="1"/>
  <c r="M6" i="32" s="1"/>
  <c r="N6" i="32" s="1"/>
  <c r="O6" i="32" s="1"/>
  <c r="B4" i="41"/>
  <c r="B3" i="41"/>
  <c r="I14" i="65"/>
  <c r="I15" i="65"/>
  <c r="I16" i="65"/>
  <c r="I17" i="65"/>
  <c r="I18" i="65"/>
  <c r="I19" i="65"/>
  <c r="I20" i="65"/>
  <c r="I21" i="65"/>
  <c r="I22" i="65"/>
  <c r="I23" i="65"/>
  <c r="I24" i="65"/>
  <c r="I25" i="65"/>
  <c r="I26" i="65"/>
  <c r="I27" i="65"/>
  <c r="I28" i="65"/>
  <c r="I29" i="65"/>
  <c r="I30" i="65"/>
  <c r="I31" i="65"/>
  <c r="I32" i="65"/>
  <c r="I33" i="65"/>
  <c r="I34" i="65"/>
  <c r="I35" i="65"/>
  <c r="I36" i="65"/>
  <c r="I37" i="65"/>
  <c r="I38" i="65"/>
  <c r="I39" i="65"/>
  <c r="I40" i="65"/>
  <c r="I41" i="65"/>
  <c r="I42" i="65"/>
  <c r="I43" i="65"/>
  <c r="I44" i="65"/>
  <c r="I45" i="65"/>
  <c r="I46" i="65"/>
  <c r="I47" i="65"/>
  <c r="I49" i="65"/>
  <c r="I50" i="65"/>
  <c r="I51" i="65"/>
  <c r="I52" i="65"/>
  <c r="I53" i="65"/>
  <c r="I54" i="65"/>
  <c r="I55" i="65"/>
  <c r="I56" i="65"/>
  <c r="I57" i="65"/>
  <c r="I58" i="65"/>
  <c r="I59" i="65"/>
  <c r="I60" i="65"/>
  <c r="I61" i="65"/>
  <c r="I62" i="65"/>
  <c r="I63" i="65"/>
  <c r="I64" i="65"/>
  <c r="I65" i="65"/>
  <c r="I66" i="65"/>
  <c r="I67" i="65"/>
  <c r="I68" i="65"/>
  <c r="I69" i="65"/>
  <c r="I70" i="65"/>
  <c r="I71" i="65"/>
  <c r="I72" i="65"/>
  <c r="I73" i="65"/>
  <c r="I74" i="65"/>
  <c r="I75" i="65"/>
  <c r="I76" i="65"/>
  <c r="I77" i="65"/>
  <c r="I78" i="65"/>
  <c r="I79" i="65"/>
  <c r="I80" i="65"/>
  <c r="I81" i="65"/>
  <c r="I82" i="65"/>
  <c r="I83" i="65"/>
  <c r="I84" i="65"/>
  <c r="I85" i="65"/>
  <c r="I86" i="65"/>
  <c r="I87" i="65"/>
  <c r="I88" i="65"/>
  <c r="I89" i="65"/>
  <c r="I90" i="65"/>
  <c r="I91" i="65"/>
  <c r="I92" i="65"/>
  <c r="I93" i="65"/>
  <c r="I94" i="65"/>
  <c r="I95" i="65"/>
  <c r="I96" i="65"/>
  <c r="I13" i="65"/>
  <c r="D22" i="1"/>
  <c r="C13" i="65"/>
  <c r="C14" i="65" s="1"/>
  <c r="C15" i="65" s="1"/>
  <c r="C16" i="65" s="1"/>
  <c r="C17" i="65" s="1"/>
  <c r="C18" i="65" s="1"/>
  <c r="C19" i="65" s="1"/>
  <c r="C20" i="65" s="1"/>
  <c r="C21" i="65" s="1"/>
  <c r="C22" i="65" s="1"/>
  <c r="C23" i="65" s="1"/>
  <c r="C24" i="65" s="1"/>
  <c r="C25" i="65" s="1"/>
  <c r="C26" i="65" s="1"/>
  <c r="C27" i="65" s="1"/>
  <c r="C28" i="65" s="1"/>
  <c r="C29" i="65" s="1"/>
  <c r="C30" i="65" s="1"/>
  <c r="C31" i="65" s="1"/>
  <c r="C32" i="65" s="1"/>
  <c r="C33" i="65" s="1"/>
  <c r="C34" i="65" s="1"/>
  <c r="C35" i="65" s="1"/>
  <c r="C36" i="65" s="1"/>
  <c r="C37" i="65" s="1"/>
  <c r="C38" i="65" s="1"/>
  <c r="C39" i="65" s="1"/>
  <c r="C40" i="65" s="1"/>
  <c r="C41" i="65" s="1"/>
  <c r="C42" i="65" s="1"/>
  <c r="C43" i="65" s="1"/>
  <c r="C44" i="65" s="1"/>
  <c r="C45" i="65" s="1"/>
  <c r="C46" i="65" s="1"/>
  <c r="C47" i="65" s="1"/>
  <c r="C48" i="65" s="1"/>
  <c r="C49" i="65" s="1"/>
  <c r="C50" i="65" s="1"/>
  <c r="C51" i="65" s="1"/>
  <c r="C52" i="65" s="1"/>
  <c r="C53" i="65" s="1"/>
  <c r="C54" i="65" s="1"/>
  <c r="C55" i="65" s="1"/>
  <c r="C56" i="65" s="1"/>
  <c r="C57" i="65" s="1"/>
  <c r="C58" i="65" s="1"/>
  <c r="C59" i="65" s="1"/>
  <c r="C60" i="65" s="1"/>
  <c r="C61" i="65" s="1"/>
  <c r="C62" i="65" s="1"/>
  <c r="C63" i="65" s="1"/>
  <c r="C64" i="65" s="1"/>
  <c r="C65" i="65" s="1"/>
  <c r="C66" i="65" s="1"/>
  <c r="C67" i="65" s="1"/>
  <c r="C68" i="65" s="1"/>
  <c r="C69" i="65" s="1"/>
  <c r="C70" i="65" s="1"/>
  <c r="C71" i="65" s="1"/>
  <c r="C72" i="65" s="1"/>
  <c r="C73" i="65" s="1"/>
  <c r="C74" i="65" s="1"/>
  <c r="C75" i="65" s="1"/>
  <c r="C76" i="65" s="1"/>
  <c r="C77" i="65" s="1"/>
  <c r="C78" i="65" s="1"/>
  <c r="C79" i="65" s="1"/>
  <c r="C80" i="65" s="1"/>
  <c r="C81" i="65" s="1"/>
  <c r="C82" i="65" s="1"/>
  <c r="C83" i="65" s="1"/>
  <c r="C84" i="65" s="1"/>
  <c r="C85" i="65" s="1"/>
  <c r="C86" i="65" s="1"/>
  <c r="C87" i="65" s="1"/>
  <c r="C88" i="65" s="1"/>
  <c r="C89" i="65" s="1"/>
  <c r="C90" i="65" s="1"/>
  <c r="C91" i="65" s="1"/>
  <c r="C92" i="65" s="1"/>
  <c r="C93" i="65" s="1"/>
  <c r="C94" i="65" s="1"/>
  <c r="C95" i="65" s="1"/>
  <c r="C96" i="65" s="1"/>
  <c r="B14" i="65"/>
  <c r="B15" i="65"/>
  <c r="B16" i="65"/>
  <c r="B17" i="65" s="1"/>
  <c r="B18" i="65" s="1"/>
  <c r="B19" i="65" s="1"/>
  <c r="B20" i="65" s="1"/>
  <c r="B21" i="65" s="1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B36" i="65" s="1"/>
  <c r="B37" i="65" s="1"/>
  <c r="B38" i="65" s="1"/>
  <c r="B39" i="65" s="1"/>
  <c r="B40" i="65" s="1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B54" i="65" s="1"/>
  <c r="B55" i="65" s="1"/>
  <c r="B56" i="65" s="1"/>
  <c r="B57" i="65" s="1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B72" i="65" s="1"/>
  <c r="B73" i="65" s="1"/>
  <c r="B74" i="65" s="1"/>
  <c r="B75" i="65" s="1"/>
  <c r="B76" i="65" s="1"/>
  <c r="B77" i="65" s="1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B90" i="65" s="1"/>
  <c r="B91" i="65" s="1"/>
  <c r="B92" i="65" s="1"/>
  <c r="B93" i="65" s="1"/>
  <c r="B94" i="65" s="1"/>
  <c r="B95" i="65" s="1"/>
  <c r="B96" i="65" s="1"/>
  <c r="B13" i="65"/>
  <c r="K7" i="65"/>
  <c r="K8" i="65"/>
  <c r="K6" i="65"/>
  <c r="H70" i="65" l="1" a="1"/>
  <c r="H70" i="65" s="1"/>
  <c r="H63" i="65" a="1"/>
  <c r="H63" i="65" s="1"/>
  <c r="H62" i="65" a="1"/>
  <c r="H62" i="65" s="1"/>
  <c r="H94" i="65" a="1"/>
  <c r="H94" i="65" s="1"/>
  <c r="H60" i="65" a="1"/>
  <c r="H60" i="65" s="1"/>
  <c r="H74" i="65" a="1"/>
  <c r="H74" i="65" s="1"/>
  <c r="H93" i="65" a="1"/>
  <c r="H93" i="65" s="1"/>
  <c r="H58" i="65" a="1"/>
  <c r="H58" i="65" s="1"/>
  <c r="H92" i="65" a="1"/>
  <c r="H92" i="65" s="1"/>
  <c r="H17" i="65" a="1"/>
  <c r="H17" i="65" s="1"/>
  <c r="H90" i="65" a="1"/>
  <c r="H90" i="65" s="1"/>
  <c r="H19" i="65" a="1"/>
  <c r="H19" i="65" s="1"/>
  <c r="H76" i="65" a="1"/>
  <c r="H76" i="65" s="1"/>
  <c r="H89" i="65" a="1"/>
  <c r="H89" i="65" s="1"/>
  <c r="H84" i="65" a="1"/>
  <c r="H84" i="65" s="1"/>
  <c r="H47" i="65" a="1"/>
  <c r="H47" i="65" s="1"/>
  <c r="H88" i="65" a="1"/>
  <c r="H88" i="65" s="1"/>
  <c r="H87" i="65" a="1"/>
  <c r="H87" i="65" s="1"/>
  <c r="H78" i="65" a="1"/>
  <c r="H78" i="65" s="1"/>
  <c r="H85" i="65" a="1"/>
  <c r="H85" i="65" s="1"/>
  <c r="E12" i="65"/>
  <c r="J12" i="65" s="1"/>
  <c r="E13" i="65" s="1"/>
  <c r="H77" i="65" a="1"/>
  <c r="H77" i="65" s="1"/>
  <c r="H49" i="65" a="1"/>
  <c r="H49" i="65" s="1"/>
  <c r="H82" i="65" a="1"/>
  <c r="H82" i="65" s="1"/>
  <c r="H67" i="65" a="1"/>
  <c r="H67" i="65" s="1"/>
  <c r="H53" i="65" a="1"/>
  <c r="H53" i="65" s="1"/>
  <c r="H25" i="65" a="1"/>
  <c r="H25" i="65" s="1"/>
  <c r="H41" i="65" a="1"/>
  <c r="H41" i="65" s="1"/>
  <c r="H68" i="65" a="1"/>
  <c r="H68" i="65" s="1"/>
  <c r="H40" i="65" a="1"/>
  <c r="H40" i="65" s="1"/>
  <c r="H96" i="65" a="1"/>
  <c r="H96" i="65" s="1"/>
  <c r="H81" i="65" a="1"/>
  <c r="H81" i="65" s="1"/>
  <c r="H66" i="65" a="1"/>
  <c r="H66" i="65" s="1"/>
  <c r="H52" i="65" a="1"/>
  <c r="H52" i="65" s="1"/>
  <c r="H26" i="65" a="1"/>
  <c r="H26" i="65" s="1"/>
  <c r="H42" i="65" a="1"/>
  <c r="H42" i="65" s="1"/>
  <c r="H83" i="65" a="1"/>
  <c r="H83" i="65" s="1"/>
  <c r="H54" i="65" a="1"/>
  <c r="H54" i="65" s="1"/>
  <c r="H24" i="65" a="1"/>
  <c r="H24" i="65" s="1"/>
  <c r="H95" i="65" a="1"/>
  <c r="H95" i="65" s="1"/>
  <c r="H80" i="65" a="1"/>
  <c r="H80" i="65" s="1"/>
  <c r="H65" i="65" a="1"/>
  <c r="H65" i="65" s="1"/>
  <c r="H51" i="65" a="1"/>
  <c r="H51" i="65" s="1"/>
  <c r="H27" i="65" a="1"/>
  <c r="H27" i="65" s="1"/>
  <c r="H43" i="65" a="1"/>
  <c r="H43" i="65" s="1"/>
  <c r="H79" i="65" a="1"/>
  <c r="H79" i="65" s="1"/>
  <c r="H64" i="65" a="1"/>
  <c r="H64" i="65" s="1"/>
  <c r="H50" i="65" a="1"/>
  <c r="H50" i="65" s="1"/>
  <c r="H28" i="65" a="1"/>
  <c r="H28" i="65" s="1"/>
  <c r="H44" i="65" a="1"/>
  <c r="H44" i="65" s="1"/>
  <c r="H13" i="65" a="1"/>
  <c r="H13" i="65" s="1"/>
  <c r="H29" i="65" a="1"/>
  <c r="H29" i="65" s="1"/>
  <c r="H45" i="65" a="1"/>
  <c r="H45" i="65" s="1"/>
  <c r="H14" i="65" a="1"/>
  <c r="H14" i="65" s="1"/>
  <c r="H30" i="65" a="1"/>
  <c r="H30" i="65" s="1"/>
  <c r="H46" i="65" a="1"/>
  <c r="H46" i="65" s="1"/>
  <c r="H15" i="65" a="1"/>
  <c r="H15" i="65" s="1"/>
  <c r="H31" i="65" a="1"/>
  <c r="H31" i="65" s="1"/>
  <c r="H91" i="65" a="1"/>
  <c r="H91" i="65" s="1"/>
  <c r="H75" i="65" a="1"/>
  <c r="H75" i="65" s="1"/>
  <c r="H61" i="65" a="1"/>
  <c r="H61" i="65" s="1"/>
  <c r="H16" i="65" a="1"/>
  <c r="H16" i="65" s="1"/>
  <c r="H32" i="65" a="1"/>
  <c r="H32" i="65" s="1"/>
  <c r="H48" i="65" a="1"/>
  <c r="H48" i="65" s="1"/>
  <c r="H33" i="65" a="1"/>
  <c r="H33" i="65" s="1"/>
  <c r="H73" i="65" a="1"/>
  <c r="H73" i="65" s="1"/>
  <c r="H59" i="65" a="1"/>
  <c r="H59" i="65" s="1"/>
  <c r="H18" i="65" a="1"/>
  <c r="H18" i="65" s="1"/>
  <c r="H34" i="65" a="1"/>
  <c r="H34" i="65" s="1"/>
  <c r="H35" i="65" a="1"/>
  <c r="H35" i="65" s="1"/>
  <c r="H72" i="65" a="1"/>
  <c r="H72" i="65" s="1"/>
  <c r="H57" i="65" a="1"/>
  <c r="H57" i="65" s="1"/>
  <c r="H20" i="65" a="1"/>
  <c r="H20" i="65" s="1"/>
  <c r="H36" i="65" a="1"/>
  <c r="H36" i="65" s="1"/>
  <c r="H86" i="65" a="1"/>
  <c r="H86" i="65" s="1"/>
  <c r="H71" i="65" a="1"/>
  <c r="H71" i="65" s="1"/>
  <c r="H56" i="65" a="1"/>
  <c r="H56" i="65" s="1"/>
  <c r="H21" i="65" a="1"/>
  <c r="H21" i="65" s="1"/>
  <c r="H37" i="65" a="1"/>
  <c r="H37" i="65" s="1"/>
  <c r="H55" i="65" a="1"/>
  <c r="H55" i="65" s="1"/>
  <c r="H22" i="65" a="1"/>
  <c r="H22" i="65" s="1"/>
  <c r="H38" i="65" a="1"/>
  <c r="H38" i="65" s="1"/>
  <c r="H69" i="65" a="1"/>
  <c r="H69" i="65" s="1"/>
  <c r="H23" i="65" a="1"/>
  <c r="H23" i="65" s="1"/>
  <c r="E8" i="63" l="1"/>
  <c r="Z98" i="38" l="1"/>
  <c r="AA98" i="38"/>
  <c r="AB98" i="38"/>
  <c r="AC98" i="38"/>
  <c r="AD98" i="38"/>
  <c r="AE98" i="38"/>
  <c r="AF98" i="38"/>
  <c r="AG98" i="38"/>
  <c r="AH98" i="38"/>
  <c r="AI98" i="38"/>
  <c r="AJ98" i="38"/>
  <c r="AK98" i="38"/>
  <c r="AL98" i="38"/>
  <c r="AM98" i="38"/>
  <c r="AN98" i="38"/>
  <c r="AO98" i="38"/>
  <c r="AP98" i="38"/>
  <c r="AQ98" i="38"/>
  <c r="AR98" i="38"/>
  <c r="AS98" i="38"/>
  <c r="AT98" i="38"/>
  <c r="AU98" i="38"/>
  <c r="AV98" i="38"/>
  <c r="AW98" i="38"/>
  <c r="AX98" i="38"/>
  <c r="AY98" i="38"/>
  <c r="AZ98" i="38"/>
  <c r="BA98" i="38"/>
  <c r="BB98" i="38"/>
  <c r="BC98" i="38"/>
  <c r="BD98" i="38"/>
  <c r="BE98" i="38"/>
  <c r="BF98" i="38"/>
  <c r="BG98" i="38"/>
  <c r="BH98" i="38"/>
  <c r="BI98" i="38"/>
  <c r="BJ98" i="38"/>
  <c r="BK98" i="38"/>
  <c r="BL98" i="38"/>
  <c r="BM98" i="38"/>
  <c r="BN98" i="38"/>
  <c r="BO98" i="38"/>
  <c r="BP98" i="38"/>
  <c r="BQ98" i="38"/>
  <c r="BR98" i="38"/>
  <c r="BS98" i="38"/>
  <c r="BT98" i="38"/>
  <c r="BU98" i="38"/>
  <c r="BV98" i="38"/>
  <c r="BW98" i="38"/>
  <c r="BX98" i="38"/>
  <c r="BY98" i="38"/>
  <c r="BZ98" i="38"/>
  <c r="CA98" i="38"/>
  <c r="CB98" i="38"/>
  <c r="CC98" i="38"/>
  <c r="CD98" i="38"/>
  <c r="CE98" i="38"/>
  <c r="CF98" i="38"/>
  <c r="CG98" i="38"/>
  <c r="CH98" i="38"/>
  <c r="CI98" i="38"/>
  <c r="CJ98" i="38"/>
  <c r="CK98" i="38"/>
  <c r="CL98" i="38"/>
  <c r="CM98" i="38"/>
  <c r="CN98" i="38"/>
  <c r="CO98" i="38"/>
  <c r="CP98" i="38"/>
  <c r="CQ98" i="38"/>
  <c r="CR98" i="38"/>
  <c r="CS98" i="38"/>
  <c r="CT98" i="38"/>
  <c r="CU98" i="38"/>
  <c r="CV98" i="38"/>
  <c r="CW98" i="38"/>
  <c r="CX98" i="38"/>
  <c r="CY98" i="38"/>
  <c r="CZ98" i="38"/>
  <c r="DA98" i="38"/>
  <c r="DB98" i="38"/>
  <c r="DC98" i="38"/>
  <c r="DD98" i="38"/>
  <c r="DE98" i="38"/>
  <c r="DF98" i="38"/>
  <c r="DG98" i="38"/>
  <c r="DH98" i="38"/>
  <c r="DI98" i="38"/>
  <c r="DJ98" i="38"/>
  <c r="DK98" i="38"/>
  <c r="DL98" i="38"/>
  <c r="DM98" i="38"/>
  <c r="DN98" i="38"/>
  <c r="DO98" i="38"/>
  <c r="DP98" i="38"/>
  <c r="DQ98" i="38"/>
  <c r="DR98" i="38"/>
  <c r="DS98" i="38"/>
  <c r="DT98" i="38"/>
  <c r="DU98" i="38"/>
  <c r="DV98" i="38"/>
  <c r="DW98" i="38"/>
  <c r="DX98" i="38"/>
  <c r="DY98" i="38"/>
  <c r="DZ98" i="38"/>
  <c r="EA98" i="38"/>
  <c r="EB98" i="38"/>
  <c r="EC98" i="38"/>
  <c r="ED98" i="38"/>
  <c r="EE98" i="38"/>
  <c r="EF98" i="38"/>
  <c r="EG98" i="38"/>
  <c r="EH98" i="38"/>
  <c r="EI98" i="38"/>
  <c r="EJ98" i="38"/>
  <c r="EK98" i="38"/>
  <c r="EL98" i="38"/>
  <c r="EM98" i="38"/>
  <c r="EN98" i="38"/>
  <c r="EO98" i="38"/>
  <c r="EP98" i="38"/>
  <c r="EQ98" i="38"/>
  <c r="ER98" i="38"/>
  <c r="ES98" i="38"/>
  <c r="ET98" i="38"/>
  <c r="EU98" i="38"/>
  <c r="EV98" i="38"/>
  <c r="EW98" i="38"/>
  <c r="EX98" i="38"/>
  <c r="EY98" i="38"/>
  <c r="EZ98" i="38"/>
  <c r="Z99" i="38"/>
  <c r="AA99" i="38"/>
  <c r="AB99" i="38"/>
  <c r="AC99" i="38"/>
  <c r="AD99" i="38"/>
  <c r="AE99" i="38"/>
  <c r="AF99" i="38"/>
  <c r="AG99" i="38"/>
  <c r="AH99" i="38"/>
  <c r="AI99" i="38"/>
  <c r="AJ99" i="38"/>
  <c r="AK99" i="38"/>
  <c r="AL99" i="38"/>
  <c r="AM99" i="38"/>
  <c r="AN99" i="38"/>
  <c r="AO99" i="38"/>
  <c r="AP99" i="38"/>
  <c r="AQ99" i="38"/>
  <c r="AR99" i="38"/>
  <c r="AS99" i="38"/>
  <c r="AT99" i="38"/>
  <c r="AU99" i="38"/>
  <c r="AV99" i="38"/>
  <c r="AW99" i="38"/>
  <c r="AX99" i="38"/>
  <c r="AY99" i="38"/>
  <c r="AZ99" i="38"/>
  <c r="BA99" i="38"/>
  <c r="BB99" i="38"/>
  <c r="BC99" i="38"/>
  <c r="BD99" i="38"/>
  <c r="BE99" i="38"/>
  <c r="BF99" i="38"/>
  <c r="BG99" i="38"/>
  <c r="BH99" i="38"/>
  <c r="BI99" i="38"/>
  <c r="BJ99" i="38"/>
  <c r="BK99" i="38"/>
  <c r="BL99" i="38"/>
  <c r="BM99" i="38"/>
  <c r="BN99" i="38"/>
  <c r="BO99" i="38"/>
  <c r="BP99" i="38"/>
  <c r="BQ99" i="38"/>
  <c r="BR99" i="38"/>
  <c r="BS99" i="38"/>
  <c r="BT99" i="38"/>
  <c r="BU99" i="38"/>
  <c r="BV99" i="38"/>
  <c r="BW99" i="38"/>
  <c r="BX99" i="38"/>
  <c r="BY99" i="38"/>
  <c r="BZ99" i="38"/>
  <c r="CA99" i="38"/>
  <c r="CB99" i="38"/>
  <c r="CC99" i="38"/>
  <c r="CD99" i="38"/>
  <c r="CE99" i="38"/>
  <c r="CF99" i="38"/>
  <c r="CG99" i="38"/>
  <c r="CH99" i="38"/>
  <c r="CI99" i="38"/>
  <c r="CJ99" i="38"/>
  <c r="CK99" i="38"/>
  <c r="CL99" i="38"/>
  <c r="CM99" i="38"/>
  <c r="CN99" i="38"/>
  <c r="CO99" i="38"/>
  <c r="CP99" i="38"/>
  <c r="CQ99" i="38"/>
  <c r="CR99" i="38"/>
  <c r="CS99" i="38"/>
  <c r="CT99" i="38"/>
  <c r="CU99" i="38"/>
  <c r="CV99" i="38"/>
  <c r="CW99" i="38"/>
  <c r="CX99" i="38"/>
  <c r="CY99" i="38"/>
  <c r="CZ99" i="38"/>
  <c r="DA99" i="38"/>
  <c r="DB99" i="38"/>
  <c r="DC99" i="38"/>
  <c r="DD99" i="38"/>
  <c r="DE99" i="38"/>
  <c r="DF99" i="38"/>
  <c r="DG99" i="38"/>
  <c r="DH99" i="38"/>
  <c r="DI99" i="38"/>
  <c r="DJ99" i="38"/>
  <c r="DK99" i="38"/>
  <c r="DL99" i="38"/>
  <c r="DM99" i="38"/>
  <c r="DN99" i="38"/>
  <c r="DO99" i="38"/>
  <c r="DP99" i="38"/>
  <c r="DQ99" i="38"/>
  <c r="DR99" i="38"/>
  <c r="DS99" i="38"/>
  <c r="DT99" i="38"/>
  <c r="DU99" i="38"/>
  <c r="DV99" i="38"/>
  <c r="DW99" i="38"/>
  <c r="DX99" i="38"/>
  <c r="DY99" i="38"/>
  <c r="DZ99" i="38"/>
  <c r="EA99" i="38"/>
  <c r="EB99" i="38"/>
  <c r="EC99" i="38"/>
  <c r="ED99" i="38"/>
  <c r="EE99" i="38"/>
  <c r="EF99" i="38"/>
  <c r="EG99" i="38"/>
  <c r="EH99" i="38"/>
  <c r="EI99" i="38"/>
  <c r="EJ99" i="38"/>
  <c r="EK99" i="38"/>
  <c r="EL99" i="38"/>
  <c r="EM99" i="38"/>
  <c r="EN99" i="38"/>
  <c r="EO99" i="38"/>
  <c r="EP99" i="38"/>
  <c r="EQ99" i="38"/>
  <c r="ER99" i="38"/>
  <c r="ES99" i="38"/>
  <c r="ET99" i="38"/>
  <c r="EU99" i="38"/>
  <c r="EV99" i="38"/>
  <c r="EW99" i="38"/>
  <c r="EX99" i="38"/>
  <c r="EY99" i="38"/>
  <c r="EZ99" i="38"/>
  <c r="Z100" i="38"/>
  <c r="AA100" i="38"/>
  <c r="AB100" i="38"/>
  <c r="AC100" i="38"/>
  <c r="AD100" i="38"/>
  <c r="AE100" i="38"/>
  <c r="AF100" i="38"/>
  <c r="AG100" i="38"/>
  <c r="AH100" i="38"/>
  <c r="AI100" i="38"/>
  <c r="AJ100" i="38"/>
  <c r="AK100" i="38"/>
  <c r="AL100" i="38"/>
  <c r="AM100" i="38"/>
  <c r="AN100" i="38"/>
  <c r="AO100" i="38"/>
  <c r="AP100" i="38"/>
  <c r="AQ100" i="38"/>
  <c r="AR100" i="38"/>
  <c r="AS100" i="38"/>
  <c r="AT100" i="38"/>
  <c r="AU100" i="38"/>
  <c r="AV100" i="38"/>
  <c r="AW100" i="38"/>
  <c r="AX100" i="38"/>
  <c r="AY100" i="38"/>
  <c r="AZ100" i="38"/>
  <c r="BA100" i="38"/>
  <c r="BB100" i="38"/>
  <c r="BC100" i="38"/>
  <c r="BD100" i="38"/>
  <c r="BE100" i="38"/>
  <c r="BF100" i="38"/>
  <c r="BG100" i="38"/>
  <c r="BH100" i="38"/>
  <c r="BI100" i="38"/>
  <c r="BJ100" i="38"/>
  <c r="BK100" i="38"/>
  <c r="BL100" i="38"/>
  <c r="BM100" i="38"/>
  <c r="BN100" i="38"/>
  <c r="BO100" i="38"/>
  <c r="BP100" i="38"/>
  <c r="BQ100" i="38"/>
  <c r="BR100" i="38"/>
  <c r="BS100" i="38"/>
  <c r="BT100" i="38"/>
  <c r="BU100" i="38"/>
  <c r="BV100" i="38"/>
  <c r="BW100" i="38"/>
  <c r="BX100" i="38"/>
  <c r="BY100" i="38"/>
  <c r="BZ100" i="38"/>
  <c r="CA100" i="38"/>
  <c r="CB100" i="38"/>
  <c r="CC100" i="38"/>
  <c r="CD100" i="38"/>
  <c r="CE100" i="38"/>
  <c r="CF100" i="38"/>
  <c r="CG100" i="38"/>
  <c r="CH100" i="38"/>
  <c r="CI100" i="38"/>
  <c r="CJ100" i="38"/>
  <c r="CK100" i="38"/>
  <c r="CL100" i="38"/>
  <c r="CM100" i="38"/>
  <c r="CN100" i="38"/>
  <c r="CO100" i="38"/>
  <c r="CP100" i="38"/>
  <c r="CQ100" i="38"/>
  <c r="CR100" i="38"/>
  <c r="CS100" i="38"/>
  <c r="CT100" i="38"/>
  <c r="CU100" i="38"/>
  <c r="CV100" i="38"/>
  <c r="CW100" i="38"/>
  <c r="CX100" i="38"/>
  <c r="CY100" i="38"/>
  <c r="CZ100" i="38"/>
  <c r="DA100" i="38"/>
  <c r="DB100" i="38"/>
  <c r="DC100" i="38"/>
  <c r="DD100" i="38"/>
  <c r="DE100" i="38"/>
  <c r="DF100" i="38"/>
  <c r="DG100" i="38"/>
  <c r="DH100" i="38"/>
  <c r="DI100" i="38"/>
  <c r="DJ100" i="38"/>
  <c r="DK100" i="38"/>
  <c r="DL100" i="38"/>
  <c r="DM100" i="38"/>
  <c r="DN100" i="38"/>
  <c r="DO100" i="38"/>
  <c r="DP100" i="38"/>
  <c r="DQ100" i="38"/>
  <c r="DR100" i="38"/>
  <c r="DS100" i="38"/>
  <c r="DT100" i="38"/>
  <c r="DU100" i="38"/>
  <c r="DV100" i="38"/>
  <c r="DW100" i="38"/>
  <c r="DX100" i="38"/>
  <c r="DY100" i="38"/>
  <c r="DZ100" i="38"/>
  <c r="EA100" i="38"/>
  <c r="EB100" i="38"/>
  <c r="EC100" i="38"/>
  <c r="ED100" i="38"/>
  <c r="EE100" i="38"/>
  <c r="EF100" i="38"/>
  <c r="EG100" i="38"/>
  <c r="EH100" i="38"/>
  <c r="EI100" i="38"/>
  <c r="EJ100" i="38"/>
  <c r="EK100" i="38"/>
  <c r="EL100" i="38"/>
  <c r="EM100" i="38"/>
  <c r="EN100" i="38"/>
  <c r="EO100" i="38"/>
  <c r="EP100" i="38"/>
  <c r="EQ100" i="38"/>
  <c r="ER100" i="38"/>
  <c r="ES100" i="38"/>
  <c r="ET100" i="38"/>
  <c r="EU100" i="38"/>
  <c r="EV100" i="38"/>
  <c r="EW100" i="38"/>
  <c r="EX100" i="38"/>
  <c r="EY100" i="38"/>
  <c r="EZ100" i="38"/>
  <c r="Z101" i="38"/>
  <c r="AA101" i="38"/>
  <c r="AB101" i="38"/>
  <c r="AC101" i="38"/>
  <c r="AD101" i="38"/>
  <c r="AE101" i="38"/>
  <c r="AF101" i="38"/>
  <c r="AG101" i="38"/>
  <c r="AH101" i="38"/>
  <c r="AI101" i="38"/>
  <c r="AJ101" i="38"/>
  <c r="AK101" i="38"/>
  <c r="AL101" i="38"/>
  <c r="AM101" i="38"/>
  <c r="AN101" i="38"/>
  <c r="AO101" i="38"/>
  <c r="AP101" i="38"/>
  <c r="AQ101" i="38"/>
  <c r="AR101" i="38"/>
  <c r="AS101" i="38"/>
  <c r="AT101" i="38"/>
  <c r="AU101" i="38"/>
  <c r="AV101" i="38"/>
  <c r="AW101" i="38"/>
  <c r="AX101" i="38"/>
  <c r="AY101" i="38"/>
  <c r="AZ101" i="38"/>
  <c r="BA101" i="38"/>
  <c r="BB101" i="38"/>
  <c r="BC101" i="38"/>
  <c r="BD101" i="38"/>
  <c r="BE101" i="38"/>
  <c r="BF101" i="38"/>
  <c r="BG101" i="38"/>
  <c r="BH101" i="38"/>
  <c r="BI101" i="38"/>
  <c r="BJ101" i="38"/>
  <c r="BK101" i="38"/>
  <c r="BL101" i="38"/>
  <c r="BM101" i="38"/>
  <c r="BN101" i="38"/>
  <c r="BO101" i="38"/>
  <c r="BP101" i="38"/>
  <c r="BQ101" i="38"/>
  <c r="BR101" i="38"/>
  <c r="BS101" i="38"/>
  <c r="BT101" i="38"/>
  <c r="BU101" i="38"/>
  <c r="BV101" i="38"/>
  <c r="BW101" i="38"/>
  <c r="BX101" i="38"/>
  <c r="BY101" i="38"/>
  <c r="BZ101" i="38"/>
  <c r="CA101" i="38"/>
  <c r="CB101" i="38"/>
  <c r="CC101" i="38"/>
  <c r="CD101" i="38"/>
  <c r="CE101" i="38"/>
  <c r="CF101" i="38"/>
  <c r="CG101" i="38"/>
  <c r="CH101" i="38"/>
  <c r="CI101" i="38"/>
  <c r="CJ101" i="38"/>
  <c r="CK101" i="38"/>
  <c r="CL101" i="38"/>
  <c r="CM101" i="38"/>
  <c r="CN101" i="38"/>
  <c r="CO101" i="38"/>
  <c r="CP101" i="38"/>
  <c r="CQ101" i="38"/>
  <c r="CR101" i="38"/>
  <c r="CS101" i="38"/>
  <c r="CT101" i="38"/>
  <c r="CU101" i="38"/>
  <c r="CV101" i="38"/>
  <c r="CW101" i="38"/>
  <c r="CX101" i="38"/>
  <c r="CY101" i="38"/>
  <c r="CZ101" i="38"/>
  <c r="DA101" i="38"/>
  <c r="DB101" i="38"/>
  <c r="DC101" i="38"/>
  <c r="DD101" i="38"/>
  <c r="DE101" i="38"/>
  <c r="DF101" i="38"/>
  <c r="DG101" i="38"/>
  <c r="DH101" i="38"/>
  <c r="DI101" i="38"/>
  <c r="DJ101" i="38"/>
  <c r="DK101" i="38"/>
  <c r="DL101" i="38"/>
  <c r="DM101" i="38"/>
  <c r="DN101" i="38"/>
  <c r="DO101" i="38"/>
  <c r="DP101" i="38"/>
  <c r="DQ101" i="38"/>
  <c r="DR101" i="38"/>
  <c r="DS101" i="38"/>
  <c r="DT101" i="38"/>
  <c r="DU101" i="38"/>
  <c r="DV101" i="38"/>
  <c r="DW101" i="38"/>
  <c r="DX101" i="38"/>
  <c r="DY101" i="38"/>
  <c r="DZ101" i="38"/>
  <c r="EA101" i="38"/>
  <c r="EB101" i="38"/>
  <c r="EC101" i="38"/>
  <c r="ED101" i="38"/>
  <c r="EE101" i="38"/>
  <c r="EF101" i="38"/>
  <c r="EG101" i="38"/>
  <c r="EH101" i="38"/>
  <c r="EI101" i="38"/>
  <c r="EJ101" i="38"/>
  <c r="EK101" i="38"/>
  <c r="EL101" i="38"/>
  <c r="EM101" i="38"/>
  <c r="EN101" i="38"/>
  <c r="EO101" i="38"/>
  <c r="EP101" i="38"/>
  <c r="EQ101" i="38"/>
  <c r="ER101" i="38"/>
  <c r="ES101" i="38"/>
  <c r="ET101" i="38"/>
  <c r="EU101" i="38"/>
  <c r="EV101" i="38"/>
  <c r="EW101" i="38"/>
  <c r="EX101" i="38"/>
  <c r="EY101" i="38"/>
  <c r="EZ101" i="38"/>
  <c r="Z102" i="38"/>
  <c r="AA102" i="38"/>
  <c r="AB102" i="38"/>
  <c r="AC102" i="38"/>
  <c r="AD102" i="38"/>
  <c r="AE102" i="38"/>
  <c r="AF102" i="38"/>
  <c r="AG102" i="38"/>
  <c r="AH102" i="38"/>
  <c r="AI102" i="38"/>
  <c r="AJ102" i="38"/>
  <c r="AK102" i="38"/>
  <c r="AL102" i="38"/>
  <c r="AM102" i="38"/>
  <c r="AN102" i="38"/>
  <c r="AO102" i="38"/>
  <c r="AP102" i="38"/>
  <c r="AQ102" i="38"/>
  <c r="AR102" i="38"/>
  <c r="AS102" i="38"/>
  <c r="AT102" i="38"/>
  <c r="AU102" i="38"/>
  <c r="AV102" i="38"/>
  <c r="AW102" i="38"/>
  <c r="AX102" i="38"/>
  <c r="AY102" i="38"/>
  <c r="AZ102" i="38"/>
  <c r="BA102" i="38"/>
  <c r="BB102" i="38"/>
  <c r="BC102" i="38"/>
  <c r="BD102" i="38"/>
  <c r="BE102" i="38"/>
  <c r="BF102" i="38"/>
  <c r="BG102" i="38"/>
  <c r="BH102" i="38"/>
  <c r="BI102" i="38"/>
  <c r="BJ102" i="38"/>
  <c r="BK102" i="38"/>
  <c r="BL102" i="38"/>
  <c r="BM102" i="38"/>
  <c r="BN102" i="38"/>
  <c r="BO102" i="38"/>
  <c r="BP102" i="38"/>
  <c r="BQ102" i="38"/>
  <c r="BR102" i="38"/>
  <c r="BS102" i="38"/>
  <c r="BT102" i="38"/>
  <c r="BU102" i="38"/>
  <c r="BV102" i="38"/>
  <c r="BW102" i="38"/>
  <c r="BX102" i="38"/>
  <c r="BY102" i="38"/>
  <c r="BZ102" i="38"/>
  <c r="CA102" i="38"/>
  <c r="CB102" i="38"/>
  <c r="CC102" i="38"/>
  <c r="CD102" i="38"/>
  <c r="CE102" i="38"/>
  <c r="CF102" i="38"/>
  <c r="CG102" i="38"/>
  <c r="CH102" i="38"/>
  <c r="CI102" i="38"/>
  <c r="CJ102" i="38"/>
  <c r="CK102" i="38"/>
  <c r="CL102" i="38"/>
  <c r="CM102" i="38"/>
  <c r="CN102" i="38"/>
  <c r="CO102" i="38"/>
  <c r="CP102" i="38"/>
  <c r="CQ102" i="38"/>
  <c r="CR102" i="38"/>
  <c r="CS102" i="38"/>
  <c r="CT102" i="38"/>
  <c r="CU102" i="38"/>
  <c r="CV102" i="38"/>
  <c r="CW102" i="38"/>
  <c r="CX102" i="38"/>
  <c r="CY102" i="38"/>
  <c r="CZ102" i="38"/>
  <c r="DA102" i="38"/>
  <c r="DB102" i="38"/>
  <c r="DC102" i="38"/>
  <c r="DD102" i="38"/>
  <c r="DE102" i="38"/>
  <c r="DF102" i="38"/>
  <c r="DG102" i="38"/>
  <c r="DH102" i="38"/>
  <c r="DI102" i="38"/>
  <c r="DJ102" i="38"/>
  <c r="DK102" i="38"/>
  <c r="DL102" i="38"/>
  <c r="DM102" i="38"/>
  <c r="DN102" i="38"/>
  <c r="DO102" i="38"/>
  <c r="DP102" i="38"/>
  <c r="DQ102" i="38"/>
  <c r="DR102" i="38"/>
  <c r="DS102" i="38"/>
  <c r="DT102" i="38"/>
  <c r="DU102" i="38"/>
  <c r="DV102" i="38"/>
  <c r="DW102" i="38"/>
  <c r="DX102" i="38"/>
  <c r="DY102" i="38"/>
  <c r="DZ102" i="38"/>
  <c r="EA102" i="38"/>
  <c r="EB102" i="38"/>
  <c r="EC102" i="38"/>
  <c r="ED102" i="38"/>
  <c r="EE102" i="38"/>
  <c r="EF102" i="38"/>
  <c r="EG102" i="38"/>
  <c r="EH102" i="38"/>
  <c r="EI102" i="38"/>
  <c r="EJ102" i="38"/>
  <c r="EK102" i="38"/>
  <c r="EL102" i="38"/>
  <c r="EM102" i="38"/>
  <c r="EN102" i="38"/>
  <c r="EO102" i="38"/>
  <c r="EP102" i="38"/>
  <c r="EQ102" i="38"/>
  <c r="ER102" i="38"/>
  <c r="ES102" i="38"/>
  <c r="ET102" i="38"/>
  <c r="EU102" i="38"/>
  <c r="EV102" i="38"/>
  <c r="EW102" i="38"/>
  <c r="EX102" i="38"/>
  <c r="EY102" i="38"/>
  <c r="EZ102" i="38"/>
  <c r="AZ103" i="38"/>
  <c r="BA103" i="38"/>
  <c r="BB103" i="38"/>
  <c r="BC103" i="38"/>
  <c r="BD103" i="38"/>
  <c r="BE103" i="38"/>
  <c r="BF103" i="38"/>
  <c r="BG103" i="38"/>
  <c r="BH103" i="38"/>
  <c r="BI103" i="38"/>
  <c r="BJ103" i="38"/>
  <c r="BK103" i="38"/>
  <c r="BL103" i="38"/>
  <c r="BM103" i="38"/>
  <c r="BN103" i="38"/>
  <c r="BO103" i="38"/>
  <c r="BP103" i="38"/>
  <c r="BQ103" i="38"/>
  <c r="BR103" i="38"/>
  <c r="BS103" i="38"/>
  <c r="BT103" i="38"/>
  <c r="BU103" i="38"/>
  <c r="BV103" i="38"/>
  <c r="BW103" i="38"/>
  <c r="BX103" i="38"/>
  <c r="BY103" i="38"/>
  <c r="BZ103" i="38"/>
  <c r="CA103" i="38"/>
  <c r="CB103" i="38"/>
  <c r="CC103" i="38"/>
  <c r="CD103" i="38"/>
  <c r="CE103" i="38"/>
  <c r="CF103" i="38"/>
  <c r="CG103" i="38"/>
  <c r="CH103" i="38"/>
  <c r="CI103" i="38"/>
  <c r="CJ103" i="38"/>
  <c r="CK103" i="38"/>
  <c r="CL103" i="38"/>
  <c r="CM103" i="38"/>
  <c r="CN103" i="38"/>
  <c r="CO103" i="38"/>
  <c r="CP103" i="38"/>
  <c r="CQ103" i="38"/>
  <c r="CR103" i="38"/>
  <c r="CS103" i="38"/>
  <c r="CT103" i="38"/>
  <c r="CU103" i="38"/>
  <c r="CV103" i="38"/>
  <c r="CW103" i="38"/>
  <c r="CX103" i="38"/>
  <c r="CY103" i="38"/>
  <c r="CZ103" i="38"/>
  <c r="DA103" i="38"/>
  <c r="DB103" i="38"/>
  <c r="DC103" i="38"/>
  <c r="DD103" i="38"/>
  <c r="DE103" i="38"/>
  <c r="DF103" i="38"/>
  <c r="DG103" i="38"/>
  <c r="DH103" i="38"/>
  <c r="DI103" i="38"/>
  <c r="DJ103" i="38"/>
  <c r="DK103" i="38"/>
  <c r="DL103" i="38"/>
  <c r="DM103" i="38"/>
  <c r="DN103" i="38"/>
  <c r="DO103" i="38"/>
  <c r="DP103" i="38"/>
  <c r="DQ103" i="38"/>
  <c r="DR103" i="38"/>
  <c r="DS103" i="38"/>
  <c r="DT103" i="38"/>
  <c r="DU103" i="38"/>
  <c r="DV103" i="38"/>
  <c r="DW103" i="38"/>
  <c r="DX103" i="38"/>
  <c r="DY103" i="38"/>
  <c r="DZ103" i="38"/>
  <c r="EA103" i="38"/>
  <c r="EB103" i="38"/>
  <c r="EC103" i="38"/>
  <c r="ED103" i="38"/>
  <c r="EE103" i="38"/>
  <c r="EF103" i="38"/>
  <c r="EG103" i="38"/>
  <c r="EH103" i="38"/>
  <c r="EI103" i="38"/>
  <c r="EJ103" i="38"/>
  <c r="EK103" i="38"/>
  <c r="EL103" i="38"/>
  <c r="EM103" i="38"/>
  <c r="EN103" i="38"/>
  <c r="EO103" i="38"/>
  <c r="EP103" i="38"/>
  <c r="EQ103" i="38"/>
  <c r="ER103" i="38"/>
  <c r="ES103" i="38"/>
  <c r="ET103" i="38"/>
  <c r="EU103" i="38"/>
  <c r="EV103" i="38"/>
  <c r="EW103" i="38"/>
  <c r="EX103" i="38"/>
  <c r="EY103" i="38"/>
  <c r="EZ103" i="38"/>
  <c r="Y99" i="38"/>
  <c r="Y100" i="38"/>
  <c r="Y101" i="38"/>
  <c r="Y102" i="38"/>
  <c r="Y98" i="38"/>
  <c r="Z65" i="38"/>
  <c r="AA65" i="38"/>
  <c r="AB65" i="38"/>
  <c r="AC65" i="38"/>
  <c r="AD65" i="38"/>
  <c r="AE65" i="38"/>
  <c r="AF65" i="38"/>
  <c r="AG65" i="38"/>
  <c r="AH65" i="38"/>
  <c r="AI65" i="38"/>
  <c r="AJ65" i="38"/>
  <c r="AK65" i="38"/>
  <c r="AL65" i="38"/>
  <c r="AM65" i="38"/>
  <c r="AN65" i="38"/>
  <c r="AO65" i="38"/>
  <c r="AP65" i="38"/>
  <c r="AQ65" i="38"/>
  <c r="AR65" i="38"/>
  <c r="AS65" i="38"/>
  <c r="AT65" i="38"/>
  <c r="AU65" i="38"/>
  <c r="AV65" i="38"/>
  <c r="AW65" i="38"/>
  <c r="AX65" i="38"/>
  <c r="AY65" i="38"/>
  <c r="AZ65" i="38"/>
  <c r="BA65" i="38"/>
  <c r="BB65" i="38"/>
  <c r="BC65" i="38"/>
  <c r="BD65" i="38"/>
  <c r="BE65" i="38"/>
  <c r="BF65" i="38"/>
  <c r="BG65" i="38"/>
  <c r="BH65" i="38"/>
  <c r="BI65" i="38"/>
  <c r="BJ65" i="38"/>
  <c r="BK65" i="38"/>
  <c r="BL65" i="38"/>
  <c r="BM65" i="38"/>
  <c r="BN65" i="38"/>
  <c r="BO65" i="38"/>
  <c r="BP65" i="38"/>
  <c r="BQ65" i="38"/>
  <c r="BR65" i="38"/>
  <c r="BS65" i="38"/>
  <c r="BT65" i="38"/>
  <c r="BU65" i="38"/>
  <c r="BV65" i="38"/>
  <c r="BW65" i="38"/>
  <c r="BX65" i="38"/>
  <c r="BY65" i="38"/>
  <c r="BZ65" i="38"/>
  <c r="CA65" i="38"/>
  <c r="CB65" i="38"/>
  <c r="CC65" i="38"/>
  <c r="CD65" i="38"/>
  <c r="CE65" i="38"/>
  <c r="CF65" i="38"/>
  <c r="CG65" i="38"/>
  <c r="CH65" i="38"/>
  <c r="CI65" i="38"/>
  <c r="CJ65" i="38"/>
  <c r="CK65" i="38"/>
  <c r="CL65" i="38"/>
  <c r="CM65" i="38"/>
  <c r="CN65" i="38"/>
  <c r="CO65" i="38"/>
  <c r="CP65" i="38"/>
  <c r="CQ65" i="38"/>
  <c r="CR65" i="38"/>
  <c r="CS65" i="38"/>
  <c r="CT65" i="38"/>
  <c r="CU65" i="38"/>
  <c r="CV65" i="38"/>
  <c r="CW65" i="38"/>
  <c r="CX65" i="38"/>
  <c r="CY65" i="38"/>
  <c r="CZ65" i="38"/>
  <c r="DA65" i="38"/>
  <c r="DB65" i="38"/>
  <c r="DC65" i="38"/>
  <c r="DD65" i="38"/>
  <c r="DE65" i="38"/>
  <c r="DF65" i="38"/>
  <c r="DG65" i="38"/>
  <c r="DH65" i="38"/>
  <c r="DI65" i="38"/>
  <c r="DJ65" i="38"/>
  <c r="DK65" i="38"/>
  <c r="DL65" i="38"/>
  <c r="DM65" i="38"/>
  <c r="DN65" i="38"/>
  <c r="DO65" i="38"/>
  <c r="DP65" i="38"/>
  <c r="DQ65" i="38"/>
  <c r="DR65" i="38"/>
  <c r="DS65" i="38"/>
  <c r="DT65" i="38"/>
  <c r="DU65" i="38"/>
  <c r="DV65" i="38"/>
  <c r="DW65" i="38"/>
  <c r="DX65" i="38"/>
  <c r="DY65" i="38"/>
  <c r="DZ65" i="38"/>
  <c r="EA65" i="38"/>
  <c r="EB65" i="38"/>
  <c r="EC65" i="38"/>
  <c r="ED65" i="38"/>
  <c r="EE65" i="38"/>
  <c r="EF65" i="38"/>
  <c r="EG65" i="38"/>
  <c r="EH65" i="38"/>
  <c r="EI65" i="38"/>
  <c r="EJ65" i="38"/>
  <c r="EK65" i="38"/>
  <c r="EL65" i="38"/>
  <c r="EM65" i="38"/>
  <c r="EN65" i="38"/>
  <c r="EO65" i="38"/>
  <c r="EP65" i="38"/>
  <c r="EQ65" i="38"/>
  <c r="ER65" i="38"/>
  <c r="ES65" i="38"/>
  <c r="ET65" i="38"/>
  <c r="EU65" i="38"/>
  <c r="EV65" i="38"/>
  <c r="EW65" i="38"/>
  <c r="EX65" i="38"/>
  <c r="EY65" i="38"/>
  <c r="EZ65" i="38"/>
  <c r="Z66" i="38"/>
  <c r="AA66" i="38"/>
  <c r="AB66" i="38"/>
  <c r="AC66" i="38"/>
  <c r="AD66" i="38"/>
  <c r="AE66" i="38"/>
  <c r="AF66" i="38"/>
  <c r="AG66" i="38"/>
  <c r="AH66" i="38"/>
  <c r="AI66" i="38"/>
  <c r="AJ66" i="38"/>
  <c r="AK66" i="38"/>
  <c r="AL66" i="38"/>
  <c r="AM66" i="38"/>
  <c r="AN66" i="38"/>
  <c r="AO66" i="38"/>
  <c r="AP66" i="38"/>
  <c r="AQ66" i="38"/>
  <c r="AR66" i="38"/>
  <c r="AS66" i="38"/>
  <c r="AT66" i="38"/>
  <c r="AU66" i="38"/>
  <c r="AV66" i="38"/>
  <c r="AW66" i="38"/>
  <c r="AX66" i="38"/>
  <c r="AY66" i="38"/>
  <c r="AZ66" i="38"/>
  <c r="BA66" i="38"/>
  <c r="BB66" i="38"/>
  <c r="BC66" i="38"/>
  <c r="BD66" i="38"/>
  <c r="BE66" i="38"/>
  <c r="BF66" i="38"/>
  <c r="BG66" i="38"/>
  <c r="BH66" i="38"/>
  <c r="BI66" i="38"/>
  <c r="BJ66" i="38"/>
  <c r="BK66" i="38"/>
  <c r="BL66" i="38"/>
  <c r="BM66" i="38"/>
  <c r="BN66" i="38"/>
  <c r="BO66" i="38"/>
  <c r="BP66" i="38"/>
  <c r="BQ66" i="38"/>
  <c r="BR66" i="38"/>
  <c r="BS66" i="38"/>
  <c r="BT66" i="38"/>
  <c r="BU66" i="38"/>
  <c r="BV66" i="38"/>
  <c r="BW66" i="38"/>
  <c r="BX66" i="38"/>
  <c r="BY66" i="38"/>
  <c r="BZ66" i="38"/>
  <c r="CA66" i="38"/>
  <c r="CB66" i="38"/>
  <c r="CC66" i="38"/>
  <c r="CD66" i="38"/>
  <c r="CE66" i="38"/>
  <c r="CF66" i="38"/>
  <c r="CG66" i="38"/>
  <c r="CH66" i="38"/>
  <c r="CI66" i="38"/>
  <c r="CJ66" i="38"/>
  <c r="CK66" i="38"/>
  <c r="CL66" i="38"/>
  <c r="CM66" i="38"/>
  <c r="CN66" i="38"/>
  <c r="CO66" i="38"/>
  <c r="CP66" i="38"/>
  <c r="CQ66" i="38"/>
  <c r="CR66" i="38"/>
  <c r="CS66" i="38"/>
  <c r="CT66" i="38"/>
  <c r="CU66" i="38"/>
  <c r="CV66" i="38"/>
  <c r="CW66" i="38"/>
  <c r="CX66" i="38"/>
  <c r="CY66" i="38"/>
  <c r="CZ66" i="38"/>
  <c r="DA66" i="38"/>
  <c r="DB66" i="38"/>
  <c r="DC66" i="38"/>
  <c r="DD66" i="38"/>
  <c r="DE66" i="38"/>
  <c r="DF66" i="38"/>
  <c r="DG66" i="38"/>
  <c r="DH66" i="38"/>
  <c r="DI66" i="38"/>
  <c r="DJ66" i="38"/>
  <c r="DK66" i="38"/>
  <c r="DL66" i="38"/>
  <c r="DM66" i="38"/>
  <c r="DN66" i="38"/>
  <c r="DO66" i="38"/>
  <c r="DP66" i="38"/>
  <c r="DQ66" i="38"/>
  <c r="DR66" i="38"/>
  <c r="DS66" i="38"/>
  <c r="DT66" i="38"/>
  <c r="DU66" i="38"/>
  <c r="DV66" i="38"/>
  <c r="DW66" i="38"/>
  <c r="DX66" i="38"/>
  <c r="DY66" i="38"/>
  <c r="DZ66" i="38"/>
  <c r="EA66" i="38"/>
  <c r="EB66" i="38"/>
  <c r="EC66" i="38"/>
  <c r="ED66" i="38"/>
  <c r="EE66" i="38"/>
  <c r="EF66" i="38"/>
  <c r="EG66" i="38"/>
  <c r="EH66" i="38"/>
  <c r="EI66" i="38"/>
  <c r="EJ66" i="38"/>
  <c r="EK66" i="38"/>
  <c r="EL66" i="38"/>
  <c r="EM66" i="38"/>
  <c r="EN66" i="38"/>
  <c r="EO66" i="38"/>
  <c r="EP66" i="38"/>
  <c r="EQ66" i="38"/>
  <c r="ER66" i="38"/>
  <c r="ES66" i="38"/>
  <c r="ET66" i="38"/>
  <c r="EU66" i="38"/>
  <c r="EV66" i="38"/>
  <c r="EW66" i="38"/>
  <c r="EX66" i="38"/>
  <c r="EY66" i="38"/>
  <c r="EZ66" i="38"/>
  <c r="Z67" i="38"/>
  <c r="AA67" i="38"/>
  <c r="AB67" i="38"/>
  <c r="AC67" i="38"/>
  <c r="AD67" i="38"/>
  <c r="AE67" i="38"/>
  <c r="AF67" i="38"/>
  <c r="AG67" i="38"/>
  <c r="AH67" i="38"/>
  <c r="AI67" i="38"/>
  <c r="AJ67" i="38"/>
  <c r="AK67" i="38"/>
  <c r="AL67" i="38"/>
  <c r="AM67" i="38"/>
  <c r="AN67" i="38"/>
  <c r="AO67" i="38"/>
  <c r="AP67" i="38"/>
  <c r="AQ67" i="38"/>
  <c r="AR67" i="38"/>
  <c r="AS67" i="38"/>
  <c r="AT67" i="38"/>
  <c r="AU67" i="38"/>
  <c r="AV67" i="38"/>
  <c r="AW67" i="38"/>
  <c r="AX67" i="38"/>
  <c r="AY67" i="38"/>
  <c r="AZ67" i="38"/>
  <c r="BA67" i="38"/>
  <c r="BB67" i="38"/>
  <c r="BC67" i="38"/>
  <c r="BD67" i="38"/>
  <c r="BE67" i="38"/>
  <c r="BF67" i="38"/>
  <c r="BG67" i="38"/>
  <c r="BH67" i="38"/>
  <c r="BI67" i="38"/>
  <c r="BJ67" i="38"/>
  <c r="BK67" i="38"/>
  <c r="BL67" i="38"/>
  <c r="BM67" i="38"/>
  <c r="BN67" i="38"/>
  <c r="BO67" i="38"/>
  <c r="BP67" i="38"/>
  <c r="BQ67" i="38"/>
  <c r="BR67" i="38"/>
  <c r="BS67" i="38"/>
  <c r="BT67" i="38"/>
  <c r="BU67" i="38"/>
  <c r="BV67" i="38"/>
  <c r="BW67" i="38"/>
  <c r="BX67" i="38"/>
  <c r="BY67" i="38"/>
  <c r="BZ67" i="38"/>
  <c r="CA67" i="38"/>
  <c r="CB67" i="38"/>
  <c r="CC67" i="38"/>
  <c r="CD67" i="38"/>
  <c r="CE67" i="38"/>
  <c r="CF67" i="38"/>
  <c r="CG67" i="38"/>
  <c r="CH67" i="38"/>
  <c r="CI67" i="38"/>
  <c r="CJ67" i="38"/>
  <c r="CK67" i="38"/>
  <c r="CL67" i="38"/>
  <c r="CM67" i="38"/>
  <c r="CN67" i="38"/>
  <c r="CO67" i="38"/>
  <c r="CP67" i="38"/>
  <c r="CQ67" i="38"/>
  <c r="CR67" i="38"/>
  <c r="CS67" i="38"/>
  <c r="CT67" i="38"/>
  <c r="CU67" i="38"/>
  <c r="CV67" i="38"/>
  <c r="CW67" i="38"/>
  <c r="CX67" i="38"/>
  <c r="CY67" i="38"/>
  <c r="CZ67" i="38"/>
  <c r="DA67" i="38"/>
  <c r="DB67" i="38"/>
  <c r="DC67" i="38"/>
  <c r="DD67" i="38"/>
  <c r="DE67" i="38"/>
  <c r="DF67" i="38"/>
  <c r="DG67" i="38"/>
  <c r="DH67" i="38"/>
  <c r="DI67" i="38"/>
  <c r="DJ67" i="38"/>
  <c r="DK67" i="38"/>
  <c r="DL67" i="38"/>
  <c r="DM67" i="38"/>
  <c r="DN67" i="38"/>
  <c r="DO67" i="38"/>
  <c r="DP67" i="38"/>
  <c r="DQ67" i="38"/>
  <c r="DR67" i="38"/>
  <c r="DS67" i="38"/>
  <c r="DT67" i="38"/>
  <c r="DU67" i="38"/>
  <c r="DV67" i="38"/>
  <c r="DW67" i="38"/>
  <c r="DX67" i="38"/>
  <c r="DY67" i="38"/>
  <c r="DZ67" i="38"/>
  <c r="EA67" i="38"/>
  <c r="EB67" i="38"/>
  <c r="EC67" i="38"/>
  <c r="ED67" i="38"/>
  <c r="EE67" i="38"/>
  <c r="EF67" i="38"/>
  <c r="EG67" i="38"/>
  <c r="EH67" i="38"/>
  <c r="EI67" i="38"/>
  <c r="EJ67" i="38"/>
  <c r="EK67" i="38"/>
  <c r="EL67" i="38"/>
  <c r="EM67" i="38"/>
  <c r="EN67" i="38"/>
  <c r="EO67" i="38"/>
  <c r="EP67" i="38"/>
  <c r="EQ67" i="38"/>
  <c r="ER67" i="38"/>
  <c r="ES67" i="38"/>
  <c r="ET67" i="38"/>
  <c r="EU67" i="38"/>
  <c r="EV67" i="38"/>
  <c r="EW67" i="38"/>
  <c r="EX67" i="38"/>
  <c r="EY67" i="38"/>
  <c r="EZ67" i="38"/>
  <c r="Z68" i="38"/>
  <c r="AA68" i="38"/>
  <c r="AB68" i="38"/>
  <c r="AC68" i="38"/>
  <c r="AD68" i="38"/>
  <c r="AE68" i="38"/>
  <c r="AF68" i="38"/>
  <c r="AG68" i="38"/>
  <c r="AH68" i="38"/>
  <c r="AI68" i="38"/>
  <c r="AJ68" i="38"/>
  <c r="AK68" i="38"/>
  <c r="AL68" i="38"/>
  <c r="AM68" i="38"/>
  <c r="AN68" i="38"/>
  <c r="AO68" i="38"/>
  <c r="AP68" i="38"/>
  <c r="AQ68" i="38"/>
  <c r="AR68" i="38"/>
  <c r="AS68" i="38"/>
  <c r="AT68" i="38"/>
  <c r="AU68" i="38"/>
  <c r="AV68" i="38"/>
  <c r="AW68" i="38"/>
  <c r="AX68" i="38"/>
  <c r="AY68" i="38"/>
  <c r="AZ68" i="38"/>
  <c r="BA68" i="38"/>
  <c r="BB68" i="38"/>
  <c r="BC68" i="38"/>
  <c r="BD68" i="38"/>
  <c r="BE68" i="38"/>
  <c r="BF68" i="38"/>
  <c r="BG68" i="38"/>
  <c r="BH68" i="38"/>
  <c r="BI68" i="38"/>
  <c r="BJ68" i="38"/>
  <c r="BK68" i="38"/>
  <c r="BL68" i="38"/>
  <c r="BM68" i="38"/>
  <c r="BN68" i="38"/>
  <c r="BO68" i="38"/>
  <c r="BP68" i="38"/>
  <c r="BQ68" i="38"/>
  <c r="BR68" i="38"/>
  <c r="BS68" i="38"/>
  <c r="BT68" i="38"/>
  <c r="BU68" i="38"/>
  <c r="BV68" i="38"/>
  <c r="BW68" i="38"/>
  <c r="BX68" i="38"/>
  <c r="BY68" i="38"/>
  <c r="BZ68" i="38"/>
  <c r="CA68" i="38"/>
  <c r="CB68" i="38"/>
  <c r="CC68" i="38"/>
  <c r="CD68" i="38"/>
  <c r="CE68" i="38"/>
  <c r="CF68" i="38"/>
  <c r="CG68" i="38"/>
  <c r="CH68" i="38"/>
  <c r="CI68" i="38"/>
  <c r="CJ68" i="38"/>
  <c r="CK68" i="38"/>
  <c r="CL68" i="38"/>
  <c r="CM68" i="38"/>
  <c r="CN68" i="38"/>
  <c r="CO68" i="38"/>
  <c r="CP68" i="38"/>
  <c r="CQ68" i="38"/>
  <c r="CR68" i="38"/>
  <c r="CS68" i="38"/>
  <c r="CT68" i="38"/>
  <c r="CU68" i="38"/>
  <c r="CV68" i="38"/>
  <c r="CW68" i="38"/>
  <c r="CX68" i="38"/>
  <c r="CY68" i="38"/>
  <c r="CZ68" i="38"/>
  <c r="DA68" i="38"/>
  <c r="DB68" i="38"/>
  <c r="DC68" i="38"/>
  <c r="DD68" i="38"/>
  <c r="DE68" i="38"/>
  <c r="DF68" i="38"/>
  <c r="DG68" i="38"/>
  <c r="DH68" i="38"/>
  <c r="DI68" i="38"/>
  <c r="DJ68" i="38"/>
  <c r="DK68" i="38"/>
  <c r="DL68" i="38"/>
  <c r="DM68" i="38"/>
  <c r="DN68" i="38"/>
  <c r="DO68" i="38"/>
  <c r="DP68" i="38"/>
  <c r="DQ68" i="38"/>
  <c r="DR68" i="38"/>
  <c r="DS68" i="38"/>
  <c r="DT68" i="38"/>
  <c r="DU68" i="38"/>
  <c r="DV68" i="38"/>
  <c r="DW68" i="38"/>
  <c r="DX68" i="38"/>
  <c r="DY68" i="38"/>
  <c r="DZ68" i="38"/>
  <c r="EA68" i="38"/>
  <c r="EB68" i="38"/>
  <c r="EC68" i="38"/>
  <c r="ED68" i="38"/>
  <c r="EE68" i="38"/>
  <c r="EF68" i="38"/>
  <c r="EG68" i="38"/>
  <c r="EH68" i="38"/>
  <c r="EI68" i="38"/>
  <c r="EJ68" i="38"/>
  <c r="EK68" i="38"/>
  <c r="EL68" i="38"/>
  <c r="EM68" i="38"/>
  <c r="EN68" i="38"/>
  <c r="EO68" i="38"/>
  <c r="EP68" i="38"/>
  <c r="EQ68" i="38"/>
  <c r="ER68" i="38"/>
  <c r="ES68" i="38"/>
  <c r="ET68" i="38"/>
  <c r="EU68" i="38"/>
  <c r="EV68" i="38"/>
  <c r="EW68" i="38"/>
  <c r="EX68" i="38"/>
  <c r="EY68" i="38"/>
  <c r="EZ68" i="38"/>
  <c r="Z69" i="38"/>
  <c r="AA69" i="38"/>
  <c r="AB69" i="38"/>
  <c r="AC69" i="38"/>
  <c r="AD69" i="38"/>
  <c r="AE69" i="38"/>
  <c r="AF69" i="38"/>
  <c r="AG69" i="38"/>
  <c r="AH69" i="38"/>
  <c r="AI69" i="38"/>
  <c r="AJ69" i="38"/>
  <c r="AK69" i="38"/>
  <c r="AL69" i="38"/>
  <c r="AM69" i="38"/>
  <c r="AN69" i="38"/>
  <c r="AO69" i="38"/>
  <c r="AP69" i="38"/>
  <c r="AQ69" i="38"/>
  <c r="AR69" i="38"/>
  <c r="AS69" i="38"/>
  <c r="AT69" i="38"/>
  <c r="AU69" i="38"/>
  <c r="AV69" i="38"/>
  <c r="AW69" i="38"/>
  <c r="AX69" i="38"/>
  <c r="AY69" i="38"/>
  <c r="AZ69" i="38"/>
  <c r="BA69" i="38"/>
  <c r="BB69" i="38"/>
  <c r="BC69" i="38"/>
  <c r="BD69" i="38"/>
  <c r="BE69" i="38"/>
  <c r="BF69" i="38"/>
  <c r="BG69" i="38"/>
  <c r="BH69" i="38"/>
  <c r="BI69" i="38"/>
  <c r="BJ69" i="38"/>
  <c r="BK69" i="38"/>
  <c r="BL69" i="38"/>
  <c r="BM69" i="38"/>
  <c r="BN69" i="38"/>
  <c r="BO69" i="38"/>
  <c r="BP69" i="38"/>
  <c r="BQ69" i="38"/>
  <c r="BR69" i="38"/>
  <c r="BS69" i="38"/>
  <c r="BT69" i="38"/>
  <c r="BU69" i="38"/>
  <c r="BV69" i="38"/>
  <c r="BW69" i="38"/>
  <c r="BX69" i="38"/>
  <c r="BY69" i="38"/>
  <c r="BZ69" i="38"/>
  <c r="CA69" i="38"/>
  <c r="CB69" i="38"/>
  <c r="CC69" i="38"/>
  <c r="CD69" i="38"/>
  <c r="CE69" i="38"/>
  <c r="CF69" i="38"/>
  <c r="CG69" i="38"/>
  <c r="CH69" i="38"/>
  <c r="CI69" i="38"/>
  <c r="CJ69" i="38"/>
  <c r="CK69" i="38"/>
  <c r="CL69" i="38"/>
  <c r="CM69" i="38"/>
  <c r="CN69" i="38"/>
  <c r="CO69" i="38"/>
  <c r="CP69" i="38"/>
  <c r="CQ69" i="38"/>
  <c r="CR69" i="38"/>
  <c r="CS69" i="38"/>
  <c r="CT69" i="38"/>
  <c r="CU69" i="38"/>
  <c r="CV69" i="38"/>
  <c r="CW69" i="38"/>
  <c r="CX69" i="38"/>
  <c r="CY69" i="38"/>
  <c r="CZ69" i="38"/>
  <c r="DA69" i="38"/>
  <c r="DB69" i="38"/>
  <c r="DC69" i="38"/>
  <c r="DD69" i="38"/>
  <c r="DE69" i="38"/>
  <c r="DF69" i="38"/>
  <c r="DG69" i="38"/>
  <c r="DH69" i="38"/>
  <c r="DI69" i="38"/>
  <c r="DJ69" i="38"/>
  <c r="DK69" i="38"/>
  <c r="DL69" i="38"/>
  <c r="DM69" i="38"/>
  <c r="DN69" i="38"/>
  <c r="DO69" i="38"/>
  <c r="DP69" i="38"/>
  <c r="DQ69" i="38"/>
  <c r="DR69" i="38"/>
  <c r="DS69" i="38"/>
  <c r="DT69" i="38"/>
  <c r="DU69" i="38"/>
  <c r="DV69" i="38"/>
  <c r="DW69" i="38"/>
  <c r="DX69" i="38"/>
  <c r="DY69" i="38"/>
  <c r="DZ69" i="38"/>
  <c r="EA69" i="38"/>
  <c r="EB69" i="38"/>
  <c r="EC69" i="38"/>
  <c r="ED69" i="38"/>
  <c r="EE69" i="38"/>
  <c r="EF69" i="38"/>
  <c r="EG69" i="38"/>
  <c r="EH69" i="38"/>
  <c r="EI69" i="38"/>
  <c r="EJ69" i="38"/>
  <c r="EK69" i="38"/>
  <c r="EL69" i="38"/>
  <c r="EM69" i="38"/>
  <c r="EN69" i="38"/>
  <c r="EO69" i="38"/>
  <c r="EP69" i="38"/>
  <c r="EQ69" i="38"/>
  <c r="ER69" i="38"/>
  <c r="ES69" i="38"/>
  <c r="ET69" i="38"/>
  <c r="EU69" i="38"/>
  <c r="EV69" i="38"/>
  <c r="EW69" i="38"/>
  <c r="EX69" i="38"/>
  <c r="EY69" i="38"/>
  <c r="EZ69" i="38"/>
  <c r="Z70" i="38"/>
  <c r="AA70" i="38"/>
  <c r="AB70" i="38"/>
  <c r="AC70" i="38"/>
  <c r="AD70" i="38"/>
  <c r="AE70" i="38"/>
  <c r="AF70" i="38"/>
  <c r="AG70" i="38"/>
  <c r="AH70" i="38"/>
  <c r="AI70" i="38"/>
  <c r="AJ70" i="38"/>
  <c r="AK70" i="38"/>
  <c r="AL70" i="38"/>
  <c r="AM70" i="38"/>
  <c r="AN70" i="38"/>
  <c r="AO70" i="38"/>
  <c r="AP70" i="38"/>
  <c r="AQ70" i="38"/>
  <c r="AR70" i="38"/>
  <c r="AS70" i="38"/>
  <c r="AT70" i="38"/>
  <c r="AU70" i="38"/>
  <c r="AV70" i="38"/>
  <c r="AW70" i="38"/>
  <c r="AX70" i="38"/>
  <c r="AY70" i="38"/>
  <c r="AZ70" i="38"/>
  <c r="BA70" i="38"/>
  <c r="BB70" i="38"/>
  <c r="BC70" i="38"/>
  <c r="BD70" i="38"/>
  <c r="BE70" i="38"/>
  <c r="BF70" i="38"/>
  <c r="BG70" i="38"/>
  <c r="BH70" i="38"/>
  <c r="BI70" i="38"/>
  <c r="BJ70" i="38"/>
  <c r="BK70" i="38"/>
  <c r="BL70" i="38"/>
  <c r="BM70" i="38"/>
  <c r="BN70" i="38"/>
  <c r="BO70" i="38"/>
  <c r="BP70" i="38"/>
  <c r="BQ70" i="38"/>
  <c r="BR70" i="38"/>
  <c r="BS70" i="38"/>
  <c r="BT70" i="38"/>
  <c r="BU70" i="38"/>
  <c r="BV70" i="38"/>
  <c r="BW70" i="38"/>
  <c r="BX70" i="38"/>
  <c r="BY70" i="38"/>
  <c r="BZ70" i="38"/>
  <c r="CA70" i="38"/>
  <c r="CB70" i="38"/>
  <c r="CC70" i="38"/>
  <c r="CD70" i="38"/>
  <c r="CE70" i="38"/>
  <c r="CF70" i="38"/>
  <c r="CG70" i="38"/>
  <c r="CH70" i="38"/>
  <c r="CI70" i="38"/>
  <c r="CJ70" i="38"/>
  <c r="CK70" i="38"/>
  <c r="CL70" i="38"/>
  <c r="CM70" i="38"/>
  <c r="CN70" i="38"/>
  <c r="CO70" i="38"/>
  <c r="CP70" i="38"/>
  <c r="CQ70" i="38"/>
  <c r="CR70" i="38"/>
  <c r="CS70" i="38"/>
  <c r="CT70" i="38"/>
  <c r="CU70" i="38"/>
  <c r="CV70" i="38"/>
  <c r="CW70" i="38"/>
  <c r="CX70" i="38"/>
  <c r="CY70" i="38"/>
  <c r="CZ70" i="38"/>
  <c r="DA70" i="38"/>
  <c r="DB70" i="38"/>
  <c r="DC70" i="38"/>
  <c r="DD70" i="38"/>
  <c r="DE70" i="38"/>
  <c r="DF70" i="38"/>
  <c r="DG70" i="38"/>
  <c r="DH70" i="38"/>
  <c r="DI70" i="38"/>
  <c r="DJ70" i="38"/>
  <c r="DK70" i="38"/>
  <c r="DL70" i="38"/>
  <c r="DM70" i="38"/>
  <c r="DN70" i="38"/>
  <c r="DO70" i="38"/>
  <c r="DP70" i="38"/>
  <c r="DQ70" i="38"/>
  <c r="DR70" i="38"/>
  <c r="DS70" i="38"/>
  <c r="DT70" i="38"/>
  <c r="DU70" i="38"/>
  <c r="DV70" i="38"/>
  <c r="DW70" i="38"/>
  <c r="DX70" i="38"/>
  <c r="DY70" i="38"/>
  <c r="DZ70" i="38"/>
  <c r="EA70" i="38"/>
  <c r="EB70" i="38"/>
  <c r="EC70" i="38"/>
  <c r="ED70" i="38"/>
  <c r="EE70" i="38"/>
  <c r="EF70" i="38"/>
  <c r="EG70" i="38"/>
  <c r="EH70" i="38"/>
  <c r="EI70" i="38"/>
  <c r="EJ70" i="38"/>
  <c r="EK70" i="38"/>
  <c r="EL70" i="38"/>
  <c r="EM70" i="38"/>
  <c r="EN70" i="38"/>
  <c r="EO70" i="38"/>
  <c r="EP70" i="38"/>
  <c r="EQ70" i="38"/>
  <c r="ER70" i="38"/>
  <c r="ES70" i="38"/>
  <c r="ET70" i="38"/>
  <c r="EU70" i="38"/>
  <c r="EV70" i="38"/>
  <c r="EW70" i="38"/>
  <c r="EX70" i="38"/>
  <c r="EY70" i="38"/>
  <c r="EZ70" i="38"/>
  <c r="Z71" i="38"/>
  <c r="AA71" i="38"/>
  <c r="AB71" i="38"/>
  <c r="AC71" i="38"/>
  <c r="AD71" i="38"/>
  <c r="AE71" i="38"/>
  <c r="AF71" i="38"/>
  <c r="AG71" i="38"/>
  <c r="AH71" i="38"/>
  <c r="AI71" i="38"/>
  <c r="AJ71" i="38"/>
  <c r="AK71" i="38"/>
  <c r="AL71" i="38"/>
  <c r="AM71" i="38"/>
  <c r="AN71" i="38"/>
  <c r="AO71" i="38"/>
  <c r="AP71" i="38"/>
  <c r="AQ71" i="38"/>
  <c r="AR71" i="38"/>
  <c r="AS71" i="38"/>
  <c r="AT71" i="38"/>
  <c r="AU71" i="38"/>
  <c r="AV71" i="38"/>
  <c r="AW71" i="38"/>
  <c r="AX71" i="38"/>
  <c r="AY71" i="38"/>
  <c r="AZ71" i="38"/>
  <c r="BA71" i="38"/>
  <c r="BB71" i="38"/>
  <c r="BC71" i="38"/>
  <c r="BD71" i="38"/>
  <c r="BE71" i="38"/>
  <c r="BF71" i="38"/>
  <c r="BG71" i="38"/>
  <c r="BH71" i="38"/>
  <c r="BI71" i="38"/>
  <c r="BJ71" i="38"/>
  <c r="BK71" i="38"/>
  <c r="BL71" i="38"/>
  <c r="BM71" i="38"/>
  <c r="BN71" i="38"/>
  <c r="BO71" i="38"/>
  <c r="BP71" i="38"/>
  <c r="BQ71" i="38"/>
  <c r="BR71" i="38"/>
  <c r="BS71" i="38"/>
  <c r="BT71" i="38"/>
  <c r="BU71" i="38"/>
  <c r="BV71" i="38"/>
  <c r="BW71" i="38"/>
  <c r="BX71" i="38"/>
  <c r="BY71" i="38"/>
  <c r="BZ71" i="38"/>
  <c r="CA71" i="38"/>
  <c r="CB71" i="38"/>
  <c r="CC71" i="38"/>
  <c r="CD71" i="38"/>
  <c r="CE71" i="38"/>
  <c r="CF71" i="38"/>
  <c r="CG71" i="38"/>
  <c r="CH71" i="38"/>
  <c r="CI71" i="38"/>
  <c r="CJ71" i="38"/>
  <c r="CK71" i="38"/>
  <c r="CL71" i="38"/>
  <c r="CM71" i="38"/>
  <c r="CN71" i="38"/>
  <c r="CO71" i="38"/>
  <c r="CP71" i="38"/>
  <c r="CQ71" i="38"/>
  <c r="CR71" i="38"/>
  <c r="CS71" i="38"/>
  <c r="CT71" i="38"/>
  <c r="CU71" i="38"/>
  <c r="CV71" i="38"/>
  <c r="CW71" i="38"/>
  <c r="CX71" i="38"/>
  <c r="CY71" i="38"/>
  <c r="CZ71" i="38"/>
  <c r="DA71" i="38"/>
  <c r="DB71" i="38"/>
  <c r="DC71" i="38"/>
  <c r="DD71" i="38"/>
  <c r="DE71" i="38"/>
  <c r="DF71" i="38"/>
  <c r="DG71" i="38"/>
  <c r="DH71" i="38"/>
  <c r="DI71" i="38"/>
  <c r="DJ71" i="38"/>
  <c r="DK71" i="38"/>
  <c r="DL71" i="38"/>
  <c r="DM71" i="38"/>
  <c r="DN71" i="38"/>
  <c r="DO71" i="38"/>
  <c r="DP71" i="38"/>
  <c r="DQ71" i="38"/>
  <c r="DR71" i="38"/>
  <c r="DS71" i="38"/>
  <c r="DT71" i="38"/>
  <c r="DU71" i="38"/>
  <c r="DV71" i="38"/>
  <c r="DW71" i="38"/>
  <c r="DX71" i="38"/>
  <c r="DY71" i="38"/>
  <c r="DZ71" i="38"/>
  <c r="EA71" i="38"/>
  <c r="EB71" i="38"/>
  <c r="EC71" i="38"/>
  <c r="ED71" i="38"/>
  <c r="EE71" i="38"/>
  <c r="EF71" i="38"/>
  <c r="EG71" i="38"/>
  <c r="EH71" i="38"/>
  <c r="EI71" i="38"/>
  <c r="EJ71" i="38"/>
  <c r="EK71" i="38"/>
  <c r="EL71" i="38"/>
  <c r="EM71" i="38"/>
  <c r="EN71" i="38"/>
  <c r="EO71" i="38"/>
  <c r="EP71" i="38"/>
  <c r="EQ71" i="38"/>
  <c r="ER71" i="38"/>
  <c r="ES71" i="38"/>
  <c r="ET71" i="38"/>
  <c r="EU71" i="38"/>
  <c r="EV71" i="38"/>
  <c r="EW71" i="38"/>
  <c r="EX71" i="38"/>
  <c r="EY71" i="38"/>
  <c r="EZ71" i="38"/>
  <c r="Z72" i="38"/>
  <c r="AA72" i="38"/>
  <c r="AB72" i="38"/>
  <c r="AC72" i="38"/>
  <c r="AD72" i="38"/>
  <c r="AE72" i="38"/>
  <c r="AF72" i="38"/>
  <c r="AG72" i="38"/>
  <c r="AH72" i="38"/>
  <c r="AI72" i="38"/>
  <c r="AJ72" i="38"/>
  <c r="AK72" i="38"/>
  <c r="AL72" i="38"/>
  <c r="AM72" i="38"/>
  <c r="AN72" i="38"/>
  <c r="AO72" i="38"/>
  <c r="AP72" i="38"/>
  <c r="AQ72" i="38"/>
  <c r="AR72" i="38"/>
  <c r="AS72" i="38"/>
  <c r="AT72" i="38"/>
  <c r="AU72" i="38"/>
  <c r="AV72" i="38"/>
  <c r="AW72" i="38"/>
  <c r="AX72" i="38"/>
  <c r="AY72" i="38"/>
  <c r="AZ72" i="38"/>
  <c r="BA72" i="38"/>
  <c r="BB72" i="38"/>
  <c r="BC72" i="38"/>
  <c r="BD72" i="38"/>
  <c r="BE72" i="38"/>
  <c r="BF72" i="38"/>
  <c r="BG72" i="38"/>
  <c r="BH72" i="38"/>
  <c r="BI72" i="38"/>
  <c r="BJ72" i="38"/>
  <c r="BK72" i="38"/>
  <c r="BL72" i="38"/>
  <c r="BM72" i="38"/>
  <c r="BN72" i="38"/>
  <c r="BO72" i="38"/>
  <c r="BP72" i="38"/>
  <c r="BQ72" i="38"/>
  <c r="BR72" i="38"/>
  <c r="BS72" i="38"/>
  <c r="BT72" i="38"/>
  <c r="BU72" i="38"/>
  <c r="BV72" i="38"/>
  <c r="BW72" i="38"/>
  <c r="BX72" i="38"/>
  <c r="BY72" i="38"/>
  <c r="BZ72" i="38"/>
  <c r="CA72" i="38"/>
  <c r="CB72" i="38"/>
  <c r="CC72" i="38"/>
  <c r="CD72" i="38"/>
  <c r="CE72" i="38"/>
  <c r="CF72" i="38"/>
  <c r="CG72" i="38"/>
  <c r="CH72" i="38"/>
  <c r="CI72" i="38"/>
  <c r="CJ72" i="38"/>
  <c r="CK72" i="38"/>
  <c r="CL72" i="38"/>
  <c r="CM72" i="38"/>
  <c r="CN72" i="38"/>
  <c r="CO72" i="38"/>
  <c r="CP72" i="38"/>
  <c r="CQ72" i="38"/>
  <c r="CR72" i="38"/>
  <c r="CS72" i="38"/>
  <c r="CT72" i="38"/>
  <c r="CU72" i="38"/>
  <c r="CV72" i="38"/>
  <c r="CW72" i="38"/>
  <c r="CX72" i="38"/>
  <c r="CY72" i="38"/>
  <c r="CZ72" i="38"/>
  <c r="DA72" i="38"/>
  <c r="DB72" i="38"/>
  <c r="DC72" i="38"/>
  <c r="DD72" i="38"/>
  <c r="DE72" i="38"/>
  <c r="DF72" i="38"/>
  <c r="DG72" i="38"/>
  <c r="DH72" i="38"/>
  <c r="DI72" i="38"/>
  <c r="DJ72" i="38"/>
  <c r="DK72" i="38"/>
  <c r="DL72" i="38"/>
  <c r="DM72" i="38"/>
  <c r="DN72" i="38"/>
  <c r="DO72" i="38"/>
  <c r="DP72" i="38"/>
  <c r="DQ72" i="38"/>
  <c r="DR72" i="38"/>
  <c r="DS72" i="38"/>
  <c r="DT72" i="38"/>
  <c r="DU72" i="38"/>
  <c r="DV72" i="38"/>
  <c r="DW72" i="38"/>
  <c r="DX72" i="38"/>
  <c r="DY72" i="38"/>
  <c r="DZ72" i="38"/>
  <c r="EA72" i="38"/>
  <c r="EB72" i="38"/>
  <c r="EC72" i="38"/>
  <c r="ED72" i="38"/>
  <c r="EE72" i="38"/>
  <c r="EF72" i="38"/>
  <c r="EG72" i="38"/>
  <c r="EH72" i="38"/>
  <c r="EI72" i="38"/>
  <c r="EJ72" i="38"/>
  <c r="EK72" i="38"/>
  <c r="EL72" i="38"/>
  <c r="EM72" i="38"/>
  <c r="EN72" i="38"/>
  <c r="EO72" i="38"/>
  <c r="EP72" i="38"/>
  <c r="EQ72" i="38"/>
  <c r="ER72" i="38"/>
  <c r="ES72" i="38"/>
  <c r="ET72" i="38"/>
  <c r="EU72" i="38"/>
  <c r="EV72" i="38"/>
  <c r="EW72" i="38"/>
  <c r="EX72" i="38"/>
  <c r="EY72" i="38"/>
  <c r="EZ72" i="38"/>
  <c r="Z73" i="38"/>
  <c r="AA73" i="38"/>
  <c r="AB73" i="38"/>
  <c r="AC73" i="38"/>
  <c r="AD73" i="38"/>
  <c r="AE73" i="38"/>
  <c r="AF73" i="38"/>
  <c r="AG73" i="38"/>
  <c r="AH73" i="38"/>
  <c r="AI73" i="38"/>
  <c r="AJ73" i="38"/>
  <c r="AK73" i="38"/>
  <c r="AL73" i="38"/>
  <c r="AM73" i="38"/>
  <c r="AN73" i="38"/>
  <c r="AO73" i="38"/>
  <c r="AP73" i="38"/>
  <c r="AQ73" i="38"/>
  <c r="AR73" i="38"/>
  <c r="AS73" i="38"/>
  <c r="AT73" i="38"/>
  <c r="AU73" i="38"/>
  <c r="AV73" i="38"/>
  <c r="AW73" i="38"/>
  <c r="AX73" i="38"/>
  <c r="AY73" i="38"/>
  <c r="AZ73" i="38"/>
  <c r="BA73" i="38"/>
  <c r="BB73" i="38"/>
  <c r="BC73" i="38"/>
  <c r="BD73" i="38"/>
  <c r="BE73" i="38"/>
  <c r="BF73" i="38"/>
  <c r="BG73" i="38"/>
  <c r="BH73" i="38"/>
  <c r="BI73" i="38"/>
  <c r="BJ73" i="38"/>
  <c r="BK73" i="38"/>
  <c r="BL73" i="38"/>
  <c r="BM73" i="38"/>
  <c r="BN73" i="38"/>
  <c r="BO73" i="38"/>
  <c r="BP73" i="38"/>
  <c r="BQ73" i="38"/>
  <c r="BR73" i="38"/>
  <c r="BS73" i="38"/>
  <c r="BT73" i="38"/>
  <c r="BU73" i="38"/>
  <c r="BV73" i="38"/>
  <c r="BW73" i="38"/>
  <c r="BX73" i="38"/>
  <c r="BY73" i="38"/>
  <c r="BZ73" i="38"/>
  <c r="CA73" i="38"/>
  <c r="CB73" i="38"/>
  <c r="CC73" i="38"/>
  <c r="CD73" i="38"/>
  <c r="CE73" i="38"/>
  <c r="CF73" i="38"/>
  <c r="CG73" i="38"/>
  <c r="CH73" i="38"/>
  <c r="CI73" i="38"/>
  <c r="CJ73" i="38"/>
  <c r="CK73" i="38"/>
  <c r="CL73" i="38"/>
  <c r="CM73" i="38"/>
  <c r="CN73" i="38"/>
  <c r="CO73" i="38"/>
  <c r="CP73" i="38"/>
  <c r="CQ73" i="38"/>
  <c r="CR73" i="38"/>
  <c r="CS73" i="38"/>
  <c r="CT73" i="38"/>
  <c r="CU73" i="38"/>
  <c r="CV73" i="38"/>
  <c r="CW73" i="38"/>
  <c r="CX73" i="38"/>
  <c r="CY73" i="38"/>
  <c r="CZ73" i="38"/>
  <c r="DA73" i="38"/>
  <c r="DB73" i="38"/>
  <c r="DC73" i="38"/>
  <c r="DD73" i="38"/>
  <c r="DE73" i="38"/>
  <c r="DF73" i="38"/>
  <c r="DG73" i="38"/>
  <c r="DH73" i="38"/>
  <c r="DI73" i="38"/>
  <c r="DJ73" i="38"/>
  <c r="DK73" i="38"/>
  <c r="DL73" i="38"/>
  <c r="DM73" i="38"/>
  <c r="DN73" i="38"/>
  <c r="DO73" i="38"/>
  <c r="DP73" i="38"/>
  <c r="DQ73" i="38"/>
  <c r="DR73" i="38"/>
  <c r="DS73" i="38"/>
  <c r="DT73" i="38"/>
  <c r="DU73" i="38"/>
  <c r="DV73" i="38"/>
  <c r="DW73" i="38"/>
  <c r="DX73" i="38"/>
  <c r="DY73" i="38"/>
  <c r="DZ73" i="38"/>
  <c r="EA73" i="38"/>
  <c r="EB73" i="38"/>
  <c r="EC73" i="38"/>
  <c r="ED73" i="38"/>
  <c r="EE73" i="38"/>
  <c r="EF73" i="38"/>
  <c r="EG73" i="38"/>
  <c r="EH73" i="38"/>
  <c r="EI73" i="38"/>
  <c r="EJ73" i="38"/>
  <c r="EK73" i="38"/>
  <c r="EL73" i="38"/>
  <c r="EM73" i="38"/>
  <c r="EN73" i="38"/>
  <c r="EO73" i="38"/>
  <c r="EP73" i="38"/>
  <c r="EQ73" i="38"/>
  <c r="ER73" i="38"/>
  <c r="ES73" i="38"/>
  <c r="ET73" i="38"/>
  <c r="EU73" i="38"/>
  <c r="EV73" i="38"/>
  <c r="EW73" i="38"/>
  <c r="EX73" i="38"/>
  <c r="EY73" i="38"/>
  <c r="EZ73" i="38"/>
  <c r="Z74" i="38"/>
  <c r="AA74" i="38"/>
  <c r="AB74" i="38"/>
  <c r="AC74" i="38"/>
  <c r="AD74" i="38"/>
  <c r="AE74" i="38"/>
  <c r="AF74" i="38"/>
  <c r="AG74" i="38"/>
  <c r="AH74" i="38"/>
  <c r="AI74" i="38"/>
  <c r="AJ74" i="38"/>
  <c r="AK74" i="38"/>
  <c r="AL74" i="38"/>
  <c r="AM74" i="38"/>
  <c r="AN74" i="38"/>
  <c r="AO74" i="38"/>
  <c r="AP74" i="38"/>
  <c r="AQ74" i="38"/>
  <c r="AR74" i="38"/>
  <c r="AS74" i="38"/>
  <c r="AT74" i="38"/>
  <c r="AU74" i="38"/>
  <c r="AV74" i="38"/>
  <c r="AW74" i="38"/>
  <c r="AX74" i="38"/>
  <c r="AY74" i="38"/>
  <c r="AZ74" i="38"/>
  <c r="BA74" i="38"/>
  <c r="BB74" i="38"/>
  <c r="BC74" i="38"/>
  <c r="BD74" i="38"/>
  <c r="BE74" i="38"/>
  <c r="BF74" i="38"/>
  <c r="BG74" i="38"/>
  <c r="BH74" i="38"/>
  <c r="BI74" i="38"/>
  <c r="BJ74" i="38"/>
  <c r="BK74" i="38"/>
  <c r="BL74" i="38"/>
  <c r="BM74" i="38"/>
  <c r="BN74" i="38"/>
  <c r="BO74" i="38"/>
  <c r="BP74" i="38"/>
  <c r="BQ74" i="38"/>
  <c r="BR74" i="38"/>
  <c r="BS74" i="38"/>
  <c r="BT74" i="38"/>
  <c r="BU74" i="38"/>
  <c r="BV74" i="38"/>
  <c r="BW74" i="38"/>
  <c r="BX74" i="38"/>
  <c r="BY74" i="38"/>
  <c r="BZ74" i="38"/>
  <c r="CA74" i="38"/>
  <c r="CB74" i="38"/>
  <c r="CC74" i="38"/>
  <c r="CD74" i="38"/>
  <c r="CE74" i="38"/>
  <c r="CF74" i="38"/>
  <c r="CG74" i="38"/>
  <c r="CH74" i="38"/>
  <c r="CI74" i="38"/>
  <c r="CJ74" i="38"/>
  <c r="CK74" i="38"/>
  <c r="CL74" i="38"/>
  <c r="CM74" i="38"/>
  <c r="CN74" i="38"/>
  <c r="CO74" i="38"/>
  <c r="CP74" i="38"/>
  <c r="CQ74" i="38"/>
  <c r="CR74" i="38"/>
  <c r="CS74" i="38"/>
  <c r="CT74" i="38"/>
  <c r="CU74" i="38"/>
  <c r="CV74" i="38"/>
  <c r="CW74" i="38"/>
  <c r="CX74" i="38"/>
  <c r="CY74" i="38"/>
  <c r="CZ74" i="38"/>
  <c r="DA74" i="38"/>
  <c r="DB74" i="38"/>
  <c r="DC74" i="38"/>
  <c r="DD74" i="38"/>
  <c r="DE74" i="38"/>
  <c r="DF74" i="38"/>
  <c r="DG74" i="38"/>
  <c r="DH74" i="38"/>
  <c r="DI74" i="38"/>
  <c r="DJ74" i="38"/>
  <c r="DK74" i="38"/>
  <c r="DL74" i="38"/>
  <c r="DM74" i="38"/>
  <c r="DN74" i="38"/>
  <c r="DO74" i="38"/>
  <c r="DP74" i="38"/>
  <c r="DQ74" i="38"/>
  <c r="DR74" i="38"/>
  <c r="DS74" i="38"/>
  <c r="DT74" i="38"/>
  <c r="DU74" i="38"/>
  <c r="DV74" i="38"/>
  <c r="DW74" i="38"/>
  <c r="DX74" i="38"/>
  <c r="DY74" i="38"/>
  <c r="DZ74" i="38"/>
  <c r="EA74" i="38"/>
  <c r="EB74" i="38"/>
  <c r="EC74" i="38"/>
  <c r="ED74" i="38"/>
  <c r="EE74" i="38"/>
  <c r="EF74" i="38"/>
  <c r="EG74" i="38"/>
  <c r="EH74" i="38"/>
  <c r="EI74" i="38"/>
  <c r="EJ74" i="38"/>
  <c r="EK74" i="38"/>
  <c r="EL74" i="38"/>
  <c r="EM74" i="38"/>
  <c r="EN74" i="38"/>
  <c r="EO74" i="38"/>
  <c r="EP74" i="38"/>
  <c r="EQ74" i="38"/>
  <c r="ER74" i="38"/>
  <c r="ES74" i="38"/>
  <c r="ET74" i="38"/>
  <c r="EU74" i="38"/>
  <c r="EV74" i="38"/>
  <c r="EW74" i="38"/>
  <c r="EX74" i="38"/>
  <c r="EY74" i="38"/>
  <c r="EZ74" i="38"/>
  <c r="Z75" i="38"/>
  <c r="AA75" i="38"/>
  <c r="AB75" i="38"/>
  <c r="AC75" i="38"/>
  <c r="AD75" i="38"/>
  <c r="AE75" i="38"/>
  <c r="AF75" i="38"/>
  <c r="AG75" i="38"/>
  <c r="AH75" i="38"/>
  <c r="AI75" i="38"/>
  <c r="AJ75" i="38"/>
  <c r="AK75" i="38"/>
  <c r="AL75" i="38"/>
  <c r="AM75" i="38"/>
  <c r="AN75" i="38"/>
  <c r="AO75" i="38"/>
  <c r="AP75" i="38"/>
  <c r="AQ75" i="38"/>
  <c r="AR75" i="38"/>
  <c r="AS75" i="38"/>
  <c r="AT75" i="38"/>
  <c r="AU75" i="38"/>
  <c r="AV75" i="38"/>
  <c r="AW75" i="38"/>
  <c r="AX75" i="38"/>
  <c r="AY75" i="38"/>
  <c r="AZ75" i="38"/>
  <c r="BA75" i="38"/>
  <c r="BB75" i="38"/>
  <c r="BC75" i="38"/>
  <c r="BD75" i="38"/>
  <c r="BE75" i="38"/>
  <c r="BF75" i="38"/>
  <c r="BG75" i="38"/>
  <c r="BH75" i="38"/>
  <c r="BI75" i="38"/>
  <c r="BJ75" i="38"/>
  <c r="BK75" i="38"/>
  <c r="BL75" i="38"/>
  <c r="BM75" i="38"/>
  <c r="BN75" i="38"/>
  <c r="BO75" i="38"/>
  <c r="BP75" i="38"/>
  <c r="BQ75" i="38"/>
  <c r="BR75" i="38"/>
  <c r="BS75" i="38"/>
  <c r="BT75" i="38"/>
  <c r="BU75" i="38"/>
  <c r="BV75" i="38"/>
  <c r="BW75" i="38"/>
  <c r="BX75" i="38"/>
  <c r="BY75" i="38"/>
  <c r="BZ75" i="38"/>
  <c r="CA75" i="38"/>
  <c r="CB75" i="38"/>
  <c r="CC75" i="38"/>
  <c r="CD75" i="38"/>
  <c r="CE75" i="38"/>
  <c r="CF75" i="38"/>
  <c r="CG75" i="38"/>
  <c r="CH75" i="38"/>
  <c r="CI75" i="38"/>
  <c r="CJ75" i="38"/>
  <c r="CK75" i="38"/>
  <c r="CL75" i="38"/>
  <c r="CM75" i="38"/>
  <c r="CN75" i="38"/>
  <c r="CO75" i="38"/>
  <c r="CP75" i="38"/>
  <c r="CQ75" i="38"/>
  <c r="CR75" i="38"/>
  <c r="CS75" i="38"/>
  <c r="CT75" i="38"/>
  <c r="CU75" i="38"/>
  <c r="CV75" i="38"/>
  <c r="CW75" i="38"/>
  <c r="CX75" i="38"/>
  <c r="CY75" i="38"/>
  <c r="CZ75" i="38"/>
  <c r="DA75" i="38"/>
  <c r="DB75" i="38"/>
  <c r="DC75" i="38"/>
  <c r="DD75" i="38"/>
  <c r="DE75" i="38"/>
  <c r="DF75" i="38"/>
  <c r="DG75" i="38"/>
  <c r="DH75" i="38"/>
  <c r="DI75" i="38"/>
  <c r="DJ75" i="38"/>
  <c r="DK75" i="38"/>
  <c r="DL75" i="38"/>
  <c r="DM75" i="38"/>
  <c r="DN75" i="38"/>
  <c r="DO75" i="38"/>
  <c r="DP75" i="38"/>
  <c r="DQ75" i="38"/>
  <c r="DR75" i="38"/>
  <c r="DS75" i="38"/>
  <c r="DT75" i="38"/>
  <c r="DU75" i="38"/>
  <c r="DV75" i="38"/>
  <c r="DW75" i="38"/>
  <c r="DX75" i="38"/>
  <c r="DY75" i="38"/>
  <c r="DZ75" i="38"/>
  <c r="EA75" i="38"/>
  <c r="EB75" i="38"/>
  <c r="EC75" i="38"/>
  <c r="ED75" i="38"/>
  <c r="EE75" i="38"/>
  <c r="EF75" i="38"/>
  <c r="EG75" i="38"/>
  <c r="EH75" i="38"/>
  <c r="EI75" i="38"/>
  <c r="EJ75" i="38"/>
  <c r="EK75" i="38"/>
  <c r="EL75" i="38"/>
  <c r="EM75" i="38"/>
  <c r="EN75" i="38"/>
  <c r="EO75" i="38"/>
  <c r="EP75" i="38"/>
  <c r="EQ75" i="38"/>
  <c r="ER75" i="38"/>
  <c r="ES75" i="38"/>
  <c r="ET75" i="38"/>
  <c r="EU75" i="38"/>
  <c r="EV75" i="38"/>
  <c r="EW75" i="38"/>
  <c r="EX75" i="38"/>
  <c r="EY75" i="38"/>
  <c r="EZ75" i="38"/>
  <c r="Z76" i="38"/>
  <c r="AA76" i="38"/>
  <c r="AB76" i="38"/>
  <c r="AC76" i="38"/>
  <c r="AD76" i="38"/>
  <c r="AE76" i="38"/>
  <c r="AF76" i="38"/>
  <c r="AG76" i="38"/>
  <c r="AH76" i="38"/>
  <c r="AI76" i="38"/>
  <c r="AJ76" i="38"/>
  <c r="AK76" i="38"/>
  <c r="AL76" i="38"/>
  <c r="AM76" i="38"/>
  <c r="AN76" i="38"/>
  <c r="AO76" i="38"/>
  <c r="AP76" i="38"/>
  <c r="AQ76" i="38"/>
  <c r="AR76" i="38"/>
  <c r="AS76" i="38"/>
  <c r="AT76" i="38"/>
  <c r="AU76" i="38"/>
  <c r="AV76" i="38"/>
  <c r="AW76" i="38"/>
  <c r="AX76" i="38"/>
  <c r="AY76" i="38"/>
  <c r="AZ76" i="38"/>
  <c r="BA76" i="38"/>
  <c r="BB76" i="38"/>
  <c r="BC76" i="38"/>
  <c r="BD76" i="38"/>
  <c r="BE76" i="38"/>
  <c r="BF76" i="38"/>
  <c r="BG76" i="38"/>
  <c r="BH76" i="38"/>
  <c r="BI76" i="38"/>
  <c r="BJ76" i="38"/>
  <c r="BK76" i="38"/>
  <c r="BL76" i="38"/>
  <c r="BM76" i="38"/>
  <c r="BN76" i="38"/>
  <c r="BO76" i="38"/>
  <c r="BP76" i="38"/>
  <c r="BQ76" i="38"/>
  <c r="BR76" i="38"/>
  <c r="BS76" i="38"/>
  <c r="BT76" i="38"/>
  <c r="BU76" i="38"/>
  <c r="BV76" i="38"/>
  <c r="BW76" i="38"/>
  <c r="BX76" i="38"/>
  <c r="BY76" i="38"/>
  <c r="BZ76" i="38"/>
  <c r="CA76" i="38"/>
  <c r="CB76" i="38"/>
  <c r="CC76" i="38"/>
  <c r="CD76" i="38"/>
  <c r="CE76" i="38"/>
  <c r="CF76" i="38"/>
  <c r="CG76" i="38"/>
  <c r="CH76" i="38"/>
  <c r="CI76" i="38"/>
  <c r="CJ76" i="38"/>
  <c r="CK76" i="38"/>
  <c r="CL76" i="38"/>
  <c r="CM76" i="38"/>
  <c r="CN76" i="38"/>
  <c r="CO76" i="38"/>
  <c r="CP76" i="38"/>
  <c r="CQ76" i="38"/>
  <c r="CR76" i="38"/>
  <c r="CS76" i="38"/>
  <c r="CT76" i="38"/>
  <c r="CU76" i="38"/>
  <c r="CV76" i="38"/>
  <c r="CW76" i="38"/>
  <c r="CX76" i="38"/>
  <c r="CY76" i="38"/>
  <c r="CZ76" i="38"/>
  <c r="DA76" i="38"/>
  <c r="DB76" i="38"/>
  <c r="DC76" i="38"/>
  <c r="DD76" i="38"/>
  <c r="DE76" i="38"/>
  <c r="DF76" i="38"/>
  <c r="DG76" i="38"/>
  <c r="DH76" i="38"/>
  <c r="DI76" i="38"/>
  <c r="DJ76" i="38"/>
  <c r="DK76" i="38"/>
  <c r="DL76" i="38"/>
  <c r="DM76" i="38"/>
  <c r="DN76" i="38"/>
  <c r="DO76" i="38"/>
  <c r="DP76" i="38"/>
  <c r="DQ76" i="38"/>
  <c r="DR76" i="38"/>
  <c r="DS76" i="38"/>
  <c r="DT76" i="38"/>
  <c r="DU76" i="38"/>
  <c r="DV76" i="38"/>
  <c r="DW76" i="38"/>
  <c r="DX76" i="38"/>
  <c r="DY76" i="38"/>
  <c r="DZ76" i="38"/>
  <c r="EA76" i="38"/>
  <c r="EB76" i="38"/>
  <c r="EC76" i="38"/>
  <c r="ED76" i="38"/>
  <c r="EE76" i="38"/>
  <c r="EF76" i="38"/>
  <c r="EG76" i="38"/>
  <c r="EH76" i="38"/>
  <c r="EI76" i="38"/>
  <c r="EJ76" i="38"/>
  <c r="EK76" i="38"/>
  <c r="EL76" i="38"/>
  <c r="EM76" i="38"/>
  <c r="EN76" i="38"/>
  <c r="EO76" i="38"/>
  <c r="EP76" i="38"/>
  <c r="EQ76" i="38"/>
  <c r="ER76" i="38"/>
  <c r="ES76" i="38"/>
  <c r="ET76" i="38"/>
  <c r="EU76" i="38"/>
  <c r="EV76" i="38"/>
  <c r="EW76" i="38"/>
  <c r="EX76" i="38"/>
  <c r="EY76" i="38"/>
  <c r="EZ76" i="38"/>
  <c r="Z77" i="38"/>
  <c r="AA77" i="38"/>
  <c r="AB77" i="38"/>
  <c r="AC77" i="38"/>
  <c r="AD77" i="38"/>
  <c r="AE77" i="38"/>
  <c r="AF77" i="38"/>
  <c r="AG77" i="38"/>
  <c r="AH77" i="38"/>
  <c r="AI77" i="38"/>
  <c r="AJ77" i="38"/>
  <c r="AK77" i="38"/>
  <c r="AL77" i="38"/>
  <c r="AM77" i="38"/>
  <c r="AN77" i="38"/>
  <c r="AO77" i="38"/>
  <c r="AP77" i="38"/>
  <c r="AQ77" i="38"/>
  <c r="AR77" i="38"/>
  <c r="AS77" i="38"/>
  <c r="AT77" i="38"/>
  <c r="AU77" i="38"/>
  <c r="AV77" i="38"/>
  <c r="AW77" i="38"/>
  <c r="AX77" i="38"/>
  <c r="AY77" i="38"/>
  <c r="AZ77" i="38"/>
  <c r="BA77" i="38"/>
  <c r="BB77" i="38"/>
  <c r="BC77" i="38"/>
  <c r="BD77" i="38"/>
  <c r="BE77" i="38"/>
  <c r="BF77" i="38"/>
  <c r="BG77" i="38"/>
  <c r="BH77" i="38"/>
  <c r="BI77" i="38"/>
  <c r="BJ77" i="38"/>
  <c r="BK77" i="38"/>
  <c r="BL77" i="38"/>
  <c r="BM77" i="38"/>
  <c r="BN77" i="38"/>
  <c r="BO77" i="38"/>
  <c r="BP77" i="38"/>
  <c r="BQ77" i="38"/>
  <c r="BR77" i="38"/>
  <c r="BS77" i="38"/>
  <c r="BT77" i="38"/>
  <c r="BU77" i="38"/>
  <c r="BV77" i="38"/>
  <c r="BW77" i="38"/>
  <c r="BX77" i="38"/>
  <c r="BY77" i="38"/>
  <c r="BZ77" i="38"/>
  <c r="CA77" i="38"/>
  <c r="CB77" i="38"/>
  <c r="CC77" i="38"/>
  <c r="CD77" i="38"/>
  <c r="CE77" i="38"/>
  <c r="CF77" i="38"/>
  <c r="CG77" i="38"/>
  <c r="CH77" i="38"/>
  <c r="CI77" i="38"/>
  <c r="CJ77" i="38"/>
  <c r="CK77" i="38"/>
  <c r="CL77" i="38"/>
  <c r="CM77" i="38"/>
  <c r="CN77" i="38"/>
  <c r="CO77" i="38"/>
  <c r="CP77" i="38"/>
  <c r="CQ77" i="38"/>
  <c r="CR77" i="38"/>
  <c r="CS77" i="38"/>
  <c r="CT77" i="38"/>
  <c r="CU77" i="38"/>
  <c r="CV77" i="38"/>
  <c r="CW77" i="38"/>
  <c r="CX77" i="38"/>
  <c r="CY77" i="38"/>
  <c r="CZ77" i="38"/>
  <c r="DA77" i="38"/>
  <c r="DB77" i="38"/>
  <c r="DC77" i="38"/>
  <c r="DD77" i="38"/>
  <c r="DE77" i="38"/>
  <c r="DF77" i="38"/>
  <c r="DG77" i="38"/>
  <c r="DH77" i="38"/>
  <c r="DI77" i="38"/>
  <c r="DJ77" i="38"/>
  <c r="DK77" i="38"/>
  <c r="DL77" i="38"/>
  <c r="DM77" i="38"/>
  <c r="DN77" i="38"/>
  <c r="DO77" i="38"/>
  <c r="DP77" i="38"/>
  <c r="DQ77" i="38"/>
  <c r="DR77" i="38"/>
  <c r="DS77" i="38"/>
  <c r="DT77" i="38"/>
  <c r="DU77" i="38"/>
  <c r="DV77" i="38"/>
  <c r="DW77" i="38"/>
  <c r="DX77" i="38"/>
  <c r="DY77" i="38"/>
  <c r="DZ77" i="38"/>
  <c r="EA77" i="38"/>
  <c r="EB77" i="38"/>
  <c r="EC77" i="38"/>
  <c r="ED77" i="38"/>
  <c r="EE77" i="38"/>
  <c r="EF77" i="38"/>
  <c r="EG77" i="38"/>
  <c r="EH77" i="38"/>
  <c r="EI77" i="38"/>
  <c r="EJ77" i="38"/>
  <c r="EK77" i="38"/>
  <c r="EL77" i="38"/>
  <c r="EM77" i="38"/>
  <c r="EN77" i="38"/>
  <c r="EO77" i="38"/>
  <c r="EP77" i="38"/>
  <c r="EQ77" i="38"/>
  <c r="ER77" i="38"/>
  <c r="ES77" i="38"/>
  <c r="ET77" i="38"/>
  <c r="EU77" i="38"/>
  <c r="EV77" i="38"/>
  <c r="EW77" i="38"/>
  <c r="EX77" i="38"/>
  <c r="EY77" i="38"/>
  <c r="EZ77" i="38"/>
  <c r="Z78" i="38"/>
  <c r="AA78" i="38"/>
  <c r="AB78" i="38"/>
  <c r="AC78" i="38"/>
  <c r="AD78" i="38"/>
  <c r="AE78" i="38"/>
  <c r="AF78" i="38"/>
  <c r="AG78" i="38"/>
  <c r="AH78" i="38"/>
  <c r="AI78" i="38"/>
  <c r="AJ78" i="38"/>
  <c r="AK78" i="38"/>
  <c r="AL78" i="38"/>
  <c r="AM78" i="38"/>
  <c r="AN78" i="38"/>
  <c r="AO78" i="38"/>
  <c r="AP78" i="38"/>
  <c r="AQ78" i="38"/>
  <c r="AR78" i="38"/>
  <c r="AS78" i="38"/>
  <c r="AT78" i="38"/>
  <c r="AU78" i="38"/>
  <c r="AV78" i="38"/>
  <c r="AW78" i="38"/>
  <c r="AX78" i="38"/>
  <c r="AY78" i="38"/>
  <c r="AZ78" i="38"/>
  <c r="BA78" i="38"/>
  <c r="BB78" i="38"/>
  <c r="BC78" i="38"/>
  <c r="BD78" i="38"/>
  <c r="BE78" i="38"/>
  <c r="BF78" i="38"/>
  <c r="BG78" i="38"/>
  <c r="BH78" i="38"/>
  <c r="BI78" i="38"/>
  <c r="BJ78" i="38"/>
  <c r="BK78" i="38"/>
  <c r="BL78" i="38"/>
  <c r="BM78" i="38"/>
  <c r="BN78" i="38"/>
  <c r="BO78" i="38"/>
  <c r="BP78" i="38"/>
  <c r="BQ78" i="38"/>
  <c r="BR78" i="38"/>
  <c r="BS78" i="38"/>
  <c r="BT78" i="38"/>
  <c r="BU78" i="38"/>
  <c r="BV78" i="38"/>
  <c r="BW78" i="38"/>
  <c r="BX78" i="38"/>
  <c r="BY78" i="38"/>
  <c r="BZ78" i="38"/>
  <c r="CA78" i="38"/>
  <c r="CB78" i="38"/>
  <c r="CC78" i="38"/>
  <c r="CD78" i="38"/>
  <c r="CE78" i="38"/>
  <c r="CF78" i="38"/>
  <c r="CG78" i="38"/>
  <c r="CH78" i="38"/>
  <c r="CI78" i="38"/>
  <c r="CJ78" i="38"/>
  <c r="CK78" i="38"/>
  <c r="CL78" i="38"/>
  <c r="CM78" i="38"/>
  <c r="CN78" i="38"/>
  <c r="CO78" i="38"/>
  <c r="CP78" i="38"/>
  <c r="CQ78" i="38"/>
  <c r="CR78" i="38"/>
  <c r="CS78" i="38"/>
  <c r="CT78" i="38"/>
  <c r="CU78" i="38"/>
  <c r="CV78" i="38"/>
  <c r="CW78" i="38"/>
  <c r="CX78" i="38"/>
  <c r="CY78" i="38"/>
  <c r="CZ78" i="38"/>
  <c r="DA78" i="38"/>
  <c r="DB78" i="38"/>
  <c r="DC78" i="38"/>
  <c r="DD78" i="38"/>
  <c r="DE78" i="38"/>
  <c r="DF78" i="38"/>
  <c r="DG78" i="38"/>
  <c r="DH78" i="38"/>
  <c r="DI78" i="38"/>
  <c r="DJ78" i="38"/>
  <c r="DK78" i="38"/>
  <c r="DL78" i="38"/>
  <c r="DM78" i="38"/>
  <c r="DN78" i="38"/>
  <c r="DO78" i="38"/>
  <c r="DP78" i="38"/>
  <c r="DQ78" i="38"/>
  <c r="DR78" i="38"/>
  <c r="DS78" i="38"/>
  <c r="DT78" i="38"/>
  <c r="DU78" i="38"/>
  <c r="DV78" i="38"/>
  <c r="DW78" i="38"/>
  <c r="DX78" i="38"/>
  <c r="DY78" i="38"/>
  <c r="DZ78" i="38"/>
  <c r="EA78" i="38"/>
  <c r="EB78" i="38"/>
  <c r="EC78" i="38"/>
  <c r="ED78" i="38"/>
  <c r="EE78" i="38"/>
  <c r="EF78" i="38"/>
  <c r="EG78" i="38"/>
  <c r="EH78" i="38"/>
  <c r="EI78" i="38"/>
  <c r="EJ78" i="38"/>
  <c r="EK78" i="38"/>
  <c r="EL78" i="38"/>
  <c r="EM78" i="38"/>
  <c r="EN78" i="38"/>
  <c r="EO78" i="38"/>
  <c r="EP78" i="38"/>
  <c r="EQ78" i="38"/>
  <c r="ER78" i="38"/>
  <c r="ES78" i="38"/>
  <c r="ET78" i="38"/>
  <c r="EU78" i="38"/>
  <c r="EV78" i="38"/>
  <c r="EW78" i="38"/>
  <c r="EX78" i="38"/>
  <c r="EY78" i="38"/>
  <c r="EZ78" i="38"/>
  <c r="Z79" i="38"/>
  <c r="AA79" i="38"/>
  <c r="AB79" i="38"/>
  <c r="AC79" i="38"/>
  <c r="AD79" i="38"/>
  <c r="AE79" i="38"/>
  <c r="AF79" i="38"/>
  <c r="AG79" i="38"/>
  <c r="AH79" i="38"/>
  <c r="AI79" i="38"/>
  <c r="AJ79" i="38"/>
  <c r="AK79" i="38"/>
  <c r="AL79" i="38"/>
  <c r="AM79" i="38"/>
  <c r="AN79" i="38"/>
  <c r="AO79" i="38"/>
  <c r="AP79" i="38"/>
  <c r="AQ79" i="38"/>
  <c r="AR79" i="38"/>
  <c r="AS79" i="38"/>
  <c r="AT79" i="38"/>
  <c r="AU79" i="38"/>
  <c r="AV79" i="38"/>
  <c r="AW79" i="38"/>
  <c r="AX79" i="38"/>
  <c r="AY79" i="38"/>
  <c r="AZ79" i="38"/>
  <c r="BA79" i="38"/>
  <c r="BB79" i="38"/>
  <c r="BC79" i="38"/>
  <c r="BD79" i="38"/>
  <c r="BE79" i="38"/>
  <c r="BF79" i="38"/>
  <c r="BG79" i="38"/>
  <c r="BH79" i="38"/>
  <c r="BI79" i="38"/>
  <c r="BJ79" i="38"/>
  <c r="BK79" i="38"/>
  <c r="BL79" i="38"/>
  <c r="BM79" i="38"/>
  <c r="BN79" i="38"/>
  <c r="BO79" i="38"/>
  <c r="BP79" i="38"/>
  <c r="BQ79" i="38"/>
  <c r="BR79" i="38"/>
  <c r="BS79" i="38"/>
  <c r="BT79" i="38"/>
  <c r="BU79" i="38"/>
  <c r="BV79" i="38"/>
  <c r="BW79" i="38"/>
  <c r="BX79" i="38"/>
  <c r="BY79" i="38"/>
  <c r="BZ79" i="38"/>
  <c r="CA79" i="38"/>
  <c r="CB79" i="38"/>
  <c r="CC79" i="38"/>
  <c r="CD79" i="38"/>
  <c r="CE79" i="38"/>
  <c r="CF79" i="38"/>
  <c r="CG79" i="38"/>
  <c r="CH79" i="38"/>
  <c r="CI79" i="38"/>
  <c r="CJ79" i="38"/>
  <c r="CK79" i="38"/>
  <c r="CL79" i="38"/>
  <c r="CM79" i="38"/>
  <c r="CN79" i="38"/>
  <c r="CO79" i="38"/>
  <c r="CP79" i="38"/>
  <c r="CQ79" i="38"/>
  <c r="CR79" i="38"/>
  <c r="CS79" i="38"/>
  <c r="CT79" i="38"/>
  <c r="CU79" i="38"/>
  <c r="CV79" i="38"/>
  <c r="CW79" i="38"/>
  <c r="CX79" i="38"/>
  <c r="CY79" i="38"/>
  <c r="CZ79" i="38"/>
  <c r="DA79" i="38"/>
  <c r="DB79" i="38"/>
  <c r="DC79" i="38"/>
  <c r="DD79" i="38"/>
  <c r="DE79" i="38"/>
  <c r="DF79" i="38"/>
  <c r="DG79" i="38"/>
  <c r="DH79" i="38"/>
  <c r="DI79" i="38"/>
  <c r="DJ79" i="38"/>
  <c r="DK79" i="38"/>
  <c r="DL79" i="38"/>
  <c r="DM79" i="38"/>
  <c r="DN79" i="38"/>
  <c r="DO79" i="38"/>
  <c r="DP79" i="38"/>
  <c r="DQ79" i="38"/>
  <c r="DR79" i="38"/>
  <c r="DS79" i="38"/>
  <c r="DT79" i="38"/>
  <c r="DU79" i="38"/>
  <c r="DV79" i="38"/>
  <c r="DW79" i="38"/>
  <c r="DX79" i="38"/>
  <c r="DY79" i="38"/>
  <c r="DZ79" i="38"/>
  <c r="EA79" i="38"/>
  <c r="EB79" i="38"/>
  <c r="EC79" i="38"/>
  <c r="ED79" i="38"/>
  <c r="EE79" i="38"/>
  <c r="EF79" i="38"/>
  <c r="EG79" i="38"/>
  <c r="EH79" i="38"/>
  <c r="EI79" i="38"/>
  <c r="EJ79" i="38"/>
  <c r="EK79" i="38"/>
  <c r="EL79" i="38"/>
  <c r="EM79" i="38"/>
  <c r="EN79" i="38"/>
  <c r="EO79" i="38"/>
  <c r="EP79" i="38"/>
  <c r="EQ79" i="38"/>
  <c r="ER79" i="38"/>
  <c r="ES79" i="38"/>
  <c r="ET79" i="38"/>
  <c r="EU79" i="38"/>
  <c r="EV79" i="38"/>
  <c r="EW79" i="38"/>
  <c r="EX79" i="38"/>
  <c r="EY79" i="38"/>
  <c r="EZ79" i="38"/>
  <c r="Z80" i="38"/>
  <c r="AA80" i="38"/>
  <c r="AB80" i="38"/>
  <c r="AC80" i="38"/>
  <c r="AD80" i="38"/>
  <c r="AE80" i="38"/>
  <c r="AF80" i="38"/>
  <c r="AG80" i="38"/>
  <c r="AH80" i="38"/>
  <c r="AI80" i="38"/>
  <c r="AJ80" i="38"/>
  <c r="AK80" i="38"/>
  <c r="AL80" i="38"/>
  <c r="AM80" i="38"/>
  <c r="AN80" i="38"/>
  <c r="AO80" i="38"/>
  <c r="AP80" i="38"/>
  <c r="AQ80" i="38"/>
  <c r="AR80" i="38"/>
  <c r="AS80" i="38"/>
  <c r="AT80" i="38"/>
  <c r="AU80" i="38"/>
  <c r="AV80" i="38"/>
  <c r="AW80" i="38"/>
  <c r="AX80" i="38"/>
  <c r="AY80" i="38"/>
  <c r="AZ80" i="38"/>
  <c r="BA80" i="38"/>
  <c r="BB80" i="38"/>
  <c r="BC80" i="38"/>
  <c r="BD80" i="38"/>
  <c r="BE80" i="38"/>
  <c r="BF80" i="38"/>
  <c r="BG80" i="38"/>
  <c r="BH80" i="38"/>
  <c r="BI80" i="38"/>
  <c r="BJ80" i="38"/>
  <c r="BK80" i="38"/>
  <c r="BL80" i="38"/>
  <c r="BM80" i="38"/>
  <c r="BN80" i="38"/>
  <c r="BO80" i="38"/>
  <c r="BP80" i="38"/>
  <c r="BQ80" i="38"/>
  <c r="BR80" i="38"/>
  <c r="BS80" i="38"/>
  <c r="BT80" i="38"/>
  <c r="BU80" i="38"/>
  <c r="BV80" i="38"/>
  <c r="BW80" i="38"/>
  <c r="BX80" i="38"/>
  <c r="BY80" i="38"/>
  <c r="BZ80" i="38"/>
  <c r="CA80" i="38"/>
  <c r="CB80" i="38"/>
  <c r="CC80" i="38"/>
  <c r="CD80" i="38"/>
  <c r="CE80" i="38"/>
  <c r="CF80" i="38"/>
  <c r="CG80" i="38"/>
  <c r="CH80" i="38"/>
  <c r="CI80" i="38"/>
  <c r="CJ80" i="38"/>
  <c r="CK80" i="38"/>
  <c r="CL80" i="38"/>
  <c r="CM80" i="38"/>
  <c r="CN80" i="38"/>
  <c r="CO80" i="38"/>
  <c r="CP80" i="38"/>
  <c r="CQ80" i="38"/>
  <c r="CR80" i="38"/>
  <c r="CS80" i="38"/>
  <c r="CT80" i="38"/>
  <c r="CU80" i="38"/>
  <c r="CV80" i="38"/>
  <c r="CW80" i="38"/>
  <c r="CX80" i="38"/>
  <c r="CY80" i="38"/>
  <c r="CZ80" i="38"/>
  <c r="DA80" i="38"/>
  <c r="DB80" i="38"/>
  <c r="DC80" i="38"/>
  <c r="DD80" i="38"/>
  <c r="DE80" i="38"/>
  <c r="DF80" i="38"/>
  <c r="DG80" i="38"/>
  <c r="DH80" i="38"/>
  <c r="DI80" i="38"/>
  <c r="DJ80" i="38"/>
  <c r="DK80" i="38"/>
  <c r="DL80" i="38"/>
  <c r="DM80" i="38"/>
  <c r="DN80" i="38"/>
  <c r="DO80" i="38"/>
  <c r="DP80" i="38"/>
  <c r="DQ80" i="38"/>
  <c r="DR80" i="38"/>
  <c r="DS80" i="38"/>
  <c r="DT80" i="38"/>
  <c r="DU80" i="38"/>
  <c r="DV80" i="38"/>
  <c r="DW80" i="38"/>
  <c r="DX80" i="38"/>
  <c r="DY80" i="38"/>
  <c r="DZ80" i="38"/>
  <c r="EA80" i="38"/>
  <c r="EB80" i="38"/>
  <c r="EC80" i="38"/>
  <c r="ED80" i="38"/>
  <c r="EE80" i="38"/>
  <c r="EF80" i="38"/>
  <c r="EG80" i="38"/>
  <c r="EH80" i="38"/>
  <c r="EI80" i="38"/>
  <c r="EJ80" i="38"/>
  <c r="EK80" i="38"/>
  <c r="EL80" i="38"/>
  <c r="EM80" i="38"/>
  <c r="EN80" i="38"/>
  <c r="EO80" i="38"/>
  <c r="EP80" i="38"/>
  <c r="EQ80" i="38"/>
  <c r="ER80" i="38"/>
  <c r="ES80" i="38"/>
  <c r="ET80" i="38"/>
  <c r="EU80" i="38"/>
  <c r="EV80" i="38"/>
  <c r="EW80" i="38"/>
  <c r="EX80" i="38"/>
  <c r="EY80" i="38"/>
  <c r="EZ80" i="38"/>
  <c r="Z81" i="38"/>
  <c r="AA81" i="38"/>
  <c r="AB81" i="38"/>
  <c r="AC81" i="38"/>
  <c r="AD81" i="38"/>
  <c r="AE81" i="38"/>
  <c r="AF81" i="38"/>
  <c r="AG81" i="38"/>
  <c r="AH81" i="38"/>
  <c r="AI81" i="38"/>
  <c r="AJ81" i="38"/>
  <c r="AK81" i="38"/>
  <c r="AL81" i="38"/>
  <c r="AM81" i="38"/>
  <c r="AN81" i="38"/>
  <c r="AO81" i="38"/>
  <c r="AP81" i="38"/>
  <c r="AQ81" i="38"/>
  <c r="AR81" i="38"/>
  <c r="AS81" i="38"/>
  <c r="AT81" i="38"/>
  <c r="AU81" i="38"/>
  <c r="AV81" i="38"/>
  <c r="AW81" i="38"/>
  <c r="AX81" i="38"/>
  <c r="AY81" i="38"/>
  <c r="AZ81" i="38"/>
  <c r="BA81" i="38"/>
  <c r="BB81" i="38"/>
  <c r="BC81" i="38"/>
  <c r="BD81" i="38"/>
  <c r="BE81" i="38"/>
  <c r="BF81" i="38"/>
  <c r="BG81" i="38"/>
  <c r="BH81" i="38"/>
  <c r="BI81" i="38"/>
  <c r="BJ81" i="38"/>
  <c r="BK81" i="38"/>
  <c r="BL81" i="38"/>
  <c r="BM81" i="38"/>
  <c r="BN81" i="38"/>
  <c r="BO81" i="38"/>
  <c r="BP81" i="38"/>
  <c r="BQ81" i="38"/>
  <c r="BR81" i="38"/>
  <c r="BS81" i="38"/>
  <c r="BT81" i="38"/>
  <c r="BU81" i="38"/>
  <c r="BV81" i="38"/>
  <c r="BW81" i="38"/>
  <c r="BX81" i="38"/>
  <c r="BY81" i="38"/>
  <c r="BZ81" i="38"/>
  <c r="CA81" i="38"/>
  <c r="CB81" i="38"/>
  <c r="CC81" i="38"/>
  <c r="CD81" i="38"/>
  <c r="CE81" i="38"/>
  <c r="CF81" i="38"/>
  <c r="CG81" i="38"/>
  <c r="CH81" i="38"/>
  <c r="CI81" i="38"/>
  <c r="CJ81" i="38"/>
  <c r="CK81" i="38"/>
  <c r="CL81" i="38"/>
  <c r="CM81" i="38"/>
  <c r="CN81" i="38"/>
  <c r="CO81" i="38"/>
  <c r="CP81" i="38"/>
  <c r="CQ81" i="38"/>
  <c r="CR81" i="38"/>
  <c r="CS81" i="38"/>
  <c r="CT81" i="38"/>
  <c r="CU81" i="38"/>
  <c r="CV81" i="38"/>
  <c r="CW81" i="38"/>
  <c r="CX81" i="38"/>
  <c r="CY81" i="38"/>
  <c r="CZ81" i="38"/>
  <c r="DA81" i="38"/>
  <c r="DB81" i="38"/>
  <c r="DC81" i="38"/>
  <c r="DD81" i="38"/>
  <c r="DE81" i="38"/>
  <c r="DF81" i="38"/>
  <c r="DG81" i="38"/>
  <c r="DH81" i="38"/>
  <c r="DI81" i="38"/>
  <c r="DJ81" i="38"/>
  <c r="DK81" i="38"/>
  <c r="DL81" i="38"/>
  <c r="DM81" i="38"/>
  <c r="DN81" i="38"/>
  <c r="DO81" i="38"/>
  <c r="DP81" i="38"/>
  <c r="DQ81" i="38"/>
  <c r="DR81" i="38"/>
  <c r="DS81" i="38"/>
  <c r="DT81" i="38"/>
  <c r="DU81" i="38"/>
  <c r="DV81" i="38"/>
  <c r="DW81" i="38"/>
  <c r="DX81" i="38"/>
  <c r="DY81" i="38"/>
  <c r="DZ81" i="38"/>
  <c r="EA81" i="38"/>
  <c r="EB81" i="38"/>
  <c r="EC81" i="38"/>
  <c r="ED81" i="38"/>
  <c r="EE81" i="38"/>
  <c r="EF81" i="38"/>
  <c r="EG81" i="38"/>
  <c r="EH81" i="38"/>
  <c r="EI81" i="38"/>
  <c r="EJ81" i="38"/>
  <c r="EK81" i="38"/>
  <c r="EL81" i="38"/>
  <c r="EM81" i="38"/>
  <c r="EN81" i="38"/>
  <c r="EO81" i="38"/>
  <c r="EP81" i="38"/>
  <c r="EQ81" i="38"/>
  <c r="ER81" i="38"/>
  <c r="ES81" i="38"/>
  <c r="ET81" i="38"/>
  <c r="EU81" i="38"/>
  <c r="EV81" i="38"/>
  <c r="EW81" i="38"/>
  <c r="EX81" i="38"/>
  <c r="EY81" i="38"/>
  <c r="EZ81" i="38"/>
  <c r="Z82" i="38"/>
  <c r="AA82" i="38"/>
  <c r="AB82" i="38"/>
  <c r="AC82" i="38"/>
  <c r="AD82" i="38"/>
  <c r="AE82" i="38"/>
  <c r="AF82" i="38"/>
  <c r="AG82" i="38"/>
  <c r="AH82" i="38"/>
  <c r="AI82" i="38"/>
  <c r="AJ82" i="38"/>
  <c r="AK82" i="38"/>
  <c r="AL82" i="38"/>
  <c r="AM82" i="38"/>
  <c r="AN82" i="38"/>
  <c r="AO82" i="38"/>
  <c r="AP82" i="38"/>
  <c r="AQ82" i="38"/>
  <c r="AR82" i="38"/>
  <c r="AS82" i="38"/>
  <c r="AT82" i="38"/>
  <c r="AU82" i="38"/>
  <c r="AV82" i="38"/>
  <c r="AW82" i="38"/>
  <c r="AX82" i="38"/>
  <c r="AY82" i="38"/>
  <c r="AZ82" i="38"/>
  <c r="BA82" i="38"/>
  <c r="BB82" i="38"/>
  <c r="BC82" i="38"/>
  <c r="BD82" i="38"/>
  <c r="BE82" i="38"/>
  <c r="BF82" i="38"/>
  <c r="BG82" i="38"/>
  <c r="BH82" i="38"/>
  <c r="BI82" i="38"/>
  <c r="BJ82" i="38"/>
  <c r="BK82" i="38"/>
  <c r="BL82" i="38"/>
  <c r="BM82" i="38"/>
  <c r="BN82" i="38"/>
  <c r="BO82" i="38"/>
  <c r="BP82" i="38"/>
  <c r="BQ82" i="38"/>
  <c r="BR82" i="38"/>
  <c r="BS82" i="38"/>
  <c r="BT82" i="38"/>
  <c r="BU82" i="38"/>
  <c r="BV82" i="38"/>
  <c r="BW82" i="38"/>
  <c r="BX82" i="38"/>
  <c r="BY82" i="38"/>
  <c r="BZ82" i="38"/>
  <c r="CA82" i="38"/>
  <c r="CB82" i="38"/>
  <c r="CC82" i="38"/>
  <c r="CD82" i="38"/>
  <c r="CE82" i="38"/>
  <c r="CF82" i="38"/>
  <c r="CG82" i="38"/>
  <c r="CH82" i="38"/>
  <c r="CI82" i="38"/>
  <c r="CJ82" i="38"/>
  <c r="CK82" i="38"/>
  <c r="CL82" i="38"/>
  <c r="CM82" i="38"/>
  <c r="CN82" i="38"/>
  <c r="CO82" i="38"/>
  <c r="CP82" i="38"/>
  <c r="CQ82" i="38"/>
  <c r="CR82" i="38"/>
  <c r="CS82" i="38"/>
  <c r="CT82" i="38"/>
  <c r="CU82" i="38"/>
  <c r="CV82" i="38"/>
  <c r="CW82" i="38"/>
  <c r="CX82" i="38"/>
  <c r="CY82" i="38"/>
  <c r="CZ82" i="38"/>
  <c r="DA82" i="38"/>
  <c r="DB82" i="38"/>
  <c r="DC82" i="38"/>
  <c r="DD82" i="38"/>
  <c r="DE82" i="38"/>
  <c r="DF82" i="38"/>
  <c r="DG82" i="38"/>
  <c r="DH82" i="38"/>
  <c r="DI82" i="38"/>
  <c r="DJ82" i="38"/>
  <c r="DK82" i="38"/>
  <c r="DL82" i="38"/>
  <c r="DM82" i="38"/>
  <c r="DN82" i="38"/>
  <c r="DO82" i="38"/>
  <c r="DP82" i="38"/>
  <c r="DQ82" i="38"/>
  <c r="DR82" i="38"/>
  <c r="DS82" i="38"/>
  <c r="DT82" i="38"/>
  <c r="DU82" i="38"/>
  <c r="DV82" i="38"/>
  <c r="DW82" i="38"/>
  <c r="DX82" i="38"/>
  <c r="DY82" i="38"/>
  <c r="DZ82" i="38"/>
  <c r="EA82" i="38"/>
  <c r="EB82" i="38"/>
  <c r="EC82" i="38"/>
  <c r="ED82" i="38"/>
  <c r="EE82" i="38"/>
  <c r="EF82" i="38"/>
  <c r="EG82" i="38"/>
  <c r="EH82" i="38"/>
  <c r="EI82" i="38"/>
  <c r="EJ82" i="38"/>
  <c r="EK82" i="38"/>
  <c r="EL82" i="38"/>
  <c r="EM82" i="38"/>
  <c r="EN82" i="38"/>
  <c r="EO82" i="38"/>
  <c r="EP82" i="38"/>
  <c r="EQ82" i="38"/>
  <c r="ER82" i="38"/>
  <c r="ES82" i="38"/>
  <c r="ET82" i="38"/>
  <c r="EU82" i="38"/>
  <c r="EV82" i="38"/>
  <c r="EW82" i="38"/>
  <c r="EX82" i="38"/>
  <c r="EY82" i="38"/>
  <c r="EZ82" i="38"/>
  <c r="Z83" i="38"/>
  <c r="AA83" i="38"/>
  <c r="AB83" i="38"/>
  <c r="AC83" i="38"/>
  <c r="AD83" i="38"/>
  <c r="AE83" i="38"/>
  <c r="AF83" i="38"/>
  <c r="AG83" i="38"/>
  <c r="AH83" i="38"/>
  <c r="AI83" i="38"/>
  <c r="AJ83" i="38"/>
  <c r="AK83" i="38"/>
  <c r="AL83" i="38"/>
  <c r="AM83" i="38"/>
  <c r="AN83" i="38"/>
  <c r="AO83" i="38"/>
  <c r="AP83" i="38"/>
  <c r="AQ83" i="38"/>
  <c r="AR83" i="38"/>
  <c r="AS83" i="38"/>
  <c r="AT83" i="38"/>
  <c r="AU83" i="38"/>
  <c r="AV83" i="38"/>
  <c r="AW83" i="38"/>
  <c r="AX83" i="38"/>
  <c r="AY83" i="38"/>
  <c r="AZ83" i="38"/>
  <c r="BA83" i="38"/>
  <c r="BB83" i="38"/>
  <c r="BC83" i="38"/>
  <c r="BD83" i="38"/>
  <c r="BE83" i="38"/>
  <c r="BF83" i="38"/>
  <c r="BG83" i="38"/>
  <c r="BH83" i="38"/>
  <c r="BI83" i="38"/>
  <c r="BJ83" i="38"/>
  <c r="BK83" i="38"/>
  <c r="BL83" i="38"/>
  <c r="BM83" i="38"/>
  <c r="BN83" i="38"/>
  <c r="BO83" i="38"/>
  <c r="BP83" i="38"/>
  <c r="BQ83" i="38"/>
  <c r="BR83" i="38"/>
  <c r="BS83" i="38"/>
  <c r="BT83" i="38"/>
  <c r="BU83" i="38"/>
  <c r="BV83" i="38"/>
  <c r="BW83" i="38"/>
  <c r="BX83" i="38"/>
  <c r="BY83" i="38"/>
  <c r="BZ83" i="38"/>
  <c r="CA83" i="38"/>
  <c r="CB83" i="38"/>
  <c r="CC83" i="38"/>
  <c r="CD83" i="38"/>
  <c r="CE83" i="38"/>
  <c r="CF83" i="38"/>
  <c r="CG83" i="38"/>
  <c r="CH83" i="38"/>
  <c r="CI83" i="38"/>
  <c r="CJ83" i="38"/>
  <c r="CK83" i="38"/>
  <c r="CL83" i="38"/>
  <c r="CM83" i="38"/>
  <c r="CN83" i="38"/>
  <c r="CO83" i="38"/>
  <c r="CP83" i="38"/>
  <c r="CQ83" i="38"/>
  <c r="CR83" i="38"/>
  <c r="CS83" i="38"/>
  <c r="CT83" i="38"/>
  <c r="CU83" i="38"/>
  <c r="CV83" i="38"/>
  <c r="CW83" i="38"/>
  <c r="CX83" i="38"/>
  <c r="CY83" i="38"/>
  <c r="CZ83" i="38"/>
  <c r="DA83" i="38"/>
  <c r="DB83" i="38"/>
  <c r="DC83" i="38"/>
  <c r="DD83" i="38"/>
  <c r="DE83" i="38"/>
  <c r="DF83" i="38"/>
  <c r="DG83" i="38"/>
  <c r="DH83" i="38"/>
  <c r="DI83" i="38"/>
  <c r="DJ83" i="38"/>
  <c r="DK83" i="38"/>
  <c r="DL83" i="38"/>
  <c r="DM83" i="38"/>
  <c r="DN83" i="38"/>
  <c r="DO83" i="38"/>
  <c r="DP83" i="38"/>
  <c r="DQ83" i="38"/>
  <c r="DR83" i="38"/>
  <c r="DS83" i="38"/>
  <c r="DT83" i="38"/>
  <c r="DU83" i="38"/>
  <c r="DV83" i="38"/>
  <c r="DW83" i="38"/>
  <c r="DX83" i="38"/>
  <c r="DY83" i="38"/>
  <c r="DZ83" i="38"/>
  <c r="EA83" i="38"/>
  <c r="EB83" i="38"/>
  <c r="EC83" i="38"/>
  <c r="ED83" i="38"/>
  <c r="EE83" i="38"/>
  <c r="EF83" i="38"/>
  <c r="EG83" i="38"/>
  <c r="EH83" i="38"/>
  <c r="EI83" i="38"/>
  <c r="EJ83" i="38"/>
  <c r="EK83" i="38"/>
  <c r="EL83" i="38"/>
  <c r="EM83" i="38"/>
  <c r="EN83" i="38"/>
  <c r="EO83" i="38"/>
  <c r="EP83" i="38"/>
  <c r="EQ83" i="38"/>
  <c r="ER83" i="38"/>
  <c r="ES83" i="38"/>
  <c r="ET83" i="38"/>
  <c r="EU83" i="38"/>
  <c r="EV83" i="38"/>
  <c r="EW83" i="38"/>
  <c r="EX83" i="38"/>
  <c r="EY83" i="38"/>
  <c r="EZ83" i="38"/>
  <c r="Z84" i="38"/>
  <c r="AA84" i="38"/>
  <c r="AB84" i="38"/>
  <c r="AC84" i="38"/>
  <c r="AD84" i="38"/>
  <c r="AE84" i="38"/>
  <c r="AF84" i="38"/>
  <c r="AG84" i="38"/>
  <c r="AH84" i="38"/>
  <c r="AI84" i="38"/>
  <c r="AJ84" i="38"/>
  <c r="AK84" i="38"/>
  <c r="AL84" i="38"/>
  <c r="AM84" i="38"/>
  <c r="AN84" i="38"/>
  <c r="AO84" i="38"/>
  <c r="AP84" i="38"/>
  <c r="AQ84" i="38"/>
  <c r="AR84" i="38"/>
  <c r="AS84" i="38"/>
  <c r="AT84" i="38"/>
  <c r="AU84" i="38"/>
  <c r="AV84" i="38"/>
  <c r="AW84" i="38"/>
  <c r="AX84" i="38"/>
  <c r="AY84" i="38"/>
  <c r="AZ84" i="38"/>
  <c r="BA84" i="38"/>
  <c r="BB84" i="38"/>
  <c r="BC84" i="38"/>
  <c r="BD84" i="38"/>
  <c r="BE84" i="38"/>
  <c r="BF84" i="38"/>
  <c r="BG84" i="38"/>
  <c r="BH84" i="38"/>
  <c r="BI84" i="38"/>
  <c r="BJ84" i="38"/>
  <c r="BK84" i="38"/>
  <c r="BL84" i="38"/>
  <c r="BM84" i="38"/>
  <c r="BN84" i="38"/>
  <c r="BO84" i="38"/>
  <c r="BP84" i="38"/>
  <c r="BQ84" i="38"/>
  <c r="BR84" i="38"/>
  <c r="BS84" i="38"/>
  <c r="BT84" i="38"/>
  <c r="BU84" i="38"/>
  <c r="BV84" i="38"/>
  <c r="BW84" i="38"/>
  <c r="BX84" i="38"/>
  <c r="BY84" i="38"/>
  <c r="BZ84" i="38"/>
  <c r="CA84" i="38"/>
  <c r="CB84" i="38"/>
  <c r="CC84" i="38"/>
  <c r="CD84" i="38"/>
  <c r="CE84" i="38"/>
  <c r="CF84" i="38"/>
  <c r="CG84" i="38"/>
  <c r="CH84" i="38"/>
  <c r="CI84" i="38"/>
  <c r="CJ84" i="38"/>
  <c r="CK84" i="38"/>
  <c r="CL84" i="38"/>
  <c r="CM84" i="38"/>
  <c r="CN84" i="38"/>
  <c r="CO84" i="38"/>
  <c r="CP84" i="38"/>
  <c r="CQ84" i="38"/>
  <c r="CR84" i="38"/>
  <c r="CS84" i="38"/>
  <c r="CT84" i="38"/>
  <c r="CU84" i="38"/>
  <c r="CV84" i="38"/>
  <c r="CW84" i="38"/>
  <c r="CX84" i="38"/>
  <c r="CY84" i="38"/>
  <c r="CZ84" i="38"/>
  <c r="DA84" i="38"/>
  <c r="DB84" i="38"/>
  <c r="DC84" i="38"/>
  <c r="DD84" i="38"/>
  <c r="DE84" i="38"/>
  <c r="DF84" i="38"/>
  <c r="DG84" i="38"/>
  <c r="DH84" i="38"/>
  <c r="DI84" i="38"/>
  <c r="DJ84" i="38"/>
  <c r="DK84" i="38"/>
  <c r="DL84" i="38"/>
  <c r="DM84" i="38"/>
  <c r="DN84" i="38"/>
  <c r="DO84" i="38"/>
  <c r="DP84" i="38"/>
  <c r="DQ84" i="38"/>
  <c r="DR84" i="38"/>
  <c r="DS84" i="38"/>
  <c r="DT84" i="38"/>
  <c r="DU84" i="38"/>
  <c r="DV84" i="38"/>
  <c r="DW84" i="38"/>
  <c r="DX84" i="38"/>
  <c r="DY84" i="38"/>
  <c r="DZ84" i="38"/>
  <c r="EA84" i="38"/>
  <c r="EB84" i="38"/>
  <c r="EC84" i="38"/>
  <c r="ED84" i="38"/>
  <c r="EE84" i="38"/>
  <c r="EF84" i="38"/>
  <c r="EG84" i="38"/>
  <c r="EH84" i="38"/>
  <c r="EI84" i="38"/>
  <c r="EJ84" i="38"/>
  <c r="EK84" i="38"/>
  <c r="EL84" i="38"/>
  <c r="EM84" i="38"/>
  <c r="EN84" i="38"/>
  <c r="EO84" i="38"/>
  <c r="EP84" i="38"/>
  <c r="EQ84" i="38"/>
  <c r="ER84" i="38"/>
  <c r="ES84" i="38"/>
  <c r="ET84" i="38"/>
  <c r="EU84" i="38"/>
  <c r="EV84" i="38"/>
  <c r="EW84" i="38"/>
  <c r="EX84" i="38"/>
  <c r="EY84" i="38"/>
  <c r="EZ84" i="38"/>
  <c r="Z85" i="38"/>
  <c r="AA85" i="38"/>
  <c r="AB85" i="38"/>
  <c r="AC85" i="38"/>
  <c r="AD85" i="38"/>
  <c r="AE85" i="38"/>
  <c r="AF85" i="38"/>
  <c r="AG85" i="38"/>
  <c r="AH85" i="38"/>
  <c r="AI85" i="38"/>
  <c r="AJ85" i="38"/>
  <c r="AK85" i="38"/>
  <c r="AL85" i="38"/>
  <c r="AM85" i="38"/>
  <c r="AN85" i="38"/>
  <c r="AO85" i="38"/>
  <c r="AP85" i="38"/>
  <c r="AQ85" i="38"/>
  <c r="AR85" i="38"/>
  <c r="AS85" i="38"/>
  <c r="AT85" i="38"/>
  <c r="AU85" i="38"/>
  <c r="AV85" i="38"/>
  <c r="AW85" i="38"/>
  <c r="AX85" i="38"/>
  <c r="AY85" i="38"/>
  <c r="AZ85" i="38"/>
  <c r="BA85" i="38"/>
  <c r="BB85" i="38"/>
  <c r="BC85" i="38"/>
  <c r="BD85" i="38"/>
  <c r="BE85" i="38"/>
  <c r="BF85" i="38"/>
  <c r="BG85" i="38"/>
  <c r="BH85" i="38"/>
  <c r="BI85" i="38"/>
  <c r="BJ85" i="38"/>
  <c r="BK85" i="38"/>
  <c r="BL85" i="38"/>
  <c r="BM85" i="38"/>
  <c r="BN85" i="38"/>
  <c r="BO85" i="38"/>
  <c r="BP85" i="38"/>
  <c r="BQ85" i="38"/>
  <c r="BR85" i="38"/>
  <c r="BS85" i="38"/>
  <c r="BT85" i="38"/>
  <c r="BU85" i="38"/>
  <c r="BV85" i="38"/>
  <c r="BW85" i="38"/>
  <c r="BX85" i="38"/>
  <c r="BY85" i="38"/>
  <c r="BZ85" i="38"/>
  <c r="CA85" i="38"/>
  <c r="CB85" i="38"/>
  <c r="CC85" i="38"/>
  <c r="CD85" i="38"/>
  <c r="CE85" i="38"/>
  <c r="CF85" i="38"/>
  <c r="CG85" i="38"/>
  <c r="CH85" i="38"/>
  <c r="CI85" i="38"/>
  <c r="CJ85" i="38"/>
  <c r="CK85" i="38"/>
  <c r="CL85" i="38"/>
  <c r="CM85" i="38"/>
  <c r="CN85" i="38"/>
  <c r="CO85" i="38"/>
  <c r="CP85" i="38"/>
  <c r="CQ85" i="38"/>
  <c r="CR85" i="38"/>
  <c r="CS85" i="38"/>
  <c r="CT85" i="38"/>
  <c r="CU85" i="38"/>
  <c r="CV85" i="38"/>
  <c r="CW85" i="38"/>
  <c r="CX85" i="38"/>
  <c r="CY85" i="38"/>
  <c r="CZ85" i="38"/>
  <c r="DA85" i="38"/>
  <c r="DB85" i="38"/>
  <c r="DC85" i="38"/>
  <c r="DD85" i="38"/>
  <c r="DE85" i="38"/>
  <c r="DF85" i="38"/>
  <c r="DG85" i="38"/>
  <c r="DH85" i="38"/>
  <c r="DI85" i="38"/>
  <c r="DJ85" i="38"/>
  <c r="DK85" i="38"/>
  <c r="DL85" i="38"/>
  <c r="DM85" i="38"/>
  <c r="DN85" i="38"/>
  <c r="DO85" i="38"/>
  <c r="DP85" i="38"/>
  <c r="DQ85" i="38"/>
  <c r="DR85" i="38"/>
  <c r="DS85" i="38"/>
  <c r="DT85" i="38"/>
  <c r="DU85" i="38"/>
  <c r="DV85" i="38"/>
  <c r="DW85" i="38"/>
  <c r="DX85" i="38"/>
  <c r="DY85" i="38"/>
  <c r="DZ85" i="38"/>
  <c r="EA85" i="38"/>
  <c r="EB85" i="38"/>
  <c r="EC85" i="38"/>
  <c r="ED85" i="38"/>
  <c r="EE85" i="38"/>
  <c r="EF85" i="38"/>
  <c r="EG85" i="38"/>
  <c r="EH85" i="38"/>
  <c r="EI85" i="38"/>
  <c r="EJ85" i="38"/>
  <c r="EK85" i="38"/>
  <c r="EL85" i="38"/>
  <c r="EM85" i="38"/>
  <c r="EN85" i="38"/>
  <c r="EO85" i="38"/>
  <c r="EP85" i="38"/>
  <c r="EQ85" i="38"/>
  <c r="ER85" i="38"/>
  <c r="ES85" i="38"/>
  <c r="ET85" i="38"/>
  <c r="EU85" i="38"/>
  <c r="EV85" i="38"/>
  <c r="EW85" i="38"/>
  <c r="EX85" i="38"/>
  <c r="EY85" i="38"/>
  <c r="EZ85" i="38"/>
  <c r="Z86" i="38"/>
  <c r="AA86" i="38"/>
  <c r="AB86" i="38"/>
  <c r="AC86" i="38"/>
  <c r="AD86" i="38"/>
  <c r="AE86" i="38"/>
  <c r="AF86" i="38"/>
  <c r="AG86" i="38"/>
  <c r="AH86" i="38"/>
  <c r="AI86" i="38"/>
  <c r="AJ86" i="38"/>
  <c r="AK86" i="38"/>
  <c r="AL86" i="38"/>
  <c r="AM86" i="38"/>
  <c r="AN86" i="38"/>
  <c r="AO86" i="38"/>
  <c r="AP86" i="38"/>
  <c r="AQ86" i="38"/>
  <c r="AR86" i="38"/>
  <c r="AS86" i="38"/>
  <c r="AT86" i="38"/>
  <c r="AU86" i="38"/>
  <c r="AV86" i="38"/>
  <c r="AW86" i="38"/>
  <c r="AX86" i="38"/>
  <c r="AY86" i="38"/>
  <c r="AZ86" i="38"/>
  <c r="BA86" i="38"/>
  <c r="BB86" i="38"/>
  <c r="BC86" i="38"/>
  <c r="BD86" i="38"/>
  <c r="BE86" i="38"/>
  <c r="BF86" i="38"/>
  <c r="BG86" i="38"/>
  <c r="BH86" i="38"/>
  <c r="BI86" i="38"/>
  <c r="BJ86" i="38"/>
  <c r="BK86" i="38"/>
  <c r="BL86" i="38"/>
  <c r="BM86" i="38"/>
  <c r="BN86" i="38"/>
  <c r="BO86" i="38"/>
  <c r="BP86" i="38"/>
  <c r="BQ86" i="38"/>
  <c r="BR86" i="38"/>
  <c r="BS86" i="38"/>
  <c r="BT86" i="38"/>
  <c r="BU86" i="38"/>
  <c r="BV86" i="38"/>
  <c r="BW86" i="38"/>
  <c r="BX86" i="38"/>
  <c r="BY86" i="38"/>
  <c r="BZ86" i="38"/>
  <c r="CA86" i="38"/>
  <c r="CB86" i="38"/>
  <c r="CC86" i="38"/>
  <c r="CD86" i="38"/>
  <c r="CE86" i="38"/>
  <c r="CF86" i="38"/>
  <c r="CG86" i="38"/>
  <c r="CH86" i="38"/>
  <c r="CI86" i="38"/>
  <c r="CJ86" i="38"/>
  <c r="CK86" i="38"/>
  <c r="CL86" i="38"/>
  <c r="CM86" i="38"/>
  <c r="CN86" i="38"/>
  <c r="CO86" i="38"/>
  <c r="CP86" i="38"/>
  <c r="CQ86" i="38"/>
  <c r="CR86" i="38"/>
  <c r="CS86" i="38"/>
  <c r="CT86" i="38"/>
  <c r="CU86" i="38"/>
  <c r="CV86" i="38"/>
  <c r="CW86" i="38"/>
  <c r="CX86" i="38"/>
  <c r="CY86" i="38"/>
  <c r="CZ86" i="38"/>
  <c r="DA86" i="38"/>
  <c r="DB86" i="38"/>
  <c r="DC86" i="38"/>
  <c r="DD86" i="38"/>
  <c r="DE86" i="38"/>
  <c r="DF86" i="38"/>
  <c r="DG86" i="38"/>
  <c r="DH86" i="38"/>
  <c r="DI86" i="38"/>
  <c r="DJ86" i="38"/>
  <c r="DK86" i="38"/>
  <c r="DL86" i="38"/>
  <c r="DM86" i="38"/>
  <c r="DN86" i="38"/>
  <c r="DO86" i="38"/>
  <c r="DP86" i="38"/>
  <c r="DQ86" i="38"/>
  <c r="DR86" i="38"/>
  <c r="DS86" i="38"/>
  <c r="DT86" i="38"/>
  <c r="DU86" i="38"/>
  <c r="DV86" i="38"/>
  <c r="DW86" i="38"/>
  <c r="DX86" i="38"/>
  <c r="DY86" i="38"/>
  <c r="DZ86" i="38"/>
  <c r="EA86" i="38"/>
  <c r="EB86" i="38"/>
  <c r="EC86" i="38"/>
  <c r="ED86" i="38"/>
  <c r="EE86" i="38"/>
  <c r="EF86" i="38"/>
  <c r="EG86" i="38"/>
  <c r="EH86" i="38"/>
  <c r="EI86" i="38"/>
  <c r="EJ86" i="38"/>
  <c r="EK86" i="38"/>
  <c r="EL86" i="38"/>
  <c r="EM86" i="38"/>
  <c r="EN86" i="38"/>
  <c r="EO86" i="38"/>
  <c r="EP86" i="38"/>
  <c r="EQ86" i="38"/>
  <c r="ER86" i="38"/>
  <c r="ES86" i="38"/>
  <c r="ET86" i="38"/>
  <c r="EU86" i="38"/>
  <c r="EV86" i="38"/>
  <c r="EW86" i="38"/>
  <c r="EX86" i="38"/>
  <c r="EY86" i="38"/>
  <c r="EZ86" i="38"/>
  <c r="Z87" i="38"/>
  <c r="AA87" i="38"/>
  <c r="AB87" i="38"/>
  <c r="AC87" i="38"/>
  <c r="AD87" i="38"/>
  <c r="AE87" i="38"/>
  <c r="AF87" i="38"/>
  <c r="AG87" i="38"/>
  <c r="AH87" i="38"/>
  <c r="AI87" i="38"/>
  <c r="AJ87" i="38"/>
  <c r="AK87" i="38"/>
  <c r="AL87" i="38"/>
  <c r="AM87" i="38"/>
  <c r="AN87" i="38"/>
  <c r="AO87" i="38"/>
  <c r="AP87" i="38"/>
  <c r="AQ87" i="38"/>
  <c r="AR87" i="38"/>
  <c r="AS87" i="38"/>
  <c r="AT87" i="38"/>
  <c r="AU87" i="38"/>
  <c r="AV87" i="38"/>
  <c r="AW87" i="38"/>
  <c r="AX87" i="38"/>
  <c r="AY87" i="38"/>
  <c r="AZ87" i="38"/>
  <c r="BA87" i="38"/>
  <c r="BB87" i="38"/>
  <c r="BC87" i="38"/>
  <c r="BD87" i="38"/>
  <c r="BE87" i="38"/>
  <c r="BF87" i="38"/>
  <c r="BG87" i="38"/>
  <c r="BH87" i="38"/>
  <c r="BI87" i="38"/>
  <c r="BJ87" i="38"/>
  <c r="BK87" i="38"/>
  <c r="BL87" i="38"/>
  <c r="BM87" i="38"/>
  <c r="BN87" i="38"/>
  <c r="BO87" i="38"/>
  <c r="BP87" i="38"/>
  <c r="BQ87" i="38"/>
  <c r="BR87" i="38"/>
  <c r="BS87" i="38"/>
  <c r="BT87" i="38"/>
  <c r="BU87" i="38"/>
  <c r="BV87" i="38"/>
  <c r="BW87" i="38"/>
  <c r="BX87" i="38"/>
  <c r="BY87" i="38"/>
  <c r="BZ87" i="38"/>
  <c r="CA87" i="38"/>
  <c r="CB87" i="38"/>
  <c r="CC87" i="38"/>
  <c r="CD87" i="38"/>
  <c r="CE87" i="38"/>
  <c r="CF87" i="38"/>
  <c r="CG87" i="38"/>
  <c r="CH87" i="38"/>
  <c r="CI87" i="38"/>
  <c r="CJ87" i="38"/>
  <c r="CK87" i="38"/>
  <c r="CL87" i="38"/>
  <c r="CM87" i="38"/>
  <c r="CN87" i="38"/>
  <c r="CO87" i="38"/>
  <c r="CP87" i="38"/>
  <c r="CQ87" i="38"/>
  <c r="CR87" i="38"/>
  <c r="CS87" i="38"/>
  <c r="CT87" i="38"/>
  <c r="CU87" i="38"/>
  <c r="CV87" i="38"/>
  <c r="CW87" i="38"/>
  <c r="CX87" i="38"/>
  <c r="CY87" i="38"/>
  <c r="CZ87" i="38"/>
  <c r="DA87" i="38"/>
  <c r="DB87" i="38"/>
  <c r="DC87" i="38"/>
  <c r="DD87" i="38"/>
  <c r="DE87" i="38"/>
  <c r="DF87" i="38"/>
  <c r="DG87" i="38"/>
  <c r="DH87" i="38"/>
  <c r="DI87" i="38"/>
  <c r="DJ87" i="38"/>
  <c r="DK87" i="38"/>
  <c r="DL87" i="38"/>
  <c r="DM87" i="38"/>
  <c r="DN87" i="38"/>
  <c r="DO87" i="38"/>
  <c r="DP87" i="38"/>
  <c r="DQ87" i="38"/>
  <c r="DR87" i="38"/>
  <c r="DS87" i="38"/>
  <c r="DT87" i="38"/>
  <c r="DU87" i="38"/>
  <c r="DV87" i="38"/>
  <c r="DW87" i="38"/>
  <c r="DX87" i="38"/>
  <c r="DY87" i="38"/>
  <c r="DZ87" i="38"/>
  <c r="EA87" i="38"/>
  <c r="EB87" i="38"/>
  <c r="EC87" i="38"/>
  <c r="ED87" i="38"/>
  <c r="EE87" i="38"/>
  <c r="EF87" i="38"/>
  <c r="EG87" i="38"/>
  <c r="EH87" i="38"/>
  <c r="EI87" i="38"/>
  <c r="EJ87" i="38"/>
  <c r="EK87" i="38"/>
  <c r="EL87" i="38"/>
  <c r="EM87" i="38"/>
  <c r="EN87" i="38"/>
  <c r="EO87" i="38"/>
  <c r="EP87" i="38"/>
  <c r="EQ87" i="38"/>
  <c r="ER87" i="38"/>
  <c r="ES87" i="38"/>
  <c r="ET87" i="38"/>
  <c r="EU87" i="38"/>
  <c r="EV87" i="38"/>
  <c r="EW87" i="38"/>
  <c r="EX87" i="38"/>
  <c r="EY87" i="38"/>
  <c r="EZ87" i="38"/>
  <c r="Z88" i="38"/>
  <c r="AA88" i="38"/>
  <c r="AB88" i="38"/>
  <c r="AC88" i="38"/>
  <c r="AD88" i="38"/>
  <c r="AE88" i="38"/>
  <c r="AF88" i="38"/>
  <c r="AG88" i="38"/>
  <c r="AH88" i="38"/>
  <c r="AI88" i="38"/>
  <c r="AJ88" i="38"/>
  <c r="AK88" i="38"/>
  <c r="AL88" i="38"/>
  <c r="AM88" i="38"/>
  <c r="AN88" i="38"/>
  <c r="AO88" i="38"/>
  <c r="AP88" i="38"/>
  <c r="AQ88" i="38"/>
  <c r="AR88" i="38"/>
  <c r="AS88" i="38"/>
  <c r="AT88" i="38"/>
  <c r="AU88" i="38"/>
  <c r="AV88" i="38"/>
  <c r="AW88" i="38"/>
  <c r="AX88" i="38"/>
  <c r="AY88" i="38"/>
  <c r="AZ88" i="38"/>
  <c r="BA88" i="38"/>
  <c r="BB88" i="38"/>
  <c r="BC88" i="38"/>
  <c r="BD88" i="38"/>
  <c r="BE88" i="38"/>
  <c r="BF88" i="38"/>
  <c r="BG88" i="38"/>
  <c r="BH88" i="38"/>
  <c r="BI88" i="38"/>
  <c r="BJ88" i="38"/>
  <c r="BK88" i="38"/>
  <c r="BL88" i="38"/>
  <c r="BM88" i="38"/>
  <c r="BN88" i="38"/>
  <c r="BO88" i="38"/>
  <c r="BP88" i="38"/>
  <c r="BQ88" i="38"/>
  <c r="BR88" i="38"/>
  <c r="BS88" i="38"/>
  <c r="BT88" i="38"/>
  <c r="BU88" i="38"/>
  <c r="BV88" i="38"/>
  <c r="BW88" i="38"/>
  <c r="BX88" i="38"/>
  <c r="BY88" i="38"/>
  <c r="BZ88" i="38"/>
  <c r="CA88" i="38"/>
  <c r="CB88" i="38"/>
  <c r="CC88" i="38"/>
  <c r="CD88" i="38"/>
  <c r="CE88" i="38"/>
  <c r="CF88" i="38"/>
  <c r="CG88" i="38"/>
  <c r="CH88" i="38"/>
  <c r="CI88" i="38"/>
  <c r="CJ88" i="38"/>
  <c r="CK88" i="38"/>
  <c r="CL88" i="38"/>
  <c r="CM88" i="38"/>
  <c r="CN88" i="38"/>
  <c r="CO88" i="38"/>
  <c r="CP88" i="38"/>
  <c r="CQ88" i="38"/>
  <c r="CR88" i="38"/>
  <c r="CS88" i="38"/>
  <c r="CT88" i="38"/>
  <c r="CU88" i="38"/>
  <c r="CV88" i="38"/>
  <c r="CW88" i="38"/>
  <c r="CX88" i="38"/>
  <c r="CY88" i="38"/>
  <c r="CZ88" i="38"/>
  <c r="DA88" i="38"/>
  <c r="DB88" i="38"/>
  <c r="DC88" i="38"/>
  <c r="DD88" i="38"/>
  <c r="DE88" i="38"/>
  <c r="DF88" i="38"/>
  <c r="DG88" i="38"/>
  <c r="DH88" i="38"/>
  <c r="DI88" i="38"/>
  <c r="DJ88" i="38"/>
  <c r="DK88" i="38"/>
  <c r="DL88" i="38"/>
  <c r="DM88" i="38"/>
  <c r="DN88" i="38"/>
  <c r="DO88" i="38"/>
  <c r="DP88" i="38"/>
  <c r="DQ88" i="38"/>
  <c r="DR88" i="38"/>
  <c r="DS88" i="38"/>
  <c r="DT88" i="38"/>
  <c r="DU88" i="38"/>
  <c r="DV88" i="38"/>
  <c r="DW88" i="38"/>
  <c r="DX88" i="38"/>
  <c r="DY88" i="38"/>
  <c r="DZ88" i="38"/>
  <c r="EA88" i="38"/>
  <c r="EB88" i="38"/>
  <c r="EC88" i="38"/>
  <c r="ED88" i="38"/>
  <c r="EE88" i="38"/>
  <c r="EF88" i="38"/>
  <c r="EG88" i="38"/>
  <c r="EH88" i="38"/>
  <c r="EI88" i="38"/>
  <c r="EJ88" i="38"/>
  <c r="EK88" i="38"/>
  <c r="EL88" i="38"/>
  <c r="EM88" i="38"/>
  <c r="EN88" i="38"/>
  <c r="EO88" i="38"/>
  <c r="EP88" i="38"/>
  <c r="EQ88" i="38"/>
  <c r="ER88" i="38"/>
  <c r="ES88" i="38"/>
  <c r="ET88" i="38"/>
  <c r="EU88" i="38"/>
  <c r="EV88" i="38"/>
  <c r="EW88" i="38"/>
  <c r="EX88" i="38"/>
  <c r="EY88" i="38"/>
  <c r="EZ88" i="38"/>
  <c r="Z89" i="38"/>
  <c r="AA89" i="38"/>
  <c r="AB89" i="38"/>
  <c r="AC89" i="38"/>
  <c r="AD89" i="38"/>
  <c r="AE89" i="38"/>
  <c r="AF89" i="38"/>
  <c r="AG89" i="38"/>
  <c r="AH89" i="38"/>
  <c r="AI89" i="38"/>
  <c r="AJ89" i="38"/>
  <c r="AK89" i="38"/>
  <c r="AL89" i="38"/>
  <c r="AM89" i="38"/>
  <c r="AN89" i="38"/>
  <c r="AO89" i="38"/>
  <c r="AP89" i="38"/>
  <c r="AQ89" i="38"/>
  <c r="AR89" i="38"/>
  <c r="AS89" i="38"/>
  <c r="AT89" i="38"/>
  <c r="AU89" i="38"/>
  <c r="AV89" i="38"/>
  <c r="AW89" i="38"/>
  <c r="AX89" i="38"/>
  <c r="AY89" i="38"/>
  <c r="AZ89" i="38"/>
  <c r="BA89" i="38"/>
  <c r="BB89" i="38"/>
  <c r="BC89" i="38"/>
  <c r="BD89" i="38"/>
  <c r="BE89" i="38"/>
  <c r="BF89" i="38"/>
  <c r="BG89" i="38"/>
  <c r="BH89" i="38"/>
  <c r="BI89" i="38"/>
  <c r="BJ89" i="38"/>
  <c r="BK89" i="38"/>
  <c r="BL89" i="38"/>
  <c r="BM89" i="38"/>
  <c r="BN89" i="38"/>
  <c r="BO89" i="38"/>
  <c r="BP89" i="38"/>
  <c r="BQ89" i="38"/>
  <c r="BR89" i="38"/>
  <c r="BS89" i="38"/>
  <c r="BT89" i="38"/>
  <c r="BU89" i="38"/>
  <c r="BV89" i="38"/>
  <c r="BW89" i="38"/>
  <c r="BX89" i="38"/>
  <c r="BY89" i="38"/>
  <c r="BZ89" i="38"/>
  <c r="CA89" i="38"/>
  <c r="CB89" i="38"/>
  <c r="CC89" i="38"/>
  <c r="CD89" i="38"/>
  <c r="CE89" i="38"/>
  <c r="CF89" i="38"/>
  <c r="CG89" i="38"/>
  <c r="CH89" i="38"/>
  <c r="CI89" i="38"/>
  <c r="CJ89" i="38"/>
  <c r="CK89" i="38"/>
  <c r="CL89" i="38"/>
  <c r="CM89" i="38"/>
  <c r="CN89" i="38"/>
  <c r="CO89" i="38"/>
  <c r="CP89" i="38"/>
  <c r="CQ89" i="38"/>
  <c r="CR89" i="38"/>
  <c r="CS89" i="38"/>
  <c r="CT89" i="38"/>
  <c r="CU89" i="38"/>
  <c r="CV89" i="38"/>
  <c r="CW89" i="38"/>
  <c r="CX89" i="38"/>
  <c r="CY89" i="38"/>
  <c r="CZ89" i="38"/>
  <c r="DA89" i="38"/>
  <c r="DB89" i="38"/>
  <c r="DC89" i="38"/>
  <c r="DD89" i="38"/>
  <c r="DE89" i="38"/>
  <c r="DF89" i="38"/>
  <c r="DG89" i="38"/>
  <c r="DH89" i="38"/>
  <c r="DI89" i="38"/>
  <c r="DJ89" i="38"/>
  <c r="DK89" i="38"/>
  <c r="DL89" i="38"/>
  <c r="DM89" i="38"/>
  <c r="DN89" i="38"/>
  <c r="DO89" i="38"/>
  <c r="DP89" i="38"/>
  <c r="DQ89" i="38"/>
  <c r="DR89" i="38"/>
  <c r="DS89" i="38"/>
  <c r="DT89" i="38"/>
  <c r="DU89" i="38"/>
  <c r="DV89" i="38"/>
  <c r="DW89" i="38"/>
  <c r="DX89" i="38"/>
  <c r="DY89" i="38"/>
  <c r="DZ89" i="38"/>
  <c r="EA89" i="38"/>
  <c r="EB89" i="38"/>
  <c r="EC89" i="38"/>
  <c r="ED89" i="38"/>
  <c r="EE89" i="38"/>
  <c r="EF89" i="38"/>
  <c r="EG89" i="38"/>
  <c r="EH89" i="38"/>
  <c r="EI89" i="38"/>
  <c r="EJ89" i="38"/>
  <c r="EK89" i="38"/>
  <c r="EL89" i="38"/>
  <c r="EM89" i="38"/>
  <c r="EN89" i="38"/>
  <c r="EO89" i="38"/>
  <c r="EP89" i="38"/>
  <c r="EQ89" i="38"/>
  <c r="ER89" i="38"/>
  <c r="ES89" i="38"/>
  <c r="ET89" i="38"/>
  <c r="EU89" i="38"/>
  <c r="EV89" i="38"/>
  <c r="EW89" i="38"/>
  <c r="EX89" i="38"/>
  <c r="EY89" i="38"/>
  <c r="EZ89" i="38"/>
  <c r="Z90" i="38"/>
  <c r="AA90" i="38"/>
  <c r="AB90" i="38"/>
  <c r="AC90" i="38"/>
  <c r="AD90" i="38"/>
  <c r="AE90" i="38"/>
  <c r="AF90" i="38"/>
  <c r="AG90" i="38"/>
  <c r="AH90" i="38"/>
  <c r="AI90" i="38"/>
  <c r="AJ90" i="38"/>
  <c r="AK90" i="38"/>
  <c r="AL90" i="38"/>
  <c r="AM90" i="38"/>
  <c r="AN90" i="38"/>
  <c r="AO90" i="38"/>
  <c r="AP90" i="38"/>
  <c r="AQ90" i="38"/>
  <c r="AR90" i="38"/>
  <c r="AS90" i="38"/>
  <c r="AT90" i="38"/>
  <c r="AU90" i="38"/>
  <c r="AV90" i="38"/>
  <c r="AW90" i="38"/>
  <c r="AX90" i="38"/>
  <c r="AY90" i="38"/>
  <c r="AZ90" i="38"/>
  <c r="BA90" i="38"/>
  <c r="BB90" i="38"/>
  <c r="BC90" i="38"/>
  <c r="BD90" i="38"/>
  <c r="BE90" i="38"/>
  <c r="BF90" i="38"/>
  <c r="BG90" i="38"/>
  <c r="BH90" i="38"/>
  <c r="BI90" i="38"/>
  <c r="BJ90" i="38"/>
  <c r="BK90" i="38"/>
  <c r="BL90" i="38"/>
  <c r="BM90" i="38"/>
  <c r="BN90" i="38"/>
  <c r="BO90" i="38"/>
  <c r="BP90" i="38"/>
  <c r="BQ90" i="38"/>
  <c r="BR90" i="38"/>
  <c r="BS90" i="38"/>
  <c r="BT90" i="38"/>
  <c r="BU90" i="38"/>
  <c r="BV90" i="38"/>
  <c r="BW90" i="38"/>
  <c r="BX90" i="38"/>
  <c r="BY90" i="38"/>
  <c r="BZ90" i="38"/>
  <c r="CA90" i="38"/>
  <c r="CB90" i="38"/>
  <c r="CC90" i="38"/>
  <c r="CD90" i="38"/>
  <c r="CE90" i="38"/>
  <c r="CF90" i="38"/>
  <c r="CG90" i="38"/>
  <c r="CH90" i="38"/>
  <c r="CI90" i="38"/>
  <c r="CJ90" i="38"/>
  <c r="CK90" i="38"/>
  <c r="CL90" i="38"/>
  <c r="CM90" i="38"/>
  <c r="CN90" i="38"/>
  <c r="CO90" i="38"/>
  <c r="CP90" i="38"/>
  <c r="CQ90" i="38"/>
  <c r="CR90" i="38"/>
  <c r="CS90" i="38"/>
  <c r="CT90" i="38"/>
  <c r="CU90" i="38"/>
  <c r="CV90" i="38"/>
  <c r="CW90" i="38"/>
  <c r="CX90" i="38"/>
  <c r="CY90" i="38"/>
  <c r="CZ90" i="38"/>
  <c r="DA90" i="38"/>
  <c r="DB90" i="38"/>
  <c r="DC90" i="38"/>
  <c r="DD90" i="38"/>
  <c r="DE90" i="38"/>
  <c r="DF90" i="38"/>
  <c r="DG90" i="38"/>
  <c r="DH90" i="38"/>
  <c r="DI90" i="38"/>
  <c r="DJ90" i="38"/>
  <c r="DK90" i="38"/>
  <c r="DL90" i="38"/>
  <c r="DM90" i="38"/>
  <c r="DN90" i="38"/>
  <c r="DO90" i="38"/>
  <c r="DP90" i="38"/>
  <c r="DQ90" i="38"/>
  <c r="DR90" i="38"/>
  <c r="DS90" i="38"/>
  <c r="DT90" i="38"/>
  <c r="DU90" i="38"/>
  <c r="DV90" i="38"/>
  <c r="DW90" i="38"/>
  <c r="DX90" i="38"/>
  <c r="DY90" i="38"/>
  <c r="DZ90" i="38"/>
  <c r="EA90" i="38"/>
  <c r="EB90" i="38"/>
  <c r="EC90" i="38"/>
  <c r="ED90" i="38"/>
  <c r="EE90" i="38"/>
  <c r="EF90" i="38"/>
  <c r="EG90" i="38"/>
  <c r="EH90" i="38"/>
  <c r="EI90" i="38"/>
  <c r="EJ90" i="38"/>
  <c r="EK90" i="38"/>
  <c r="EL90" i="38"/>
  <c r="EM90" i="38"/>
  <c r="EN90" i="38"/>
  <c r="EO90" i="38"/>
  <c r="EP90" i="38"/>
  <c r="EQ90" i="38"/>
  <c r="ER90" i="38"/>
  <c r="ES90" i="38"/>
  <c r="ET90" i="38"/>
  <c r="EU90" i="38"/>
  <c r="EV90" i="38"/>
  <c r="EW90" i="38"/>
  <c r="EX90" i="38"/>
  <c r="EY90" i="38"/>
  <c r="EZ90" i="38"/>
  <c r="Z91" i="38"/>
  <c r="AA91" i="38"/>
  <c r="AB91" i="38"/>
  <c r="AC91" i="38"/>
  <c r="AD91" i="38"/>
  <c r="AE91" i="38"/>
  <c r="AF91" i="38"/>
  <c r="AG91" i="38"/>
  <c r="AH91" i="38"/>
  <c r="AI91" i="38"/>
  <c r="AJ91" i="38"/>
  <c r="AK91" i="38"/>
  <c r="AL91" i="38"/>
  <c r="AM91" i="38"/>
  <c r="AN91" i="38"/>
  <c r="AO91" i="38"/>
  <c r="AP91" i="38"/>
  <c r="AQ91" i="38"/>
  <c r="AR91" i="38"/>
  <c r="AS91" i="38"/>
  <c r="AT91" i="38"/>
  <c r="AU91" i="38"/>
  <c r="AV91" i="38"/>
  <c r="AW91" i="38"/>
  <c r="AX91" i="38"/>
  <c r="AY91" i="38"/>
  <c r="AZ91" i="38"/>
  <c r="BA91" i="38"/>
  <c r="BB91" i="38"/>
  <c r="BC91" i="38"/>
  <c r="BD91" i="38"/>
  <c r="BE91" i="38"/>
  <c r="BF91" i="38"/>
  <c r="BG91" i="38"/>
  <c r="BH91" i="38"/>
  <c r="BI91" i="38"/>
  <c r="BJ91" i="38"/>
  <c r="BK91" i="38"/>
  <c r="BL91" i="38"/>
  <c r="BM91" i="38"/>
  <c r="BN91" i="38"/>
  <c r="BO91" i="38"/>
  <c r="BP91" i="38"/>
  <c r="BQ91" i="38"/>
  <c r="BR91" i="38"/>
  <c r="BS91" i="38"/>
  <c r="BT91" i="38"/>
  <c r="BU91" i="38"/>
  <c r="BV91" i="38"/>
  <c r="BW91" i="38"/>
  <c r="BX91" i="38"/>
  <c r="BY91" i="38"/>
  <c r="BZ91" i="38"/>
  <c r="CA91" i="38"/>
  <c r="CB91" i="38"/>
  <c r="CC91" i="38"/>
  <c r="CD91" i="38"/>
  <c r="CE91" i="38"/>
  <c r="CF91" i="38"/>
  <c r="CG91" i="38"/>
  <c r="CH91" i="38"/>
  <c r="CI91" i="38"/>
  <c r="CJ91" i="38"/>
  <c r="CK91" i="38"/>
  <c r="CL91" i="38"/>
  <c r="CM91" i="38"/>
  <c r="CN91" i="38"/>
  <c r="CO91" i="38"/>
  <c r="CP91" i="38"/>
  <c r="CQ91" i="38"/>
  <c r="CR91" i="38"/>
  <c r="CS91" i="38"/>
  <c r="CT91" i="38"/>
  <c r="CU91" i="38"/>
  <c r="CV91" i="38"/>
  <c r="CW91" i="38"/>
  <c r="CX91" i="38"/>
  <c r="CY91" i="38"/>
  <c r="CZ91" i="38"/>
  <c r="DA91" i="38"/>
  <c r="DB91" i="38"/>
  <c r="DC91" i="38"/>
  <c r="DD91" i="38"/>
  <c r="DE91" i="38"/>
  <c r="DF91" i="38"/>
  <c r="DG91" i="38"/>
  <c r="DH91" i="38"/>
  <c r="DI91" i="38"/>
  <c r="DJ91" i="38"/>
  <c r="DK91" i="38"/>
  <c r="DL91" i="38"/>
  <c r="DM91" i="38"/>
  <c r="DN91" i="38"/>
  <c r="DO91" i="38"/>
  <c r="DP91" i="38"/>
  <c r="DQ91" i="38"/>
  <c r="DR91" i="38"/>
  <c r="DS91" i="38"/>
  <c r="DT91" i="38"/>
  <c r="DU91" i="38"/>
  <c r="DV91" i="38"/>
  <c r="DW91" i="38"/>
  <c r="DX91" i="38"/>
  <c r="DY91" i="38"/>
  <c r="DZ91" i="38"/>
  <c r="EA91" i="38"/>
  <c r="EB91" i="38"/>
  <c r="EC91" i="38"/>
  <c r="ED91" i="38"/>
  <c r="EE91" i="38"/>
  <c r="EF91" i="38"/>
  <c r="EG91" i="38"/>
  <c r="EH91" i="38"/>
  <c r="EI91" i="38"/>
  <c r="EJ91" i="38"/>
  <c r="EK91" i="38"/>
  <c r="EL91" i="38"/>
  <c r="EM91" i="38"/>
  <c r="EN91" i="38"/>
  <c r="EO91" i="38"/>
  <c r="EP91" i="38"/>
  <c r="EQ91" i="38"/>
  <c r="ER91" i="38"/>
  <c r="ES91" i="38"/>
  <c r="ET91" i="38"/>
  <c r="EU91" i="38"/>
  <c r="EV91" i="38"/>
  <c r="EW91" i="38"/>
  <c r="EX91" i="38"/>
  <c r="EY91" i="38"/>
  <c r="EZ91" i="38"/>
  <c r="Z92" i="38"/>
  <c r="AA92" i="38"/>
  <c r="AB92" i="38"/>
  <c r="AC92" i="38"/>
  <c r="AD92" i="38"/>
  <c r="AE92" i="38"/>
  <c r="AF92" i="38"/>
  <c r="AG92" i="38"/>
  <c r="AH92" i="38"/>
  <c r="AI92" i="38"/>
  <c r="AJ92" i="38"/>
  <c r="AK92" i="38"/>
  <c r="AL92" i="38"/>
  <c r="AM92" i="38"/>
  <c r="AN92" i="38"/>
  <c r="AO92" i="38"/>
  <c r="AP92" i="38"/>
  <c r="AQ92" i="38"/>
  <c r="AR92" i="38"/>
  <c r="AS92" i="38"/>
  <c r="AT92" i="38"/>
  <c r="AU92" i="38"/>
  <c r="AV92" i="38"/>
  <c r="AW92" i="38"/>
  <c r="AX92" i="38"/>
  <c r="AY92" i="38"/>
  <c r="AZ92" i="38"/>
  <c r="BA92" i="38"/>
  <c r="BB92" i="38"/>
  <c r="BC92" i="38"/>
  <c r="BD92" i="38"/>
  <c r="BE92" i="38"/>
  <c r="BF92" i="38"/>
  <c r="BG92" i="38"/>
  <c r="BH92" i="38"/>
  <c r="BI92" i="38"/>
  <c r="BJ92" i="38"/>
  <c r="BK92" i="38"/>
  <c r="BL92" i="38"/>
  <c r="BM92" i="38"/>
  <c r="BN92" i="38"/>
  <c r="BO92" i="38"/>
  <c r="BP92" i="38"/>
  <c r="BQ92" i="38"/>
  <c r="BR92" i="38"/>
  <c r="BS92" i="38"/>
  <c r="BT92" i="38"/>
  <c r="BU92" i="38"/>
  <c r="BV92" i="38"/>
  <c r="BW92" i="38"/>
  <c r="BX92" i="38"/>
  <c r="BY92" i="38"/>
  <c r="BZ92" i="38"/>
  <c r="CA92" i="38"/>
  <c r="CB92" i="38"/>
  <c r="CC92" i="38"/>
  <c r="CD92" i="38"/>
  <c r="CE92" i="38"/>
  <c r="CF92" i="38"/>
  <c r="CG92" i="38"/>
  <c r="CH92" i="38"/>
  <c r="CI92" i="38"/>
  <c r="CJ92" i="38"/>
  <c r="CK92" i="38"/>
  <c r="CL92" i="38"/>
  <c r="CM92" i="38"/>
  <c r="CN92" i="38"/>
  <c r="CO92" i="38"/>
  <c r="CP92" i="38"/>
  <c r="CQ92" i="38"/>
  <c r="CR92" i="38"/>
  <c r="CS92" i="38"/>
  <c r="CT92" i="38"/>
  <c r="CU92" i="38"/>
  <c r="CV92" i="38"/>
  <c r="CW92" i="38"/>
  <c r="CX92" i="38"/>
  <c r="CY92" i="38"/>
  <c r="CZ92" i="38"/>
  <c r="DA92" i="38"/>
  <c r="DB92" i="38"/>
  <c r="DC92" i="38"/>
  <c r="DD92" i="38"/>
  <c r="DE92" i="38"/>
  <c r="DF92" i="38"/>
  <c r="DG92" i="38"/>
  <c r="DH92" i="38"/>
  <c r="DI92" i="38"/>
  <c r="DJ92" i="38"/>
  <c r="DK92" i="38"/>
  <c r="DL92" i="38"/>
  <c r="DM92" i="38"/>
  <c r="DN92" i="38"/>
  <c r="DO92" i="38"/>
  <c r="DP92" i="38"/>
  <c r="DQ92" i="38"/>
  <c r="DR92" i="38"/>
  <c r="DS92" i="38"/>
  <c r="DT92" i="38"/>
  <c r="DU92" i="38"/>
  <c r="DV92" i="38"/>
  <c r="DW92" i="38"/>
  <c r="DX92" i="38"/>
  <c r="DY92" i="38"/>
  <c r="DZ92" i="38"/>
  <c r="EA92" i="38"/>
  <c r="EB92" i="38"/>
  <c r="EC92" i="38"/>
  <c r="ED92" i="38"/>
  <c r="EE92" i="38"/>
  <c r="EF92" i="38"/>
  <c r="EG92" i="38"/>
  <c r="EH92" i="38"/>
  <c r="EI92" i="38"/>
  <c r="EJ92" i="38"/>
  <c r="EK92" i="38"/>
  <c r="EL92" i="38"/>
  <c r="EM92" i="38"/>
  <c r="EN92" i="38"/>
  <c r="EO92" i="38"/>
  <c r="EP92" i="38"/>
  <c r="EQ92" i="38"/>
  <c r="ER92" i="38"/>
  <c r="ES92" i="38"/>
  <c r="ET92" i="38"/>
  <c r="EU92" i="38"/>
  <c r="EV92" i="38"/>
  <c r="EW92" i="38"/>
  <c r="EX92" i="38"/>
  <c r="EY92" i="38"/>
  <c r="EZ92" i="38"/>
  <c r="Y66" i="38"/>
  <c r="Y67" i="38"/>
  <c r="Y68" i="38"/>
  <c r="Y69" i="38"/>
  <c r="Y70" i="38"/>
  <c r="Y71" i="38"/>
  <c r="Y72" i="38"/>
  <c r="Y73" i="38"/>
  <c r="Y74" i="38"/>
  <c r="Y75" i="38"/>
  <c r="Y76" i="38"/>
  <c r="Y77" i="38"/>
  <c r="Y78" i="38"/>
  <c r="Y79" i="38"/>
  <c r="Y80" i="38"/>
  <c r="Y81" i="38"/>
  <c r="Y82" i="38"/>
  <c r="Y83" i="38"/>
  <c r="Y84" i="38"/>
  <c r="Y85" i="38"/>
  <c r="Y86" i="38"/>
  <c r="Y87" i="38"/>
  <c r="Y88" i="38"/>
  <c r="Y89" i="38"/>
  <c r="Y90" i="38"/>
  <c r="Y91" i="38"/>
  <c r="Y92" i="38"/>
  <c r="Y65" i="38"/>
  <c r="Z8" i="38"/>
  <c r="AA8" i="38"/>
  <c r="AB8" i="38"/>
  <c r="AC8" i="38"/>
  <c r="AD8" i="38"/>
  <c r="AE8" i="38"/>
  <c r="AF8" i="38"/>
  <c r="AG8" i="38"/>
  <c r="AH8" i="38"/>
  <c r="AI8" i="38"/>
  <c r="AJ8" i="38"/>
  <c r="AK8" i="38"/>
  <c r="AL8" i="38"/>
  <c r="AM8" i="38"/>
  <c r="AN8" i="38"/>
  <c r="AO8" i="38"/>
  <c r="AP8" i="38"/>
  <c r="AQ8" i="38"/>
  <c r="AR8" i="38"/>
  <c r="AS8" i="38"/>
  <c r="AT8" i="38"/>
  <c r="AU8" i="38"/>
  <c r="AV8" i="38"/>
  <c r="AW8" i="38"/>
  <c r="AX8" i="38"/>
  <c r="AY8" i="38"/>
  <c r="AZ8" i="38"/>
  <c r="BA8" i="38"/>
  <c r="BB8" i="38"/>
  <c r="BC8" i="38"/>
  <c r="BD8" i="38"/>
  <c r="BE8" i="38"/>
  <c r="BF8" i="38"/>
  <c r="BG8" i="38"/>
  <c r="BH8" i="38"/>
  <c r="BI8" i="38"/>
  <c r="BJ8" i="38"/>
  <c r="BK8" i="38"/>
  <c r="BL8" i="38"/>
  <c r="BM8" i="38"/>
  <c r="BN8" i="38"/>
  <c r="BO8" i="38"/>
  <c r="BP8" i="38"/>
  <c r="BQ8" i="38"/>
  <c r="BR8" i="38"/>
  <c r="BS8" i="38"/>
  <c r="BT8" i="38"/>
  <c r="BU8" i="38"/>
  <c r="BV8" i="38"/>
  <c r="BW8" i="38"/>
  <c r="BX8" i="38"/>
  <c r="BY8" i="38"/>
  <c r="BZ8" i="38"/>
  <c r="CA8" i="38"/>
  <c r="CB8" i="38"/>
  <c r="CC8" i="38"/>
  <c r="CD8" i="38"/>
  <c r="CE8" i="38"/>
  <c r="CF8" i="38"/>
  <c r="CG8" i="38"/>
  <c r="CH8" i="38"/>
  <c r="CI8" i="38"/>
  <c r="CJ8" i="38"/>
  <c r="CK8" i="38"/>
  <c r="CL8" i="38"/>
  <c r="CM8" i="38"/>
  <c r="CN8" i="38"/>
  <c r="CO8" i="38"/>
  <c r="CP8" i="38"/>
  <c r="CQ8" i="38"/>
  <c r="CR8" i="38"/>
  <c r="CS8" i="38"/>
  <c r="CT8" i="38"/>
  <c r="CU8" i="38"/>
  <c r="CV8" i="38"/>
  <c r="CW8" i="38"/>
  <c r="CX8" i="38"/>
  <c r="CY8" i="38"/>
  <c r="CZ8" i="38"/>
  <c r="DA8" i="38"/>
  <c r="DB8" i="38"/>
  <c r="DC8" i="38"/>
  <c r="DD8" i="38"/>
  <c r="DE8" i="38"/>
  <c r="DF8" i="38"/>
  <c r="DG8" i="38"/>
  <c r="DH8" i="38"/>
  <c r="DI8" i="38"/>
  <c r="DJ8" i="38"/>
  <c r="DK8" i="38"/>
  <c r="DL8" i="38"/>
  <c r="DM8" i="38"/>
  <c r="DN8" i="38"/>
  <c r="DO8" i="38"/>
  <c r="DP8" i="38"/>
  <c r="DQ8" i="38"/>
  <c r="DR8" i="38"/>
  <c r="DS8" i="38"/>
  <c r="DT8" i="38"/>
  <c r="DU8" i="38"/>
  <c r="DV8" i="38"/>
  <c r="DW8" i="38"/>
  <c r="DX8" i="38"/>
  <c r="DY8" i="38"/>
  <c r="DZ8" i="38"/>
  <c r="EA8" i="38"/>
  <c r="EB8" i="38"/>
  <c r="EC8" i="38"/>
  <c r="ED8" i="38"/>
  <c r="EE8" i="38"/>
  <c r="EF8" i="38"/>
  <c r="EG8" i="38"/>
  <c r="EH8" i="38"/>
  <c r="EI8" i="38"/>
  <c r="EJ8" i="38"/>
  <c r="EK8" i="38"/>
  <c r="EL8" i="38"/>
  <c r="EM8" i="38"/>
  <c r="EN8" i="38"/>
  <c r="EO8" i="38"/>
  <c r="EP8" i="38"/>
  <c r="EQ8" i="38"/>
  <c r="ER8" i="38"/>
  <c r="ES8" i="38"/>
  <c r="ET8" i="38"/>
  <c r="EU8" i="38"/>
  <c r="EV8" i="38"/>
  <c r="EW8" i="38"/>
  <c r="EX8" i="38"/>
  <c r="EY8" i="38"/>
  <c r="EZ8" i="38"/>
  <c r="Z9" i="38"/>
  <c r="AA9" i="38"/>
  <c r="AB9" i="38"/>
  <c r="AC9" i="38"/>
  <c r="AD9" i="38"/>
  <c r="AE9" i="38"/>
  <c r="AF9" i="38"/>
  <c r="AG9" i="38"/>
  <c r="AH9" i="38"/>
  <c r="AI9" i="38"/>
  <c r="AJ9" i="38"/>
  <c r="AK9" i="38"/>
  <c r="AL9" i="38"/>
  <c r="AM9" i="38"/>
  <c r="AN9" i="38"/>
  <c r="AO9" i="38"/>
  <c r="AP9" i="38"/>
  <c r="AQ9" i="38"/>
  <c r="AR9" i="38"/>
  <c r="AS9" i="38"/>
  <c r="AT9" i="38"/>
  <c r="AU9" i="38"/>
  <c r="AV9" i="38"/>
  <c r="AW9" i="38"/>
  <c r="AX9" i="38"/>
  <c r="AY9" i="38"/>
  <c r="AZ9" i="38"/>
  <c r="BA9" i="38"/>
  <c r="BB9" i="38"/>
  <c r="BC9" i="38"/>
  <c r="BD9" i="38"/>
  <c r="BE9" i="38"/>
  <c r="BF9" i="38"/>
  <c r="BG9" i="38"/>
  <c r="BH9" i="38"/>
  <c r="BI9" i="38"/>
  <c r="BJ9" i="38"/>
  <c r="BK9" i="38"/>
  <c r="BL9" i="38"/>
  <c r="BM9" i="38"/>
  <c r="BN9" i="38"/>
  <c r="BO9" i="38"/>
  <c r="BP9" i="38"/>
  <c r="BQ9" i="38"/>
  <c r="BR9" i="38"/>
  <c r="BS9" i="38"/>
  <c r="BT9" i="38"/>
  <c r="BU9" i="38"/>
  <c r="BV9" i="38"/>
  <c r="BW9" i="38"/>
  <c r="BX9" i="38"/>
  <c r="BY9" i="38"/>
  <c r="BZ9" i="38"/>
  <c r="CA9" i="38"/>
  <c r="CB9" i="38"/>
  <c r="CC9" i="38"/>
  <c r="CD9" i="38"/>
  <c r="CE9" i="38"/>
  <c r="CF9" i="38"/>
  <c r="CG9" i="38"/>
  <c r="CH9" i="38"/>
  <c r="CI9" i="38"/>
  <c r="CJ9" i="38"/>
  <c r="CK9" i="38"/>
  <c r="CL9" i="38"/>
  <c r="CM9" i="38"/>
  <c r="CN9" i="38"/>
  <c r="CO9" i="38"/>
  <c r="CP9" i="38"/>
  <c r="CQ9" i="38"/>
  <c r="CR9" i="38"/>
  <c r="CS9" i="38"/>
  <c r="CT9" i="38"/>
  <c r="CU9" i="38"/>
  <c r="CV9" i="38"/>
  <c r="CW9" i="38"/>
  <c r="CX9" i="38"/>
  <c r="CY9" i="38"/>
  <c r="CZ9" i="38"/>
  <c r="DA9" i="38"/>
  <c r="DB9" i="38"/>
  <c r="DC9" i="38"/>
  <c r="DD9" i="38"/>
  <c r="DE9" i="38"/>
  <c r="DF9" i="38"/>
  <c r="DG9" i="38"/>
  <c r="DH9" i="38"/>
  <c r="DI9" i="38"/>
  <c r="DJ9" i="38"/>
  <c r="DK9" i="38"/>
  <c r="DL9" i="38"/>
  <c r="DM9" i="38"/>
  <c r="DN9" i="38"/>
  <c r="DO9" i="38"/>
  <c r="DP9" i="38"/>
  <c r="DQ9" i="38"/>
  <c r="DR9" i="38"/>
  <c r="DS9" i="38"/>
  <c r="DT9" i="38"/>
  <c r="DU9" i="38"/>
  <c r="DV9" i="38"/>
  <c r="DW9" i="38"/>
  <c r="DX9" i="38"/>
  <c r="DY9" i="38"/>
  <c r="DZ9" i="38"/>
  <c r="EA9" i="38"/>
  <c r="EB9" i="38"/>
  <c r="EC9" i="38"/>
  <c r="ED9" i="38"/>
  <c r="EE9" i="38"/>
  <c r="EF9" i="38"/>
  <c r="EG9" i="38"/>
  <c r="EH9" i="38"/>
  <c r="EI9" i="38"/>
  <c r="EJ9" i="38"/>
  <c r="EK9" i="38"/>
  <c r="EL9" i="38"/>
  <c r="EM9" i="38"/>
  <c r="EN9" i="38"/>
  <c r="EO9" i="38"/>
  <c r="EP9" i="38"/>
  <c r="EQ9" i="38"/>
  <c r="ER9" i="38"/>
  <c r="ES9" i="38"/>
  <c r="ET9" i="38"/>
  <c r="EU9" i="38"/>
  <c r="EV9" i="38"/>
  <c r="EW9" i="38"/>
  <c r="EX9" i="38"/>
  <c r="EY9" i="38"/>
  <c r="EZ9" i="38"/>
  <c r="Z10" i="38"/>
  <c r="AA10" i="38"/>
  <c r="AB10" i="38"/>
  <c r="AC10" i="38"/>
  <c r="AD10" i="38"/>
  <c r="AE10" i="38"/>
  <c r="AF10" i="38"/>
  <c r="AG10" i="38"/>
  <c r="AH10" i="38"/>
  <c r="AI10" i="38"/>
  <c r="AJ10" i="38"/>
  <c r="AK10" i="38"/>
  <c r="AL10" i="38"/>
  <c r="AM10" i="38"/>
  <c r="AN10" i="38"/>
  <c r="AO10" i="38"/>
  <c r="AP10" i="38"/>
  <c r="AQ10" i="38"/>
  <c r="AR10" i="38"/>
  <c r="AS10" i="38"/>
  <c r="AT10" i="38"/>
  <c r="AU10" i="38"/>
  <c r="AV10" i="38"/>
  <c r="AW10" i="38"/>
  <c r="AX10" i="38"/>
  <c r="AY10" i="38"/>
  <c r="AZ10" i="38"/>
  <c r="BA10" i="38"/>
  <c r="BB10" i="38"/>
  <c r="BC10" i="38"/>
  <c r="BD10" i="38"/>
  <c r="BE10" i="38"/>
  <c r="BF10" i="38"/>
  <c r="BG10" i="38"/>
  <c r="BH10" i="38"/>
  <c r="BI10" i="38"/>
  <c r="BJ10" i="38"/>
  <c r="BK10" i="38"/>
  <c r="BL10" i="38"/>
  <c r="BM10" i="38"/>
  <c r="BN10" i="38"/>
  <c r="BO10" i="38"/>
  <c r="BP10" i="38"/>
  <c r="BQ10" i="38"/>
  <c r="BR10" i="38"/>
  <c r="BS10" i="38"/>
  <c r="BT10" i="38"/>
  <c r="BU10" i="38"/>
  <c r="BV10" i="38"/>
  <c r="BW10" i="38"/>
  <c r="BX10" i="38"/>
  <c r="BY10" i="38"/>
  <c r="BZ10" i="38"/>
  <c r="CA10" i="38"/>
  <c r="CB10" i="38"/>
  <c r="CC10" i="38"/>
  <c r="CD10" i="38"/>
  <c r="CE10" i="38"/>
  <c r="CF10" i="38"/>
  <c r="CG10" i="38"/>
  <c r="CH10" i="38"/>
  <c r="CI10" i="38"/>
  <c r="CJ10" i="38"/>
  <c r="CK10" i="38"/>
  <c r="CL10" i="38"/>
  <c r="CM10" i="38"/>
  <c r="CN10" i="38"/>
  <c r="CO10" i="38"/>
  <c r="CP10" i="38"/>
  <c r="CQ10" i="38"/>
  <c r="CR10" i="38"/>
  <c r="CS10" i="38"/>
  <c r="CT10" i="38"/>
  <c r="CU10" i="38"/>
  <c r="CV10" i="38"/>
  <c r="CW10" i="38"/>
  <c r="CX10" i="38"/>
  <c r="CY10" i="38"/>
  <c r="CZ10" i="38"/>
  <c r="DA10" i="38"/>
  <c r="DB10" i="38"/>
  <c r="DC10" i="38"/>
  <c r="DD10" i="38"/>
  <c r="DE10" i="38"/>
  <c r="DF10" i="38"/>
  <c r="DG10" i="38"/>
  <c r="DH10" i="38"/>
  <c r="DI10" i="38"/>
  <c r="DJ10" i="38"/>
  <c r="DK10" i="38"/>
  <c r="DL10" i="38"/>
  <c r="DM10" i="38"/>
  <c r="DN10" i="38"/>
  <c r="DO10" i="38"/>
  <c r="DP10" i="38"/>
  <c r="DQ10" i="38"/>
  <c r="DR10" i="38"/>
  <c r="DS10" i="38"/>
  <c r="DT10" i="38"/>
  <c r="DU10" i="38"/>
  <c r="DV10" i="38"/>
  <c r="DW10" i="38"/>
  <c r="DX10" i="38"/>
  <c r="DY10" i="38"/>
  <c r="DZ10" i="38"/>
  <c r="EA10" i="38"/>
  <c r="EB10" i="38"/>
  <c r="EC10" i="38"/>
  <c r="ED10" i="38"/>
  <c r="EE10" i="38"/>
  <c r="EF10" i="38"/>
  <c r="EG10" i="38"/>
  <c r="EH10" i="38"/>
  <c r="EI10" i="38"/>
  <c r="EJ10" i="38"/>
  <c r="EK10" i="38"/>
  <c r="EL10" i="38"/>
  <c r="EM10" i="38"/>
  <c r="EN10" i="38"/>
  <c r="EO10" i="38"/>
  <c r="EP10" i="38"/>
  <c r="EQ10" i="38"/>
  <c r="ER10" i="38"/>
  <c r="ES10" i="38"/>
  <c r="ET10" i="38"/>
  <c r="EU10" i="38"/>
  <c r="EV10" i="38"/>
  <c r="EW10" i="38"/>
  <c r="EX10" i="38"/>
  <c r="EY10" i="38"/>
  <c r="EZ10" i="38"/>
  <c r="Z11" i="38"/>
  <c r="AA11" i="38"/>
  <c r="AB11" i="38"/>
  <c r="AC11" i="38"/>
  <c r="AD11" i="38"/>
  <c r="AE11" i="38"/>
  <c r="AF11" i="38"/>
  <c r="AG11" i="38"/>
  <c r="AH11" i="38"/>
  <c r="AI11" i="38"/>
  <c r="AJ11" i="38"/>
  <c r="AK11" i="38"/>
  <c r="AL11" i="38"/>
  <c r="AM11" i="38"/>
  <c r="AN11" i="38"/>
  <c r="AO11" i="38"/>
  <c r="AP11" i="38"/>
  <c r="AQ11" i="38"/>
  <c r="AR11" i="38"/>
  <c r="AS11" i="38"/>
  <c r="AT11" i="38"/>
  <c r="AU11" i="38"/>
  <c r="AV11" i="38"/>
  <c r="AW11" i="38"/>
  <c r="AX11" i="38"/>
  <c r="AY11" i="38"/>
  <c r="AZ11" i="38"/>
  <c r="BA11" i="38"/>
  <c r="BB11" i="38"/>
  <c r="BC11" i="38"/>
  <c r="BD11" i="38"/>
  <c r="BE11" i="38"/>
  <c r="BF11" i="38"/>
  <c r="BG11" i="38"/>
  <c r="BH11" i="38"/>
  <c r="BI11" i="38"/>
  <c r="BJ11" i="38"/>
  <c r="BK11" i="38"/>
  <c r="BL11" i="38"/>
  <c r="BM11" i="38"/>
  <c r="BN11" i="38"/>
  <c r="BO11" i="38"/>
  <c r="BP11" i="38"/>
  <c r="BQ11" i="38"/>
  <c r="BR11" i="38"/>
  <c r="BS11" i="38"/>
  <c r="BT11" i="38"/>
  <c r="BU11" i="38"/>
  <c r="BV11" i="38"/>
  <c r="BW11" i="38"/>
  <c r="BX11" i="38"/>
  <c r="BY11" i="38"/>
  <c r="BZ11" i="38"/>
  <c r="CA11" i="38"/>
  <c r="CB11" i="38"/>
  <c r="CC11" i="38"/>
  <c r="CD11" i="38"/>
  <c r="CE11" i="38"/>
  <c r="CF11" i="38"/>
  <c r="CG11" i="38"/>
  <c r="CH11" i="38"/>
  <c r="CI11" i="38"/>
  <c r="CJ11" i="38"/>
  <c r="CK11" i="38"/>
  <c r="CL11" i="38"/>
  <c r="CM11" i="38"/>
  <c r="CN11" i="38"/>
  <c r="CO11" i="38"/>
  <c r="CP11" i="38"/>
  <c r="CQ11" i="38"/>
  <c r="CR11" i="38"/>
  <c r="CS11" i="38"/>
  <c r="CT11" i="38"/>
  <c r="CU11" i="38"/>
  <c r="CV11" i="38"/>
  <c r="CW11" i="38"/>
  <c r="CX11" i="38"/>
  <c r="CY11" i="38"/>
  <c r="CZ11" i="38"/>
  <c r="DA11" i="38"/>
  <c r="DB11" i="38"/>
  <c r="DC11" i="38"/>
  <c r="DD11" i="38"/>
  <c r="DE11" i="38"/>
  <c r="DF11" i="38"/>
  <c r="DG11" i="38"/>
  <c r="DH11" i="38"/>
  <c r="DI11" i="38"/>
  <c r="DJ11" i="38"/>
  <c r="DK11" i="38"/>
  <c r="DL11" i="38"/>
  <c r="DM11" i="38"/>
  <c r="DN11" i="38"/>
  <c r="DO11" i="38"/>
  <c r="DP11" i="38"/>
  <c r="DQ11" i="38"/>
  <c r="DR11" i="38"/>
  <c r="DS11" i="38"/>
  <c r="DT11" i="38"/>
  <c r="DU11" i="38"/>
  <c r="DV11" i="38"/>
  <c r="DW11" i="38"/>
  <c r="DX11" i="38"/>
  <c r="DY11" i="38"/>
  <c r="DZ11" i="38"/>
  <c r="EA11" i="38"/>
  <c r="EB11" i="38"/>
  <c r="EC11" i="38"/>
  <c r="ED11" i="38"/>
  <c r="EE11" i="38"/>
  <c r="EF11" i="38"/>
  <c r="EG11" i="38"/>
  <c r="EH11" i="38"/>
  <c r="EI11" i="38"/>
  <c r="EJ11" i="38"/>
  <c r="EK11" i="38"/>
  <c r="EL11" i="38"/>
  <c r="EM11" i="38"/>
  <c r="EN11" i="38"/>
  <c r="EO11" i="38"/>
  <c r="EP11" i="38"/>
  <c r="EQ11" i="38"/>
  <c r="ER11" i="38"/>
  <c r="ES11" i="38"/>
  <c r="ET11" i="38"/>
  <c r="EU11" i="38"/>
  <c r="EV11" i="38"/>
  <c r="EW11" i="38"/>
  <c r="EX11" i="38"/>
  <c r="EY11" i="38"/>
  <c r="EZ11" i="38"/>
  <c r="Z12" i="38"/>
  <c r="AA12" i="38"/>
  <c r="AB12" i="38"/>
  <c r="AC12" i="38"/>
  <c r="AD12" i="38"/>
  <c r="AE12" i="38"/>
  <c r="AF12" i="38"/>
  <c r="AG12" i="38"/>
  <c r="AH12" i="38"/>
  <c r="AI12" i="38"/>
  <c r="AJ12" i="38"/>
  <c r="AK12" i="38"/>
  <c r="AL12" i="38"/>
  <c r="AM12" i="38"/>
  <c r="AN12" i="38"/>
  <c r="AO12" i="38"/>
  <c r="AP12" i="38"/>
  <c r="AQ12" i="38"/>
  <c r="AR12" i="38"/>
  <c r="AS12" i="38"/>
  <c r="AT12" i="38"/>
  <c r="AU12" i="38"/>
  <c r="AV12" i="38"/>
  <c r="AW12" i="38"/>
  <c r="AX12" i="38"/>
  <c r="AY12" i="38"/>
  <c r="AZ12" i="38"/>
  <c r="BA12" i="38"/>
  <c r="BB12" i="38"/>
  <c r="BC12" i="38"/>
  <c r="BD12" i="38"/>
  <c r="BE12" i="38"/>
  <c r="BF12" i="38"/>
  <c r="BG12" i="38"/>
  <c r="BH12" i="38"/>
  <c r="BI12" i="38"/>
  <c r="BJ12" i="38"/>
  <c r="BK12" i="38"/>
  <c r="BL12" i="38"/>
  <c r="BM12" i="38"/>
  <c r="BN12" i="38"/>
  <c r="BO12" i="38"/>
  <c r="BP12" i="38"/>
  <c r="BQ12" i="38"/>
  <c r="BR12" i="38"/>
  <c r="BS12" i="38"/>
  <c r="BT12" i="38"/>
  <c r="BU12" i="38"/>
  <c r="BV12" i="38"/>
  <c r="BW12" i="38"/>
  <c r="BX12" i="38"/>
  <c r="BY12" i="38"/>
  <c r="BZ12" i="38"/>
  <c r="CA12" i="38"/>
  <c r="CB12" i="38"/>
  <c r="CC12" i="38"/>
  <c r="CD12" i="38"/>
  <c r="CE12" i="38"/>
  <c r="CF12" i="38"/>
  <c r="CG12" i="38"/>
  <c r="CH12" i="38"/>
  <c r="CI12" i="38"/>
  <c r="CJ12" i="38"/>
  <c r="CK12" i="38"/>
  <c r="CL12" i="38"/>
  <c r="CM12" i="38"/>
  <c r="CN12" i="38"/>
  <c r="CO12" i="38"/>
  <c r="CP12" i="38"/>
  <c r="CQ12" i="38"/>
  <c r="CR12" i="38"/>
  <c r="CS12" i="38"/>
  <c r="CT12" i="38"/>
  <c r="CU12" i="38"/>
  <c r="CV12" i="38"/>
  <c r="CW12" i="38"/>
  <c r="CX12" i="38"/>
  <c r="CY12" i="38"/>
  <c r="CZ12" i="38"/>
  <c r="DA12" i="38"/>
  <c r="DB12" i="38"/>
  <c r="DC12" i="38"/>
  <c r="DD12" i="38"/>
  <c r="DE12" i="38"/>
  <c r="DF12" i="38"/>
  <c r="DG12" i="38"/>
  <c r="DH12" i="38"/>
  <c r="DI12" i="38"/>
  <c r="DJ12" i="38"/>
  <c r="DK12" i="38"/>
  <c r="DL12" i="38"/>
  <c r="DM12" i="38"/>
  <c r="DN12" i="38"/>
  <c r="DO12" i="38"/>
  <c r="DP12" i="38"/>
  <c r="DQ12" i="38"/>
  <c r="DR12" i="38"/>
  <c r="DS12" i="38"/>
  <c r="DT12" i="38"/>
  <c r="DU12" i="38"/>
  <c r="DV12" i="38"/>
  <c r="DW12" i="38"/>
  <c r="DX12" i="38"/>
  <c r="DY12" i="38"/>
  <c r="DZ12" i="38"/>
  <c r="EA12" i="38"/>
  <c r="EB12" i="38"/>
  <c r="EC12" i="38"/>
  <c r="ED12" i="38"/>
  <c r="EE12" i="38"/>
  <c r="EF12" i="38"/>
  <c r="EG12" i="38"/>
  <c r="EH12" i="38"/>
  <c r="EI12" i="38"/>
  <c r="EJ12" i="38"/>
  <c r="EK12" i="38"/>
  <c r="EL12" i="38"/>
  <c r="EM12" i="38"/>
  <c r="EN12" i="38"/>
  <c r="EO12" i="38"/>
  <c r="EP12" i="38"/>
  <c r="EQ12" i="38"/>
  <c r="ER12" i="38"/>
  <c r="ES12" i="38"/>
  <c r="ET12" i="38"/>
  <c r="EU12" i="38"/>
  <c r="EV12" i="38"/>
  <c r="EW12" i="38"/>
  <c r="EX12" i="38"/>
  <c r="EY12" i="38"/>
  <c r="EZ12" i="38"/>
  <c r="Z13" i="38"/>
  <c r="AA13" i="38"/>
  <c r="AB13" i="38"/>
  <c r="AC13" i="38"/>
  <c r="AD13" i="38"/>
  <c r="AE13" i="38"/>
  <c r="AF13" i="38"/>
  <c r="AG13" i="38"/>
  <c r="AH13" i="38"/>
  <c r="AI13" i="38"/>
  <c r="AJ13" i="38"/>
  <c r="AK13" i="38"/>
  <c r="AL13" i="38"/>
  <c r="AM13" i="38"/>
  <c r="AN13" i="38"/>
  <c r="AO13" i="38"/>
  <c r="AP13" i="38"/>
  <c r="AQ13" i="38"/>
  <c r="AR13" i="38"/>
  <c r="AS13" i="38"/>
  <c r="AT13" i="38"/>
  <c r="AU13" i="38"/>
  <c r="AV13" i="38"/>
  <c r="AW13" i="38"/>
  <c r="AX13" i="38"/>
  <c r="AY13" i="38"/>
  <c r="AZ13" i="38"/>
  <c r="BA13" i="38"/>
  <c r="BB13" i="38"/>
  <c r="BC13" i="38"/>
  <c r="BD13" i="38"/>
  <c r="BE13" i="38"/>
  <c r="BF13" i="38"/>
  <c r="BG13" i="38"/>
  <c r="BH13" i="38"/>
  <c r="BI13" i="38"/>
  <c r="BJ13" i="38"/>
  <c r="BK13" i="38"/>
  <c r="BL13" i="38"/>
  <c r="BM13" i="38"/>
  <c r="BN13" i="38"/>
  <c r="BO13" i="38"/>
  <c r="BP13" i="38"/>
  <c r="BQ13" i="38"/>
  <c r="BR13" i="38"/>
  <c r="BS13" i="38"/>
  <c r="BT13" i="38"/>
  <c r="BU13" i="38"/>
  <c r="BV13" i="38"/>
  <c r="BW13" i="38"/>
  <c r="BX13" i="38"/>
  <c r="BY13" i="38"/>
  <c r="BZ13" i="38"/>
  <c r="CA13" i="38"/>
  <c r="CB13" i="38"/>
  <c r="CC13" i="38"/>
  <c r="CD13" i="38"/>
  <c r="CE13" i="38"/>
  <c r="CF13" i="38"/>
  <c r="CG13" i="38"/>
  <c r="CH13" i="38"/>
  <c r="CI13" i="38"/>
  <c r="CJ13" i="38"/>
  <c r="CK13" i="38"/>
  <c r="CL13" i="38"/>
  <c r="CM13" i="38"/>
  <c r="CN13" i="38"/>
  <c r="CO13" i="38"/>
  <c r="CP13" i="38"/>
  <c r="CQ13" i="38"/>
  <c r="CR13" i="38"/>
  <c r="CS13" i="38"/>
  <c r="CT13" i="38"/>
  <c r="CU13" i="38"/>
  <c r="CV13" i="38"/>
  <c r="CW13" i="38"/>
  <c r="CX13" i="38"/>
  <c r="CY13" i="38"/>
  <c r="CZ13" i="38"/>
  <c r="DA13" i="38"/>
  <c r="DB13" i="38"/>
  <c r="DC13" i="38"/>
  <c r="DD13" i="38"/>
  <c r="DE13" i="38"/>
  <c r="DF13" i="38"/>
  <c r="DG13" i="38"/>
  <c r="DH13" i="38"/>
  <c r="DI13" i="38"/>
  <c r="DJ13" i="38"/>
  <c r="DK13" i="38"/>
  <c r="DL13" i="38"/>
  <c r="DM13" i="38"/>
  <c r="DN13" i="38"/>
  <c r="DO13" i="38"/>
  <c r="DP13" i="38"/>
  <c r="DQ13" i="38"/>
  <c r="DR13" i="38"/>
  <c r="DS13" i="38"/>
  <c r="DT13" i="38"/>
  <c r="DU13" i="38"/>
  <c r="DV13" i="38"/>
  <c r="DW13" i="38"/>
  <c r="DX13" i="38"/>
  <c r="DY13" i="38"/>
  <c r="DZ13" i="38"/>
  <c r="EA13" i="38"/>
  <c r="EB13" i="38"/>
  <c r="EC13" i="38"/>
  <c r="ED13" i="38"/>
  <c r="EE13" i="38"/>
  <c r="EF13" i="38"/>
  <c r="EG13" i="38"/>
  <c r="EH13" i="38"/>
  <c r="EI13" i="38"/>
  <c r="EJ13" i="38"/>
  <c r="EK13" i="38"/>
  <c r="EL13" i="38"/>
  <c r="EM13" i="38"/>
  <c r="EN13" i="38"/>
  <c r="EO13" i="38"/>
  <c r="EP13" i="38"/>
  <c r="EQ13" i="38"/>
  <c r="ER13" i="38"/>
  <c r="ES13" i="38"/>
  <c r="ET13" i="38"/>
  <c r="EU13" i="38"/>
  <c r="EV13" i="38"/>
  <c r="EW13" i="38"/>
  <c r="EX13" i="38"/>
  <c r="EY13" i="38"/>
  <c r="EZ13" i="38"/>
  <c r="Z14" i="38"/>
  <c r="AA14" i="38"/>
  <c r="AB14" i="38"/>
  <c r="AC14" i="38"/>
  <c r="AD14" i="38"/>
  <c r="AE14" i="38"/>
  <c r="AF14" i="38"/>
  <c r="AG14" i="38"/>
  <c r="AH14" i="38"/>
  <c r="AI14" i="38"/>
  <c r="AJ14" i="38"/>
  <c r="AK14" i="38"/>
  <c r="AL14" i="38"/>
  <c r="AM14" i="38"/>
  <c r="AN14" i="38"/>
  <c r="AO14" i="38"/>
  <c r="AP14" i="38"/>
  <c r="AQ14" i="38"/>
  <c r="AR14" i="38"/>
  <c r="AS14" i="38"/>
  <c r="AT14" i="38"/>
  <c r="AU14" i="38"/>
  <c r="AV14" i="38"/>
  <c r="AW14" i="38"/>
  <c r="AX14" i="38"/>
  <c r="AY14" i="38"/>
  <c r="AZ14" i="38"/>
  <c r="BA14" i="38"/>
  <c r="BB14" i="38"/>
  <c r="BC14" i="38"/>
  <c r="BD14" i="38"/>
  <c r="BE14" i="38"/>
  <c r="BF14" i="38"/>
  <c r="BG14" i="38"/>
  <c r="BH14" i="38"/>
  <c r="BI14" i="38"/>
  <c r="BJ14" i="38"/>
  <c r="BK14" i="38"/>
  <c r="BL14" i="38"/>
  <c r="BM14" i="38"/>
  <c r="BN14" i="38"/>
  <c r="BO14" i="38"/>
  <c r="BP14" i="38"/>
  <c r="BQ14" i="38"/>
  <c r="BR14" i="38"/>
  <c r="BS14" i="38"/>
  <c r="BT14" i="38"/>
  <c r="BU14" i="38"/>
  <c r="BV14" i="38"/>
  <c r="BW14" i="38"/>
  <c r="BX14" i="38"/>
  <c r="BY14" i="38"/>
  <c r="BZ14" i="38"/>
  <c r="CA14" i="38"/>
  <c r="CB14" i="38"/>
  <c r="CC14" i="38"/>
  <c r="CD14" i="38"/>
  <c r="CE14" i="38"/>
  <c r="CF14" i="38"/>
  <c r="CG14" i="38"/>
  <c r="CH14" i="38"/>
  <c r="CI14" i="38"/>
  <c r="CJ14" i="38"/>
  <c r="CK14" i="38"/>
  <c r="CL14" i="38"/>
  <c r="CM14" i="38"/>
  <c r="CN14" i="38"/>
  <c r="CO14" i="38"/>
  <c r="CP14" i="38"/>
  <c r="CQ14" i="38"/>
  <c r="CR14" i="38"/>
  <c r="CS14" i="38"/>
  <c r="CT14" i="38"/>
  <c r="CU14" i="38"/>
  <c r="CV14" i="38"/>
  <c r="CW14" i="38"/>
  <c r="CX14" i="38"/>
  <c r="CY14" i="38"/>
  <c r="CZ14" i="38"/>
  <c r="DA14" i="38"/>
  <c r="DB14" i="38"/>
  <c r="DC14" i="38"/>
  <c r="DD14" i="38"/>
  <c r="DE14" i="38"/>
  <c r="DF14" i="38"/>
  <c r="DG14" i="38"/>
  <c r="DH14" i="38"/>
  <c r="DI14" i="38"/>
  <c r="DJ14" i="38"/>
  <c r="DK14" i="38"/>
  <c r="DL14" i="38"/>
  <c r="DM14" i="38"/>
  <c r="DN14" i="38"/>
  <c r="DO14" i="38"/>
  <c r="DP14" i="38"/>
  <c r="DQ14" i="38"/>
  <c r="DR14" i="38"/>
  <c r="DS14" i="38"/>
  <c r="DT14" i="38"/>
  <c r="DU14" i="38"/>
  <c r="DV14" i="38"/>
  <c r="DW14" i="38"/>
  <c r="DX14" i="38"/>
  <c r="DY14" i="38"/>
  <c r="DZ14" i="38"/>
  <c r="EA14" i="38"/>
  <c r="EB14" i="38"/>
  <c r="EC14" i="38"/>
  <c r="ED14" i="38"/>
  <c r="EE14" i="38"/>
  <c r="EF14" i="38"/>
  <c r="EG14" i="38"/>
  <c r="EH14" i="38"/>
  <c r="EI14" i="38"/>
  <c r="EJ14" i="38"/>
  <c r="EK14" i="38"/>
  <c r="EL14" i="38"/>
  <c r="EM14" i="38"/>
  <c r="EN14" i="38"/>
  <c r="EO14" i="38"/>
  <c r="EP14" i="38"/>
  <c r="EQ14" i="38"/>
  <c r="ER14" i="38"/>
  <c r="ES14" i="38"/>
  <c r="ET14" i="38"/>
  <c r="EU14" i="38"/>
  <c r="EV14" i="38"/>
  <c r="EW14" i="38"/>
  <c r="EX14" i="38"/>
  <c r="EY14" i="38"/>
  <c r="EZ14" i="38"/>
  <c r="Z15" i="38"/>
  <c r="AA15" i="38"/>
  <c r="AB15" i="38"/>
  <c r="AC15" i="38"/>
  <c r="AD15" i="38"/>
  <c r="AE15" i="38"/>
  <c r="AF15" i="38"/>
  <c r="AG15" i="38"/>
  <c r="AH15" i="38"/>
  <c r="AI15" i="38"/>
  <c r="AJ15" i="38"/>
  <c r="AK15" i="38"/>
  <c r="AL15" i="38"/>
  <c r="AM15" i="38"/>
  <c r="AN15" i="38"/>
  <c r="AO15" i="38"/>
  <c r="AP15" i="38"/>
  <c r="AQ15" i="38"/>
  <c r="AR15" i="38"/>
  <c r="AS15" i="38"/>
  <c r="AT15" i="38"/>
  <c r="AU15" i="38"/>
  <c r="AV15" i="38"/>
  <c r="AW15" i="38"/>
  <c r="AX15" i="38"/>
  <c r="AY15" i="38"/>
  <c r="AZ15" i="38"/>
  <c r="BA15" i="38"/>
  <c r="BB15" i="38"/>
  <c r="BC15" i="38"/>
  <c r="BD15" i="38"/>
  <c r="BE15" i="38"/>
  <c r="BF15" i="38"/>
  <c r="BG15" i="38"/>
  <c r="BH15" i="38"/>
  <c r="BI15" i="38"/>
  <c r="BJ15" i="38"/>
  <c r="BK15" i="38"/>
  <c r="BL15" i="38"/>
  <c r="BM15" i="38"/>
  <c r="BN15" i="38"/>
  <c r="BO15" i="38"/>
  <c r="BP15" i="38"/>
  <c r="BQ15" i="38"/>
  <c r="BR15" i="38"/>
  <c r="BS15" i="38"/>
  <c r="BT15" i="38"/>
  <c r="BU15" i="38"/>
  <c r="BV15" i="38"/>
  <c r="BW15" i="38"/>
  <c r="BX15" i="38"/>
  <c r="BY15" i="38"/>
  <c r="BZ15" i="38"/>
  <c r="CA15" i="38"/>
  <c r="CB15" i="38"/>
  <c r="CC15" i="38"/>
  <c r="CD15" i="38"/>
  <c r="CE15" i="38"/>
  <c r="CF15" i="38"/>
  <c r="CG15" i="38"/>
  <c r="CH15" i="38"/>
  <c r="CI15" i="38"/>
  <c r="CJ15" i="38"/>
  <c r="CK15" i="38"/>
  <c r="CL15" i="38"/>
  <c r="CM15" i="38"/>
  <c r="CN15" i="38"/>
  <c r="CO15" i="38"/>
  <c r="CP15" i="38"/>
  <c r="CQ15" i="38"/>
  <c r="CR15" i="38"/>
  <c r="CS15" i="38"/>
  <c r="CT15" i="38"/>
  <c r="CU15" i="38"/>
  <c r="CV15" i="38"/>
  <c r="CW15" i="38"/>
  <c r="CX15" i="38"/>
  <c r="CY15" i="38"/>
  <c r="CZ15" i="38"/>
  <c r="DA15" i="38"/>
  <c r="DB15" i="38"/>
  <c r="DC15" i="38"/>
  <c r="DD15" i="38"/>
  <c r="DE15" i="38"/>
  <c r="DF15" i="38"/>
  <c r="DG15" i="38"/>
  <c r="DH15" i="38"/>
  <c r="DI15" i="38"/>
  <c r="DJ15" i="38"/>
  <c r="DK15" i="38"/>
  <c r="DL15" i="38"/>
  <c r="DM15" i="38"/>
  <c r="DN15" i="38"/>
  <c r="DO15" i="38"/>
  <c r="DP15" i="38"/>
  <c r="DQ15" i="38"/>
  <c r="DR15" i="38"/>
  <c r="DS15" i="38"/>
  <c r="DT15" i="38"/>
  <c r="DU15" i="38"/>
  <c r="DV15" i="38"/>
  <c r="DW15" i="38"/>
  <c r="DX15" i="38"/>
  <c r="DY15" i="38"/>
  <c r="DZ15" i="38"/>
  <c r="EA15" i="38"/>
  <c r="EB15" i="38"/>
  <c r="EC15" i="38"/>
  <c r="ED15" i="38"/>
  <c r="EE15" i="38"/>
  <c r="EF15" i="38"/>
  <c r="EG15" i="38"/>
  <c r="EH15" i="38"/>
  <c r="EI15" i="38"/>
  <c r="EJ15" i="38"/>
  <c r="EK15" i="38"/>
  <c r="EL15" i="38"/>
  <c r="EM15" i="38"/>
  <c r="EN15" i="38"/>
  <c r="EO15" i="38"/>
  <c r="EP15" i="38"/>
  <c r="EQ15" i="38"/>
  <c r="ER15" i="38"/>
  <c r="ES15" i="38"/>
  <c r="ET15" i="38"/>
  <c r="EU15" i="38"/>
  <c r="EV15" i="38"/>
  <c r="EW15" i="38"/>
  <c r="EX15" i="38"/>
  <c r="EY15" i="38"/>
  <c r="EZ15" i="38"/>
  <c r="Z16" i="38"/>
  <c r="AA16" i="38"/>
  <c r="AB16" i="38"/>
  <c r="AC16" i="38"/>
  <c r="AD16" i="38"/>
  <c r="AE16" i="38"/>
  <c r="AF16" i="38"/>
  <c r="AG16" i="38"/>
  <c r="AH16" i="38"/>
  <c r="AI16" i="38"/>
  <c r="AJ16" i="38"/>
  <c r="AK16" i="38"/>
  <c r="AL16" i="38"/>
  <c r="AM16" i="38"/>
  <c r="AN16" i="38"/>
  <c r="AO16" i="38"/>
  <c r="AP16" i="38"/>
  <c r="AQ16" i="38"/>
  <c r="AR16" i="38"/>
  <c r="AS16" i="38"/>
  <c r="AT16" i="38"/>
  <c r="AU16" i="38"/>
  <c r="AV16" i="38"/>
  <c r="AW16" i="38"/>
  <c r="AX16" i="38"/>
  <c r="AY16" i="38"/>
  <c r="AZ16" i="38"/>
  <c r="BA16" i="38"/>
  <c r="BB16" i="38"/>
  <c r="BC16" i="38"/>
  <c r="BD16" i="38"/>
  <c r="BE16" i="38"/>
  <c r="BF16" i="38"/>
  <c r="BG16" i="38"/>
  <c r="BH16" i="38"/>
  <c r="BI16" i="38"/>
  <c r="BJ16" i="38"/>
  <c r="BK16" i="38"/>
  <c r="BL16" i="38"/>
  <c r="BM16" i="38"/>
  <c r="BN16" i="38"/>
  <c r="BO16" i="38"/>
  <c r="BP16" i="38"/>
  <c r="BQ16" i="38"/>
  <c r="BR16" i="38"/>
  <c r="BS16" i="38"/>
  <c r="BT16" i="38"/>
  <c r="BU16" i="38"/>
  <c r="BV16" i="38"/>
  <c r="BW16" i="38"/>
  <c r="BX16" i="38"/>
  <c r="BY16" i="38"/>
  <c r="BZ16" i="38"/>
  <c r="CA16" i="38"/>
  <c r="CB16" i="38"/>
  <c r="CC16" i="38"/>
  <c r="CD16" i="38"/>
  <c r="CE16" i="38"/>
  <c r="CF16" i="38"/>
  <c r="CG16" i="38"/>
  <c r="CH16" i="38"/>
  <c r="CI16" i="38"/>
  <c r="CJ16" i="38"/>
  <c r="CK16" i="38"/>
  <c r="CL16" i="38"/>
  <c r="CM16" i="38"/>
  <c r="CN16" i="38"/>
  <c r="CO16" i="38"/>
  <c r="CP16" i="38"/>
  <c r="CQ16" i="38"/>
  <c r="CR16" i="38"/>
  <c r="CS16" i="38"/>
  <c r="CT16" i="38"/>
  <c r="CU16" i="38"/>
  <c r="CV16" i="38"/>
  <c r="CW16" i="38"/>
  <c r="CX16" i="38"/>
  <c r="CY16" i="38"/>
  <c r="CZ16" i="38"/>
  <c r="DA16" i="38"/>
  <c r="DB16" i="38"/>
  <c r="DC16" i="38"/>
  <c r="DD16" i="38"/>
  <c r="DE16" i="38"/>
  <c r="DF16" i="38"/>
  <c r="DG16" i="38"/>
  <c r="DH16" i="38"/>
  <c r="DI16" i="38"/>
  <c r="DJ16" i="38"/>
  <c r="DK16" i="38"/>
  <c r="DL16" i="38"/>
  <c r="DM16" i="38"/>
  <c r="DN16" i="38"/>
  <c r="DO16" i="38"/>
  <c r="DP16" i="38"/>
  <c r="DQ16" i="38"/>
  <c r="DR16" i="38"/>
  <c r="DS16" i="38"/>
  <c r="DT16" i="38"/>
  <c r="DU16" i="38"/>
  <c r="DV16" i="38"/>
  <c r="DW16" i="38"/>
  <c r="DX16" i="38"/>
  <c r="DY16" i="38"/>
  <c r="DZ16" i="38"/>
  <c r="EA16" i="38"/>
  <c r="EB16" i="38"/>
  <c r="EC16" i="38"/>
  <c r="ED16" i="38"/>
  <c r="EE16" i="38"/>
  <c r="EF16" i="38"/>
  <c r="EG16" i="38"/>
  <c r="EH16" i="38"/>
  <c r="EI16" i="38"/>
  <c r="EJ16" i="38"/>
  <c r="EK16" i="38"/>
  <c r="EL16" i="38"/>
  <c r="EM16" i="38"/>
  <c r="EN16" i="38"/>
  <c r="EO16" i="38"/>
  <c r="EP16" i="38"/>
  <c r="EQ16" i="38"/>
  <c r="ER16" i="38"/>
  <c r="ES16" i="38"/>
  <c r="ET16" i="38"/>
  <c r="EU16" i="38"/>
  <c r="EV16" i="38"/>
  <c r="EW16" i="38"/>
  <c r="EX16" i="38"/>
  <c r="EY16" i="38"/>
  <c r="EZ16" i="38"/>
  <c r="Z17" i="38"/>
  <c r="AA17" i="38"/>
  <c r="AB17" i="38"/>
  <c r="AC17" i="38"/>
  <c r="AD17" i="38"/>
  <c r="AE17" i="38"/>
  <c r="AF17" i="38"/>
  <c r="AG17" i="38"/>
  <c r="AH17" i="38"/>
  <c r="AI17" i="38"/>
  <c r="AJ17" i="38"/>
  <c r="AK17" i="38"/>
  <c r="AL17" i="38"/>
  <c r="AM17" i="38"/>
  <c r="AN17" i="38"/>
  <c r="AO17" i="38"/>
  <c r="AP17" i="38"/>
  <c r="AQ17" i="38"/>
  <c r="AR17" i="38"/>
  <c r="AS17" i="38"/>
  <c r="AT17" i="38"/>
  <c r="AU17" i="38"/>
  <c r="AV17" i="38"/>
  <c r="AW17" i="38"/>
  <c r="AX17" i="38"/>
  <c r="AY17" i="38"/>
  <c r="AZ17" i="38"/>
  <c r="BA17" i="38"/>
  <c r="BB17" i="38"/>
  <c r="BC17" i="38"/>
  <c r="BD17" i="38"/>
  <c r="BE17" i="38"/>
  <c r="BF17" i="38"/>
  <c r="BG17" i="38"/>
  <c r="BH17" i="38"/>
  <c r="BI17" i="38"/>
  <c r="BJ17" i="38"/>
  <c r="BK17" i="38"/>
  <c r="BL17" i="38"/>
  <c r="BM17" i="38"/>
  <c r="BN17" i="38"/>
  <c r="BO17" i="38"/>
  <c r="BP17" i="38"/>
  <c r="BQ17" i="38"/>
  <c r="BR17" i="38"/>
  <c r="BS17" i="38"/>
  <c r="BT17" i="38"/>
  <c r="BU17" i="38"/>
  <c r="BV17" i="38"/>
  <c r="BW17" i="38"/>
  <c r="BX17" i="38"/>
  <c r="BY17" i="38"/>
  <c r="BZ17" i="38"/>
  <c r="CA17" i="38"/>
  <c r="CB17" i="38"/>
  <c r="CC17" i="38"/>
  <c r="CD17" i="38"/>
  <c r="CE17" i="38"/>
  <c r="CF17" i="38"/>
  <c r="CG17" i="38"/>
  <c r="CH17" i="38"/>
  <c r="CI17" i="38"/>
  <c r="CJ17" i="38"/>
  <c r="CK17" i="38"/>
  <c r="CL17" i="38"/>
  <c r="CM17" i="38"/>
  <c r="CN17" i="38"/>
  <c r="CO17" i="38"/>
  <c r="CP17" i="38"/>
  <c r="CQ17" i="38"/>
  <c r="CR17" i="38"/>
  <c r="CS17" i="38"/>
  <c r="CT17" i="38"/>
  <c r="CU17" i="38"/>
  <c r="CV17" i="38"/>
  <c r="CW17" i="38"/>
  <c r="CX17" i="38"/>
  <c r="CY17" i="38"/>
  <c r="CZ17" i="38"/>
  <c r="DA17" i="38"/>
  <c r="DB17" i="38"/>
  <c r="DC17" i="38"/>
  <c r="DD17" i="38"/>
  <c r="DE17" i="38"/>
  <c r="DF17" i="38"/>
  <c r="DG17" i="38"/>
  <c r="DH17" i="38"/>
  <c r="DI17" i="38"/>
  <c r="DJ17" i="38"/>
  <c r="DK17" i="38"/>
  <c r="DL17" i="38"/>
  <c r="DM17" i="38"/>
  <c r="DN17" i="38"/>
  <c r="DO17" i="38"/>
  <c r="DP17" i="38"/>
  <c r="DQ17" i="38"/>
  <c r="DR17" i="38"/>
  <c r="DS17" i="38"/>
  <c r="DT17" i="38"/>
  <c r="DU17" i="38"/>
  <c r="DV17" i="38"/>
  <c r="DW17" i="38"/>
  <c r="DX17" i="38"/>
  <c r="DY17" i="38"/>
  <c r="DZ17" i="38"/>
  <c r="EA17" i="38"/>
  <c r="EB17" i="38"/>
  <c r="EC17" i="38"/>
  <c r="ED17" i="38"/>
  <c r="EE17" i="38"/>
  <c r="EF17" i="38"/>
  <c r="EG17" i="38"/>
  <c r="EH17" i="38"/>
  <c r="EI17" i="38"/>
  <c r="EJ17" i="38"/>
  <c r="EK17" i="38"/>
  <c r="EL17" i="38"/>
  <c r="EM17" i="38"/>
  <c r="EN17" i="38"/>
  <c r="EO17" i="38"/>
  <c r="EP17" i="38"/>
  <c r="EQ17" i="38"/>
  <c r="ER17" i="38"/>
  <c r="ES17" i="38"/>
  <c r="ET17" i="38"/>
  <c r="EU17" i="38"/>
  <c r="EV17" i="38"/>
  <c r="EW17" i="38"/>
  <c r="EX17" i="38"/>
  <c r="EY17" i="38"/>
  <c r="EZ17" i="38"/>
  <c r="Z18" i="38"/>
  <c r="AA18" i="38"/>
  <c r="AB18" i="38"/>
  <c r="AC18" i="38"/>
  <c r="AD18" i="38"/>
  <c r="AE18" i="38"/>
  <c r="AF18" i="38"/>
  <c r="AG18" i="38"/>
  <c r="AH18" i="38"/>
  <c r="AI18" i="38"/>
  <c r="AJ18" i="38"/>
  <c r="AK18" i="38"/>
  <c r="AL18" i="38"/>
  <c r="AM18" i="38"/>
  <c r="AN18" i="38"/>
  <c r="AO18" i="38"/>
  <c r="AP18" i="38"/>
  <c r="AQ18" i="38"/>
  <c r="AR18" i="38"/>
  <c r="AS18" i="38"/>
  <c r="AT18" i="38"/>
  <c r="AU18" i="38"/>
  <c r="AV18" i="38"/>
  <c r="AW18" i="38"/>
  <c r="AX18" i="38"/>
  <c r="AY18" i="38"/>
  <c r="AZ18" i="38"/>
  <c r="BA18" i="38"/>
  <c r="BB18" i="38"/>
  <c r="BC18" i="38"/>
  <c r="BD18" i="38"/>
  <c r="BE18" i="38"/>
  <c r="BF18" i="38"/>
  <c r="BG18" i="38"/>
  <c r="BH18" i="38"/>
  <c r="BI18" i="38"/>
  <c r="BJ18" i="38"/>
  <c r="BK18" i="38"/>
  <c r="BL18" i="38"/>
  <c r="BM18" i="38"/>
  <c r="BN18" i="38"/>
  <c r="BO18" i="38"/>
  <c r="BP18" i="38"/>
  <c r="BQ18" i="38"/>
  <c r="BR18" i="38"/>
  <c r="BS18" i="38"/>
  <c r="BT18" i="38"/>
  <c r="BU18" i="38"/>
  <c r="BV18" i="38"/>
  <c r="BW18" i="38"/>
  <c r="BX18" i="38"/>
  <c r="BY18" i="38"/>
  <c r="BZ18" i="38"/>
  <c r="CA18" i="38"/>
  <c r="CB18" i="38"/>
  <c r="CC18" i="38"/>
  <c r="CD18" i="38"/>
  <c r="CE18" i="38"/>
  <c r="CF18" i="38"/>
  <c r="CG18" i="38"/>
  <c r="CH18" i="38"/>
  <c r="CI18" i="38"/>
  <c r="CJ18" i="38"/>
  <c r="CK18" i="38"/>
  <c r="CL18" i="38"/>
  <c r="CM18" i="38"/>
  <c r="CN18" i="38"/>
  <c r="CO18" i="38"/>
  <c r="CP18" i="38"/>
  <c r="CQ18" i="38"/>
  <c r="CR18" i="38"/>
  <c r="CS18" i="38"/>
  <c r="CT18" i="38"/>
  <c r="CU18" i="38"/>
  <c r="CV18" i="38"/>
  <c r="CW18" i="38"/>
  <c r="CX18" i="38"/>
  <c r="CY18" i="38"/>
  <c r="CZ18" i="38"/>
  <c r="DA18" i="38"/>
  <c r="DB18" i="38"/>
  <c r="DC18" i="38"/>
  <c r="DD18" i="38"/>
  <c r="DE18" i="38"/>
  <c r="DF18" i="38"/>
  <c r="DG18" i="38"/>
  <c r="DH18" i="38"/>
  <c r="DI18" i="38"/>
  <c r="DJ18" i="38"/>
  <c r="DK18" i="38"/>
  <c r="DL18" i="38"/>
  <c r="DM18" i="38"/>
  <c r="DN18" i="38"/>
  <c r="DO18" i="38"/>
  <c r="DP18" i="38"/>
  <c r="DQ18" i="38"/>
  <c r="DR18" i="38"/>
  <c r="DS18" i="38"/>
  <c r="DT18" i="38"/>
  <c r="DU18" i="38"/>
  <c r="DV18" i="38"/>
  <c r="DW18" i="38"/>
  <c r="DX18" i="38"/>
  <c r="DY18" i="38"/>
  <c r="DZ18" i="38"/>
  <c r="EA18" i="38"/>
  <c r="EB18" i="38"/>
  <c r="EC18" i="38"/>
  <c r="ED18" i="38"/>
  <c r="EE18" i="38"/>
  <c r="EF18" i="38"/>
  <c r="EG18" i="38"/>
  <c r="EH18" i="38"/>
  <c r="EI18" i="38"/>
  <c r="EJ18" i="38"/>
  <c r="EK18" i="38"/>
  <c r="EL18" i="38"/>
  <c r="EM18" i="38"/>
  <c r="EN18" i="38"/>
  <c r="EO18" i="38"/>
  <c r="EP18" i="38"/>
  <c r="EQ18" i="38"/>
  <c r="ER18" i="38"/>
  <c r="ES18" i="38"/>
  <c r="ET18" i="38"/>
  <c r="EU18" i="38"/>
  <c r="EV18" i="38"/>
  <c r="EW18" i="38"/>
  <c r="EX18" i="38"/>
  <c r="EY18" i="38"/>
  <c r="EZ18" i="38"/>
  <c r="Z19" i="38"/>
  <c r="AA19" i="38"/>
  <c r="AB19" i="38"/>
  <c r="AC19" i="38"/>
  <c r="AD19" i="38"/>
  <c r="AE19" i="38"/>
  <c r="AF19" i="38"/>
  <c r="AG19" i="38"/>
  <c r="AH19" i="38"/>
  <c r="AI19" i="38"/>
  <c r="AJ19" i="38"/>
  <c r="AK19" i="38"/>
  <c r="AL19" i="38"/>
  <c r="AM19" i="38"/>
  <c r="AN19" i="38"/>
  <c r="AO19" i="38"/>
  <c r="AP19" i="38"/>
  <c r="AQ19" i="38"/>
  <c r="AR19" i="38"/>
  <c r="AS19" i="38"/>
  <c r="AT19" i="38"/>
  <c r="AU19" i="38"/>
  <c r="AV19" i="38"/>
  <c r="AW19" i="38"/>
  <c r="AX19" i="38"/>
  <c r="AY19" i="38"/>
  <c r="AZ19" i="38"/>
  <c r="BA19" i="38"/>
  <c r="BB19" i="38"/>
  <c r="BC19" i="38"/>
  <c r="BD19" i="38"/>
  <c r="BE19" i="38"/>
  <c r="BF19" i="38"/>
  <c r="BG19" i="38"/>
  <c r="BH19" i="38"/>
  <c r="BI19" i="38"/>
  <c r="BJ19" i="38"/>
  <c r="BK19" i="38"/>
  <c r="BL19" i="38"/>
  <c r="BM19" i="38"/>
  <c r="BN19" i="38"/>
  <c r="BO19" i="38"/>
  <c r="BP19" i="38"/>
  <c r="BQ19" i="38"/>
  <c r="BR19" i="38"/>
  <c r="BS19" i="38"/>
  <c r="BT19" i="38"/>
  <c r="BU19" i="38"/>
  <c r="BV19" i="38"/>
  <c r="BW19" i="38"/>
  <c r="BX19" i="38"/>
  <c r="BY19" i="38"/>
  <c r="BZ19" i="38"/>
  <c r="CA19" i="38"/>
  <c r="CB19" i="38"/>
  <c r="CC19" i="38"/>
  <c r="CD19" i="38"/>
  <c r="CE19" i="38"/>
  <c r="CF19" i="38"/>
  <c r="CG19" i="38"/>
  <c r="CH19" i="38"/>
  <c r="CI19" i="38"/>
  <c r="CJ19" i="38"/>
  <c r="CK19" i="38"/>
  <c r="CL19" i="38"/>
  <c r="CM19" i="38"/>
  <c r="CN19" i="38"/>
  <c r="CO19" i="38"/>
  <c r="CP19" i="38"/>
  <c r="CQ19" i="38"/>
  <c r="CR19" i="38"/>
  <c r="CS19" i="38"/>
  <c r="CT19" i="38"/>
  <c r="CU19" i="38"/>
  <c r="CV19" i="38"/>
  <c r="CW19" i="38"/>
  <c r="CX19" i="38"/>
  <c r="CY19" i="38"/>
  <c r="CZ19" i="38"/>
  <c r="DA19" i="38"/>
  <c r="DB19" i="38"/>
  <c r="DC19" i="38"/>
  <c r="DD19" i="38"/>
  <c r="DE19" i="38"/>
  <c r="DF19" i="38"/>
  <c r="DG19" i="38"/>
  <c r="DH19" i="38"/>
  <c r="DI19" i="38"/>
  <c r="DJ19" i="38"/>
  <c r="DK19" i="38"/>
  <c r="DL19" i="38"/>
  <c r="DM19" i="38"/>
  <c r="DN19" i="38"/>
  <c r="DO19" i="38"/>
  <c r="DP19" i="38"/>
  <c r="DQ19" i="38"/>
  <c r="DR19" i="38"/>
  <c r="DS19" i="38"/>
  <c r="DT19" i="38"/>
  <c r="DU19" i="38"/>
  <c r="DV19" i="38"/>
  <c r="DW19" i="38"/>
  <c r="DX19" i="38"/>
  <c r="DY19" i="38"/>
  <c r="DZ19" i="38"/>
  <c r="EA19" i="38"/>
  <c r="EB19" i="38"/>
  <c r="EC19" i="38"/>
  <c r="ED19" i="38"/>
  <c r="EE19" i="38"/>
  <c r="EF19" i="38"/>
  <c r="EG19" i="38"/>
  <c r="EH19" i="38"/>
  <c r="EI19" i="38"/>
  <c r="EJ19" i="38"/>
  <c r="EK19" i="38"/>
  <c r="EL19" i="38"/>
  <c r="EM19" i="38"/>
  <c r="EN19" i="38"/>
  <c r="EO19" i="38"/>
  <c r="EP19" i="38"/>
  <c r="EQ19" i="38"/>
  <c r="ER19" i="38"/>
  <c r="ES19" i="38"/>
  <c r="ET19" i="38"/>
  <c r="EU19" i="38"/>
  <c r="EV19" i="38"/>
  <c r="EW19" i="38"/>
  <c r="EX19" i="38"/>
  <c r="EY19" i="38"/>
  <c r="EZ19" i="38"/>
  <c r="Z20" i="38"/>
  <c r="AA20" i="38"/>
  <c r="AB20" i="38"/>
  <c r="AC20" i="38"/>
  <c r="AD20" i="38"/>
  <c r="AE20" i="38"/>
  <c r="AF20" i="38"/>
  <c r="AG20" i="38"/>
  <c r="AH20" i="38"/>
  <c r="AI20" i="38"/>
  <c r="AJ20" i="38"/>
  <c r="AK20" i="38"/>
  <c r="AL20" i="38"/>
  <c r="AM20" i="38"/>
  <c r="AN20" i="38"/>
  <c r="AO20" i="38"/>
  <c r="AP20" i="38"/>
  <c r="AQ20" i="38"/>
  <c r="AR20" i="38"/>
  <c r="AS20" i="38"/>
  <c r="AT20" i="38"/>
  <c r="AU20" i="38"/>
  <c r="AV20" i="38"/>
  <c r="AW20" i="38"/>
  <c r="AX20" i="38"/>
  <c r="AY20" i="38"/>
  <c r="AZ20" i="38"/>
  <c r="BA20" i="38"/>
  <c r="BB20" i="38"/>
  <c r="BC20" i="38"/>
  <c r="BD20" i="38"/>
  <c r="BE20" i="38"/>
  <c r="BF20" i="38"/>
  <c r="BG20" i="38"/>
  <c r="BH20" i="38"/>
  <c r="BI20" i="38"/>
  <c r="BJ20" i="38"/>
  <c r="BK20" i="38"/>
  <c r="BL20" i="38"/>
  <c r="BM20" i="38"/>
  <c r="BN20" i="38"/>
  <c r="BO20" i="38"/>
  <c r="BP20" i="38"/>
  <c r="BQ20" i="38"/>
  <c r="BR20" i="38"/>
  <c r="BS20" i="38"/>
  <c r="BT20" i="38"/>
  <c r="BU20" i="38"/>
  <c r="BV20" i="38"/>
  <c r="BW20" i="38"/>
  <c r="BX20" i="38"/>
  <c r="BY20" i="38"/>
  <c r="BZ20" i="38"/>
  <c r="CA20" i="38"/>
  <c r="CB20" i="38"/>
  <c r="CC20" i="38"/>
  <c r="CD20" i="38"/>
  <c r="CE20" i="38"/>
  <c r="CF20" i="38"/>
  <c r="CG20" i="38"/>
  <c r="CH20" i="38"/>
  <c r="CI20" i="38"/>
  <c r="CJ20" i="38"/>
  <c r="CK20" i="38"/>
  <c r="CL20" i="38"/>
  <c r="CM20" i="38"/>
  <c r="CN20" i="38"/>
  <c r="CO20" i="38"/>
  <c r="CP20" i="38"/>
  <c r="CQ20" i="38"/>
  <c r="CR20" i="38"/>
  <c r="CS20" i="38"/>
  <c r="CT20" i="38"/>
  <c r="CU20" i="38"/>
  <c r="CV20" i="38"/>
  <c r="CW20" i="38"/>
  <c r="CX20" i="38"/>
  <c r="CY20" i="38"/>
  <c r="CZ20" i="38"/>
  <c r="DA20" i="38"/>
  <c r="DB20" i="38"/>
  <c r="DC20" i="38"/>
  <c r="DD20" i="38"/>
  <c r="DE20" i="38"/>
  <c r="DF20" i="38"/>
  <c r="DG20" i="38"/>
  <c r="DH20" i="38"/>
  <c r="DI20" i="38"/>
  <c r="DJ20" i="38"/>
  <c r="DK20" i="38"/>
  <c r="DL20" i="38"/>
  <c r="DM20" i="38"/>
  <c r="DN20" i="38"/>
  <c r="DO20" i="38"/>
  <c r="DP20" i="38"/>
  <c r="DQ20" i="38"/>
  <c r="DR20" i="38"/>
  <c r="DS20" i="38"/>
  <c r="DT20" i="38"/>
  <c r="DU20" i="38"/>
  <c r="DV20" i="38"/>
  <c r="DW20" i="38"/>
  <c r="DX20" i="38"/>
  <c r="DY20" i="38"/>
  <c r="DZ20" i="38"/>
  <c r="EA20" i="38"/>
  <c r="EB20" i="38"/>
  <c r="EC20" i="38"/>
  <c r="ED20" i="38"/>
  <c r="EE20" i="38"/>
  <c r="EF20" i="38"/>
  <c r="EG20" i="38"/>
  <c r="EH20" i="38"/>
  <c r="EI20" i="38"/>
  <c r="EJ20" i="38"/>
  <c r="EK20" i="38"/>
  <c r="EL20" i="38"/>
  <c r="EM20" i="38"/>
  <c r="EN20" i="38"/>
  <c r="EO20" i="38"/>
  <c r="EP20" i="38"/>
  <c r="EQ20" i="38"/>
  <c r="ER20" i="38"/>
  <c r="ES20" i="38"/>
  <c r="ET20" i="38"/>
  <c r="EU20" i="38"/>
  <c r="EV20" i="38"/>
  <c r="EW20" i="38"/>
  <c r="EX20" i="38"/>
  <c r="EY20" i="38"/>
  <c r="EZ20" i="38"/>
  <c r="Z21" i="38"/>
  <c r="AA21" i="38"/>
  <c r="AB21" i="38"/>
  <c r="AC21" i="38"/>
  <c r="AD21" i="38"/>
  <c r="AE21" i="38"/>
  <c r="AF21" i="38"/>
  <c r="AG21" i="38"/>
  <c r="AH21" i="38"/>
  <c r="AI21" i="38"/>
  <c r="AJ21" i="38"/>
  <c r="AK21" i="38"/>
  <c r="AL21" i="38"/>
  <c r="AM21" i="38"/>
  <c r="AN21" i="38"/>
  <c r="AO21" i="38"/>
  <c r="AP21" i="38"/>
  <c r="AQ21" i="38"/>
  <c r="AR21" i="38"/>
  <c r="AS21" i="38"/>
  <c r="AT21" i="38"/>
  <c r="AU21" i="38"/>
  <c r="AV21" i="38"/>
  <c r="AW21" i="38"/>
  <c r="AX21" i="38"/>
  <c r="AY21" i="38"/>
  <c r="AZ21" i="38"/>
  <c r="BA21" i="38"/>
  <c r="BB21" i="38"/>
  <c r="BC21" i="38"/>
  <c r="BD21" i="38"/>
  <c r="BE21" i="38"/>
  <c r="BF21" i="38"/>
  <c r="BG21" i="38"/>
  <c r="BH21" i="38"/>
  <c r="BI21" i="38"/>
  <c r="BJ21" i="38"/>
  <c r="BK21" i="38"/>
  <c r="BL21" i="38"/>
  <c r="BM21" i="38"/>
  <c r="BN21" i="38"/>
  <c r="BO21" i="38"/>
  <c r="BP21" i="38"/>
  <c r="BQ21" i="38"/>
  <c r="BR21" i="38"/>
  <c r="BS21" i="38"/>
  <c r="BT21" i="38"/>
  <c r="BU21" i="38"/>
  <c r="BV21" i="38"/>
  <c r="BW21" i="38"/>
  <c r="BX21" i="38"/>
  <c r="BY21" i="38"/>
  <c r="BZ21" i="38"/>
  <c r="CA21" i="38"/>
  <c r="CB21" i="38"/>
  <c r="CC21" i="38"/>
  <c r="CD21" i="38"/>
  <c r="CE21" i="38"/>
  <c r="CF21" i="38"/>
  <c r="CG21" i="38"/>
  <c r="CH21" i="38"/>
  <c r="CI21" i="38"/>
  <c r="CJ21" i="38"/>
  <c r="CK21" i="38"/>
  <c r="CL21" i="38"/>
  <c r="CM21" i="38"/>
  <c r="CN21" i="38"/>
  <c r="CO21" i="38"/>
  <c r="CP21" i="38"/>
  <c r="CQ21" i="38"/>
  <c r="CR21" i="38"/>
  <c r="CS21" i="38"/>
  <c r="CT21" i="38"/>
  <c r="CU21" i="38"/>
  <c r="CV21" i="38"/>
  <c r="CW21" i="38"/>
  <c r="CX21" i="38"/>
  <c r="CY21" i="38"/>
  <c r="CZ21" i="38"/>
  <c r="DA21" i="38"/>
  <c r="DB21" i="38"/>
  <c r="DC21" i="38"/>
  <c r="DD21" i="38"/>
  <c r="DE21" i="38"/>
  <c r="DF21" i="38"/>
  <c r="DG21" i="38"/>
  <c r="DH21" i="38"/>
  <c r="DI21" i="38"/>
  <c r="DJ21" i="38"/>
  <c r="DK21" i="38"/>
  <c r="DL21" i="38"/>
  <c r="DM21" i="38"/>
  <c r="DN21" i="38"/>
  <c r="DO21" i="38"/>
  <c r="DP21" i="38"/>
  <c r="DQ21" i="38"/>
  <c r="DR21" i="38"/>
  <c r="DS21" i="38"/>
  <c r="DT21" i="38"/>
  <c r="DU21" i="38"/>
  <c r="DV21" i="38"/>
  <c r="DW21" i="38"/>
  <c r="DX21" i="38"/>
  <c r="DY21" i="38"/>
  <c r="DZ21" i="38"/>
  <c r="EA21" i="38"/>
  <c r="EB21" i="38"/>
  <c r="EC21" i="38"/>
  <c r="ED21" i="38"/>
  <c r="EE21" i="38"/>
  <c r="EF21" i="38"/>
  <c r="EG21" i="38"/>
  <c r="EH21" i="38"/>
  <c r="EI21" i="38"/>
  <c r="EJ21" i="38"/>
  <c r="EK21" i="38"/>
  <c r="EL21" i="38"/>
  <c r="EM21" i="38"/>
  <c r="EN21" i="38"/>
  <c r="EO21" i="38"/>
  <c r="EP21" i="38"/>
  <c r="EQ21" i="38"/>
  <c r="ER21" i="38"/>
  <c r="ES21" i="38"/>
  <c r="ET21" i="38"/>
  <c r="EU21" i="38"/>
  <c r="EV21" i="38"/>
  <c r="EW21" i="38"/>
  <c r="EX21" i="38"/>
  <c r="EY21" i="38"/>
  <c r="EZ21" i="38"/>
  <c r="Y9" i="38"/>
  <c r="Y10" i="38"/>
  <c r="Y11" i="38"/>
  <c r="Y12" i="38"/>
  <c r="Y13" i="38"/>
  <c r="Y14" i="38"/>
  <c r="Y15" i="38"/>
  <c r="Y16" i="38"/>
  <c r="Y17" i="38"/>
  <c r="Y18" i="38"/>
  <c r="Y19" i="38"/>
  <c r="Y20" i="38"/>
  <c r="Y21" i="38"/>
  <c r="Y8" i="38"/>
  <c r="AD25" i="38"/>
  <c r="AE25" i="38"/>
  <c r="AF25" i="38"/>
  <c r="AG25" i="38"/>
  <c r="AH25" i="38"/>
  <c r="AI25" i="38"/>
  <c r="AJ25" i="38"/>
  <c r="AK25" i="38"/>
  <c r="AL25" i="38"/>
  <c r="AM25" i="38"/>
  <c r="AN25" i="38"/>
  <c r="AO25" i="38"/>
  <c r="AP25" i="38"/>
  <c r="AQ25" i="38"/>
  <c r="AR25" i="38"/>
  <c r="AS25" i="38"/>
  <c r="AT25" i="38"/>
  <c r="AU25" i="38"/>
  <c r="AV25" i="38"/>
  <c r="AW25" i="38"/>
  <c r="AX25" i="38"/>
  <c r="AY25" i="38"/>
  <c r="AZ25" i="38"/>
  <c r="BA25" i="38"/>
  <c r="BB25" i="38"/>
  <c r="BC25" i="38"/>
  <c r="BD25" i="38"/>
  <c r="BE25" i="38"/>
  <c r="BF25" i="38"/>
  <c r="BG25" i="38"/>
  <c r="BH25" i="38"/>
  <c r="BI25" i="38"/>
  <c r="BJ25" i="38"/>
  <c r="BK25" i="38"/>
  <c r="BL25" i="38"/>
  <c r="BM25" i="38"/>
  <c r="BN25" i="38"/>
  <c r="BO25" i="38"/>
  <c r="BP25" i="38"/>
  <c r="BQ25" i="38"/>
  <c r="BR25" i="38"/>
  <c r="BS25" i="38"/>
  <c r="BT25" i="38"/>
  <c r="BU25" i="38"/>
  <c r="BV25" i="38"/>
  <c r="BW25" i="38"/>
  <c r="BX25" i="38"/>
  <c r="BY25" i="38"/>
  <c r="BZ25" i="38"/>
  <c r="CA25" i="38"/>
  <c r="CB25" i="38"/>
  <c r="CC25" i="38"/>
  <c r="CD25" i="38"/>
  <c r="CE25" i="38"/>
  <c r="CF25" i="38"/>
  <c r="CG25" i="38"/>
  <c r="CH25" i="38"/>
  <c r="CI25" i="38"/>
  <c r="CJ25" i="38"/>
  <c r="CK25" i="38"/>
  <c r="CL25" i="38"/>
  <c r="CM25" i="38"/>
  <c r="CN25" i="38"/>
  <c r="CO25" i="38"/>
  <c r="CP25" i="38"/>
  <c r="CQ25" i="38"/>
  <c r="CR25" i="38"/>
  <c r="CS25" i="38"/>
  <c r="CT25" i="38"/>
  <c r="CU25" i="38"/>
  <c r="CV25" i="38"/>
  <c r="CW25" i="38"/>
  <c r="CX25" i="38"/>
  <c r="CY25" i="38"/>
  <c r="CZ25" i="38"/>
  <c r="DA25" i="38"/>
  <c r="DB25" i="38"/>
  <c r="DC25" i="38"/>
  <c r="DD25" i="38"/>
  <c r="DE25" i="38"/>
  <c r="DF25" i="38"/>
  <c r="DG25" i="38"/>
  <c r="DH25" i="38"/>
  <c r="DI25" i="38"/>
  <c r="DJ25" i="38"/>
  <c r="DK25" i="38"/>
  <c r="DL25" i="38"/>
  <c r="DM25" i="38"/>
  <c r="DN25" i="38"/>
  <c r="DO25" i="38"/>
  <c r="DP25" i="38"/>
  <c r="DQ25" i="38"/>
  <c r="DR25" i="38"/>
  <c r="DS25" i="38"/>
  <c r="DT25" i="38"/>
  <c r="DU25" i="38"/>
  <c r="DV25" i="38"/>
  <c r="DW25" i="38"/>
  <c r="DX25" i="38"/>
  <c r="DY25" i="38"/>
  <c r="DZ25" i="38"/>
  <c r="EA25" i="38"/>
  <c r="EB25" i="38"/>
  <c r="EC25" i="38"/>
  <c r="ED25" i="38"/>
  <c r="EE25" i="38"/>
  <c r="EF25" i="38"/>
  <c r="EG25" i="38"/>
  <c r="EH25" i="38"/>
  <c r="EI25" i="38"/>
  <c r="EJ25" i="38"/>
  <c r="EK25" i="38"/>
  <c r="EL25" i="38"/>
  <c r="EM25" i="38"/>
  <c r="EN25" i="38"/>
  <c r="EO25" i="38"/>
  <c r="EP25" i="38"/>
  <c r="EQ25" i="38"/>
  <c r="ER25" i="38"/>
  <c r="ES25" i="38"/>
  <c r="ET25" i="38"/>
  <c r="EU25" i="38"/>
  <c r="EV25" i="38"/>
  <c r="EW25" i="38"/>
  <c r="EX25" i="38"/>
  <c r="EY25" i="38"/>
  <c r="EZ25" i="38"/>
  <c r="Z26" i="38"/>
  <c r="AA26" i="38"/>
  <c r="AB26" i="38"/>
  <c r="AC26" i="38"/>
  <c r="AD26" i="38"/>
  <c r="AE26" i="38"/>
  <c r="AF26" i="38"/>
  <c r="AG26" i="38"/>
  <c r="AH26" i="38"/>
  <c r="AI26" i="38"/>
  <c r="AJ26" i="38"/>
  <c r="AK26" i="38"/>
  <c r="AL26" i="38"/>
  <c r="AM26" i="38"/>
  <c r="AN26" i="38"/>
  <c r="AO26" i="38"/>
  <c r="AP26" i="38"/>
  <c r="AQ26" i="38"/>
  <c r="AR26" i="38"/>
  <c r="AS26" i="38"/>
  <c r="AT26" i="38"/>
  <c r="AU26" i="38"/>
  <c r="AV26" i="38"/>
  <c r="AW26" i="38"/>
  <c r="AX26" i="38"/>
  <c r="AY26" i="38"/>
  <c r="AZ26" i="38"/>
  <c r="BA26" i="38"/>
  <c r="BB26" i="38"/>
  <c r="BC26" i="38"/>
  <c r="BD26" i="38"/>
  <c r="BE26" i="38"/>
  <c r="BF26" i="38"/>
  <c r="BG26" i="38"/>
  <c r="BH26" i="38"/>
  <c r="BI26" i="38"/>
  <c r="BJ26" i="38"/>
  <c r="BK26" i="38"/>
  <c r="BL26" i="38"/>
  <c r="BM26" i="38"/>
  <c r="BN26" i="38"/>
  <c r="BO26" i="38"/>
  <c r="BP26" i="38"/>
  <c r="BQ26" i="38"/>
  <c r="BR26" i="38"/>
  <c r="BS26" i="38"/>
  <c r="BT26" i="38"/>
  <c r="BU26" i="38"/>
  <c r="BV26" i="38"/>
  <c r="BW26" i="38"/>
  <c r="BX26" i="38"/>
  <c r="BY26" i="38"/>
  <c r="BZ26" i="38"/>
  <c r="CA26" i="38"/>
  <c r="CB26" i="38"/>
  <c r="CC26" i="38"/>
  <c r="CD26" i="38"/>
  <c r="CE26" i="38"/>
  <c r="CF26" i="38"/>
  <c r="CG26" i="38"/>
  <c r="CH26" i="38"/>
  <c r="CI26" i="38"/>
  <c r="CJ26" i="38"/>
  <c r="CK26" i="38"/>
  <c r="CL26" i="38"/>
  <c r="CM26" i="38"/>
  <c r="CN26" i="38"/>
  <c r="CO26" i="38"/>
  <c r="CP26" i="38"/>
  <c r="CQ26" i="38"/>
  <c r="CR26" i="38"/>
  <c r="CS26" i="38"/>
  <c r="CT26" i="38"/>
  <c r="CU26" i="38"/>
  <c r="CV26" i="38"/>
  <c r="CW26" i="38"/>
  <c r="CX26" i="38"/>
  <c r="CY26" i="38"/>
  <c r="CZ26" i="38"/>
  <c r="DA26" i="38"/>
  <c r="DB26" i="38"/>
  <c r="DC26" i="38"/>
  <c r="DD26" i="38"/>
  <c r="DE26" i="38"/>
  <c r="DF26" i="38"/>
  <c r="DG26" i="38"/>
  <c r="DH26" i="38"/>
  <c r="DI26" i="38"/>
  <c r="DJ26" i="38"/>
  <c r="DK26" i="38"/>
  <c r="DL26" i="38"/>
  <c r="DM26" i="38"/>
  <c r="DN26" i="38"/>
  <c r="DO26" i="38"/>
  <c r="DP26" i="38"/>
  <c r="DQ26" i="38"/>
  <c r="DR26" i="38"/>
  <c r="DS26" i="38"/>
  <c r="DT26" i="38"/>
  <c r="DU26" i="38"/>
  <c r="DV26" i="38"/>
  <c r="DW26" i="38"/>
  <c r="DX26" i="38"/>
  <c r="DY26" i="38"/>
  <c r="DZ26" i="38"/>
  <c r="EA26" i="38"/>
  <c r="EB26" i="38"/>
  <c r="EC26" i="38"/>
  <c r="ED26" i="38"/>
  <c r="EE26" i="38"/>
  <c r="EF26" i="38"/>
  <c r="EG26" i="38"/>
  <c r="EH26" i="38"/>
  <c r="EI26" i="38"/>
  <c r="EJ26" i="38"/>
  <c r="EK26" i="38"/>
  <c r="EL26" i="38"/>
  <c r="EM26" i="38"/>
  <c r="EN26" i="38"/>
  <c r="EO26" i="38"/>
  <c r="EP26" i="38"/>
  <c r="EQ26" i="38"/>
  <c r="ER26" i="38"/>
  <c r="ES26" i="38"/>
  <c r="ET26" i="38"/>
  <c r="EU26" i="38"/>
  <c r="EV26" i="38"/>
  <c r="EW26" i="38"/>
  <c r="EX26" i="38"/>
  <c r="EY26" i="38"/>
  <c r="EZ26" i="38"/>
  <c r="Z27" i="38"/>
  <c r="AA27" i="38"/>
  <c r="AB27" i="38"/>
  <c r="AC27" i="38"/>
  <c r="AD27" i="38"/>
  <c r="AE27" i="38"/>
  <c r="AF27" i="38"/>
  <c r="AG27" i="38"/>
  <c r="AH27" i="38"/>
  <c r="AI27" i="38"/>
  <c r="AJ27" i="38"/>
  <c r="AK27" i="38"/>
  <c r="AL27" i="38"/>
  <c r="AM27" i="38"/>
  <c r="AN27" i="38"/>
  <c r="AO27" i="38"/>
  <c r="AP27" i="38"/>
  <c r="AQ27" i="38"/>
  <c r="AR27" i="38"/>
  <c r="AS27" i="38"/>
  <c r="AT27" i="38"/>
  <c r="AU27" i="38"/>
  <c r="AV27" i="38"/>
  <c r="AW27" i="38"/>
  <c r="AX27" i="38"/>
  <c r="AY27" i="38"/>
  <c r="AZ27" i="38"/>
  <c r="BA27" i="38"/>
  <c r="BB27" i="38"/>
  <c r="BC27" i="38"/>
  <c r="BD27" i="38"/>
  <c r="BE27" i="38"/>
  <c r="BF27" i="38"/>
  <c r="BG27" i="38"/>
  <c r="BH27" i="38"/>
  <c r="BI27" i="38"/>
  <c r="BJ27" i="38"/>
  <c r="BK27" i="38"/>
  <c r="BL27" i="38"/>
  <c r="BM27" i="38"/>
  <c r="BN27" i="38"/>
  <c r="BO27" i="38"/>
  <c r="BP27" i="38"/>
  <c r="BQ27" i="38"/>
  <c r="BR27" i="38"/>
  <c r="BS27" i="38"/>
  <c r="BT27" i="38"/>
  <c r="BU27" i="38"/>
  <c r="BV27" i="38"/>
  <c r="BW27" i="38"/>
  <c r="BX27" i="38"/>
  <c r="BY27" i="38"/>
  <c r="BZ27" i="38"/>
  <c r="CA27" i="38"/>
  <c r="CB27" i="38"/>
  <c r="CC27" i="38"/>
  <c r="CD27" i="38"/>
  <c r="CE27" i="38"/>
  <c r="CF27" i="38"/>
  <c r="CG27" i="38"/>
  <c r="CH27" i="38"/>
  <c r="CI27" i="38"/>
  <c r="CJ27" i="38"/>
  <c r="CK27" i="38"/>
  <c r="CL27" i="38"/>
  <c r="CM27" i="38"/>
  <c r="CN27" i="38"/>
  <c r="CO27" i="38"/>
  <c r="CP27" i="38"/>
  <c r="CQ27" i="38"/>
  <c r="CR27" i="38"/>
  <c r="CS27" i="38"/>
  <c r="CT27" i="38"/>
  <c r="CU27" i="38"/>
  <c r="CV27" i="38"/>
  <c r="CW27" i="38"/>
  <c r="CX27" i="38"/>
  <c r="CY27" i="38"/>
  <c r="CZ27" i="38"/>
  <c r="DA27" i="38"/>
  <c r="DB27" i="38"/>
  <c r="DC27" i="38"/>
  <c r="DD27" i="38"/>
  <c r="DE27" i="38"/>
  <c r="DF27" i="38"/>
  <c r="DG27" i="38"/>
  <c r="DH27" i="38"/>
  <c r="DI27" i="38"/>
  <c r="DJ27" i="38"/>
  <c r="DK27" i="38"/>
  <c r="DL27" i="38"/>
  <c r="DM27" i="38"/>
  <c r="DN27" i="38"/>
  <c r="DO27" i="38"/>
  <c r="DP27" i="38"/>
  <c r="DQ27" i="38"/>
  <c r="DR27" i="38"/>
  <c r="DS27" i="38"/>
  <c r="DT27" i="38"/>
  <c r="DU27" i="38"/>
  <c r="DV27" i="38"/>
  <c r="DW27" i="38"/>
  <c r="DX27" i="38"/>
  <c r="DY27" i="38"/>
  <c r="DZ27" i="38"/>
  <c r="EA27" i="38"/>
  <c r="EB27" i="38"/>
  <c r="EC27" i="38"/>
  <c r="ED27" i="38"/>
  <c r="EE27" i="38"/>
  <c r="EF27" i="38"/>
  <c r="EG27" i="38"/>
  <c r="EH27" i="38"/>
  <c r="EI27" i="38"/>
  <c r="EJ27" i="38"/>
  <c r="EK27" i="38"/>
  <c r="EL27" i="38"/>
  <c r="EM27" i="38"/>
  <c r="EN27" i="38"/>
  <c r="EO27" i="38"/>
  <c r="EP27" i="38"/>
  <c r="EQ27" i="38"/>
  <c r="ER27" i="38"/>
  <c r="ES27" i="38"/>
  <c r="ET27" i="38"/>
  <c r="EU27" i="38"/>
  <c r="EV27" i="38"/>
  <c r="EW27" i="38"/>
  <c r="EX27" i="38"/>
  <c r="EY27" i="38"/>
  <c r="EZ27" i="38"/>
  <c r="Z28" i="38"/>
  <c r="AA28" i="38"/>
  <c r="AB28" i="38"/>
  <c r="AC28" i="38"/>
  <c r="AD28" i="38"/>
  <c r="AE28" i="38"/>
  <c r="AF28" i="38"/>
  <c r="AG28" i="38"/>
  <c r="AH28" i="38"/>
  <c r="AI28" i="38"/>
  <c r="AJ28" i="38"/>
  <c r="AK28" i="38"/>
  <c r="AL28" i="38"/>
  <c r="AM28" i="38"/>
  <c r="AN28" i="38"/>
  <c r="AO28" i="38"/>
  <c r="AP28" i="38"/>
  <c r="AQ28" i="38"/>
  <c r="AR28" i="38"/>
  <c r="AS28" i="38"/>
  <c r="AT28" i="38"/>
  <c r="AU28" i="38"/>
  <c r="AV28" i="38"/>
  <c r="AW28" i="38"/>
  <c r="AX28" i="38"/>
  <c r="AY28" i="38"/>
  <c r="AZ28" i="38"/>
  <c r="BA28" i="38"/>
  <c r="BB28" i="38"/>
  <c r="BC28" i="38"/>
  <c r="BD28" i="38"/>
  <c r="BE28" i="38"/>
  <c r="BF28" i="38"/>
  <c r="BG28" i="38"/>
  <c r="BH28" i="38"/>
  <c r="BI28" i="38"/>
  <c r="BJ28" i="38"/>
  <c r="BK28" i="38"/>
  <c r="BL28" i="38"/>
  <c r="BM28" i="38"/>
  <c r="BN28" i="38"/>
  <c r="BO28" i="38"/>
  <c r="BP28" i="38"/>
  <c r="BQ28" i="38"/>
  <c r="BR28" i="38"/>
  <c r="BS28" i="38"/>
  <c r="BT28" i="38"/>
  <c r="BU28" i="38"/>
  <c r="BV28" i="38"/>
  <c r="BW28" i="38"/>
  <c r="BX28" i="38"/>
  <c r="BY28" i="38"/>
  <c r="BZ28" i="38"/>
  <c r="CA28" i="38"/>
  <c r="CB28" i="38"/>
  <c r="CC28" i="38"/>
  <c r="CD28" i="38"/>
  <c r="CE28" i="38"/>
  <c r="CF28" i="38"/>
  <c r="CG28" i="38"/>
  <c r="CH28" i="38"/>
  <c r="CI28" i="38"/>
  <c r="CJ28" i="38"/>
  <c r="CK28" i="38"/>
  <c r="CL28" i="38"/>
  <c r="CM28" i="38"/>
  <c r="CN28" i="38"/>
  <c r="CO28" i="38"/>
  <c r="CP28" i="38"/>
  <c r="CQ28" i="38"/>
  <c r="CR28" i="38"/>
  <c r="CS28" i="38"/>
  <c r="CT28" i="38"/>
  <c r="CU28" i="38"/>
  <c r="CV28" i="38"/>
  <c r="CW28" i="38"/>
  <c r="CX28" i="38"/>
  <c r="CY28" i="38"/>
  <c r="CZ28" i="38"/>
  <c r="DA28" i="38"/>
  <c r="DB28" i="38"/>
  <c r="DC28" i="38"/>
  <c r="DD28" i="38"/>
  <c r="DE28" i="38"/>
  <c r="DF28" i="38"/>
  <c r="DG28" i="38"/>
  <c r="DH28" i="38"/>
  <c r="DI28" i="38"/>
  <c r="DJ28" i="38"/>
  <c r="DK28" i="38"/>
  <c r="DL28" i="38"/>
  <c r="DM28" i="38"/>
  <c r="DN28" i="38"/>
  <c r="DO28" i="38"/>
  <c r="DP28" i="38"/>
  <c r="DQ28" i="38"/>
  <c r="DR28" i="38"/>
  <c r="DS28" i="38"/>
  <c r="DT28" i="38"/>
  <c r="DU28" i="38"/>
  <c r="DV28" i="38"/>
  <c r="DW28" i="38"/>
  <c r="DX28" i="38"/>
  <c r="DY28" i="38"/>
  <c r="DZ28" i="38"/>
  <c r="EA28" i="38"/>
  <c r="EB28" i="38"/>
  <c r="EC28" i="38"/>
  <c r="ED28" i="38"/>
  <c r="EE28" i="38"/>
  <c r="EF28" i="38"/>
  <c r="EG28" i="38"/>
  <c r="EH28" i="38"/>
  <c r="EI28" i="38"/>
  <c r="EJ28" i="38"/>
  <c r="EK28" i="38"/>
  <c r="EL28" i="38"/>
  <c r="EM28" i="38"/>
  <c r="EN28" i="38"/>
  <c r="EO28" i="38"/>
  <c r="EP28" i="38"/>
  <c r="EQ28" i="38"/>
  <c r="ER28" i="38"/>
  <c r="ES28" i="38"/>
  <c r="ET28" i="38"/>
  <c r="EU28" i="38"/>
  <c r="EV28" i="38"/>
  <c r="EW28" i="38"/>
  <c r="EX28" i="38"/>
  <c r="EY28" i="38"/>
  <c r="EZ28" i="38"/>
  <c r="Z29" i="38"/>
  <c r="AA29" i="38"/>
  <c r="AB29" i="38"/>
  <c r="AC29" i="38"/>
  <c r="AD29" i="38"/>
  <c r="AE29" i="38"/>
  <c r="AF29" i="38"/>
  <c r="AG29" i="38"/>
  <c r="AH29" i="38"/>
  <c r="AI29" i="38"/>
  <c r="AJ29" i="38"/>
  <c r="AK29" i="38"/>
  <c r="AL29" i="38"/>
  <c r="AM29" i="38"/>
  <c r="AN29" i="38"/>
  <c r="AO29" i="38"/>
  <c r="AP29" i="38"/>
  <c r="AQ29" i="38"/>
  <c r="AR29" i="38"/>
  <c r="AS29" i="38"/>
  <c r="AT29" i="38"/>
  <c r="AU29" i="38"/>
  <c r="AV29" i="38"/>
  <c r="AW29" i="38"/>
  <c r="AX29" i="38"/>
  <c r="AY29" i="38"/>
  <c r="AZ29" i="38"/>
  <c r="BA29" i="38"/>
  <c r="BB29" i="38"/>
  <c r="BC29" i="38"/>
  <c r="BD29" i="38"/>
  <c r="BE29" i="38"/>
  <c r="BF29" i="38"/>
  <c r="BG29" i="38"/>
  <c r="BH29" i="38"/>
  <c r="BI29" i="38"/>
  <c r="BJ29" i="38"/>
  <c r="BK29" i="38"/>
  <c r="BL29" i="38"/>
  <c r="BM29" i="38"/>
  <c r="BN29" i="38"/>
  <c r="BO29" i="38"/>
  <c r="BP29" i="38"/>
  <c r="BQ29" i="38"/>
  <c r="BR29" i="38"/>
  <c r="BS29" i="38"/>
  <c r="BT29" i="38"/>
  <c r="BU29" i="38"/>
  <c r="BV29" i="38"/>
  <c r="BW29" i="38"/>
  <c r="BX29" i="38"/>
  <c r="BY29" i="38"/>
  <c r="BZ29" i="38"/>
  <c r="CA29" i="38"/>
  <c r="CB29" i="38"/>
  <c r="CC29" i="38"/>
  <c r="CD29" i="38"/>
  <c r="CE29" i="38"/>
  <c r="CF29" i="38"/>
  <c r="CG29" i="38"/>
  <c r="CH29" i="38"/>
  <c r="CI29" i="38"/>
  <c r="CJ29" i="38"/>
  <c r="CK29" i="38"/>
  <c r="CL29" i="38"/>
  <c r="CM29" i="38"/>
  <c r="CN29" i="38"/>
  <c r="CO29" i="38"/>
  <c r="CP29" i="38"/>
  <c r="CQ29" i="38"/>
  <c r="CR29" i="38"/>
  <c r="CS29" i="38"/>
  <c r="CT29" i="38"/>
  <c r="CU29" i="38"/>
  <c r="CV29" i="38"/>
  <c r="CW29" i="38"/>
  <c r="CX29" i="38"/>
  <c r="CY29" i="38"/>
  <c r="CZ29" i="38"/>
  <c r="DA29" i="38"/>
  <c r="DB29" i="38"/>
  <c r="DC29" i="38"/>
  <c r="DD29" i="38"/>
  <c r="DE29" i="38"/>
  <c r="DF29" i="38"/>
  <c r="DG29" i="38"/>
  <c r="DH29" i="38"/>
  <c r="DI29" i="38"/>
  <c r="DJ29" i="38"/>
  <c r="DK29" i="38"/>
  <c r="DL29" i="38"/>
  <c r="DM29" i="38"/>
  <c r="DN29" i="38"/>
  <c r="DO29" i="38"/>
  <c r="DP29" i="38"/>
  <c r="DQ29" i="38"/>
  <c r="DR29" i="38"/>
  <c r="DS29" i="38"/>
  <c r="DT29" i="38"/>
  <c r="DU29" i="38"/>
  <c r="DV29" i="38"/>
  <c r="DW29" i="38"/>
  <c r="DX29" i="38"/>
  <c r="DY29" i="38"/>
  <c r="DZ29" i="38"/>
  <c r="EA29" i="38"/>
  <c r="EB29" i="38"/>
  <c r="EC29" i="38"/>
  <c r="ED29" i="38"/>
  <c r="EE29" i="38"/>
  <c r="EF29" i="38"/>
  <c r="EG29" i="38"/>
  <c r="EH29" i="38"/>
  <c r="EI29" i="38"/>
  <c r="EJ29" i="38"/>
  <c r="EK29" i="38"/>
  <c r="EL29" i="38"/>
  <c r="EM29" i="38"/>
  <c r="EN29" i="38"/>
  <c r="EO29" i="38"/>
  <c r="EP29" i="38"/>
  <c r="EQ29" i="38"/>
  <c r="ER29" i="38"/>
  <c r="ES29" i="38"/>
  <c r="ET29" i="38"/>
  <c r="EU29" i="38"/>
  <c r="EV29" i="38"/>
  <c r="EW29" i="38"/>
  <c r="EX29" i="38"/>
  <c r="EY29" i="38"/>
  <c r="EZ29" i="38"/>
  <c r="Z30" i="38"/>
  <c r="AA30" i="38"/>
  <c r="AB30" i="38"/>
  <c r="AC30" i="38"/>
  <c r="AD30" i="38"/>
  <c r="AE30" i="38"/>
  <c r="AF30" i="38"/>
  <c r="AG30" i="38"/>
  <c r="AH30" i="38"/>
  <c r="AI30" i="38"/>
  <c r="AJ30" i="38"/>
  <c r="AK30" i="38"/>
  <c r="AL30" i="38"/>
  <c r="AM30" i="38"/>
  <c r="AN30" i="38"/>
  <c r="AO30" i="38"/>
  <c r="AP30" i="38"/>
  <c r="AQ30" i="38"/>
  <c r="AR30" i="38"/>
  <c r="AS30" i="38"/>
  <c r="AT30" i="38"/>
  <c r="AU30" i="38"/>
  <c r="AV30" i="38"/>
  <c r="AW30" i="38"/>
  <c r="AX30" i="38"/>
  <c r="AY30" i="38"/>
  <c r="AZ30" i="38"/>
  <c r="BA30" i="38"/>
  <c r="BB30" i="38"/>
  <c r="BC30" i="38"/>
  <c r="BD30" i="38"/>
  <c r="BE30" i="38"/>
  <c r="BF30" i="38"/>
  <c r="BG30" i="38"/>
  <c r="BH30" i="38"/>
  <c r="BI30" i="38"/>
  <c r="BJ30" i="38"/>
  <c r="BK30" i="38"/>
  <c r="BL30" i="38"/>
  <c r="BM30" i="38"/>
  <c r="BN30" i="38"/>
  <c r="BO30" i="38"/>
  <c r="BP30" i="38"/>
  <c r="BQ30" i="38"/>
  <c r="BR30" i="38"/>
  <c r="BS30" i="38"/>
  <c r="BT30" i="38"/>
  <c r="BU30" i="38"/>
  <c r="BV30" i="38"/>
  <c r="BW30" i="38"/>
  <c r="BX30" i="38"/>
  <c r="BY30" i="38"/>
  <c r="BZ30" i="38"/>
  <c r="CA30" i="38"/>
  <c r="CB30" i="38"/>
  <c r="CC30" i="38"/>
  <c r="CD30" i="38"/>
  <c r="CE30" i="38"/>
  <c r="CF30" i="38"/>
  <c r="CG30" i="38"/>
  <c r="CH30" i="38"/>
  <c r="CI30" i="38"/>
  <c r="CJ30" i="38"/>
  <c r="CK30" i="38"/>
  <c r="CL30" i="38"/>
  <c r="CM30" i="38"/>
  <c r="CN30" i="38"/>
  <c r="CO30" i="38"/>
  <c r="CP30" i="38"/>
  <c r="CQ30" i="38"/>
  <c r="CR30" i="38"/>
  <c r="CS30" i="38"/>
  <c r="CT30" i="38"/>
  <c r="CU30" i="38"/>
  <c r="CV30" i="38"/>
  <c r="CW30" i="38"/>
  <c r="CX30" i="38"/>
  <c r="CY30" i="38"/>
  <c r="CZ30" i="38"/>
  <c r="DA30" i="38"/>
  <c r="DB30" i="38"/>
  <c r="DC30" i="38"/>
  <c r="DD30" i="38"/>
  <c r="DE30" i="38"/>
  <c r="DF30" i="38"/>
  <c r="DG30" i="38"/>
  <c r="DH30" i="38"/>
  <c r="DI30" i="38"/>
  <c r="DJ30" i="38"/>
  <c r="DK30" i="38"/>
  <c r="DL30" i="38"/>
  <c r="DM30" i="38"/>
  <c r="DN30" i="38"/>
  <c r="DO30" i="38"/>
  <c r="DP30" i="38"/>
  <c r="DQ30" i="38"/>
  <c r="DR30" i="38"/>
  <c r="DS30" i="38"/>
  <c r="DT30" i="38"/>
  <c r="DU30" i="38"/>
  <c r="DV30" i="38"/>
  <c r="DW30" i="38"/>
  <c r="DX30" i="38"/>
  <c r="DY30" i="38"/>
  <c r="DZ30" i="38"/>
  <c r="EA30" i="38"/>
  <c r="EB30" i="38"/>
  <c r="EC30" i="38"/>
  <c r="ED30" i="38"/>
  <c r="EE30" i="38"/>
  <c r="EF30" i="38"/>
  <c r="EG30" i="38"/>
  <c r="EH30" i="38"/>
  <c r="EI30" i="38"/>
  <c r="EJ30" i="38"/>
  <c r="EK30" i="38"/>
  <c r="EL30" i="38"/>
  <c r="EM30" i="38"/>
  <c r="EN30" i="38"/>
  <c r="EO30" i="38"/>
  <c r="EP30" i="38"/>
  <c r="EQ30" i="38"/>
  <c r="ER30" i="38"/>
  <c r="ES30" i="38"/>
  <c r="ET30" i="38"/>
  <c r="EU30" i="38"/>
  <c r="EV30" i="38"/>
  <c r="EW30" i="38"/>
  <c r="EX30" i="38"/>
  <c r="EY30" i="38"/>
  <c r="EZ30" i="38"/>
  <c r="Z31" i="38"/>
  <c r="AA31" i="38"/>
  <c r="AB31" i="38"/>
  <c r="AC31" i="38"/>
  <c r="AD31" i="38"/>
  <c r="AE31" i="38"/>
  <c r="AF31" i="38"/>
  <c r="AG31" i="38"/>
  <c r="AH31" i="38"/>
  <c r="AI31" i="38"/>
  <c r="AJ31" i="38"/>
  <c r="AK31" i="38"/>
  <c r="AL31" i="38"/>
  <c r="AM31" i="38"/>
  <c r="AN31" i="38"/>
  <c r="AO31" i="38"/>
  <c r="AP31" i="38"/>
  <c r="AQ31" i="38"/>
  <c r="AR31" i="38"/>
  <c r="AS31" i="38"/>
  <c r="AT31" i="38"/>
  <c r="AU31" i="38"/>
  <c r="AV31" i="38"/>
  <c r="AW31" i="38"/>
  <c r="AX31" i="38"/>
  <c r="AY31" i="38"/>
  <c r="AZ31" i="38"/>
  <c r="BA31" i="38"/>
  <c r="BB31" i="38"/>
  <c r="BC31" i="38"/>
  <c r="BD31" i="38"/>
  <c r="BE31" i="38"/>
  <c r="BF31" i="38"/>
  <c r="BG31" i="38"/>
  <c r="BH31" i="38"/>
  <c r="BI31" i="38"/>
  <c r="BJ31" i="38"/>
  <c r="BK31" i="38"/>
  <c r="BL31" i="38"/>
  <c r="BM31" i="38"/>
  <c r="BN31" i="38"/>
  <c r="BO31" i="38"/>
  <c r="BP31" i="38"/>
  <c r="BQ31" i="38"/>
  <c r="BR31" i="38"/>
  <c r="BS31" i="38"/>
  <c r="BT31" i="38"/>
  <c r="BU31" i="38"/>
  <c r="BV31" i="38"/>
  <c r="BW31" i="38"/>
  <c r="BX31" i="38"/>
  <c r="BY31" i="38"/>
  <c r="BZ31" i="38"/>
  <c r="CA31" i="38"/>
  <c r="CB31" i="38"/>
  <c r="CC31" i="38"/>
  <c r="CD31" i="38"/>
  <c r="CE31" i="38"/>
  <c r="CF31" i="38"/>
  <c r="CG31" i="38"/>
  <c r="CH31" i="38"/>
  <c r="CI31" i="38"/>
  <c r="CJ31" i="38"/>
  <c r="CK31" i="38"/>
  <c r="CL31" i="38"/>
  <c r="CM31" i="38"/>
  <c r="CN31" i="38"/>
  <c r="CO31" i="38"/>
  <c r="CP31" i="38"/>
  <c r="CQ31" i="38"/>
  <c r="CR31" i="38"/>
  <c r="CS31" i="38"/>
  <c r="CT31" i="38"/>
  <c r="CU31" i="38"/>
  <c r="CV31" i="38"/>
  <c r="CW31" i="38"/>
  <c r="CX31" i="38"/>
  <c r="CY31" i="38"/>
  <c r="CZ31" i="38"/>
  <c r="DA31" i="38"/>
  <c r="DB31" i="38"/>
  <c r="DC31" i="38"/>
  <c r="DD31" i="38"/>
  <c r="DE31" i="38"/>
  <c r="DF31" i="38"/>
  <c r="DG31" i="38"/>
  <c r="DH31" i="38"/>
  <c r="DI31" i="38"/>
  <c r="DJ31" i="38"/>
  <c r="DK31" i="38"/>
  <c r="DL31" i="38"/>
  <c r="DM31" i="38"/>
  <c r="DN31" i="38"/>
  <c r="DO31" i="38"/>
  <c r="DP31" i="38"/>
  <c r="DQ31" i="38"/>
  <c r="DR31" i="38"/>
  <c r="DS31" i="38"/>
  <c r="DT31" i="38"/>
  <c r="DU31" i="38"/>
  <c r="DV31" i="38"/>
  <c r="DW31" i="38"/>
  <c r="DX31" i="38"/>
  <c r="DY31" i="38"/>
  <c r="DZ31" i="38"/>
  <c r="EA31" i="38"/>
  <c r="EB31" i="38"/>
  <c r="EC31" i="38"/>
  <c r="ED31" i="38"/>
  <c r="EE31" i="38"/>
  <c r="EF31" i="38"/>
  <c r="EG31" i="38"/>
  <c r="EH31" i="38"/>
  <c r="EI31" i="38"/>
  <c r="EJ31" i="38"/>
  <c r="EK31" i="38"/>
  <c r="EL31" i="38"/>
  <c r="EM31" i="38"/>
  <c r="EN31" i="38"/>
  <c r="EO31" i="38"/>
  <c r="EP31" i="38"/>
  <c r="EQ31" i="38"/>
  <c r="ER31" i="38"/>
  <c r="ES31" i="38"/>
  <c r="ET31" i="38"/>
  <c r="EU31" i="38"/>
  <c r="EV31" i="38"/>
  <c r="EW31" i="38"/>
  <c r="EX31" i="38"/>
  <c r="EY31" i="38"/>
  <c r="EZ31" i="38"/>
  <c r="Z32" i="38"/>
  <c r="AA32" i="38"/>
  <c r="AB32" i="38"/>
  <c r="AC32" i="38"/>
  <c r="AD32" i="38"/>
  <c r="AE32" i="38"/>
  <c r="AF32" i="38"/>
  <c r="AG32" i="38"/>
  <c r="AH32" i="38"/>
  <c r="AI32" i="38"/>
  <c r="AJ32" i="38"/>
  <c r="AK32" i="38"/>
  <c r="AL32" i="38"/>
  <c r="AM32" i="38"/>
  <c r="AN32" i="38"/>
  <c r="AO32" i="38"/>
  <c r="AP32" i="38"/>
  <c r="AQ32" i="38"/>
  <c r="AR32" i="38"/>
  <c r="AS32" i="38"/>
  <c r="AT32" i="38"/>
  <c r="AU32" i="38"/>
  <c r="AV32" i="38"/>
  <c r="AW32" i="38"/>
  <c r="AX32" i="38"/>
  <c r="AY32" i="38"/>
  <c r="AZ32" i="38"/>
  <c r="BA32" i="38"/>
  <c r="BB32" i="38"/>
  <c r="BC32" i="38"/>
  <c r="BD32" i="38"/>
  <c r="BE32" i="38"/>
  <c r="BF32" i="38"/>
  <c r="BG32" i="38"/>
  <c r="BH32" i="38"/>
  <c r="BI32" i="38"/>
  <c r="BJ32" i="38"/>
  <c r="BK32" i="38"/>
  <c r="BL32" i="38"/>
  <c r="BM32" i="38"/>
  <c r="BN32" i="38"/>
  <c r="BO32" i="38"/>
  <c r="BP32" i="38"/>
  <c r="BQ32" i="38"/>
  <c r="BR32" i="38"/>
  <c r="BS32" i="38"/>
  <c r="BT32" i="38"/>
  <c r="BU32" i="38"/>
  <c r="BV32" i="38"/>
  <c r="BW32" i="38"/>
  <c r="BX32" i="38"/>
  <c r="BY32" i="38"/>
  <c r="BZ32" i="38"/>
  <c r="CA32" i="38"/>
  <c r="CB32" i="38"/>
  <c r="CC32" i="38"/>
  <c r="CD32" i="38"/>
  <c r="CE32" i="38"/>
  <c r="CF32" i="38"/>
  <c r="CG32" i="38"/>
  <c r="CH32" i="38"/>
  <c r="CI32" i="38"/>
  <c r="CJ32" i="38"/>
  <c r="CK32" i="38"/>
  <c r="CL32" i="38"/>
  <c r="CM32" i="38"/>
  <c r="CN32" i="38"/>
  <c r="CO32" i="38"/>
  <c r="CP32" i="38"/>
  <c r="CQ32" i="38"/>
  <c r="CR32" i="38"/>
  <c r="CS32" i="38"/>
  <c r="CT32" i="38"/>
  <c r="CU32" i="38"/>
  <c r="CV32" i="38"/>
  <c r="CW32" i="38"/>
  <c r="CX32" i="38"/>
  <c r="CY32" i="38"/>
  <c r="CZ32" i="38"/>
  <c r="DA32" i="38"/>
  <c r="DB32" i="38"/>
  <c r="DC32" i="38"/>
  <c r="DD32" i="38"/>
  <c r="DE32" i="38"/>
  <c r="DF32" i="38"/>
  <c r="DG32" i="38"/>
  <c r="DH32" i="38"/>
  <c r="DI32" i="38"/>
  <c r="DJ32" i="38"/>
  <c r="DK32" i="38"/>
  <c r="DL32" i="38"/>
  <c r="DM32" i="38"/>
  <c r="DN32" i="38"/>
  <c r="DO32" i="38"/>
  <c r="DP32" i="38"/>
  <c r="DQ32" i="38"/>
  <c r="DR32" i="38"/>
  <c r="DS32" i="38"/>
  <c r="DT32" i="38"/>
  <c r="DU32" i="38"/>
  <c r="DV32" i="38"/>
  <c r="DW32" i="38"/>
  <c r="DX32" i="38"/>
  <c r="DY32" i="38"/>
  <c r="DZ32" i="38"/>
  <c r="EA32" i="38"/>
  <c r="EB32" i="38"/>
  <c r="EC32" i="38"/>
  <c r="ED32" i="38"/>
  <c r="EE32" i="38"/>
  <c r="EF32" i="38"/>
  <c r="EG32" i="38"/>
  <c r="EH32" i="38"/>
  <c r="EI32" i="38"/>
  <c r="EJ32" i="38"/>
  <c r="EK32" i="38"/>
  <c r="EL32" i="38"/>
  <c r="EM32" i="38"/>
  <c r="EN32" i="38"/>
  <c r="EO32" i="38"/>
  <c r="EP32" i="38"/>
  <c r="EQ32" i="38"/>
  <c r="ER32" i="38"/>
  <c r="ES32" i="38"/>
  <c r="ET32" i="38"/>
  <c r="EU32" i="38"/>
  <c r="EV32" i="38"/>
  <c r="EW32" i="38"/>
  <c r="EX32" i="38"/>
  <c r="EY32" i="38"/>
  <c r="EZ32" i="38"/>
  <c r="Z33" i="38"/>
  <c r="AA33" i="38"/>
  <c r="AB33" i="38"/>
  <c r="AC33" i="38"/>
  <c r="AD33" i="38"/>
  <c r="AE33" i="38"/>
  <c r="AF33" i="38"/>
  <c r="AG33" i="38"/>
  <c r="AH33" i="38"/>
  <c r="AI33" i="38"/>
  <c r="AJ33" i="38"/>
  <c r="AK33" i="38"/>
  <c r="AL33" i="38"/>
  <c r="AM33" i="38"/>
  <c r="AN33" i="38"/>
  <c r="AO33" i="38"/>
  <c r="AP33" i="38"/>
  <c r="AQ33" i="38"/>
  <c r="AR33" i="38"/>
  <c r="AS33" i="38"/>
  <c r="AT33" i="38"/>
  <c r="AU33" i="38"/>
  <c r="AV33" i="38"/>
  <c r="AW33" i="38"/>
  <c r="AX33" i="38"/>
  <c r="AY33" i="38"/>
  <c r="AZ33" i="38"/>
  <c r="BA33" i="38"/>
  <c r="BB33" i="38"/>
  <c r="BC33" i="38"/>
  <c r="BD33" i="38"/>
  <c r="BE33" i="38"/>
  <c r="BF33" i="38"/>
  <c r="BG33" i="38"/>
  <c r="BH33" i="38"/>
  <c r="BI33" i="38"/>
  <c r="BJ33" i="38"/>
  <c r="BK33" i="38"/>
  <c r="BL33" i="38"/>
  <c r="BM33" i="38"/>
  <c r="BN33" i="38"/>
  <c r="BO33" i="38"/>
  <c r="BP33" i="38"/>
  <c r="BQ33" i="38"/>
  <c r="BR33" i="38"/>
  <c r="BS33" i="38"/>
  <c r="BT33" i="38"/>
  <c r="BU33" i="38"/>
  <c r="BV33" i="38"/>
  <c r="BW33" i="38"/>
  <c r="BX33" i="38"/>
  <c r="BY33" i="38"/>
  <c r="BZ33" i="38"/>
  <c r="CA33" i="38"/>
  <c r="CB33" i="38"/>
  <c r="CC33" i="38"/>
  <c r="CD33" i="38"/>
  <c r="CE33" i="38"/>
  <c r="CF33" i="38"/>
  <c r="CG33" i="38"/>
  <c r="CH33" i="38"/>
  <c r="CI33" i="38"/>
  <c r="CJ33" i="38"/>
  <c r="CK33" i="38"/>
  <c r="CL33" i="38"/>
  <c r="CM33" i="38"/>
  <c r="CN33" i="38"/>
  <c r="CO33" i="38"/>
  <c r="CP33" i="38"/>
  <c r="CQ33" i="38"/>
  <c r="CR33" i="38"/>
  <c r="CS33" i="38"/>
  <c r="CT33" i="38"/>
  <c r="CU33" i="38"/>
  <c r="CV33" i="38"/>
  <c r="CW33" i="38"/>
  <c r="CX33" i="38"/>
  <c r="CY33" i="38"/>
  <c r="CZ33" i="38"/>
  <c r="DA33" i="38"/>
  <c r="DB33" i="38"/>
  <c r="DC33" i="38"/>
  <c r="DD33" i="38"/>
  <c r="DE33" i="38"/>
  <c r="DF33" i="38"/>
  <c r="DG33" i="38"/>
  <c r="DH33" i="38"/>
  <c r="DI33" i="38"/>
  <c r="DJ33" i="38"/>
  <c r="DK33" i="38"/>
  <c r="DL33" i="38"/>
  <c r="DM33" i="38"/>
  <c r="DN33" i="38"/>
  <c r="DO33" i="38"/>
  <c r="DP33" i="38"/>
  <c r="DQ33" i="38"/>
  <c r="DR33" i="38"/>
  <c r="DS33" i="38"/>
  <c r="DT33" i="38"/>
  <c r="DU33" i="38"/>
  <c r="DV33" i="38"/>
  <c r="DW33" i="38"/>
  <c r="DX33" i="38"/>
  <c r="DY33" i="38"/>
  <c r="DZ33" i="38"/>
  <c r="EA33" i="38"/>
  <c r="EB33" i="38"/>
  <c r="EC33" i="38"/>
  <c r="ED33" i="38"/>
  <c r="EE33" i="38"/>
  <c r="EF33" i="38"/>
  <c r="EG33" i="38"/>
  <c r="EH33" i="38"/>
  <c r="EI33" i="38"/>
  <c r="EJ33" i="38"/>
  <c r="EK33" i="38"/>
  <c r="EL33" i="38"/>
  <c r="EM33" i="38"/>
  <c r="EN33" i="38"/>
  <c r="EO33" i="38"/>
  <c r="EP33" i="38"/>
  <c r="EQ33" i="38"/>
  <c r="ER33" i="38"/>
  <c r="ES33" i="38"/>
  <c r="ET33" i="38"/>
  <c r="EU33" i="38"/>
  <c r="EV33" i="38"/>
  <c r="EW33" i="38"/>
  <c r="EX33" i="38"/>
  <c r="EY33" i="38"/>
  <c r="EZ33" i="38"/>
  <c r="Z34" i="38"/>
  <c r="AA34" i="38"/>
  <c r="AB34" i="38"/>
  <c r="AC34" i="38"/>
  <c r="AD34" i="38"/>
  <c r="AE34" i="38"/>
  <c r="AF34" i="38"/>
  <c r="AG34" i="38"/>
  <c r="AH34" i="38"/>
  <c r="AI34" i="38"/>
  <c r="AJ34" i="38"/>
  <c r="AK34" i="38"/>
  <c r="AL34" i="38"/>
  <c r="AM34" i="38"/>
  <c r="AN34" i="38"/>
  <c r="AO34" i="38"/>
  <c r="AP34" i="38"/>
  <c r="AQ34" i="38"/>
  <c r="AR34" i="38"/>
  <c r="AS34" i="38"/>
  <c r="AT34" i="38"/>
  <c r="AU34" i="38"/>
  <c r="AV34" i="38"/>
  <c r="AW34" i="38"/>
  <c r="AX34" i="38"/>
  <c r="AY34" i="38"/>
  <c r="AZ34" i="38"/>
  <c r="BA34" i="38"/>
  <c r="BB34" i="38"/>
  <c r="BC34" i="38"/>
  <c r="BD34" i="38"/>
  <c r="BE34" i="38"/>
  <c r="BF34" i="38"/>
  <c r="BG34" i="38"/>
  <c r="BH34" i="38"/>
  <c r="BI34" i="38"/>
  <c r="BJ34" i="38"/>
  <c r="BK34" i="38"/>
  <c r="BL34" i="38"/>
  <c r="BM34" i="38"/>
  <c r="BN34" i="38"/>
  <c r="BO34" i="38"/>
  <c r="BP34" i="38"/>
  <c r="BQ34" i="38"/>
  <c r="BR34" i="38"/>
  <c r="BS34" i="38"/>
  <c r="BT34" i="38"/>
  <c r="BU34" i="38"/>
  <c r="BV34" i="38"/>
  <c r="BW34" i="38"/>
  <c r="BX34" i="38"/>
  <c r="BY34" i="38"/>
  <c r="BZ34" i="38"/>
  <c r="CA34" i="38"/>
  <c r="CB34" i="38"/>
  <c r="CC34" i="38"/>
  <c r="CD34" i="38"/>
  <c r="CE34" i="38"/>
  <c r="CF34" i="38"/>
  <c r="CG34" i="38"/>
  <c r="CH34" i="38"/>
  <c r="CI34" i="38"/>
  <c r="CJ34" i="38"/>
  <c r="CK34" i="38"/>
  <c r="CL34" i="38"/>
  <c r="CM34" i="38"/>
  <c r="CN34" i="38"/>
  <c r="CO34" i="38"/>
  <c r="CP34" i="38"/>
  <c r="CQ34" i="38"/>
  <c r="CR34" i="38"/>
  <c r="CS34" i="38"/>
  <c r="CT34" i="38"/>
  <c r="CU34" i="38"/>
  <c r="CV34" i="38"/>
  <c r="CW34" i="38"/>
  <c r="CX34" i="38"/>
  <c r="CY34" i="38"/>
  <c r="CZ34" i="38"/>
  <c r="DA34" i="38"/>
  <c r="DB34" i="38"/>
  <c r="DC34" i="38"/>
  <c r="DD34" i="38"/>
  <c r="DE34" i="38"/>
  <c r="DF34" i="38"/>
  <c r="DG34" i="38"/>
  <c r="DH34" i="38"/>
  <c r="DI34" i="38"/>
  <c r="DJ34" i="38"/>
  <c r="DK34" i="38"/>
  <c r="DL34" i="38"/>
  <c r="DM34" i="38"/>
  <c r="DN34" i="38"/>
  <c r="DO34" i="38"/>
  <c r="DP34" i="38"/>
  <c r="DQ34" i="38"/>
  <c r="DR34" i="38"/>
  <c r="DS34" i="38"/>
  <c r="DT34" i="38"/>
  <c r="DU34" i="38"/>
  <c r="DV34" i="38"/>
  <c r="DW34" i="38"/>
  <c r="DX34" i="38"/>
  <c r="DY34" i="38"/>
  <c r="DZ34" i="38"/>
  <c r="EA34" i="38"/>
  <c r="EB34" i="38"/>
  <c r="EC34" i="38"/>
  <c r="ED34" i="38"/>
  <c r="EE34" i="38"/>
  <c r="EF34" i="38"/>
  <c r="EG34" i="38"/>
  <c r="EH34" i="38"/>
  <c r="EI34" i="38"/>
  <c r="EJ34" i="38"/>
  <c r="EK34" i="38"/>
  <c r="EL34" i="38"/>
  <c r="EM34" i="38"/>
  <c r="EN34" i="38"/>
  <c r="EO34" i="38"/>
  <c r="EP34" i="38"/>
  <c r="EQ34" i="38"/>
  <c r="ER34" i="38"/>
  <c r="ES34" i="38"/>
  <c r="ET34" i="38"/>
  <c r="EU34" i="38"/>
  <c r="EV34" i="38"/>
  <c r="EW34" i="38"/>
  <c r="EX34" i="38"/>
  <c r="EY34" i="38"/>
  <c r="EZ34" i="38"/>
  <c r="Z35" i="38"/>
  <c r="AA35" i="38"/>
  <c r="AB35" i="38"/>
  <c r="AC35" i="38"/>
  <c r="AD35" i="38"/>
  <c r="AE35" i="38"/>
  <c r="AF35" i="38"/>
  <c r="AG35" i="38"/>
  <c r="AH35" i="38"/>
  <c r="AI35" i="38"/>
  <c r="AJ35" i="38"/>
  <c r="AK35" i="38"/>
  <c r="AL35" i="38"/>
  <c r="AM35" i="38"/>
  <c r="AN35" i="38"/>
  <c r="AO35" i="38"/>
  <c r="AP35" i="38"/>
  <c r="AQ35" i="38"/>
  <c r="AR35" i="38"/>
  <c r="AS35" i="38"/>
  <c r="AT35" i="38"/>
  <c r="AU35" i="38"/>
  <c r="AV35" i="38"/>
  <c r="AW35" i="38"/>
  <c r="AX35" i="38"/>
  <c r="AY35" i="38"/>
  <c r="AZ35" i="38"/>
  <c r="BA35" i="38"/>
  <c r="BB35" i="38"/>
  <c r="BC35" i="38"/>
  <c r="BD35" i="38"/>
  <c r="BE35" i="38"/>
  <c r="BF35" i="38"/>
  <c r="BG35" i="38"/>
  <c r="BH35" i="38"/>
  <c r="BI35" i="38"/>
  <c r="BJ35" i="38"/>
  <c r="BK35" i="38"/>
  <c r="BL35" i="38"/>
  <c r="BM35" i="38"/>
  <c r="BN35" i="38"/>
  <c r="BO35" i="38"/>
  <c r="BP35" i="38"/>
  <c r="BQ35" i="38"/>
  <c r="BR35" i="38"/>
  <c r="BS35" i="38"/>
  <c r="BT35" i="38"/>
  <c r="BU35" i="38"/>
  <c r="BV35" i="38"/>
  <c r="BW35" i="38"/>
  <c r="BX35" i="38"/>
  <c r="BY35" i="38"/>
  <c r="BZ35" i="38"/>
  <c r="CA35" i="38"/>
  <c r="CB35" i="38"/>
  <c r="CC35" i="38"/>
  <c r="CD35" i="38"/>
  <c r="CE35" i="38"/>
  <c r="CF35" i="38"/>
  <c r="CG35" i="38"/>
  <c r="CH35" i="38"/>
  <c r="CI35" i="38"/>
  <c r="CJ35" i="38"/>
  <c r="CK35" i="38"/>
  <c r="CL35" i="38"/>
  <c r="CM35" i="38"/>
  <c r="CN35" i="38"/>
  <c r="CO35" i="38"/>
  <c r="CP35" i="38"/>
  <c r="CQ35" i="38"/>
  <c r="CR35" i="38"/>
  <c r="CS35" i="38"/>
  <c r="CT35" i="38"/>
  <c r="CU35" i="38"/>
  <c r="CV35" i="38"/>
  <c r="CW35" i="38"/>
  <c r="CX35" i="38"/>
  <c r="CY35" i="38"/>
  <c r="CZ35" i="38"/>
  <c r="DA35" i="38"/>
  <c r="DB35" i="38"/>
  <c r="DC35" i="38"/>
  <c r="DD35" i="38"/>
  <c r="DE35" i="38"/>
  <c r="DF35" i="38"/>
  <c r="DG35" i="38"/>
  <c r="DH35" i="38"/>
  <c r="DI35" i="38"/>
  <c r="DJ35" i="38"/>
  <c r="DK35" i="38"/>
  <c r="DL35" i="38"/>
  <c r="DM35" i="38"/>
  <c r="DN35" i="38"/>
  <c r="DO35" i="38"/>
  <c r="DP35" i="38"/>
  <c r="DQ35" i="38"/>
  <c r="DR35" i="38"/>
  <c r="DS35" i="38"/>
  <c r="DT35" i="38"/>
  <c r="DU35" i="38"/>
  <c r="DV35" i="38"/>
  <c r="DW35" i="38"/>
  <c r="DX35" i="38"/>
  <c r="DY35" i="38"/>
  <c r="DZ35" i="38"/>
  <c r="EA35" i="38"/>
  <c r="EB35" i="38"/>
  <c r="EC35" i="38"/>
  <c r="ED35" i="38"/>
  <c r="EE35" i="38"/>
  <c r="EF35" i="38"/>
  <c r="EG35" i="38"/>
  <c r="EH35" i="38"/>
  <c r="EI35" i="38"/>
  <c r="EJ35" i="38"/>
  <c r="EK35" i="38"/>
  <c r="EL35" i="38"/>
  <c r="EM35" i="38"/>
  <c r="EN35" i="38"/>
  <c r="EO35" i="38"/>
  <c r="EP35" i="38"/>
  <c r="EQ35" i="38"/>
  <c r="ER35" i="38"/>
  <c r="ES35" i="38"/>
  <c r="ET35" i="38"/>
  <c r="EU35" i="38"/>
  <c r="EV35" i="38"/>
  <c r="EW35" i="38"/>
  <c r="EX35" i="38"/>
  <c r="EY35" i="38"/>
  <c r="EZ35" i="38"/>
  <c r="Z36" i="38"/>
  <c r="AA36" i="38"/>
  <c r="AB36" i="38"/>
  <c r="AC36" i="38"/>
  <c r="AD36" i="38"/>
  <c r="AE36" i="38"/>
  <c r="AF36" i="38"/>
  <c r="AG36" i="38"/>
  <c r="AH36" i="38"/>
  <c r="AI36" i="38"/>
  <c r="AJ36" i="38"/>
  <c r="AK36" i="38"/>
  <c r="AL36" i="38"/>
  <c r="AM36" i="38"/>
  <c r="AN36" i="38"/>
  <c r="AO36" i="38"/>
  <c r="AP36" i="38"/>
  <c r="AQ36" i="38"/>
  <c r="AR36" i="38"/>
  <c r="AS36" i="38"/>
  <c r="AT36" i="38"/>
  <c r="AU36" i="38"/>
  <c r="AV36" i="38"/>
  <c r="AW36" i="38"/>
  <c r="AX36" i="38"/>
  <c r="AY36" i="38"/>
  <c r="AZ36" i="38"/>
  <c r="BA36" i="38"/>
  <c r="BB36" i="38"/>
  <c r="BC36" i="38"/>
  <c r="BD36" i="38"/>
  <c r="BE36" i="38"/>
  <c r="BF36" i="38"/>
  <c r="BG36" i="38"/>
  <c r="BH36" i="38"/>
  <c r="BI36" i="38"/>
  <c r="BJ36" i="38"/>
  <c r="BK36" i="38"/>
  <c r="BL36" i="38"/>
  <c r="BM36" i="38"/>
  <c r="BN36" i="38"/>
  <c r="BO36" i="38"/>
  <c r="BP36" i="38"/>
  <c r="BQ36" i="38"/>
  <c r="BR36" i="38"/>
  <c r="BS36" i="38"/>
  <c r="BT36" i="38"/>
  <c r="BU36" i="38"/>
  <c r="BV36" i="38"/>
  <c r="BW36" i="38"/>
  <c r="BX36" i="38"/>
  <c r="BY36" i="38"/>
  <c r="BZ36" i="38"/>
  <c r="CA36" i="38"/>
  <c r="CB36" i="38"/>
  <c r="CC36" i="38"/>
  <c r="CD36" i="38"/>
  <c r="CE36" i="38"/>
  <c r="CF36" i="38"/>
  <c r="CG36" i="38"/>
  <c r="CH36" i="38"/>
  <c r="CI36" i="38"/>
  <c r="CJ36" i="38"/>
  <c r="CK36" i="38"/>
  <c r="CL36" i="38"/>
  <c r="CM36" i="38"/>
  <c r="CN36" i="38"/>
  <c r="CO36" i="38"/>
  <c r="CP36" i="38"/>
  <c r="CQ36" i="38"/>
  <c r="CR36" i="38"/>
  <c r="CS36" i="38"/>
  <c r="CT36" i="38"/>
  <c r="CU36" i="38"/>
  <c r="CV36" i="38"/>
  <c r="CW36" i="38"/>
  <c r="CX36" i="38"/>
  <c r="CY36" i="38"/>
  <c r="CZ36" i="38"/>
  <c r="DA36" i="38"/>
  <c r="DB36" i="38"/>
  <c r="DC36" i="38"/>
  <c r="DD36" i="38"/>
  <c r="DE36" i="38"/>
  <c r="DF36" i="38"/>
  <c r="DG36" i="38"/>
  <c r="DH36" i="38"/>
  <c r="DI36" i="38"/>
  <c r="DJ36" i="38"/>
  <c r="DK36" i="38"/>
  <c r="DL36" i="38"/>
  <c r="DM36" i="38"/>
  <c r="DN36" i="38"/>
  <c r="DO36" i="38"/>
  <c r="DP36" i="38"/>
  <c r="DQ36" i="38"/>
  <c r="DR36" i="38"/>
  <c r="DS36" i="38"/>
  <c r="DT36" i="38"/>
  <c r="DU36" i="38"/>
  <c r="DV36" i="38"/>
  <c r="DW36" i="38"/>
  <c r="DX36" i="38"/>
  <c r="DY36" i="38"/>
  <c r="DZ36" i="38"/>
  <c r="EA36" i="38"/>
  <c r="EB36" i="38"/>
  <c r="EC36" i="38"/>
  <c r="ED36" i="38"/>
  <c r="EE36" i="38"/>
  <c r="EF36" i="38"/>
  <c r="EG36" i="38"/>
  <c r="EH36" i="38"/>
  <c r="EI36" i="38"/>
  <c r="EJ36" i="38"/>
  <c r="EK36" i="38"/>
  <c r="EL36" i="38"/>
  <c r="EM36" i="38"/>
  <c r="EN36" i="38"/>
  <c r="EO36" i="38"/>
  <c r="EP36" i="38"/>
  <c r="EQ36" i="38"/>
  <c r="ER36" i="38"/>
  <c r="ES36" i="38"/>
  <c r="ET36" i="38"/>
  <c r="EU36" i="38"/>
  <c r="EV36" i="38"/>
  <c r="EW36" i="38"/>
  <c r="EX36" i="38"/>
  <c r="EY36" i="38"/>
  <c r="EZ36" i="38"/>
  <c r="Z37" i="38"/>
  <c r="AA37" i="38"/>
  <c r="AB37" i="38"/>
  <c r="AC37" i="38"/>
  <c r="AD37" i="38"/>
  <c r="AE37" i="38"/>
  <c r="AF37" i="38"/>
  <c r="AG37" i="38"/>
  <c r="AH37" i="38"/>
  <c r="AI37" i="38"/>
  <c r="AJ37" i="38"/>
  <c r="AK37" i="38"/>
  <c r="AL37" i="38"/>
  <c r="AM37" i="38"/>
  <c r="AN37" i="38"/>
  <c r="AO37" i="38"/>
  <c r="AP37" i="38"/>
  <c r="AQ37" i="38"/>
  <c r="AR37" i="38"/>
  <c r="AS37" i="38"/>
  <c r="AT37" i="38"/>
  <c r="AU37" i="38"/>
  <c r="AV37" i="38"/>
  <c r="AW37" i="38"/>
  <c r="AX37" i="38"/>
  <c r="AY37" i="38"/>
  <c r="AZ37" i="38"/>
  <c r="BA37" i="38"/>
  <c r="BB37" i="38"/>
  <c r="BC37" i="38"/>
  <c r="BD37" i="38"/>
  <c r="BE37" i="38"/>
  <c r="BF37" i="38"/>
  <c r="BG37" i="38"/>
  <c r="BH37" i="38"/>
  <c r="BI37" i="38"/>
  <c r="BJ37" i="38"/>
  <c r="BK37" i="38"/>
  <c r="BL37" i="38"/>
  <c r="BM37" i="38"/>
  <c r="BN37" i="38"/>
  <c r="BO37" i="38"/>
  <c r="BP37" i="38"/>
  <c r="BQ37" i="38"/>
  <c r="BR37" i="38"/>
  <c r="BS37" i="38"/>
  <c r="BT37" i="38"/>
  <c r="BU37" i="38"/>
  <c r="BV37" i="38"/>
  <c r="BW37" i="38"/>
  <c r="BX37" i="38"/>
  <c r="BY37" i="38"/>
  <c r="BZ37" i="38"/>
  <c r="CA37" i="38"/>
  <c r="CB37" i="38"/>
  <c r="CC37" i="38"/>
  <c r="CD37" i="38"/>
  <c r="CE37" i="38"/>
  <c r="CF37" i="38"/>
  <c r="CG37" i="38"/>
  <c r="CH37" i="38"/>
  <c r="CI37" i="38"/>
  <c r="CJ37" i="38"/>
  <c r="CK37" i="38"/>
  <c r="CL37" i="38"/>
  <c r="CM37" i="38"/>
  <c r="CN37" i="38"/>
  <c r="CO37" i="38"/>
  <c r="CP37" i="38"/>
  <c r="CQ37" i="38"/>
  <c r="CR37" i="38"/>
  <c r="CS37" i="38"/>
  <c r="CT37" i="38"/>
  <c r="CU37" i="38"/>
  <c r="CV37" i="38"/>
  <c r="CW37" i="38"/>
  <c r="CX37" i="38"/>
  <c r="CY37" i="38"/>
  <c r="CZ37" i="38"/>
  <c r="DA37" i="38"/>
  <c r="DB37" i="38"/>
  <c r="DC37" i="38"/>
  <c r="DD37" i="38"/>
  <c r="DE37" i="38"/>
  <c r="DF37" i="38"/>
  <c r="DG37" i="38"/>
  <c r="DH37" i="38"/>
  <c r="DI37" i="38"/>
  <c r="DJ37" i="38"/>
  <c r="DK37" i="38"/>
  <c r="DL37" i="38"/>
  <c r="DM37" i="38"/>
  <c r="DN37" i="38"/>
  <c r="DO37" i="38"/>
  <c r="DP37" i="38"/>
  <c r="DQ37" i="38"/>
  <c r="DR37" i="38"/>
  <c r="DS37" i="38"/>
  <c r="DT37" i="38"/>
  <c r="DU37" i="38"/>
  <c r="DV37" i="38"/>
  <c r="DW37" i="38"/>
  <c r="DX37" i="38"/>
  <c r="DY37" i="38"/>
  <c r="DZ37" i="38"/>
  <c r="EA37" i="38"/>
  <c r="EB37" i="38"/>
  <c r="EC37" i="38"/>
  <c r="ED37" i="38"/>
  <c r="EE37" i="38"/>
  <c r="EF37" i="38"/>
  <c r="EG37" i="38"/>
  <c r="EH37" i="38"/>
  <c r="EI37" i="38"/>
  <c r="EJ37" i="38"/>
  <c r="EK37" i="38"/>
  <c r="EL37" i="38"/>
  <c r="EM37" i="38"/>
  <c r="EN37" i="38"/>
  <c r="EO37" i="38"/>
  <c r="EP37" i="38"/>
  <c r="EQ37" i="38"/>
  <c r="ER37" i="38"/>
  <c r="ES37" i="38"/>
  <c r="ET37" i="38"/>
  <c r="EU37" i="38"/>
  <c r="EV37" i="38"/>
  <c r="EW37" i="38"/>
  <c r="EX37" i="38"/>
  <c r="EY37" i="38"/>
  <c r="EZ37" i="38"/>
  <c r="Y26" i="38"/>
  <c r="Y27" i="38"/>
  <c r="Y28" i="38"/>
  <c r="Y29" i="38"/>
  <c r="Y30" i="38"/>
  <c r="Y31" i="38"/>
  <c r="Y32" i="38"/>
  <c r="Y33" i="38"/>
  <c r="Y34" i="38"/>
  <c r="Y35" i="38"/>
  <c r="Y36" i="38"/>
  <c r="Y37" i="38"/>
  <c r="AI38" i="38"/>
  <c r="AJ38" i="38"/>
  <c r="AK38" i="38"/>
  <c r="AL38" i="38"/>
  <c r="AM38" i="38"/>
  <c r="AN38" i="38"/>
  <c r="AO38" i="38"/>
  <c r="AP38" i="38"/>
  <c r="AQ38" i="38"/>
  <c r="AR38" i="38"/>
  <c r="AS38" i="38"/>
  <c r="AT38" i="38"/>
  <c r="AU38" i="38"/>
  <c r="AV38" i="38"/>
  <c r="AW38" i="38"/>
  <c r="AX38" i="38"/>
  <c r="AY38" i="38"/>
  <c r="AZ38" i="38"/>
  <c r="BA38" i="38"/>
  <c r="BB38" i="38"/>
  <c r="BC38" i="38"/>
  <c r="BD38" i="38"/>
  <c r="BE38" i="38"/>
  <c r="BF38" i="38"/>
  <c r="BG38" i="38"/>
  <c r="BH38" i="38"/>
  <c r="BI38" i="38"/>
  <c r="BJ38" i="38"/>
  <c r="BK38" i="38"/>
  <c r="BL38" i="38"/>
  <c r="BM38" i="38"/>
  <c r="BN38" i="38"/>
  <c r="BO38" i="38"/>
  <c r="BP38" i="38"/>
  <c r="BQ38" i="38"/>
  <c r="BR38" i="38"/>
  <c r="BS38" i="38"/>
  <c r="BT38" i="38"/>
  <c r="BU38" i="38"/>
  <c r="BV38" i="38"/>
  <c r="BW38" i="38"/>
  <c r="BX38" i="38"/>
  <c r="BY38" i="38"/>
  <c r="BZ38" i="38"/>
  <c r="CA38" i="38"/>
  <c r="CB38" i="38"/>
  <c r="CC38" i="38"/>
  <c r="CD38" i="38"/>
  <c r="CE38" i="38"/>
  <c r="CF38" i="38"/>
  <c r="CG38" i="38"/>
  <c r="CH38" i="38"/>
  <c r="CI38" i="38"/>
  <c r="CJ38" i="38"/>
  <c r="CK38" i="38"/>
  <c r="CL38" i="38"/>
  <c r="CM38" i="38"/>
  <c r="CN38" i="38"/>
  <c r="CO38" i="38"/>
  <c r="CP38" i="38"/>
  <c r="CQ38" i="38"/>
  <c r="CR38" i="38"/>
  <c r="CS38" i="38"/>
  <c r="CT38" i="38"/>
  <c r="CU38" i="38"/>
  <c r="CV38" i="38"/>
  <c r="CW38" i="38"/>
  <c r="CX38" i="38"/>
  <c r="CY38" i="38"/>
  <c r="CZ38" i="38"/>
  <c r="DA38" i="38"/>
  <c r="DB38" i="38"/>
  <c r="DC38" i="38"/>
  <c r="DD38" i="38"/>
  <c r="DE38" i="38"/>
  <c r="DF38" i="38"/>
  <c r="DG38" i="38"/>
  <c r="DH38" i="38"/>
  <c r="DI38" i="38"/>
  <c r="DJ38" i="38"/>
  <c r="DK38" i="38"/>
  <c r="DL38" i="38"/>
  <c r="DM38" i="38"/>
  <c r="DN38" i="38"/>
  <c r="DO38" i="38"/>
  <c r="DP38" i="38"/>
  <c r="DQ38" i="38"/>
  <c r="DR38" i="38"/>
  <c r="DS38" i="38"/>
  <c r="DT38" i="38"/>
  <c r="DU38" i="38"/>
  <c r="DV38" i="38"/>
  <c r="DW38" i="38"/>
  <c r="DX38" i="38"/>
  <c r="DY38" i="38"/>
  <c r="DZ38" i="38"/>
  <c r="EA38" i="38"/>
  <c r="EB38" i="38"/>
  <c r="EC38" i="38"/>
  <c r="ED38" i="38"/>
  <c r="EE38" i="38"/>
  <c r="EF38" i="38"/>
  <c r="EG38" i="38"/>
  <c r="EH38" i="38"/>
  <c r="EI38" i="38"/>
  <c r="EJ38" i="38"/>
  <c r="EK38" i="38"/>
  <c r="EL38" i="38"/>
  <c r="EM38" i="38"/>
  <c r="EN38" i="38"/>
  <c r="EO38" i="38"/>
  <c r="EP38" i="38"/>
  <c r="EQ38" i="38"/>
  <c r="ER38" i="38"/>
  <c r="ES38" i="38"/>
  <c r="ET38" i="38"/>
  <c r="EU38" i="38"/>
  <c r="EV38" i="38"/>
  <c r="EW38" i="38"/>
  <c r="EX38" i="38"/>
  <c r="EY38" i="38"/>
  <c r="EZ38" i="38"/>
  <c r="Q234" i="53"/>
  <c r="Q235" i="53"/>
  <c r="Q236" i="53"/>
  <c r="Q237" i="53"/>
  <c r="Q238" i="53"/>
  <c r="Q239" i="53"/>
  <c r="Q240" i="53"/>
  <c r="Q241" i="53"/>
  <c r="Q242" i="53"/>
  <c r="Q243" i="53"/>
  <c r="Q244" i="53"/>
  <c r="Q245" i="53"/>
  <c r="Q246" i="53"/>
  <c r="Q247" i="53"/>
  <c r="Q248" i="53"/>
  <c r="Q249" i="53"/>
  <c r="Q250" i="53"/>
  <c r="Q251" i="53"/>
  <c r="Q252" i="53"/>
  <c r="Q253" i="53"/>
  <c r="Q254" i="53"/>
  <c r="Q255" i="53"/>
  <c r="Q256" i="53"/>
  <c r="Q257" i="53"/>
  <c r="Q258" i="53"/>
  <c r="Q259" i="53"/>
  <c r="Q260" i="53"/>
  <c r="Q261" i="53"/>
  <c r="Q262" i="53"/>
  <c r="Q263" i="53"/>
  <c r="Q264" i="53"/>
  <c r="Q265" i="53"/>
  <c r="E68" i="53"/>
  <c r="F68" i="53"/>
  <c r="G68" i="53"/>
  <c r="H68" i="53"/>
  <c r="I68" i="53"/>
  <c r="J68" i="53"/>
  <c r="K68" i="53"/>
  <c r="L68" i="53"/>
  <c r="M68" i="53"/>
  <c r="N68" i="53"/>
  <c r="O68" i="53"/>
  <c r="D68" i="53"/>
  <c r="Y35" i="53"/>
  <c r="Y36" i="53"/>
  <c r="Y37" i="53"/>
  <c r="Y38" i="53"/>
  <c r="Q30" i="53"/>
  <c r="Q31" i="53"/>
  <c r="Q32" i="53"/>
  <c r="Q33" i="53"/>
  <c r="Q34" i="53"/>
  <c r="Q35" i="53"/>
  <c r="Q36" i="53"/>
  <c r="Q37" i="53"/>
  <c r="Q38" i="53"/>
  <c r="Q39" i="53"/>
  <c r="Q40" i="53"/>
  <c r="N30" i="53"/>
  <c r="Y30" i="53" s="1"/>
  <c r="N31" i="53"/>
  <c r="Y31" i="53" s="1"/>
  <c r="N32" i="53"/>
  <c r="Y32" i="53" s="1"/>
  <c r="N33" i="53"/>
  <c r="Y33" i="53" s="1"/>
  <c r="N34" i="53"/>
  <c r="Y34" i="53" s="1"/>
  <c r="N35" i="53"/>
  <c r="N36" i="53"/>
  <c r="N37" i="53"/>
  <c r="N38" i="53"/>
  <c r="N39" i="53"/>
  <c r="Y39" i="53" s="1"/>
  <c r="N40" i="53"/>
  <c r="Y40" i="53" s="1"/>
  <c r="N29" i="53"/>
  <c r="Y29" i="53" s="1"/>
  <c r="D30" i="53"/>
  <c r="D31" i="53"/>
  <c r="D32" i="53"/>
  <c r="D33" i="53"/>
  <c r="D34" i="53"/>
  <c r="D35" i="53"/>
  <c r="D36" i="53"/>
  <c r="D37" i="53"/>
  <c r="D38" i="53"/>
  <c r="D39" i="53"/>
  <c r="D40" i="53"/>
  <c r="D29" i="53"/>
  <c r="Z9" i="53"/>
  <c r="Z10" i="53"/>
  <c r="Z11" i="53"/>
  <c r="Z12" i="53"/>
  <c r="Z13" i="53"/>
  <c r="Z14" i="53"/>
  <c r="Z15" i="53"/>
  <c r="Z16" i="53"/>
  <c r="Z17" i="53"/>
  <c r="Z18" i="53"/>
  <c r="Z19" i="53"/>
  <c r="Z8" i="53"/>
  <c r="Y9" i="53"/>
  <c r="Y10" i="53"/>
  <c r="Y11" i="53"/>
  <c r="Y12" i="53"/>
  <c r="Y13" i="53"/>
  <c r="Y14" i="53"/>
  <c r="Y15" i="53"/>
  <c r="Y16" i="53"/>
  <c r="Y17" i="53"/>
  <c r="Y18" i="53"/>
  <c r="Y19" i="53"/>
  <c r="Y8" i="53"/>
  <c r="X9" i="53"/>
  <c r="X10" i="53"/>
  <c r="X11" i="53"/>
  <c r="X12" i="53"/>
  <c r="X13" i="53"/>
  <c r="X14" i="53"/>
  <c r="X15" i="53"/>
  <c r="X16" i="53"/>
  <c r="X17" i="53"/>
  <c r="X18" i="53"/>
  <c r="X19" i="53"/>
  <c r="X8" i="53"/>
  <c r="B30" i="53"/>
  <c r="M30" i="53" s="1"/>
  <c r="X30" i="53" s="1"/>
  <c r="B31" i="53"/>
  <c r="M31" i="53" s="1"/>
  <c r="X31" i="53" s="1"/>
  <c r="B32" i="53"/>
  <c r="M32" i="53" s="1"/>
  <c r="X32" i="53" s="1"/>
  <c r="B33" i="53"/>
  <c r="M33" i="53" s="1"/>
  <c r="X33" i="53" s="1"/>
  <c r="B34" i="53"/>
  <c r="M34" i="53" s="1"/>
  <c r="X34" i="53" s="1"/>
  <c r="B35" i="53"/>
  <c r="M35" i="53" s="1"/>
  <c r="X35" i="53" s="1"/>
  <c r="B36" i="53"/>
  <c r="M36" i="53" s="1"/>
  <c r="X36" i="53" s="1"/>
  <c r="B37" i="53"/>
  <c r="M37" i="53" s="1"/>
  <c r="X37" i="53" s="1"/>
  <c r="B38" i="53"/>
  <c r="M38" i="53" s="1"/>
  <c r="X38" i="53" s="1"/>
  <c r="B39" i="53"/>
  <c r="M39" i="53" s="1"/>
  <c r="X39" i="53" s="1"/>
  <c r="B40" i="53"/>
  <c r="M40" i="53" s="1"/>
  <c r="X40" i="53" s="1"/>
  <c r="B29" i="53"/>
  <c r="M29" i="53" s="1"/>
  <c r="X29" i="53" s="1"/>
  <c r="V9" i="53"/>
  <c r="V10" i="53"/>
  <c r="V11" i="53"/>
  <c r="V12" i="53"/>
  <c r="V13" i="53"/>
  <c r="V14" i="53"/>
  <c r="V15" i="53"/>
  <c r="V16" i="53"/>
  <c r="V17" i="53"/>
  <c r="V18" i="53"/>
  <c r="V19" i="53"/>
  <c r="L9" i="53"/>
  <c r="L10" i="53"/>
  <c r="L11" i="53"/>
  <c r="L12" i="53"/>
  <c r="L13" i="53"/>
  <c r="L14" i="53"/>
  <c r="L15" i="53"/>
  <c r="L16" i="53"/>
  <c r="L17" i="53"/>
  <c r="L18" i="53"/>
  <c r="L19" i="53"/>
  <c r="L8" i="53"/>
  <c r="M10" i="1" s="1"/>
  <c r="G9" i="53"/>
  <c r="J9" i="53" s="1"/>
  <c r="L11" i="1" s="1"/>
  <c r="G10" i="53"/>
  <c r="J10" i="53" s="1"/>
  <c r="L12" i="1" s="1"/>
  <c r="G11" i="53"/>
  <c r="J11" i="53" s="1"/>
  <c r="L13" i="1" s="1"/>
  <c r="G12" i="53"/>
  <c r="J12" i="53" s="1"/>
  <c r="L14" i="1" s="1"/>
  <c r="G13" i="53"/>
  <c r="J13" i="53" s="1"/>
  <c r="L15" i="1" s="1"/>
  <c r="G14" i="53"/>
  <c r="J14" i="53" s="1"/>
  <c r="L16" i="1" s="1"/>
  <c r="G15" i="53"/>
  <c r="J15" i="53" s="1"/>
  <c r="L17" i="1" s="1"/>
  <c r="G16" i="53"/>
  <c r="J16" i="53" s="1"/>
  <c r="L18" i="1" s="1"/>
  <c r="G17" i="53"/>
  <c r="J17" i="53" s="1"/>
  <c r="L19" i="1" s="1"/>
  <c r="G18" i="53"/>
  <c r="J18" i="53" s="1"/>
  <c r="L20" i="1" s="1"/>
  <c r="G19" i="53"/>
  <c r="J19" i="53" s="1"/>
  <c r="L21" i="1" s="1"/>
  <c r="G8" i="53"/>
  <c r="J8" i="53" s="1"/>
  <c r="L10" i="1" s="1"/>
  <c r="F9" i="53"/>
  <c r="I9" i="53" s="1"/>
  <c r="K11" i="1" s="1"/>
  <c r="F10" i="53"/>
  <c r="I10" i="53" s="1"/>
  <c r="K12" i="1" s="1"/>
  <c r="F11" i="53"/>
  <c r="I11" i="53" s="1"/>
  <c r="K13" i="1" s="1"/>
  <c r="F12" i="53"/>
  <c r="I12" i="53" s="1"/>
  <c r="K14" i="1" s="1"/>
  <c r="F13" i="53"/>
  <c r="I13" i="53" s="1"/>
  <c r="K15" i="1" s="1"/>
  <c r="F14" i="53"/>
  <c r="I14" i="53" s="1"/>
  <c r="K16" i="1" s="1"/>
  <c r="F15" i="53"/>
  <c r="I15" i="53" s="1"/>
  <c r="K17" i="1" s="1"/>
  <c r="F16" i="53"/>
  <c r="I16" i="53" s="1"/>
  <c r="K18" i="1" s="1"/>
  <c r="F17" i="53"/>
  <c r="I17" i="53" s="1"/>
  <c r="K19" i="1" s="1"/>
  <c r="F18" i="53"/>
  <c r="I18" i="53" s="1"/>
  <c r="K20" i="1" s="1"/>
  <c r="F19" i="53"/>
  <c r="I19" i="53" s="1"/>
  <c r="K21" i="1" s="1"/>
  <c r="I8" i="53"/>
  <c r="K10" i="1" s="1"/>
  <c r="N25" i="51"/>
  <c r="N26" i="51"/>
  <c r="N27" i="51"/>
  <c r="N28" i="51"/>
  <c r="N29" i="51"/>
  <c r="N30" i="51"/>
  <c r="N31" i="51"/>
  <c r="N32" i="51"/>
  <c r="N33" i="51"/>
  <c r="N34" i="51"/>
  <c r="N35" i="51"/>
  <c r="N36" i="51"/>
  <c r="N37" i="51"/>
  <c r="N38" i="51"/>
  <c r="N39" i="51"/>
  <c r="N40" i="51"/>
  <c r="N41" i="51"/>
  <c r="N42" i="51"/>
  <c r="N43" i="51"/>
  <c r="N44" i="51"/>
  <c r="N45" i="51"/>
  <c r="N46" i="51"/>
  <c r="N47" i="51"/>
  <c r="N48" i="51"/>
  <c r="N49" i="51"/>
  <c r="N50" i="51"/>
  <c r="N51" i="51"/>
  <c r="N52" i="51"/>
  <c r="N53" i="51"/>
  <c r="N54" i="51"/>
  <c r="N55" i="51"/>
  <c r="N56" i="51"/>
  <c r="N57" i="51"/>
  <c r="N58" i="51"/>
  <c r="N59" i="51"/>
  <c r="N60" i="51"/>
  <c r="N61" i="51"/>
  <c r="N62" i="51"/>
  <c r="N63" i="51"/>
  <c r="N64" i="51"/>
  <c r="N65" i="51"/>
  <c r="N66" i="51"/>
  <c r="N67" i="51"/>
  <c r="N68" i="51"/>
  <c r="N69" i="51"/>
  <c r="N70" i="51"/>
  <c r="N71" i="51"/>
  <c r="N72" i="51"/>
  <c r="N73" i="51"/>
  <c r="N74" i="51"/>
  <c r="N75" i="51"/>
  <c r="N76" i="51"/>
  <c r="N77" i="51"/>
  <c r="N78" i="51"/>
  <c r="N79" i="51"/>
  <c r="N80" i="51"/>
  <c r="N81" i="51"/>
  <c r="N82" i="51"/>
  <c r="N83" i="51"/>
  <c r="N84" i="51"/>
  <c r="N85" i="51"/>
  <c r="N86" i="51"/>
  <c r="N87" i="51"/>
  <c r="N88" i="51"/>
  <c r="N89" i="51"/>
  <c r="N90" i="51"/>
  <c r="N91" i="51"/>
  <c r="N92" i="51"/>
  <c r="N93" i="51"/>
  <c r="N94" i="51"/>
  <c r="N95" i="51"/>
  <c r="N96" i="51"/>
  <c r="N97" i="51"/>
  <c r="N98" i="51"/>
  <c r="N99" i="51"/>
  <c r="N100" i="51"/>
  <c r="N101" i="51"/>
  <c r="N102" i="51"/>
  <c r="N103" i="51"/>
  <c r="N104" i="51"/>
  <c r="N105" i="51"/>
  <c r="N106" i="51"/>
  <c r="N107" i="51"/>
  <c r="N108" i="51"/>
  <c r="N109" i="51"/>
  <c r="N110" i="51"/>
  <c r="N111" i="51"/>
  <c r="N112" i="51"/>
  <c r="N113" i="51"/>
  <c r="N114" i="51"/>
  <c r="N115" i="51"/>
  <c r="N116" i="51"/>
  <c r="N117" i="51"/>
  <c r="N118" i="51"/>
  <c r="N119" i="51"/>
  <c r="N120" i="51"/>
  <c r="N121" i="51"/>
  <c r="N122" i="51"/>
  <c r="N123" i="51"/>
  <c r="N124" i="51"/>
  <c r="N125" i="51"/>
  <c r="N126" i="51"/>
  <c r="N127" i="51"/>
  <c r="N128" i="51"/>
  <c r="N129" i="51"/>
  <c r="N130" i="51"/>
  <c r="N131" i="51"/>
  <c r="N132" i="51"/>
  <c r="N133" i="51"/>
  <c r="N134" i="51"/>
  <c r="N135" i="51"/>
  <c r="N136" i="51"/>
  <c r="N137" i="51"/>
  <c r="N138" i="51"/>
  <c r="N139" i="51"/>
  <c r="N140" i="51"/>
  <c r="N141" i="51"/>
  <c r="N142" i="51"/>
  <c r="N143" i="51"/>
  <c r="N144" i="51"/>
  <c r="N145" i="51"/>
  <c r="N146" i="51"/>
  <c r="N147" i="51"/>
  <c r="N148" i="51"/>
  <c r="N149" i="51"/>
  <c r="N150" i="51"/>
  <c r="N151" i="51"/>
  <c r="N152" i="51"/>
  <c r="N153" i="51"/>
  <c r="N154" i="51"/>
  <c r="N155" i="51"/>
  <c r="N156" i="51"/>
  <c r="N157" i="51"/>
  <c r="N158" i="51"/>
  <c r="N159" i="51"/>
  <c r="N160" i="51"/>
  <c r="N161" i="51"/>
  <c r="N162" i="51"/>
  <c r="N163" i="51"/>
  <c r="N164" i="51"/>
  <c r="N165" i="51"/>
  <c r="N166" i="51"/>
  <c r="N167" i="51"/>
  <c r="N168" i="51"/>
  <c r="N169" i="51"/>
  <c r="N170" i="51"/>
  <c r="N171" i="51"/>
  <c r="N172" i="51"/>
  <c r="N173" i="51"/>
  <c r="N174" i="51"/>
  <c r="N175" i="51"/>
  <c r="N176" i="51"/>
  <c r="N177" i="51"/>
  <c r="N178" i="51"/>
  <c r="N179" i="51"/>
  <c r="N180" i="51"/>
  <c r="N181" i="51"/>
  <c r="N182" i="51"/>
  <c r="N183" i="51"/>
  <c r="N184" i="51"/>
  <c r="N185" i="51"/>
  <c r="N186" i="51"/>
  <c r="N187" i="51"/>
  <c r="N188" i="51"/>
  <c r="N189" i="51"/>
  <c r="N190" i="51"/>
  <c r="N191" i="51"/>
  <c r="N192" i="51"/>
  <c r="N193" i="51"/>
  <c r="N194" i="51"/>
  <c r="N195" i="51"/>
  <c r="N196" i="51"/>
  <c r="N197" i="51"/>
  <c r="N198" i="51"/>
  <c r="N199" i="51"/>
  <c r="N200" i="51"/>
  <c r="N201" i="51"/>
  <c r="N202" i="51"/>
  <c r="N203" i="51"/>
  <c r="N204" i="51"/>
  <c r="N205" i="51"/>
  <c r="N206" i="51"/>
  <c r="N207" i="51"/>
  <c r="N208" i="51"/>
  <c r="N209" i="51"/>
  <c r="N210" i="51"/>
  <c r="N211" i="51"/>
  <c r="N212" i="51"/>
  <c r="N213" i="51"/>
  <c r="N214" i="51"/>
  <c r="N215" i="51"/>
  <c r="N216" i="51"/>
  <c r="N217" i="51"/>
  <c r="N218" i="51"/>
  <c r="N219" i="51"/>
  <c r="N220" i="51"/>
  <c r="N221" i="51"/>
  <c r="N222" i="51"/>
  <c r="N223" i="51"/>
  <c r="N224" i="51"/>
  <c r="N225" i="51"/>
  <c r="N226" i="51"/>
  <c r="N227" i="51"/>
  <c r="N228" i="51"/>
  <c r="N229" i="51"/>
  <c r="N230" i="51"/>
  <c r="N231" i="51"/>
  <c r="N232" i="51"/>
  <c r="N233" i="51"/>
  <c r="N234" i="51"/>
  <c r="N235" i="51"/>
  <c r="N236" i="51"/>
  <c r="N237" i="51"/>
  <c r="N238" i="51"/>
  <c r="N239" i="51"/>
  <c r="N240" i="51"/>
  <c r="N241" i="51"/>
  <c r="N242" i="51"/>
  <c r="N243" i="51"/>
  <c r="N244" i="51"/>
  <c r="N245" i="51"/>
  <c r="N246" i="51"/>
  <c r="N247" i="51"/>
  <c r="N248" i="51"/>
  <c r="N249" i="51"/>
  <c r="N250" i="51"/>
  <c r="N251" i="51"/>
  <c r="N252" i="51"/>
  <c r="N253" i="51"/>
  <c r="N254" i="51"/>
  <c r="N255" i="51"/>
  <c r="N256" i="51"/>
  <c r="N257" i="51"/>
  <c r="N258" i="51"/>
  <c r="N259" i="51"/>
  <c r="N260" i="51"/>
  <c r="N261" i="51"/>
  <c r="N262" i="51"/>
  <c r="N263" i="51"/>
  <c r="N264" i="51"/>
  <c r="N265" i="51"/>
  <c r="N266" i="51"/>
  <c r="N267" i="51"/>
  <c r="N268" i="51"/>
  <c r="N269" i="51"/>
  <c r="N270" i="51"/>
  <c r="N271" i="51"/>
  <c r="N272" i="51"/>
  <c r="N273" i="51"/>
  <c r="N274" i="51"/>
  <c r="N275" i="51"/>
  <c r="N276" i="51"/>
  <c r="N277" i="51"/>
  <c r="N278" i="51"/>
  <c r="N279" i="51"/>
  <c r="N280" i="51"/>
  <c r="N281" i="51"/>
  <c r="N282" i="51"/>
  <c r="N283" i="51"/>
  <c r="N284" i="51"/>
  <c r="N285" i="51"/>
  <c r="N286" i="51"/>
  <c r="N287" i="51"/>
  <c r="N288" i="51"/>
  <c r="N289" i="51"/>
  <c r="N290" i="51"/>
  <c r="N291" i="51"/>
  <c r="N292" i="51"/>
  <c r="N293" i="51"/>
  <c r="N294" i="51"/>
  <c r="N295" i="51"/>
  <c r="N296" i="51"/>
  <c r="N297" i="51"/>
  <c r="N298" i="51"/>
  <c r="N299" i="51"/>
  <c r="N300" i="51"/>
  <c r="N301" i="51"/>
  <c r="N302" i="51"/>
  <c r="N303" i="51"/>
  <c r="N304" i="51"/>
  <c r="N305" i="51"/>
  <c r="N306" i="51"/>
  <c r="N307" i="51"/>
  <c r="N308" i="51"/>
  <c r="N309" i="51"/>
  <c r="N310" i="51"/>
  <c r="N311" i="51"/>
  <c r="N312" i="51"/>
  <c r="N313" i="51"/>
  <c r="N314" i="51"/>
  <c r="N315" i="51"/>
  <c r="N316" i="51"/>
  <c r="N317" i="51"/>
  <c r="N318" i="51"/>
  <c r="N319" i="51"/>
  <c r="N320" i="51"/>
  <c r="N321" i="51"/>
  <c r="N322" i="51"/>
  <c r="N323" i="51"/>
  <c r="N324" i="51"/>
  <c r="N325" i="51"/>
  <c r="N326" i="51"/>
  <c r="N327" i="51"/>
  <c r="N328" i="51"/>
  <c r="N329" i="51"/>
  <c r="N330" i="51"/>
  <c r="N331" i="51"/>
  <c r="N332" i="51"/>
  <c r="N333" i="51"/>
  <c r="N334" i="51"/>
  <c r="N335" i="51"/>
  <c r="N336" i="51"/>
  <c r="N337" i="51"/>
  <c r="N338" i="51"/>
  <c r="N339" i="51"/>
  <c r="N340" i="51"/>
  <c r="N341" i="51"/>
  <c r="N342" i="51"/>
  <c r="N343" i="51"/>
  <c r="N344" i="51"/>
  <c r="N345" i="51"/>
  <c r="N346" i="51"/>
  <c r="N347" i="51"/>
  <c r="N348" i="51"/>
  <c r="N349" i="51"/>
  <c r="N350" i="51"/>
  <c r="N351" i="51"/>
  <c r="N352" i="51"/>
  <c r="N353" i="51"/>
  <c r="N354" i="51"/>
  <c r="N355" i="51"/>
  <c r="N356" i="51"/>
  <c r="N357" i="51"/>
  <c r="N358" i="51"/>
  <c r="N359" i="51"/>
  <c r="N360" i="51"/>
  <c r="N361" i="51"/>
  <c r="N362" i="51"/>
  <c r="N363" i="51"/>
  <c r="N364" i="51"/>
  <c r="N365" i="51"/>
  <c r="N366" i="51"/>
  <c r="N367" i="51"/>
  <c r="N368" i="51"/>
  <c r="N369" i="51"/>
  <c r="N370" i="51"/>
  <c r="N371" i="51"/>
  <c r="N372" i="51"/>
  <c r="N373" i="51"/>
  <c r="N374" i="51"/>
  <c r="N375" i="51"/>
  <c r="N376" i="51"/>
  <c r="N377" i="51"/>
  <c r="N378" i="51"/>
  <c r="N379" i="51"/>
  <c r="N380" i="51"/>
  <c r="N381" i="51"/>
  <c r="N382" i="51"/>
  <c r="N383" i="51"/>
  <c r="N384" i="51"/>
  <c r="N385" i="51"/>
  <c r="N386" i="51"/>
  <c r="N387" i="51"/>
  <c r="N388" i="51"/>
  <c r="N389" i="51"/>
  <c r="N390" i="51"/>
  <c r="N391" i="51"/>
  <c r="N392" i="51"/>
  <c r="N393" i="51"/>
  <c r="N394" i="51"/>
  <c r="N395" i="51"/>
  <c r="N396" i="51"/>
  <c r="N397" i="51"/>
  <c r="N398" i="51"/>
  <c r="N399" i="51"/>
  <c r="N400" i="51"/>
  <c r="N401" i="51"/>
  <c r="N402" i="51"/>
  <c r="N403" i="51"/>
  <c r="N404" i="51"/>
  <c r="N405" i="51"/>
  <c r="N406" i="51"/>
  <c r="N407" i="51"/>
  <c r="N408" i="51"/>
  <c r="N409" i="51"/>
  <c r="N410" i="51"/>
  <c r="N411" i="51"/>
  <c r="N412" i="51"/>
  <c r="N413" i="51"/>
  <c r="N414" i="51"/>
  <c r="N415" i="51"/>
  <c r="N416" i="51"/>
  <c r="N417" i="51"/>
  <c r="N418" i="51"/>
  <c r="N419" i="51"/>
  <c r="N23" i="51"/>
  <c r="N22" i="51"/>
  <c r="N21" i="51"/>
  <c r="N20" i="51"/>
  <c r="N19" i="51"/>
  <c r="N18" i="51"/>
  <c r="N17" i="51"/>
  <c r="N16" i="51"/>
  <c r="N15" i="51"/>
  <c r="N14" i="51"/>
  <c r="N13" i="51"/>
  <c r="N12" i="51"/>
  <c r="N11" i="51"/>
  <c r="N10" i="51"/>
  <c r="N9" i="51"/>
  <c r="N8" i="51"/>
  <c r="N7" i="51"/>
  <c r="N24" i="51"/>
  <c r="O33" i="53" l="1"/>
  <c r="M14" i="1"/>
  <c r="M19" i="53"/>
  <c r="N21" i="1" s="1"/>
  <c r="M21" i="1"/>
  <c r="O32" i="53"/>
  <c r="M13" i="1"/>
  <c r="M18" i="53"/>
  <c r="N20" i="1" s="1"/>
  <c r="M20" i="1"/>
  <c r="M17" i="53"/>
  <c r="N19" i="1" s="1"/>
  <c r="M19" i="1"/>
  <c r="M16" i="53"/>
  <c r="N18" i="1" s="1"/>
  <c r="M18" i="1"/>
  <c r="M15" i="53"/>
  <c r="N17" i="1" s="1"/>
  <c r="M17" i="1"/>
  <c r="M14" i="53"/>
  <c r="N16" i="1" s="1"/>
  <c r="M16" i="1"/>
  <c r="Q68" i="53"/>
  <c r="M13" i="53"/>
  <c r="N15" i="1" s="1"/>
  <c r="M15" i="1"/>
  <c r="M10" i="53"/>
  <c r="N12" i="1" s="1"/>
  <c r="M12" i="1"/>
  <c r="O30" i="53"/>
  <c r="M11" i="1"/>
  <c r="M12" i="53"/>
  <c r="N14" i="1" s="1"/>
  <c r="O37" i="53"/>
  <c r="C37" i="53"/>
  <c r="M11" i="53"/>
  <c r="N13" i="1" s="1"/>
  <c r="C36" i="53"/>
  <c r="O36" i="53"/>
  <c r="M9" i="53"/>
  <c r="N11" i="1" s="1"/>
  <c r="C35" i="53"/>
  <c r="O35" i="53"/>
  <c r="C34" i="53"/>
  <c r="O34" i="53"/>
  <c r="C33" i="53"/>
  <c r="C32" i="53"/>
  <c r="C31" i="53"/>
  <c r="O31" i="53"/>
  <c r="C30" i="53"/>
  <c r="C29" i="53"/>
  <c r="O29" i="53"/>
  <c r="C40" i="53"/>
  <c r="O40" i="53"/>
  <c r="C39" i="53"/>
  <c r="O39" i="53"/>
  <c r="C38" i="53"/>
  <c r="O38" i="53"/>
  <c r="M8" i="53"/>
  <c r="N10" i="1" s="1"/>
  <c r="I53" i="63" l="1"/>
  <c r="I52" i="63"/>
  <c r="I51" i="63"/>
  <c r="X9" i="38"/>
  <c r="H103" i="38"/>
  <c r="H102" i="38"/>
  <c r="H101" i="38"/>
  <c r="H100" i="38"/>
  <c r="H99" i="38"/>
  <c r="H98" i="38"/>
  <c r="H92" i="38"/>
  <c r="H91" i="38"/>
  <c r="H90" i="38"/>
  <c r="H89" i="38"/>
  <c r="H88" i="38"/>
  <c r="H87" i="38"/>
  <c r="H86" i="38"/>
  <c r="H85" i="38"/>
  <c r="H84" i="38"/>
  <c r="H83" i="38"/>
  <c r="H82" i="38"/>
  <c r="H81" i="38"/>
  <c r="H80" i="38"/>
  <c r="H79" i="38"/>
  <c r="H78" i="38"/>
  <c r="H77" i="38"/>
  <c r="H76" i="38"/>
  <c r="H75" i="38"/>
  <c r="H74" i="38"/>
  <c r="H73" i="38"/>
  <c r="H72" i="38"/>
  <c r="H71" i="38"/>
  <c r="H70" i="38"/>
  <c r="H69" i="38"/>
  <c r="H68" i="38"/>
  <c r="H67" i="38"/>
  <c r="H66" i="38"/>
  <c r="H65" i="38"/>
  <c r="H61" i="38"/>
  <c r="H60" i="38"/>
  <c r="H59" i="38"/>
  <c r="H58" i="38"/>
  <c r="H57" i="38"/>
  <c r="H56" i="38"/>
  <c r="H55" i="38"/>
  <c r="H54" i="38"/>
  <c r="H53" i="38"/>
  <c r="H52" i="38"/>
  <c r="H51" i="38"/>
  <c r="H50" i="38"/>
  <c r="H49" i="38"/>
  <c r="H48" i="38"/>
  <c r="H47" i="38"/>
  <c r="H46" i="38"/>
  <c r="H45" i="38"/>
  <c r="H44" i="38"/>
  <c r="H43" i="38"/>
  <c r="H42" i="38"/>
  <c r="H38" i="38"/>
  <c r="H37" i="38"/>
  <c r="H36" i="38"/>
  <c r="H35" i="38"/>
  <c r="H34" i="38"/>
  <c r="H33" i="38"/>
  <c r="H32" i="38"/>
  <c r="H31" i="38"/>
  <c r="H30" i="38"/>
  <c r="H29" i="38"/>
  <c r="H28" i="38"/>
  <c r="H27" i="38"/>
  <c r="H26" i="38"/>
  <c r="H25" i="38"/>
  <c r="H21" i="38"/>
  <c r="H20" i="38"/>
  <c r="H19" i="38"/>
  <c r="H18" i="38"/>
  <c r="H17" i="38"/>
  <c r="H16" i="38"/>
  <c r="H15" i="38"/>
  <c r="H14" i="38"/>
  <c r="H13" i="38"/>
  <c r="H12" i="38"/>
  <c r="H11" i="38"/>
  <c r="H10" i="38"/>
  <c r="H9" i="38"/>
  <c r="H8" i="38"/>
  <c r="X98" i="38"/>
  <c r="X99" i="38"/>
  <c r="X100" i="38"/>
  <c r="X101" i="38"/>
  <c r="X102" i="38"/>
  <c r="G104" i="38"/>
  <c r="H104" i="38" s="1"/>
  <c r="F104" i="38"/>
  <c r="D93" i="38"/>
  <c r="T24" i="55"/>
  <c r="T22" i="55"/>
  <c r="T26" i="55"/>
  <c r="T27" i="55"/>
  <c r="T25" i="55"/>
  <c r="T23" i="55"/>
  <c r="X41" i="38"/>
  <c r="X61" i="38"/>
  <c r="X60" i="38"/>
  <c r="X59" i="38"/>
  <c r="X58" i="38"/>
  <c r="X57" i="38"/>
  <c r="X56" i="38"/>
  <c r="X55" i="38"/>
  <c r="X54" i="38"/>
  <c r="X53" i="38"/>
  <c r="X52" i="38"/>
  <c r="X51" i="38"/>
  <c r="X50" i="38"/>
  <c r="X49" i="38"/>
  <c r="X48" i="38"/>
  <c r="X47" i="38"/>
  <c r="X46" i="38"/>
  <c r="X45" i="38"/>
  <c r="X44" i="38"/>
  <c r="X43" i="38"/>
  <c r="X42" i="38"/>
  <c r="D62" i="38"/>
  <c r="D39" i="38"/>
  <c r="D22" i="38"/>
  <c r="L5" i="38"/>
  <c r="M5" i="38" s="1"/>
  <c r="N5" i="38" s="1"/>
  <c r="O5" i="38" s="1"/>
  <c r="P5" i="38" s="1"/>
  <c r="Q5" i="38" s="1"/>
  <c r="R5" i="38" s="1"/>
  <c r="S5" i="38" s="1"/>
  <c r="T5" i="38" s="1"/>
  <c r="U5" i="38" s="1"/>
  <c r="V5" i="38" s="1"/>
  <c r="X5" i="38"/>
  <c r="AD38" i="38" l="1"/>
  <c r="AC38" i="38"/>
  <c r="AB38" i="38"/>
  <c r="AA38" i="38"/>
  <c r="Z38" i="38"/>
  <c r="Y38" i="38"/>
  <c r="AH38" i="38"/>
  <c r="AG38" i="38"/>
  <c r="AF38" i="38"/>
  <c r="AE38" i="38"/>
  <c r="Z25" i="38"/>
  <c r="AA25" i="38"/>
  <c r="AB25" i="38"/>
  <c r="AC25" i="38"/>
  <c r="Y25" i="38"/>
  <c r="D95" i="38"/>
  <c r="D103" i="38" s="1"/>
  <c r="X62" i="38"/>
  <c r="F61" i="5" s="1"/>
  <c r="AH14" i="57"/>
  <c r="AH13" i="57"/>
  <c r="B3" i="32"/>
  <c r="B3" i="5"/>
  <c r="B3" i="55"/>
  <c r="B3" i="59"/>
  <c r="B3" i="6"/>
  <c r="B3" i="57"/>
  <c r="B3" i="63"/>
  <c r="B3" i="53"/>
  <c r="F2" i="51"/>
  <c r="I54" i="63" l="1"/>
  <c r="AO103" i="38"/>
  <c r="Z103" i="38"/>
  <c r="AP103" i="38"/>
  <c r="AA103" i="38"/>
  <c r="AQ103" i="38"/>
  <c r="AB103" i="38"/>
  <c r="AR103" i="38"/>
  <c r="AC103" i="38"/>
  <c r="AS103" i="38"/>
  <c r="AD103" i="38"/>
  <c r="AT103" i="38"/>
  <c r="AE103" i="38"/>
  <c r="AU103" i="38"/>
  <c r="AF103" i="38"/>
  <c r="AV103" i="38"/>
  <c r="AG103" i="38"/>
  <c r="AW103" i="38"/>
  <c r="Y103" i="38"/>
  <c r="AH103" i="38"/>
  <c r="AX103" i="38"/>
  <c r="AI103" i="38"/>
  <c r="AY103" i="38"/>
  <c r="AJ103" i="38"/>
  <c r="AK103" i="38"/>
  <c r="AL103" i="38"/>
  <c r="AM103" i="38"/>
  <c r="AN103" i="38"/>
  <c r="D104" i="38"/>
  <c r="D106" i="38" s="1"/>
  <c r="O4" i="32"/>
  <c r="N4" i="32"/>
  <c r="M4" i="32"/>
  <c r="L4" i="32"/>
  <c r="K4" i="32"/>
  <c r="J4" i="32"/>
  <c r="I4" i="32"/>
  <c r="H4" i="32"/>
  <c r="G4" i="32"/>
  <c r="F4" i="32"/>
  <c r="E4" i="32"/>
  <c r="D4" i="32"/>
  <c r="E38" i="1"/>
  <c r="D19" i="1"/>
  <c r="E19" i="1" s="1"/>
  <c r="C63" i="1"/>
  <c r="C61" i="1"/>
  <c r="I35" i="63"/>
  <c r="F8" i="51" l="1" a="1"/>
  <c r="F8" i="51" s="1"/>
  <c r="F9" i="51" a="1"/>
  <c r="F9" i="51" s="1"/>
  <c r="F10" i="51" a="1"/>
  <c r="F10" i="51" s="1"/>
  <c r="F11" i="51" a="1"/>
  <c r="F11" i="51" s="1"/>
  <c r="F12" i="51" a="1"/>
  <c r="F12" i="51" s="1"/>
  <c r="F13" i="51" a="1"/>
  <c r="F13" i="51" s="1"/>
  <c r="F14" i="51" a="1"/>
  <c r="F14" i="51" s="1"/>
  <c r="F15" i="51" a="1"/>
  <c r="F15" i="51" s="1"/>
  <c r="F16" i="51" a="1"/>
  <c r="F16" i="51" s="1"/>
  <c r="F17" i="51" a="1"/>
  <c r="F17" i="51" s="1"/>
  <c r="F18" i="51" a="1"/>
  <c r="F18" i="51" s="1"/>
  <c r="F19" i="51" a="1"/>
  <c r="F19" i="51" s="1"/>
  <c r="F20" i="51" a="1"/>
  <c r="F20" i="51" s="1"/>
  <c r="F21" i="51" a="1"/>
  <c r="F21" i="51" s="1"/>
  <c r="F22" i="51" a="1"/>
  <c r="F22" i="51" s="1"/>
  <c r="F23" i="51" a="1"/>
  <c r="F23" i="51" s="1"/>
  <c r="F24" i="51" a="1"/>
  <c r="F24" i="51" s="1"/>
  <c r="F25" i="51" a="1"/>
  <c r="F25" i="51" s="1"/>
  <c r="F26" i="51" a="1"/>
  <c r="F26" i="51" s="1"/>
  <c r="F27" i="51" a="1"/>
  <c r="F27" i="51" s="1"/>
  <c r="F28" i="51" a="1"/>
  <c r="F28" i="51" s="1"/>
  <c r="F29" i="51" a="1"/>
  <c r="F29" i="51" s="1"/>
  <c r="F30" i="51" a="1"/>
  <c r="F30" i="51" s="1"/>
  <c r="F31" i="51" a="1"/>
  <c r="F31" i="51" s="1"/>
  <c r="F32" i="51" a="1"/>
  <c r="F32" i="51" s="1"/>
  <c r="F33" i="51" a="1"/>
  <c r="F33" i="51" s="1"/>
  <c r="F34" i="51" a="1"/>
  <c r="F34" i="51" s="1"/>
  <c r="F35" i="51" a="1"/>
  <c r="F35" i="51" s="1"/>
  <c r="F36" i="51" a="1"/>
  <c r="F36" i="51" s="1"/>
  <c r="F37" i="51" a="1"/>
  <c r="F37" i="51" s="1"/>
  <c r="F38" i="51" a="1"/>
  <c r="F38" i="51" s="1"/>
  <c r="F39" i="51" a="1"/>
  <c r="F39" i="51" s="1"/>
  <c r="F40" i="51" a="1"/>
  <c r="F40" i="51" s="1"/>
  <c r="F41" i="51" a="1"/>
  <c r="F41" i="51" s="1"/>
  <c r="F42" i="51" a="1"/>
  <c r="F42" i="51" s="1"/>
  <c r="F43" i="51" a="1"/>
  <c r="F43" i="51" s="1"/>
  <c r="F44" i="51" a="1"/>
  <c r="F44" i="51" s="1"/>
  <c r="F45" i="51" a="1"/>
  <c r="F45" i="51" s="1"/>
  <c r="F46" i="51" a="1"/>
  <c r="F46" i="51" s="1"/>
  <c r="F47" i="51" a="1"/>
  <c r="F47" i="51" s="1"/>
  <c r="F48" i="51" a="1"/>
  <c r="F48" i="51" s="1"/>
  <c r="F49" i="51" a="1"/>
  <c r="F49" i="51" s="1"/>
  <c r="F50" i="51" a="1"/>
  <c r="F50" i="51" s="1"/>
  <c r="F51" i="51" a="1"/>
  <c r="F51" i="51" s="1"/>
  <c r="F52" i="51" a="1"/>
  <c r="F52" i="51" s="1"/>
  <c r="F53" i="51" a="1"/>
  <c r="F53" i="51" s="1"/>
  <c r="F54" i="51" a="1"/>
  <c r="F54" i="51" s="1"/>
  <c r="F55" i="51" a="1"/>
  <c r="F55" i="51" s="1"/>
  <c r="F56" i="51" a="1"/>
  <c r="F56" i="51" s="1"/>
  <c r="F57" i="51" a="1"/>
  <c r="F57" i="51" s="1"/>
  <c r="F58" i="51" a="1"/>
  <c r="F58" i="51" s="1"/>
  <c r="F59" i="51" a="1"/>
  <c r="F59" i="51" s="1"/>
  <c r="F60" i="51" a="1"/>
  <c r="F60" i="51" s="1"/>
  <c r="F61" i="51" a="1"/>
  <c r="F61" i="51" s="1"/>
  <c r="F62" i="51" a="1"/>
  <c r="F62" i="51" s="1"/>
  <c r="F63" i="51" a="1"/>
  <c r="F63" i="51" s="1"/>
  <c r="F64" i="51" a="1"/>
  <c r="F64" i="51" s="1"/>
  <c r="F65" i="51" a="1"/>
  <c r="F65" i="51" s="1"/>
  <c r="F66" i="51" a="1"/>
  <c r="F66" i="51" s="1"/>
  <c r="F67" i="51" a="1"/>
  <c r="F67" i="51" s="1"/>
  <c r="F68" i="51" a="1"/>
  <c r="F68" i="51" s="1"/>
  <c r="F69" i="51" a="1"/>
  <c r="F69" i="51" s="1"/>
  <c r="F70" i="51" a="1"/>
  <c r="F70" i="51" s="1"/>
  <c r="F71" i="51" a="1"/>
  <c r="F71" i="51" s="1"/>
  <c r="F72" i="51" a="1"/>
  <c r="F72" i="51" s="1"/>
  <c r="F73" i="51" a="1"/>
  <c r="F73" i="51" s="1"/>
  <c r="F74" i="51" a="1"/>
  <c r="F74" i="51" s="1"/>
  <c r="F75" i="51" a="1"/>
  <c r="F75" i="51" s="1"/>
  <c r="F76" i="51" a="1"/>
  <c r="F76" i="51" s="1"/>
  <c r="F77" i="51" a="1"/>
  <c r="F77" i="51" s="1"/>
  <c r="F78" i="51" a="1"/>
  <c r="F78" i="51" s="1"/>
  <c r="F79" i="51" a="1"/>
  <c r="F79" i="51" s="1"/>
  <c r="F80" i="51" a="1"/>
  <c r="F80" i="51" s="1"/>
  <c r="F81" i="51" a="1"/>
  <c r="F81" i="51" s="1"/>
  <c r="F82" i="51" a="1"/>
  <c r="F82" i="51" s="1"/>
  <c r="F83" i="51" a="1"/>
  <c r="F83" i="51" s="1"/>
  <c r="F84" i="51" a="1"/>
  <c r="F84" i="51" s="1"/>
  <c r="F85" i="51" a="1"/>
  <c r="F85" i="51" s="1"/>
  <c r="F86" i="51" a="1"/>
  <c r="F86" i="51" s="1"/>
  <c r="F87" i="51" a="1"/>
  <c r="F87" i="51" s="1"/>
  <c r="F88" i="51" a="1"/>
  <c r="F88" i="51" s="1"/>
  <c r="F89" i="51" a="1"/>
  <c r="F89" i="51" s="1"/>
  <c r="F90" i="51" a="1"/>
  <c r="F90" i="51" s="1"/>
  <c r="F91" i="51" a="1"/>
  <c r="F91" i="51" s="1"/>
  <c r="F92" i="51" a="1"/>
  <c r="F92" i="51" s="1"/>
  <c r="F93" i="51" a="1"/>
  <c r="F93" i="51" s="1"/>
  <c r="F94" i="51" a="1"/>
  <c r="F94" i="51" s="1"/>
  <c r="F95" i="51" a="1"/>
  <c r="F95" i="51" s="1"/>
  <c r="F96" i="51" a="1"/>
  <c r="F96" i="51" s="1"/>
  <c r="F97" i="51" a="1"/>
  <c r="F97" i="51" s="1"/>
  <c r="F98" i="51" a="1"/>
  <c r="F98" i="51" s="1"/>
  <c r="F99" i="51" a="1"/>
  <c r="F99" i="51" s="1"/>
  <c r="F100" i="51" a="1"/>
  <c r="F100" i="51" s="1"/>
  <c r="F101" i="51" a="1"/>
  <c r="F101" i="51" s="1"/>
  <c r="F102" i="51" a="1"/>
  <c r="F102" i="51" s="1"/>
  <c r="F103" i="51" a="1"/>
  <c r="F103" i="51" s="1"/>
  <c r="F104" i="51" a="1"/>
  <c r="F104" i="51" s="1"/>
  <c r="F105" i="51" a="1"/>
  <c r="F105" i="51" s="1"/>
  <c r="F106" i="51" a="1"/>
  <c r="F106" i="51" s="1"/>
  <c r="F107" i="51" a="1"/>
  <c r="F107" i="51" s="1"/>
  <c r="F108" i="51" a="1"/>
  <c r="F108" i="51" s="1"/>
  <c r="F109" i="51" a="1"/>
  <c r="F109" i="51" s="1"/>
  <c r="F110" i="51" a="1"/>
  <c r="F110" i="51" s="1"/>
  <c r="F111" i="51" a="1"/>
  <c r="F111" i="51" s="1"/>
  <c r="F112" i="51" a="1"/>
  <c r="F112" i="51" s="1"/>
  <c r="F113" i="51" a="1"/>
  <c r="F113" i="51" s="1"/>
  <c r="F114" i="51" a="1"/>
  <c r="F114" i="51" s="1"/>
  <c r="F115" i="51" a="1"/>
  <c r="F115" i="51" s="1"/>
  <c r="F116" i="51" a="1"/>
  <c r="F116" i="51" s="1"/>
  <c r="F117" i="51" a="1"/>
  <c r="F117" i="51" s="1"/>
  <c r="F118" i="51" a="1"/>
  <c r="F118" i="51" s="1"/>
  <c r="F119" i="51" a="1"/>
  <c r="F119" i="51" s="1"/>
  <c r="F120" i="51" a="1"/>
  <c r="F120" i="51" s="1"/>
  <c r="F121" i="51" a="1"/>
  <c r="F121" i="51" s="1"/>
  <c r="F122" i="51" a="1"/>
  <c r="F122" i="51" s="1"/>
  <c r="F123" i="51" a="1"/>
  <c r="F123" i="51" s="1"/>
  <c r="F124" i="51" a="1"/>
  <c r="F124" i="51" s="1"/>
  <c r="F125" i="51" a="1"/>
  <c r="F125" i="51" s="1"/>
  <c r="F126" i="51" a="1"/>
  <c r="F126" i="51" s="1"/>
  <c r="F127" i="51" a="1"/>
  <c r="F127" i="51" s="1"/>
  <c r="F128" i="51" a="1"/>
  <c r="F128" i="51" s="1"/>
  <c r="F129" i="51" a="1"/>
  <c r="F129" i="51" s="1"/>
  <c r="F130" i="51" a="1"/>
  <c r="F130" i="51" s="1"/>
  <c r="F131" i="51" a="1"/>
  <c r="F131" i="51" s="1"/>
  <c r="F132" i="51" a="1"/>
  <c r="F132" i="51" s="1"/>
  <c r="F133" i="51" a="1"/>
  <c r="F133" i="51" s="1"/>
  <c r="F134" i="51" a="1"/>
  <c r="F134" i="51" s="1"/>
  <c r="F135" i="51" a="1"/>
  <c r="F135" i="51" s="1"/>
  <c r="F136" i="51" a="1"/>
  <c r="F136" i="51" s="1"/>
  <c r="F137" i="51" a="1"/>
  <c r="F137" i="51" s="1"/>
  <c r="F138" i="51" a="1"/>
  <c r="F138" i="51" s="1"/>
  <c r="F139" i="51" a="1"/>
  <c r="F139" i="51" s="1"/>
  <c r="F140" i="51" a="1"/>
  <c r="F140" i="51" s="1"/>
  <c r="F141" i="51" a="1"/>
  <c r="F141" i="51" s="1"/>
  <c r="F142" i="51" a="1"/>
  <c r="F142" i="51" s="1"/>
  <c r="F143" i="51" a="1"/>
  <c r="F143" i="51" s="1"/>
  <c r="F144" i="51" a="1"/>
  <c r="F144" i="51" s="1"/>
  <c r="F145" i="51" a="1"/>
  <c r="F145" i="51" s="1"/>
  <c r="F146" i="51" a="1"/>
  <c r="F146" i="51" s="1"/>
  <c r="F147" i="51" a="1"/>
  <c r="F147" i="51" s="1"/>
  <c r="F148" i="51" a="1"/>
  <c r="F148" i="51" s="1"/>
  <c r="F149" i="51" a="1"/>
  <c r="F149" i="51" s="1"/>
  <c r="F150" i="51" a="1"/>
  <c r="F150" i="51" s="1"/>
  <c r="F151" i="51" a="1"/>
  <c r="F151" i="51" s="1"/>
  <c r="F152" i="51" a="1"/>
  <c r="F152" i="51" s="1"/>
  <c r="F153" i="51" a="1"/>
  <c r="F153" i="51" s="1"/>
  <c r="F154" i="51" a="1"/>
  <c r="F154" i="51" s="1"/>
  <c r="F155" i="51" a="1"/>
  <c r="F155" i="51" s="1"/>
  <c r="F156" i="51" a="1"/>
  <c r="F156" i="51" s="1"/>
  <c r="F157" i="51" a="1"/>
  <c r="F157" i="51" s="1"/>
  <c r="F158" i="51" a="1"/>
  <c r="F158" i="51" s="1"/>
  <c r="F159" i="51" a="1"/>
  <c r="F159" i="51" s="1"/>
  <c r="F160" i="51" a="1"/>
  <c r="F160" i="51" s="1"/>
  <c r="F161" i="51" a="1"/>
  <c r="F161" i="51" s="1"/>
  <c r="F162" i="51" a="1"/>
  <c r="F162" i="51" s="1"/>
  <c r="F163" i="51" a="1"/>
  <c r="F163" i="51" s="1"/>
  <c r="F164" i="51" a="1"/>
  <c r="F164" i="51" s="1"/>
  <c r="F165" i="51" a="1"/>
  <c r="F165" i="51" s="1"/>
  <c r="F166" i="51" a="1"/>
  <c r="F166" i="51" s="1"/>
  <c r="F167" i="51" a="1"/>
  <c r="F167" i="51" s="1"/>
  <c r="F168" i="51" a="1"/>
  <c r="F168" i="51" s="1"/>
  <c r="F169" i="51" a="1"/>
  <c r="F169" i="51" s="1"/>
  <c r="F170" i="51" a="1"/>
  <c r="F170" i="51" s="1"/>
  <c r="F171" i="51" a="1"/>
  <c r="F171" i="51" s="1"/>
  <c r="F172" i="51" a="1"/>
  <c r="F172" i="51" s="1"/>
  <c r="F173" i="51" a="1"/>
  <c r="F173" i="51" s="1"/>
  <c r="F174" i="51" a="1"/>
  <c r="F174" i="51" s="1"/>
  <c r="F175" i="51" a="1"/>
  <c r="F175" i="51" s="1"/>
  <c r="F176" i="51" a="1"/>
  <c r="F176" i="51" s="1"/>
  <c r="F177" i="51" a="1"/>
  <c r="F177" i="51" s="1"/>
  <c r="F178" i="51" a="1"/>
  <c r="F178" i="51" s="1"/>
  <c r="F179" i="51" a="1"/>
  <c r="F179" i="51" s="1"/>
  <c r="F180" i="51" a="1"/>
  <c r="F180" i="51" s="1"/>
  <c r="F181" i="51" a="1"/>
  <c r="F181" i="51" s="1"/>
  <c r="F182" i="51" a="1"/>
  <c r="F182" i="51" s="1"/>
  <c r="F183" i="51" a="1"/>
  <c r="F183" i="51" s="1"/>
  <c r="F184" i="51" a="1"/>
  <c r="F184" i="51" s="1"/>
  <c r="F185" i="51" a="1"/>
  <c r="F185" i="51" s="1"/>
  <c r="F186" i="51" a="1"/>
  <c r="F186" i="51" s="1"/>
  <c r="F187" i="51" a="1"/>
  <c r="F187" i="51" s="1"/>
  <c r="F188" i="51" a="1"/>
  <c r="F188" i="51" s="1"/>
  <c r="F189" i="51" a="1"/>
  <c r="F189" i="51" s="1"/>
  <c r="F190" i="51" a="1"/>
  <c r="F190" i="51" s="1"/>
  <c r="F191" i="51" a="1"/>
  <c r="F191" i="51" s="1"/>
  <c r="F192" i="51" a="1"/>
  <c r="F192" i="51" s="1"/>
  <c r="F193" i="51" a="1"/>
  <c r="F193" i="51" s="1"/>
  <c r="F194" i="51" a="1"/>
  <c r="F194" i="51" s="1"/>
  <c r="F195" i="51" a="1"/>
  <c r="F195" i="51" s="1"/>
  <c r="F196" i="51" a="1"/>
  <c r="F196" i="51" s="1"/>
  <c r="F197" i="51" a="1"/>
  <c r="F197" i="51" s="1"/>
  <c r="F198" i="51" a="1"/>
  <c r="F198" i="51" s="1"/>
  <c r="F199" i="51" a="1"/>
  <c r="F199" i="51" s="1"/>
  <c r="F200" i="51" a="1"/>
  <c r="F200" i="51" s="1"/>
  <c r="F201" i="51" a="1"/>
  <c r="F201" i="51" s="1"/>
  <c r="F202" i="51" a="1"/>
  <c r="F202" i="51" s="1"/>
  <c r="F203" i="51" a="1"/>
  <c r="F203" i="51" s="1"/>
  <c r="F204" i="51" a="1"/>
  <c r="F204" i="51" s="1"/>
  <c r="F205" i="51" a="1"/>
  <c r="F205" i="51" s="1"/>
  <c r="F206" i="51" a="1"/>
  <c r="F206" i="51" s="1"/>
  <c r="F207" i="51" a="1"/>
  <c r="F207" i="51" s="1"/>
  <c r="F208" i="51" a="1"/>
  <c r="F208" i="51" s="1"/>
  <c r="F209" i="51" a="1"/>
  <c r="F209" i="51" s="1"/>
  <c r="F210" i="51" a="1"/>
  <c r="F210" i="51" s="1"/>
  <c r="F211" i="51" a="1"/>
  <c r="F211" i="51" s="1"/>
  <c r="F212" i="51" a="1"/>
  <c r="F212" i="51" s="1"/>
  <c r="F213" i="51" a="1"/>
  <c r="F213" i="51" s="1"/>
  <c r="F214" i="51" a="1"/>
  <c r="F214" i="51" s="1"/>
  <c r="F215" i="51" a="1"/>
  <c r="F215" i="51" s="1"/>
  <c r="F216" i="51" a="1"/>
  <c r="F216" i="51" s="1"/>
  <c r="F217" i="51" a="1"/>
  <c r="F217" i="51" s="1"/>
  <c r="F218" i="51" a="1"/>
  <c r="F218" i="51" s="1"/>
  <c r="F219" i="51" a="1"/>
  <c r="F219" i="51" s="1"/>
  <c r="F220" i="51" a="1"/>
  <c r="F220" i="51" s="1"/>
  <c r="F221" i="51" a="1"/>
  <c r="F221" i="51" s="1"/>
  <c r="F222" i="51" a="1"/>
  <c r="F222" i="51" s="1"/>
  <c r="F223" i="51" a="1"/>
  <c r="F223" i="51" s="1"/>
  <c r="F224" i="51" a="1"/>
  <c r="F224" i="51" s="1"/>
  <c r="F225" i="51" a="1"/>
  <c r="F225" i="51" s="1"/>
  <c r="F226" i="51" a="1"/>
  <c r="F226" i="51" s="1"/>
  <c r="F227" i="51" a="1"/>
  <c r="F227" i="51" s="1"/>
  <c r="F228" i="51" a="1"/>
  <c r="F228" i="51" s="1"/>
  <c r="F229" i="51" a="1"/>
  <c r="F229" i="51" s="1"/>
  <c r="F230" i="51" a="1"/>
  <c r="F230" i="51" s="1"/>
  <c r="F231" i="51" a="1"/>
  <c r="F231" i="51" s="1"/>
  <c r="F232" i="51" a="1"/>
  <c r="F232" i="51" s="1"/>
  <c r="F233" i="51" a="1"/>
  <c r="F233" i="51" s="1"/>
  <c r="F234" i="51" a="1"/>
  <c r="F234" i="51" s="1"/>
  <c r="F235" i="51" a="1"/>
  <c r="F235" i="51" s="1"/>
  <c r="F236" i="51" a="1"/>
  <c r="F236" i="51" s="1"/>
  <c r="F237" i="51" a="1"/>
  <c r="F237" i="51" s="1"/>
  <c r="F238" i="51" a="1"/>
  <c r="F238" i="51" s="1"/>
  <c r="F239" i="51" a="1"/>
  <c r="F239" i="51" s="1"/>
  <c r="F240" i="51" a="1"/>
  <c r="F240" i="51" s="1"/>
  <c r="F241" i="51" a="1"/>
  <c r="F241" i="51" s="1"/>
  <c r="F242" i="51" a="1"/>
  <c r="F242" i="51" s="1"/>
  <c r="F243" i="51" a="1"/>
  <c r="F243" i="51" s="1"/>
  <c r="F244" i="51" a="1"/>
  <c r="F244" i="51" s="1"/>
  <c r="F245" i="51" a="1"/>
  <c r="F245" i="51" s="1"/>
  <c r="F246" i="51" a="1"/>
  <c r="F246" i="51" s="1"/>
  <c r="F247" i="51" a="1"/>
  <c r="F247" i="51" s="1"/>
  <c r="F248" i="51" a="1"/>
  <c r="F248" i="51" s="1"/>
  <c r="F249" i="51" a="1"/>
  <c r="F249" i="51" s="1"/>
  <c r="F250" i="51" a="1"/>
  <c r="F250" i="51" s="1"/>
  <c r="F251" i="51" a="1"/>
  <c r="F251" i="51" s="1"/>
  <c r="F252" i="51" a="1"/>
  <c r="F252" i="51" s="1"/>
  <c r="F253" i="51" a="1"/>
  <c r="F253" i="51" s="1"/>
  <c r="F254" i="51" a="1"/>
  <c r="F254" i="51" s="1"/>
  <c r="F255" i="51" a="1"/>
  <c r="F255" i="51" s="1"/>
  <c r="F256" i="51" a="1"/>
  <c r="F256" i="51" s="1"/>
  <c r="F257" i="51" a="1"/>
  <c r="F257" i="51" s="1"/>
  <c r="F258" i="51" a="1"/>
  <c r="F258" i="51" s="1"/>
  <c r="F259" i="51" a="1"/>
  <c r="F259" i="51" s="1"/>
  <c r="F260" i="51" a="1"/>
  <c r="F260" i="51" s="1"/>
  <c r="F261" i="51" a="1"/>
  <c r="F261" i="51" s="1"/>
  <c r="F262" i="51" a="1"/>
  <c r="F262" i="51" s="1"/>
  <c r="F263" i="51" a="1"/>
  <c r="F263" i="51" s="1"/>
  <c r="F264" i="51" a="1"/>
  <c r="F264" i="51" s="1"/>
  <c r="F265" i="51" a="1"/>
  <c r="F265" i="51" s="1"/>
  <c r="F266" i="51" a="1"/>
  <c r="F266" i="51" s="1"/>
  <c r="F267" i="51" a="1"/>
  <c r="F267" i="51" s="1"/>
  <c r="F268" i="51" a="1"/>
  <c r="F268" i="51" s="1"/>
  <c r="F269" i="51" a="1"/>
  <c r="F269" i="51" s="1"/>
  <c r="F270" i="51" a="1"/>
  <c r="F270" i="51" s="1"/>
  <c r="F271" i="51" a="1"/>
  <c r="F271" i="51" s="1"/>
  <c r="F272" i="51" a="1"/>
  <c r="F272" i="51" s="1"/>
  <c r="F273" i="51" a="1"/>
  <c r="F273" i="51" s="1"/>
  <c r="F274" i="51" a="1"/>
  <c r="F274" i="51" s="1"/>
  <c r="F275" i="51" a="1"/>
  <c r="F275" i="51" s="1"/>
  <c r="F276" i="51" a="1"/>
  <c r="F276" i="51" s="1"/>
  <c r="F277" i="51" a="1"/>
  <c r="F277" i="51" s="1"/>
  <c r="F278" i="51" a="1"/>
  <c r="F278" i="51" s="1"/>
  <c r="F279" i="51" a="1"/>
  <c r="F279" i="51" s="1"/>
  <c r="F280" i="51" a="1"/>
  <c r="F280" i="51" s="1"/>
  <c r="F281" i="51" a="1"/>
  <c r="F281" i="51" s="1"/>
  <c r="F282" i="51" a="1"/>
  <c r="F282" i="51" s="1"/>
  <c r="F283" i="51" a="1"/>
  <c r="F283" i="51" s="1"/>
  <c r="F284" i="51" a="1"/>
  <c r="F284" i="51" s="1"/>
  <c r="F285" i="51" a="1"/>
  <c r="F285" i="51" s="1"/>
  <c r="F286" i="51" a="1"/>
  <c r="F286" i="51" s="1"/>
  <c r="F287" i="51" a="1"/>
  <c r="F287" i="51" s="1"/>
  <c r="F288" i="51" a="1"/>
  <c r="F288" i="51" s="1"/>
  <c r="F289" i="51" a="1"/>
  <c r="F289" i="51" s="1"/>
  <c r="F290" i="51" a="1"/>
  <c r="F290" i="51" s="1"/>
  <c r="F291" i="51" a="1"/>
  <c r="F291" i="51" s="1"/>
  <c r="F292" i="51" a="1"/>
  <c r="F292" i="51" s="1"/>
  <c r="F293" i="51" a="1"/>
  <c r="F293" i="51" s="1"/>
  <c r="F294" i="51" a="1"/>
  <c r="F294" i="51" s="1"/>
  <c r="F295" i="51" a="1"/>
  <c r="F295" i="51" s="1"/>
  <c r="F296" i="51" a="1"/>
  <c r="F296" i="51" s="1"/>
  <c r="F297" i="51" a="1"/>
  <c r="F297" i="51" s="1"/>
  <c r="F298" i="51" a="1"/>
  <c r="F298" i="51" s="1"/>
  <c r="F299" i="51" a="1"/>
  <c r="F299" i="51" s="1"/>
  <c r="F300" i="51" a="1"/>
  <c r="F300" i="51" s="1"/>
  <c r="F301" i="51" a="1"/>
  <c r="F301" i="51" s="1"/>
  <c r="F302" i="51" a="1"/>
  <c r="F302" i="51" s="1"/>
  <c r="F303" i="51" a="1"/>
  <c r="F303" i="51" s="1"/>
  <c r="F304" i="51" a="1"/>
  <c r="F304" i="51" s="1"/>
  <c r="F305" i="51" a="1"/>
  <c r="F305" i="51" s="1"/>
  <c r="F306" i="51" a="1"/>
  <c r="F306" i="51" s="1"/>
  <c r="F307" i="51" a="1"/>
  <c r="F307" i="51" s="1"/>
  <c r="F308" i="51" a="1"/>
  <c r="F308" i="51" s="1"/>
  <c r="F309" i="51" a="1"/>
  <c r="F309" i="51" s="1"/>
  <c r="F310" i="51" a="1"/>
  <c r="F310" i="51" s="1"/>
  <c r="F311" i="51" a="1"/>
  <c r="F311" i="51" s="1"/>
  <c r="F312" i="51" a="1"/>
  <c r="F312" i="51" s="1"/>
  <c r="F313" i="51" a="1"/>
  <c r="F313" i="51" s="1"/>
  <c r="F314" i="51" a="1"/>
  <c r="F314" i="51" s="1"/>
  <c r="F315" i="51" a="1"/>
  <c r="F315" i="51" s="1"/>
  <c r="F316" i="51" a="1"/>
  <c r="F316" i="51" s="1"/>
  <c r="F317" i="51" a="1"/>
  <c r="F317" i="51" s="1"/>
  <c r="F318" i="51" a="1"/>
  <c r="F318" i="51" s="1"/>
  <c r="F319" i="51" a="1"/>
  <c r="F319" i="51" s="1"/>
  <c r="F320" i="51" a="1"/>
  <c r="F320" i="51" s="1"/>
  <c r="F321" i="51" a="1"/>
  <c r="F321" i="51" s="1"/>
  <c r="F322" i="51" a="1"/>
  <c r="F322" i="51" s="1"/>
  <c r="F323" i="51" a="1"/>
  <c r="F323" i="51" s="1"/>
  <c r="F324" i="51" a="1"/>
  <c r="F324" i="51" s="1"/>
  <c r="F325" i="51" a="1"/>
  <c r="F325" i="51" s="1"/>
  <c r="F326" i="51" a="1"/>
  <c r="F326" i="51" s="1"/>
  <c r="F327" i="51" a="1"/>
  <c r="F327" i="51" s="1"/>
  <c r="F328" i="51" a="1"/>
  <c r="F328" i="51" s="1"/>
  <c r="F329" i="51" a="1"/>
  <c r="F329" i="51" s="1"/>
  <c r="F330" i="51" a="1"/>
  <c r="F330" i="51" s="1"/>
  <c r="F331" i="51" a="1"/>
  <c r="F331" i="51" s="1"/>
  <c r="F332" i="51" a="1"/>
  <c r="F332" i="51" s="1"/>
  <c r="F333" i="51" a="1"/>
  <c r="F333" i="51" s="1"/>
  <c r="F334" i="51" a="1"/>
  <c r="F334" i="51" s="1"/>
  <c r="F335" i="51" a="1"/>
  <c r="F335" i="51" s="1"/>
  <c r="F336" i="51" a="1"/>
  <c r="F336" i="51" s="1"/>
  <c r="F337" i="51" a="1"/>
  <c r="F337" i="51" s="1"/>
  <c r="F338" i="51" a="1"/>
  <c r="F338" i="51" s="1"/>
  <c r="F339" i="51" a="1"/>
  <c r="F339" i="51" s="1"/>
  <c r="F340" i="51" a="1"/>
  <c r="F340" i="51" s="1"/>
  <c r="F341" i="51" a="1"/>
  <c r="F341" i="51" s="1"/>
  <c r="F342" i="51" a="1"/>
  <c r="F342" i="51" s="1"/>
  <c r="F343" i="51" a="1"/>
  <c r="F343" i="51" s="1"/>
  <c r="F344" i="51" a="1"/>
  <c r="F344" i="51" s="1"/>
  <c r="F345" i="51" a="1"/>
  <c r="F345" i="51" s="1"/>
  <c r="F346" i="51" a="1"/>
  <c r="F346" i="51" s="1"/>
  <c r="F347" i="51" a="1"/>
  <c r="F347" i="51" s="1"/>
  <c r="F348" i="51" a="1"/>
  <c r="F348" i="51" s="1"/>
  <c r="F349" i="51" a="1"/>
  <c r="F349" i="51" s="1"/>
  <c r="F350" i="51" a="1"/>
  <c r="F350" i="51" s="1"/>
  <c r="F351" i="51" a="1"/>
  <c r="F351" i="51" s="1"/>
  <c r="F352" i="51" a="1"/>
  <c r="F352" i="51" s="1"/>
  <c r="F353" i="51" a="1"/>
  <c r="F353" i="51" s="1"/>
  <c r="F354" i="51" a="1"/>
  <c r="F354" i="51" s="1"/>
  <c r="F355" i="51" a="1"/>
  <c r="F355" i="51" s="1"/>
  <c r="F356" i="51" a="1"/>
  <c r="F356" i="51" s="1"/>
  <c r="F357" i="51" a="1"/>
  <c r="F357" i="51" s="1"/>
  <c r="F358" i="51" a="1"/>
  <c r="F358" i="51" s="1"/>
  <c r="F359" i="51" a="1"/>
  <c r="F359" i="51" s="1"/>
  <c r="F360" i="51" a="1"/>
  <c r="F360" i="51" s="1"/>
  <c r="F361" i="51" a="1"/>
  <c r="F361" i="51" s="1"/>
  <c r="F362" i="51" a="1"/>
  <c r="F362" i="51" s="1"/>
  <c r="F363" i="51" a="1"/>
  <c r="F363" i="51" s="1"/>
  <c r="F364" i="51" a="1"/>
  <c r="F364" i="51" s="1"/>
  <c r="F365" i="51" a="1"/>
  <c r="F365" i="51" s="1"/>
  <c r="F366" i="51" a="1"/>
  <c r="F366" i="51" s="1"/>
  <c r="F367" i="51" a="1"/>
  <c r="F367" i="51" s="1"/>
  <c r="F368" i="51" a="1"/>
  <c r="F368" i="51" s="1"/>
  <c r="F369" i="51" a="1"/>
  <c r="F369" i="51" s="1"/>
  <c r="F370" i="51" a="1"/>
  <c r="F370" i="51" s="1"/>
  <c r="F371" i="51" a="1"/>
  <c r="F371" i="51" s="1"/>
  <c r="F372" i="51" a="1"/>
  <c r="F372" i="51" s="1"/>
  <c r="F373" i="51" a="1"/>
  <c r="F373" i="51" s="1"/>
  <c r="F374" i="51" a="1"/>
  <c r="F374" i="51" s="1"/>
  <c r="F375" i="51" a="1"/>
  <c r="F375" i="51" s="1"/>
  <c r="F376" i="51" a="1"/>
  <c r="F376" i="51" s="1"/>
  <c r="F377" i="51" a="1"/>
  <c r="F377" i="51" s="1"/>
  <c r="F378" i="51" a="1"/>
  <c r="F378" i="51" s="1"/>
  <c r="F379" i="51" a="1"/>
  <c r="F379" i="51" s="1"/>
  <c r="F380" i="51" a="1"/>
  <c r="F380" i="51" s="1"/>
  <c r="F381" i="51" a="1"/>
  <c r="F381" i="51" s="1"/>
  <c r="F382" i="51" a="1"/>
  <c r="F382" i="51" s="1"/>
  <c r="F383" i="51" a="1"/>
  <c r="F383" i="51" s="1"/>
  <c r="F384" i="51" a="1"/>
  <c r="F384" i="51" s="1"/>
  <c r="F385" i="51" a="1"/>
  <c r="F385" i="51" s="1"/>
  <c r="F386" i="51" a="1"/>
  <c r="F386" i="51" s="1"/>
  <c r="F387" i="51" a="1"/>
  <c r="F387" i="51" s="1"/>
  <c r="F388" i="51" a="1"/>
  <c r="F388" i="51" s="1"/>
  <c r="F389" i="51" a="1"/>
  <c r="F389" i="51" s="1"/>
  <c r="F390" i="51" a="1"/>
  <c r="F390" i="51" s="1"/>
  <c r="F391" i="51" a="1"/>
  <c r="F391" i="51" s="1"/>
  <c r="F392" i="51" a="1"/>
  <c r="F392" i="51" s="1"/>
  <c r="F393" i="51" a="1"/>
  <c r="F393" i="51" s="1"/>
  <c r="F394" i="51" a="1"/>
  <c r="F394" i="51" s="1"/>
  <c r="F395" i="51" a="1"/>
  <c r="F395" i="51" s="1"/>
  <c r="F396" i="51" a="1"/>
  <c r="F396" i="51" s="1"/>
  <c r="F397" i="51" a="1"/>
  <c r="F397" i="51" s="1"/>
  <c r="F398" i="51" a="1"/>
  <c r="F398" i="51" s="1"/>
  <c r="F399" i="51" a="1"/>
  <c r="F399" i="51" s="1"/>
  <c r="F400" i="51" a="1"/>
  <c r="F400" i="51" s="1"/>
  <c r="F401" i="51" a="1"/>
  <c r="F401" i="51" s="1"/>
  <c r="F402" i="51" a="1"/>
  <c r="F402" i="51" s="1"/>
  <c r="F403" i="51" a="1"/>
  <c r="F403" i="51" s="1"/>
  <c r="F404" i="51" a="1"/>
  <c r="F404" i="51" s="1"/>
  <c r="F405" i="51" a="1"/>
  <c r="F405" i="51" s="1"/>
  <c r="F406" i="51" a="1"/>
  <c r="F406" i="51" s="1"/>
  <c r="F407" i="51" a="1"/>
  <c r="F407" i="51" s="1"/>
  <c r="F408" i="51" a="1"/>
  <c r="F408" i="51" s="1"/>
  <c r="F409" i="51" a="1"/>
  <c r="F409" i="51" s="1"/>
  <c r="F410" i="51" a="1"/>
  <c r="F410" i="51" s="1"/>
  <c r="F411" i="51" a="1"/>
  <c r="F411" i="51" s="1"/>
  <c r="F412" i="51" a="1"/>
  <c r="F412" i="51" s="1"/>
  <c r="F413" i="51" a="1"/>
  <c r="F413" i="51" s="1"/>
  <c r="F414" i="51" a="1"/>
  <c r="F414" i="51" s="1"/>
  <c r="F415" i="51" a="1"/>
  <c r="F415" i="51" s="1"/>
  <c r="F416" i="51" a="1"/>
  <c r="F416" i="51" s="1"/>
  <c r="F417" i="51" a="1"/>
  <c r="F417" i="51" s="1"/>
  <c r="F418" i="51" a="1"/>
  <c r="F418" i="51" s="1"/>
  <c r="F419" i="51" a="1"/>
  <c r="F419" i="51" s="1"/>
  <c r="F7" i="51" a="1"/>
  <c r="F7" i="51" s="1"/>
  <c r="G62" i="38"/>
  <c r="F62" i="38"/>
  <c r="E11" i="1"/>
  <c r="AH5" i="57"/>
  <c r="H62" i="38" l="1"/>
  <c r="AJ141" i="53"/>
  <c r="AN45" i="53"/>
  <c r="AN55" i="53" s="1"/>
  <c r="AL76" i="53"/>
  <c r="F12" i="5" s="1"/>
  <c r="J7" i="51" a="1"/>
  <c r="J7" i="51" s="1"/>
  <c r="J8" i="51" a="1"/>
  <c r="J8" i="51" s="1"/>
  <c r="J9" i="51" a="1"/>
  <c r="J9" i="51" s="1"/>
  <c r="J10" i="51" a="1"/>
  <c r="J10" i="51" s="1"/>
  <c r="J11" i="51" a="1"/>
  <c r="J11" i="51" s="1"/>
  <c r="J12" i="51" a="1"/>
  <c r="J12" i="51" s="1"/>
  <c r="J13" i="51" a="1"/>
  <c r="J13" i="51" s="1"/>
  <c r="J14" i="51" a="1"/>
  <c r="J14" i="51" s="1"/>
  <c r="J15" i="51" a="1"/>
  <c r="J15" i="51" s="1"/>
  <c r="J16" i="51" a="1"/>
  <c r="J16" i="51" s="1"/>
  <c r="J17" i="51" a="1"/>
  <c r="J17" i="51" s="1"/>
  <c r="J18" i="51" a="1"/>
  <c r="J18" i="51" s="1"/>
  <c r="J19" i="51" a="1"/>
  <c r="J19" i="51" s="1"/>
  <c r="J20" i="51" a="1"/>
  <c r="J20" i="51" s="1"/>
  <c r="J21" i="51" a="1"/>
  <c r="J22" i="51" a="1"/>
  <c r="J22" i="51" s="1"/>
  <c r="J23" i="51" a="1"/>
  <c r="J24" i="51" a="1"/>
  <c r="J25" i="51" a="1"/>
  <c r="J25" i="51" s="1"/>
  <c r="J26" i="51" a="1"/>
  <c r="J26" i="51" s="1"/>
  <c r="J27" i="51" a="1"/>
  <c r="J27" i="51" s="1"/>
  <c r="J28" i="51" a="1"/>
  <c r="J28" i="51" s="1"/>
  <c r="J29" i="51" a="1"/>
  <c r="J29" i="51" s="1"/>
  <c r="J30" i="51" a="1"/>
  <c r="J30" i="51" s="1"/>
  <c r="J31" i="51" a="1"/>
  <c r="J31" i="51" s="1"/>
  <c r="J32" i="51" a="1"/>
  <c r="J32" i="51" s="1"/>
  <c r="J33" i="51" a="1"/>
  <c r="J33" i="51" s="1"/>
  <c r="J34" i="51" a="1"/>
  <c r="J34" i="51" s="1"/>
  <c r="J35" i="51" a="1"/>
  <c r="J35" i="51" s="1"/>
  <c r="J36" i="51" a="1"/>
  <c r="J36" i="51" s="1"/>
  <c r="J37" i="51" a="1"/>
  <c r="J38" i="51" a="1"/>
  <c r="J38" i="51" s="1"/>
  <c r="J39" i="51" a="1"/>
  <c r="J40" i="51" a="1"/>
  <c r="J41" i="51" a="1"/>
  <c r="J41" i="51" s="1"/>
  <c r="J42" i="51" a="1"/>
  <c r="J42" i="51" s="1"/>
  <c r="J43" i="51" a="1"/>
  <c r="J43" i="51" s="1"/>
  <c r="J44" i="51" a="1"/>
  <c r="J44" i="51" s="1"/>
  <c r="J45" i="51" a="1"/>
  <c r="J45" i="51" s="1"/>
  <c r="J46" i="51" a="1"/>
  <c r="J46" i="51" s="1"/>
  <c r="J47" i="51" a="1"/>
  <c r="J47" i="51" s="1"/>
  <c r="J48" i="51" a="1"/>
  <c r="J49" i="51" a="1"/>
  <c r="J49" i="51" s="1"/>
  <c r="J50" i="51" a="1"/>
  <c r="J50" i="51" s="1"/>
  <c r="J51" i="51" a="1"/>
  <c r="J51" i="51" s="1"/>
  <c r="J52" i="51" a="1"/>
  <c r="J52" i="51" s="1"/>
  <c r="J53" i="51" a="1"/>
  <c r="J54" i="51" a="1"/>
  <c r="J54" i="51" s="1"/>
  <c r="J55" i="51" a="1"/>
  <c r="J55" i="51" s="1"/>
  <c r="J56" i="51" a="1"/>
  <c r="J57" i="51" a="1"/>
  <c r="J57" i="51" s="1"/>
  <c r="J58" i="51" a="1"/>
  <c r="J58" i="51" s="1"/>
  <c r="J59" i="51" a="1"/>
  <c r="J59" i="51" s="1"/>
  <c r="J60" i="51" a="1"/>
  <c r="J60" i="51" s="1"/>
  <c r="J61" i="51" a="1"/>
  <c r="J61" i="51" s="1"/>
  <c r="J62" i="51" a="1"/>
  <c r="J62" i="51" s="1"/>
  <c r="J63" i="51" a="1"/>
  <c r="J63" i="51" s="1"/>
  <c r="J64" i="51" a="1"/>
  <c r="J64" i="51" s="1"/>
  <c r="J65" i="51" a="1"/>
  <c r="J65" i="51" s="1"/>
  <c r="J66" i="51" a="1"/>
  <c r="J66" i="51" s="1"/>
  <c r="J67" i="51" a="1"/>
  <c r="J67" i="51" s="1"/>
  <c r="J68" i="51" a="1"/>
  <c r="J68" i="51" s="1"/>
  <c r="J69" i="51" a="1"/>
  <c r="J70" i="51" a="1"/>
  <c r="J70" i="51" s="1"/>
  <c r="J71" i="51" a="1"/>
  <c r="J71" i="51" s="1"/>
  <c r="J72" i="51" a="1"/>
  <c r="J72" i="51" s="1"/>
  <c r="J73" i="51" a="1"/>
  <c r="J73" i="51" s="1"/>
  <c r="J74" i="51" a="1"/>
  <c r="J74" i="51" s="1"/>
  <c r="J75" i="51" a="1"/>
  <c r="J75" i="51" s="1"/>
  <c r="J76" i="51" a="1"/>
  <c r="J76" i="51" s="1"/>
  <c r="J77" i="51" a="1"/>
  <c r="J77" i="51" s="1"/>
  <c r="J78" i="51" a="1"/>
  <c r="J78" i="51" s="1"/>
  <c r="J79" i="51" a="1"/>
  <c r="J79" i="51" s="1"/>
  <c r="J80" i="51" a="1"/>
  <c r="J81" i="51" a="1"/>
  <c r="J81" i="51" s="1"/>
  <c r="J82" i="51" a="1"/>
  <c r="J82" i="51" s="1"/>
  <c r="J83" i="51" a="1"/>
  <c r="J83" i="51" s="1"/>
  <c r="J84" i="51" a="1"/>
  <c r="J84" i="51" s="1"/>
  <c r="J85" i="51" a="1"/>
  <c r="J86" i="51" a="1"/>
  <c r="J87" i="51" a="1"/>
  <c r="J87" i="51" s="1"/>
  <c r="J88" i="51" a="1"/>
  <c r="J89" i="51" a="1"/>
  <c r="J89" i="51" s="1"/>
  <c r="J90" i="51" a="1"/>
  <c r="J90" i="51" s="1"/>
  <c r="J91" i="51" a="1"/>
  <c r="J91" i="51" s="1"/>
  <c r="J92" i="51" a="1"/>
  <c r="J92" i="51" s="1"/>
  <c r="J93" i="51" a="1"/>
  <c r="J93" i="51" s="1"/>
  <c r="J94" i="51" a="1"/>
  <c r="J94" i="51" s="1"/>
  <c r="J95" i="51" a="1"/>
  <c r="J95" i="51" s="1"/>
  <c r="J96" i="51" a="1"/>
  <c r="J96" i="51" s="1"/>
  <c r="J97" i="51" a="1"/>
  <c r="J97" i="51" s="1"/>
  <c r="J98" i="51" a="1"/>
  <c r="J98" i="51" s="1"/>
  <c r="J99" i="51" a="1"/>
  <c r="J99" i="51" s="1"/>
  <c r="J100" i="51" a="1"/>
  <c r="J100" i="51" s="1"/>
  <c r="J101" i="51" a="1"/>
  <c r="J102" i="51" a="1"/>
  <c r="J102" i="51" s="1"/>
  <c r="J103" i="51" a="1"/>
  <c r="J103" i="51" s="1"/>
  <c r="J104" i="51" a="1"/>
  <c r="J104" i="51" s="1"/>
  <c r="J105" i="51" a="1"/>
  <c r="J105" i="51" s="1"/>
  <c r="J106" i="51" a="1"/>
  <c r="J106" i="51" s="1"/>
  <c r="J107" i="51" a="1"/>
  <c r="J107" i="51" s="1"/>
  <c r="J108" i="51" a="1"/>
  <c r="J108" i="51" s="1"/>
  <c r="J109" i="51" a="1"/>
  <c r="J109" i="51" s="1"/>
  <c r="J110" i="51" a="1"/>
  <c r="J110" i="51" s="1"/>
  <c r="J111" i="51" a="1"/>
  <c r="J111" i="51" s="1"/>
  <c r="J112" i="51" a="1"/>
  <c r="J112" i="51" s="1"/>
  <c r="J113" i="51" a="1"/>
  <c r="J113" i="51" s="1"/>
  <c r="J114" i="51" a="1"/>
  <c r="J114" i="51" s="1"/>
  <c r="J115" i="51" a="1"/>
  <c r="J115" i="51" s="1"/>
  <c r="J116" i="51" a="1"/>
  <c r="J116" i="51" s="1"/>
  <c r="J117" i="51" a="1"/>
  <c r="J118" i="51" a="1"/>
  <c r="J118" i="51" s="1"/>
  <c r="J119" i="51" a="1"/>
  <c r="J119" i="51" s="1"/>
  <c r="J120" i="51" a="1"/>
  <c r="J120" i="51" s="1"/>
  <c r="J121" i="51" a="1"/>
  <c r="J121" i="51" s="1"/>
  <c r="J122" i="51" a="1"/>
  <c r="J122" i="51" s="1"/>
  <c r="J123" i="51" a="1"/>
  <c r="J123" i="51" s="1"/>
  <c r="J124" i="51" a="1"/>
  <c r="J124" i="51" s="1"/>
  <c r="J125" i="51" a="1"/>
  <c r="J125" i="51" s="1"/>
  <c r="J126" i="51" a="1"/>
  <c r="J126" i="51" s="1"/>
  <c r="J127" i="51" a="1"/>
  <c r="J127" i="51" s="1"/>
  <c r="J128" i="51" a="1"/>
  <c r="J128" i="51" s="1"/>
  <c r="J129" i="51" a="1"/>
  <c r="J129" i="51" s="1"/>
  <c r="J130" i="51" a="1"/>
  <c r="J130" i="51" s="1"/>
  <c r="J131" i="51" a="1"/>
  <c r="J131" i="51" s="1"/>
  <c r="J132" i="51" a="1"/>
  <c r="J132" i="51" s="1"/>
  <c r="J133" i="51" a="1"/>
  <c r="J134" i="51" a="1"/>
  <c r="J135" i="51" a="1"/>
  <c r="J135" i="51" s="1"/>
  <c r="J136" i="51" a="1"/>
  <c r="J136" i="51" s="1"/>
  <c r="J137" i="51" a="1"/>
  <c r="J137" i="51" s="1"/>
  <c r="J138" i="51" a="1"/>
  <c r="J138" i="51" s="1"/>
  <c r="J139" i="51" a="1"/>
  <c r="J139" i="51" s="1"/>
  <c r="J140" i="51" a="1"/>
  <c r="J140" i="51" s="1"/>
  <c r="J141" i="51" a="1"/>
  <c r="J141" i="51" s="1"/>
  <c r="J142" i="51" a="1"/>
  <c r="J142" i="51" s="1"/>
  <c r="J143" i="51" a="1"/>
  <c r="J143" i="51" s="1"/>
  <c r="J144" i="51" a="1"/>
  <c r="J144" i="51" s="1"/>
  <c r="J145" i="51" a="1"/>
  <c r="J145" i="51" s="1"/>
  <c r="J146" i="51" a="1"/>
  <c r="J146" i="51" s="1"/>
  <c r="J147" i="51" a="1"/>
  <c r="J147" i="51" s="1"/>
  <c r="J148" i="51" a="1"/>
  <c r="J148" i="51" s="1"/>
  <c r="J149" i="51" a="1"/>
  <c r="J150" i="51" a="1"/>
  <c r="J150" i="51" s="1"/>
  <c r="J151" i="51" a="1"/>
  <c r="J152" i="51" a="1"/>
  <c r="J152" i="51" s="1"/>
  <c r="J153" i="51" a="1"/>
  <c r="J153" i="51" s="1"/>
  <c r="J154" i="51" a="1"/>
  <c r="J154" i="51" s="1"/>
  <c r="J155" i="51" a="1"/>
  <c r="J155" i="51" s="1"/>
  <c r="J156" i="51" a="1"/>
  <c r="J156" i="51" s="1"/>
  <c r="J157" i="51" a="1"/>
  <c r="J157" i="51" s="1"/>
  <c r="J158" i="51" a="1"/>
  <c r="J158" i="51" s="1"/>
  <c r="J159" i="51" a="1"/>
  <c r="J159" i="51" s="1"/>
  <c r="J160" i="51" a="1"/>
  <c r="J160" i="51" s="1"/>
  <c r="J161" i="51" a="1"/>
  <c r="J161" i="51" s="1"/>
  <c r="J162" i="51" a="1"/>
  <c r="J162" i="51" s="1"/>
  <c r="J163" i="51" a="1"/>
  <c r="J163" i="51" s="1"/>
  <c r="J164" i="51" a="1"/>
  <c r="J164" i="51" s="1"/>
  <c r="J165" i="51" a="1"/>
  <c r="J166" i="51" a="1"/>
  <c r="J166" i="51" s="1"/>
  <c r="J167" i="51" a="1"/>
  <c r="J167" i="51" s="1"/>
  <c r="J168" i="51" a="1"/>
  <c r="J168" i="51" s="1"/>
  <c r="J169" i="51" a="1"/>
  <c r="J169" i="51" s="1"/>
  <c r="J170" i="51" a="1"/>
  <c r="J170" i="51" s="1"/>
  <c r="J171" i="51" a="1"/>
  <c r="J171" i="51" s="1"/>
  <c r="J172" i="51" a="1"/>
  <c r="J172" i="51" s="1"/>
  <c r="J173" i="51" a="1"/>
  <c r="J173" i="51" s="1"/>
  <c r="J174" i="51" a="1"/>
  <c r="J174" i="51" s="1"/>
  <c r="J175" i="51" a="1"/>
  <c r="J175" i="51" s="1"/>
  <c r="J176" i="51" a="1"/>
  <c r="J176" i="51" s="1"/>
  <c r="J177" i="51" a="1"/>
  <c r="J177" i="51" s="1"/>
  <c r="J178" i="51" a="1"/>
  <c r="J178" i="51" s="1"/>
  <c r="J179" i="51" a="1"/>
  <c r="J179" i="51" s="1"/>
  <c r="J180" i="51" a="1"/>
  <c r="J180" i="51" s="1"/>
  <c r="J181" i="51" a="1"/>
  <c r="J182" i="51" a="1"/>
  <c r="J182" i="51" s="1"/>
  <c r="J183" i="51" a="1"/>
  <c r="J183" i="51" s="1"/>
  <c r="J184" i="51" a="1"/>
  <c r="J184" i="51" s="1"/>
  <c r="J185" i="51" a="1"/>
  <c r="J185" i="51" s="1"/>
  <c r="J186" i="51" a="1"/>
  <c r="J186" i="51" s="1"/>
  <c r="J187" i="51" a="1"/>
  <c r="J187" i="51" s="1"/>
  <c r="J188" i="51" a="1"/>
  <c r="J188" i="51" s="1"/>
  <c r="J189" i="51" a="1"/>
  <c r="J189" i="51" s="1"/>
  <c r="J190" i="51" a="1"/>
  <c r="J190" i="51" s="1"/>
  <c r="J191" i="51" a="1"/>
  <c r="J191" i="51" s="1"/>
  <c r="J192" i="51" a="1"/>
  <c r="J192" i="51" s="1"/>
  <c r="J193" i="51" a="1"/>
  <c r="J193" i="51" s="1"/>
  <c r="J194" i="51" a="1"/>
  <c r="J194" i="51" s="1"/>
  <c r="J195" i="51" a="1"/>
  <c r="J195" i="51" s="1"/>
  <c r="J196" i="51" a="1"/>
  <c r="J196" i="51" s="1"/>
  <c r="J197" i="51" a="1"/>
  <c r="J198" i="51" a="1"/>
  <c r="J198" i="51" s="1"/>
  <c r="J199" i="51" a="1"/>
  <c r="J199" i="51" s="1"/>
  <c r="J200" i="51" a="1"/>
  <c r="J201" i="51" a="1"/>
  <c r="J201" i="51" s="1"/>
  <c r="J202" i="51" a="1"/>
  <c r="J202" i="51" s="1"/>
  <c r="J203" i="51" a="1"/>
  <c r="J203" i="51" s="1"/>
  <c r="J204" i="51" a="1"/>
  <c r="J204" i="51" s="1"/>
  <c r="J205" i="51" a="1"/>
  <c r="J205" i="51" s="1"/>
  <c r="J206" i="51" a="1"/>
  <c r="J206" i="51" s="1"/>
  <c r="J207" i="51" a="1"/>
  <c r="J207" i="51" s="1"/>
  <c r="J208" i="51" a="1"/>
  <c r="J208" i="51" s="1"/>
  <c r="J209" i="51" a="1"/>
  <c r="J209" i="51" s="1"/>
  <c r="J210" i="51" a="1"/>
  <c r="J210" i="51" s="1"/>
  <c r="J211" i="51" a="1"/>
  <c r="J211" i="51" s="1"/>
  <c r="J212" i="51" a="1"/>
  <c r="J212" i="51" s="1"/>
  <c r="J213" i="51" a="1"/>
  <c r="J214" i="51" a="1"/>
  <c r="J214" i="51" s="1"/>
  <c r="J215" i="51" a="1"/>
  <c r="J215" i="51" s="1"/>
  <c r="J216" i="51" a="1"/>
  <c r="J216" i="51" s="1"/>
  <c r="J217" i="51" a="1"/>
  <c r="J217" i="51" s="1"/>
  <c r="J218" i="51" a="1"/>
  <c r="J218" i="51" s="1"/>
  <c r="J219" i="51" a="1"/>
  <c r="J219" i="51" s="1"/>
  <c r="J220" i="51" a="1"/>
  <c r="J220" i="51" s="1"/>
  <c r="J221" i="51" a="1"/>
  <c r="J221" i="51" s="1"/>
  <c r="J222" i="51" a="1"/>
  <c r="J222" i="51" s="1"/>
  <c r="J223" i="51" a="1"/>
  <c r="J223" i="51" s="1"/>
  <c r="J224" i="51" a="1"/>
  <c r="J224" i="51" s="1"/>
  <c r="J225" i="51" a="1"/>
  <c r="J225" i="51" s="1"/>
  <c r="J226" i="51" a="1"/>
  <c r="J226" i="51" s="1"/>
  <c r="J227" i="51" a="1"/>
  <c r="J227" i="51" s="1"/>
  <c r="J228" i="51" a="1"/>
  <c r="J228" i="51" s="1"/>
  <c r="J229" i="51" a="1"/>
  <c r="J229" i="51" s="1"/>
  <c r="J230" i="51" a="1"/>
  <c r="J230" i="51" s="1"/>
  <c r="J231" i="51" a="1"/>
  <c r="J231" i="51" s="1"/>
  <c r="J232" i="51" a="1"/>
  <c r="J232" i="51" s="1"/>
  <c r="J233" i="51" a="1"/>
  <c r="J233" i="51" s="1"/>
  <c r="J234" i="51" a="1"/>
  <c r="J234" i="51" s="1"/>
  <c r="J235" i="51" a="1"/>
  <c r="J235" i="51" s="1"/>
  <c r="J236" i="51" a="1"/>
  <c r="J236" i="51" s="1"/>
  <c r="J237" i="51" a="1"/>
  <c r="J237" i="51" s="1"/>
  <c r="J238" i="51" a="1"/>
  <c r="J238" i="51" s="1"/>
  <c r="J239" i="51" a="1"/>
  <c r="J239" i="51" s="1"/>
  <c r="J240" i="51" a="1"/>
  <c r="J241" i="51" a="1"/>
  <c r="J241" i="51" s="1"/>
  <c r="J242" i="51" a="1"/>
  <c r="J242" i="51" s="1"/>
  <c r="J243" i="51" a="1"/>
  <c r="J243" i="51" s="1"/>
  <c r="J244" i="51" a="1"/>
  <c r="J244" i="51" s="1"/>
  <c r="J245" i="51" a="1"/>
  <c r="J245" i="51" s="1"/>
  <c r="J246" i="51" a="1"/>
  <c r="J246" i="51" s="1"/>
  <c r="J247" i="51" a="1"/>
  <c r="J247" i="51" s="1"/>
  <c r="J248" i="51" a="1"/>
  <c r="J248" i="51" s="1"/>
  <c r="J249" i="51" a="1"/>
  <c r="J249" i="51" s="1"/>
  <c r="J250" i="51" a="1"/>
  <c r="J250" i="51" s="1"/>
  <c r="J251" i="51" a="1"/>
  <c r="J251" i="51" s="1"/>
  <c r="J252" i="51" a="1"/>
  <c r="J252" i="51" s="1"/>
  <c r="J253" i="51" a="1"/>
  <c r="J253" i="51" s="1"/>
  <c r="J254" i="51" a="1"/>
  <c r="J254" i="51" s="1"/>
  <c r="J255" i="51" a="1"/>
  <c r="J255" i="51" s="1"/>
  <c r="J256" i="51" a="1"/>
  <c r="J256" i="51" s="1"/>
  <c r="J257" i="51" a="1"/>
  <c r="J257" i="51" s="1"/>
  <c r="J258" i="51" a="1"/>
  <c r="J258" i="51" s="1"/>
  <c r="J259" i="51" a="1"/>
  <c r="J259" i="51" s="1"/>
  <c r="J260" i="51" a="1"/>
  <c r="J260" i="51" s="1"/>
  <c r="J261" i="51" a="1"/>
  <c r="J261" i="51" s="1"/>
  <c r="J262" i="51" a="1"/>
  <c r="J262" i="51" s="1"/>
  <c r="J263" i="51" a="1"/>
  <c r="J263" i="51" s="1"/>
  <c r="J264" i="51" a="1"/>
  <c r="J264" i="51" s="1"/>
  <c r="J265" i="51" a="1"/>
  <c r="J265" i="51" s="1"/>
  <c r="J266" i="51" a="1"/>
  <c r="J266" i="51" s="1"/>
  <c r="J267" i="51" a="1"/>
  <c r="J267" i="51" s="1"/>
  <c r="J268" i="51" a="1"/>
  <c r="J268" i="51" s="1"/>
  <c r="J269" i="51" a="1"/>
  <c r="J269" i="51" s="1"/>
  <c r="J270" i="51" a="1"/>
  <c r="J270" i="51" s="1"/>
  <c r="J271" i="51" a="1"/>
  <c r="J271" i="51" s="1"/>
  <c r="J272" i="51" a="1"/>
  <c r="J272" i="51" s="1"/>
  <c r="J273" i="51" a="1"/>
  <c r="J273" i="51" s="1"/>
  <c r="J274" i="51" a="1"/>
  <c r="J274" i="51" s="1"/>
  <c r="J275" i="51" a="1"/>
  <c r="J275" i="51" s="1"/>
  <c r="J276" i="51" a="1"/>
  <c r="J276" i="51" s="1"/>
  <c r="J277" i="51" a="1"/>
  <c r="J277" i="51" s="1"/>
  <c r="J278" i="51" a="1"/>
  <c r="J278" i="51" s="1"/>
  <c r="J279" i="51" a="1"/>
  <c r="J279" i="51" s="1"/>
  <c r="J280" i="51" a="1"/>
  <c r="J280" i="51" s="1"/>
  <c r="J281" i="51" a="1"/>
  <c r="J281" i="51" s="1"/>
  <c r="J282" i="51" a="1"/>
  <c r="J282" i="51" s="1"/>
  <c r="J283" i="51" a="1"/>
  <c r="J283" i="51" s="1"/>
  <c r="J284" i="51" a="1"/>
  <c r="J284" i="51" s="1"/>
  <c r="J285" i="51" a="1"/>
  <c r="J285" i="51" s="1"/>
  <c r="J286" i="51" a="1"/>
  <c r="J286" i="51" s="1"/>
  <c r="J287" i="51" a="1"/>
  <c r="J287" i="51" s="1"/>
  <c r="J288" i="51" a="1"/>
  <c r="J288" i="51" s="1"/>
  <c r="J289" i="51" a="1"/>
  <c r="J289" i="51" s="1"/>
  <c r="J290" i="51" a="1"/>
  <c r="J290" i="51" s="1"/>
  <c r="J291" i="51" a="1"/>
  <c r="J291" i="51" s="1"/>
  <c r="J292" i="51" a="1"/>
  <c r="J292" i="51" s="1"/>
  <c r="J293" i="51" a="1"/>
  <c r="J293" i="51" s="1"/>
  <c r="J294" i="51" a="1"/>
  <c r="J294" i="51" s="1"/>
  <c r="J295" i="51" a="1"/>
  <c r="J295" i="51" s="1"/>
  <c r="J296" i="51" a="1"/>
  <c r="J296" i="51" s="1"/>
  <c r="J297" i="51" a="1"/>
  <c r="J297" i="51" s="1"/>
  <c r="J298" i="51" a="1"/>
  <c r="J298" i="51" s="1"/>
  <c r="J299" i="51" a="1"/>
  <c r="J299" i="51" s="1"/>
  <c r="J300" i="51" a="1"/>
  <c r="J300" i="51" s="1"/>
  <c r="J301" i="51" a="1"/>
  <c r="J301" i="51" s="1"/>
  <c r="J302" i="51" a="1"/>
  <c r="J302" i="51" s="1"/>
  <c r="J303" i="51" a="1"/>
  <c r="J303" i="51" s="1"/>
  <c r="J304" i="51" a="1"/>
  <c r="J304" i="51" s="1"/>
  <c r="J305" i="51" a="1"/>
  <c r="J305" i="51" s="1"/>
  <c r="J306" i="51" a="1"/>
  <c r="J306" i="51" s="1"/>
  <c r="J307" i="51" a="1"/>
  <c r="J307" i="51" s="1"/>
  <c r="J308" i="51" a="1"/>
  <c r="J308" i="51" s="1"/>
  <c r="J309" i="51" a="1"/>
  <c r="J309" i="51" s="1"/>
  <c r="J310" i="51" a="1"/>
  <c r="J310" i="51" s="1"/>
  <c r="J311" i="51" a="1"/>
  <c r="J311" i="51" s="1"/>
  <c r="J312" i="51" a="1"/>
  <c r="J312" i="51" s="1"/>
  <c r="J313" i="51" a="1"/>
  <c r="J313" i="51" s="1"/>
  <c r="J314" i="51" a="1"/>
  <c r="J314" i="51" s="1"/>
  <c r="J315" i="51" a="1"/>
  <c r="J315" i="51" s="1"/>
  <c r="J316" i="51" a="1"/>
  <c r="J316" i="51" s="1"/>
  <c r="J317" i="51" a="1"/>
  <c r="J317" i="51" s="1"/>
  <c r="J318" i="51" a="1"/>
  <c r="J318" i="51" s="1"/>
  <c r="J319" i="51" a="1"/>
  <c r="J319" i="51" s="1"/>
  <c r="J320" i="51" a="1"/>
  <c r="J320" i="51" s="1"/>
  <c r="J321" i="51" a="1"/>
  <c r="J321" i="51" s="1"/>
  <c r="J322" i="51" a="1"/>
  <c r="J322" i="51" s="1"/>
  <c r="J323" i="51" a="1"/>
  <c r="J323" i="51" s="1"/>
  <c r="J324" i="51" a="1"/>
  <c r="J324" i="51" s="1"/>
  <c r="J325" i="51" a="1"/>
  <c r="J325" i="51" s="1"/>
  <c r="J326" i="51" a="1"/>
  <c r="J326" i="51" s="1"/>
  <c r="J327" i="51" a="1"/>
  <c r="J327" i="51" s="1"/>
  <c r="J328" i="51" a="1"/>
  <c r="J328" i="51" s="1"/>
  <c r="J329" i="51" a="1"/>
  <c r="J329" i="51" s="1"/>
  <c r="J330" i="51" a="1"/>
  <c r="J330" i="51" s="1"/>
  <c r="J331" i="51" a="1"/>
  <c r="J331" i="51" s="1"/>
  <c r="J332" i="51" a="1"/>
  <c r="J332" i="51" s="1"/>
  <c r="J333" i="51" a="1"/>
  <c r="J333" i="51" s="1"/>
  <c r="J334" i="51" a="1"/>
  <c r="J334" i="51" s="1"/>
  <c r="J335" i="51" a="1"/>
  <c r="J335" i="51" s="1"/>
  <c r="J336" i="51" a="1"/>
  <c r="J336" i="51" s="1"/>
  <c r="J337" i="51" a="1"/>
  <c r="J337" i="51" s="1"/>
  <c r="J338" i="51" a="1"/>
  <c r="J338" i="51" s="1"/>
  <c r="J339" i="51" a="1"/>
  <c r="J339" i="51" s="1"/>
  <c r="J340" i="51" a="1"/>
  <c r="J340" i="51" s="1"/>
  <c r="J341" i="51" a="1"/>
  <c r="J341" i="51" s="1"/>
  <c r="J342" i="51" a="1"/>
  <c r="J342" i="51" s="1"/>
  <c r="J343" i="51" a="1"/>
  <c r="J343" i="51" s="1"/>
  <c r="J344" i="51" a="1"/>
  <c r="J344" i="51" s="1"/>
  <c r="J345" i="51" a="1"/>
  <c r="J345" i="51" s="1"/>
  <c r="J346" i="51" a="1"/>
  <c r="J346" i="51" s="1"/>
  <c r="J347" i="51" a="1"/>
  <c r="J347" i="51" s="1"/>
  <c r="J348" i="51" a="1"/>
  <c r="J348" i="51" s="1"/>
  <c r="J349" i="51" a="1"/>
  <c r="J349" i="51" s="1"/>
  <c r="J350" i="51" a="1"/>
  <c r="J350" i="51" s="1"/>
  <c r="J351" i="51" a="1"/>
  <c r="J351" i="51" s="1"/>
  <c r="J352" i="51" a="1"/>
  <c r="J352" i="51" s="1"/>
  <c r="J353" i="51" a="1"/>
  <c r="J353" i="51" s="1"/>
  <c r="J354" i="51" a="1"/>
  <c r="J354" i="51" s="1"/>
  <c r="J355" i="51" a="1"/>
  <c r="J355" i="51" s="1"/>
  <c r="J356" i="51" a="1"/>
  <c r="J356" i="51" s="1"/>
  <c r="J357" i="51" a="1"/>
  <c r="J357" i="51" s="1"/>
  <c r="J358" i="51" a="1"/>
  <c r="J358" i="51" s="1"/>
  <c r="J359" i="51" a="1"/>
  <c r="J359" i="51" s="1"/>
  <c r="J360" i="51" a="1"/>
  <c r="J360" i="51" s="1"/>
  <c r="J361" i="51" a="1"/>
  <c r="J361" i="51" s="1"/>
  <c r="J362" i="51" a="1"/>
  <c r="J362" i="51" s="1"/>
  <c r="J363" i="51" a="1"/>
  <c r="J363" i="51" s="1"/>
  <c r="J364" i="51" a="1"/>
  <c r="J364" i="51" s="1"/>
  <c r="J365" i="51" a="1"/>
  <c r="J365" i="51" s="1"/>
  <c r="J366" i="51" a="1"/>
  <c r="J366" i="51" s="1"/>
  <c r="J367" i="51" a="1"/>
  <c r="J367" i="51" s="1"/>
  <c r="J368" i="51" a="1"/>
  <c r="J368" i="51" s="1"/>
  <c r="J369" i="51" a="1"/>
  <c r="J369" i="51" s="1"/>
  <c r="J370" i="51" a="1"/>
  <c r="J370" i="51" s="1"/>
  <c r="J371" i="51" a="1"/>
  <c r="J371" i="51" s="1"/>
  <c r="J372" i="51" a="1"/>
  <c r="J372" i="51" s="1"/>
  <c r="J373" i="51" a="1"/>
  <c r="J373" i="51" s="1"/>
  <c r="J374" i="51" a="1"/>
  <c r="J374" i="51" s="1"/>
  <c r="J375" i="51" a="1"/>
  <c r="J375" i="51" s="1"/>
  <c r="J376" i="51" a="1"/>
  <c r="J376" i="51" s="1"/>
  <c r="J377" i="51" a="1"/>
  <c r="J377" i="51" s="1"/>
  <c r="J378" i="51" a="1"/>
  <c r="J378" i="51" s="1"/>
  <c r="J379" i="51" a="1"/>
  <c r="J379" i="51" s="1"/>
  <c r="J380" i="51" a="1"/>
  <c r="J380" i="51" s="1"/>
  <c r="J381" i="51" a="1"/>
  <c r="J381" i="51" s="1"/>
  <c r="J382" i="51" a="1"/>
  <c r="J382" i="51" s="1"/>
  <c r="J383" i="51" a="1"/>
  <c r="J383" i="51" s="1"/>
  <c r="J384" i="51" a="1"/>
  <c r="J384" i="51" s="1"/>
  <c r="J385" i="51" a="1"/>
  <c r="J385" i="51" s="1"/>
  <c r="J386" i="51" a="1"/>
  <c r="J386" i="51" s="1"/>
  <c r="J387" i="51" a="1"/>
  <c r="J387" i="51" s="1"/>
  <c r="J388" i="51" a="1"/>
  <c r="J388" i="51" s="1"/>
  <c r="J389" i="51" a="1"/>
  <c r="J389" i="51" s="1"/>
  <c r="J390" i="51" a="1"/>
  <c r="J390" i="51" s="1"/>
  <c r="J391" i="51" a="1"/>
  <c r="J391" i="51" s="1"/>
  <c r="J392" i="51" a="1"/>
  <c r="J392" i="51" s="1"/>
  <c r="J393" i="51" a="1"/>
  <c r="J393" i="51" s="1"/>
  <c r="J394" i="51" a="1"/>
  <c r="J394" i="51" s="1"/>
  <c r="J395" i="51" a="1"/>
  <c r="J395" i="51" s="1"/>
  <c r="J396" i="51" a="1"/>
  <c r="J396" i="51" s="1"/>
  <c r="J397" i="51" a="1"/>
  <c r="J397" i="51" s="1"/>
  <c r="J398" i="51" a="1"/>
  <c r="J398" i="51" s="1"/>
  <c r="J399" i="51" a="1"/>
  <c r="J399" i="51" s="1"/>
  <c r="J400" i="51" a="1"/>
  <c r="J400" i="51" s="1"/>
  <c r="J401" i="51" a="1"/>
  <c r="J401" i="51" s="1"/>
  <c r="J402" i="51" a="1"/>
  <c r="J402" i="51" s="1"/>
  <c r="J403" i="51" a="1"/>
  <c r="J403" i="51" s="1"/>
  <c r="J404" i="51" a="1"/>
  <c r="J404" i="51" s="1"/>
  <c r="J405" i="51" a="1"/>
  <c r="J405" i="51" s="1"/>
  <c r="J406" i="51" a="1"/>
  <c r="J406" i="51" s="1"/>
  <c r="J407" i="51" a="1"/>
  <c r="J407" i="51" s="1"/>
  <c r="J408" i="51" a="1"/>
  <c r="J408" i="51" s="1"/>
  <c r="J409" i="51" a="1"/>
  <c r="J409" i="51" s="1"/>
  <c r="J410" i="51" a="1"/>
  <c r="J410" i="51" s="1"/>
  <c r="J411" i="51" a="1"/>
  <c r="J411" i="51" s="1"/>
  <c r="J412" i="51" a="1"/>
  <c r="J412" i="51" s="1"/>
  <c r="J413" i="51" a="1"/>
  <c r="J413" i="51" s="1"/>
  <c r="J414" i="51" a="1"/>
  <c r="J414" i="51" s="1"/>
  <c r="J415" i="51" a="1"/>
  <c r="J415" i="51" s="1"/>
  <c r="J416" i="51" a="1"/>
  <c r="J416" i="51" s="1"/>
  <c r="J417" i="51" a="1"/>
  <c r="J417" i="51" s="1"/>
  <c r="J418" i="51" a="1"/>
  <c r="J418" i="51" s="1"/>
  <c r="J419" i="51" a="1"/>
  <c r="J419" i="51" s="1"/>
  <c r="J21" i="51"/>
  <c r="J23" i="51"/>
  <c r="J24" i="51"/>
  <c r="J37" i="51"/>
  <c r="J39" i="51"/>
  <c r="J40" i="51"/>
  <c r="J48" i="51"/>
  <c r="J53" i="51"/>
  <c r="J56" i="51"/>
  <c r="J69" i="51"/>
  <c r="J80" i="51"/>
  <c r="J85" i="51"/>
  <c r="J86" i="51"/>
  <c r="J88" i="51"/>
  <c r="J101" i="51"/>
  <c r="J117" i="51"/>
  <c r="J133" i="51"/>
  <c r="J134" i="51"/>
  <c r="J149" i="51"/>
  <c r="J151" i="51"/>
  <c r="J165" i="51"/>
  <c r="J181" i="51"/>
  <c r="J197" i="51"/>
  <c r="J200" i="51"/>
  <c r="J213" i="51"/>
  <c r="J240" i="51"/>
  <c r="AM30" i="53"/>
  <c r="AN30" i="53"/>
  <c r="AO30" i="53"/>
  <c r="B69" i="53" a="1"/>
  <c r="B69" i="53" s="1"/>
  <c r="K20" i="43"/>
  <c r="B13" i="43"/>
  <c r="B14" i="43"/>
  <c r="B15" i="43"/>
  <c r="B16" i="43"/>
  <c r="B17" i="43"/>
  <c r="B18" i="43"/>
  <c r="B19" i="43"/>
  <c r="B20" i="43"/>
  <c r="K11" i="64"/>
  <c r="D20" i="64"/>
  <c r="E20" i="64"/>
  <c r="F2" i="64"/>
  <c r="G2" i="64"/>
  <c r="H2" i="64"/>
  <c r="I2" i="64"/>
  <c r="J2" i="64"/>
  <c r="K2" i="64"/>
  <c r="L2" i="64"/>
  <c r="M2" i="64"/>
  <c r="N2" i="64"/>
  <c r="N12" i="64"/>
  <c r="K12" i="64"/>
  <c r="M29" i="64"/>
  <c r="M12" i="64"/>
  <c r="N51" i="64"/>
  <c r="L29" i="64"/>
  <c r="L22" i="64"/>
  <c r="N7" i="64"/>
  <c r="K29" i="64"/>
  <c r="L31" i="64"/>
  <c r="L51" i="64"/>
  <c r="K31" i="64"/>
  <c r="J31" i="64"/>
  <c r="M7" i="64"/>
  <c r="J21" i="64"/>
  <c r="L7" i="64"/>
  <c r="M25" i="64"/>
  <c r="K7" i="64"/>
  <c r="L25" i="64"/>
  <c r="K25" i="64"/>
  <c r="J25" i="64"/>
  <c r="N26" i="64"/>
  <c r="N33" i="64"/>
  <c r="L12" i="64"/>
  <c r="L26" i="64"/>
  <c r="K32" i="64"/>
  <c r="J32" i="64"/>
  <c r="N54" i="64"/>
  <c r="M30" i="64"/>
  <c r="K33" i="64"/>
  <c r="J23" i="64"/>
  <c r="M54" i="64"/>
  <c r="L30" i="64"/>
  <c r="J33" i="64"/>
  <c r="N30" i="64"/>
  <c r="L33" i="64"/>
  <c r="N16" i="64"/>
  <c r="K30" i="64"/>
  <c r="M20" i="64"/>
  <c r="L9" i="64"/>
  <c r="K16" i="64"/>
  <c r="L16" i="64"/>
  <c r="J30" i="64"/>
  <c r="L20" i="64"/>
  <c r="K20" i="64"/>
  <c r="N24" i="64"/>
  <c r="N17" i="64"/>
  <c r="J20" i="64"/>
  <c r="M24" i="64"/>
  <c r="M17" i="64"/>
  <c r="N32" i="64"/>
  <c r="N20" i="64"/>
  <c r="L8" i="64"/>
  <c r="I20" i="64"/>
  <c r="L24" i="64"/>
  <c r="J29" i="64"/>
  <c r="N31" i="64"/>
  <c r="M32" i="64"/>
  <c r="F20" i="64"/>
  <c r="J24" i="64"/>
  <c r="N29" i="64"/>
  <c r="M31" i="64"/>
  <c r="L32" i="64"/>
  <c r="M33" i="64"/>
  <c r="N10" i="64"/>
  <c r="K54" i="64"/>
  <c r="K17" i="64"/>
  <c r="H20" i="64"/>
  <c r="K26" i="64"/>
  <c r="N22" i="64"/>
  <c r="N8" i="64"/>
  <c r="M10" i="64"/>
  <c r="J54" i="64"/>
  <c r="G20" i="64"/>
  <c r="J26" i="64"/>
  <c r="M22" i="64"/>
  <c r="M8" i="64"/>
  <c r="L10" i="64"/>
  <c r="N15" i="64"/>
  <c r="M15" i="64"/>
  <c r="M21" i="64"/>
  <c r="M23" i="64"/>
  <c r="J22" i="64"/>
  <c r="N11" i="64"/>
  <c r="L15" i="64"/>
  <c r="K10" i="64"/>
  <c r="N21" i="64"/>
  <c r="N23" i="64"/>
  <c r="K22" i="64"/>
  <c r="K8" i="64"/>
  <c r="L21" i="64"/>
  <c r="L23" i="64"/>
  <c r="J51" i="64"/>
  <c r="N9" i="64"/>
  <c r="M11" i="64"/>
  <c r="K15" i="64"/>
  <c r="K21" i="64"/>
  <c r="K23" i="64"/>
  <c r="K51" i="64"/>
  <c r="M9" i="64"/>
  <c r="L11" i="64"/>
  <c r="N25" i="64"/>
  <c r="M51" i="64"/>
  <c r="K9" i="64"/>
  <c r="M16" i="64"/>
  <c r="M26" i="64"/>
  <c r="K24" i="64"/>
  <c r="L54" i="64"/>
  <c r="L17" i="64"/>
  <c r="D136" i="5"/>
  <c r="D129" i="5"/>
  <c r="C9" i="41"/>
  <c r="D9" i="41" s="1"/>
  <c r="E9" i="41" s="1"/>
  <c r="F9" i="41" s="1"/>
  <c r="G9" i="41" s="1"/>
  <c r="H9" i="41" s="1"/>
  <c r="I9" i="41" s="1"/>
  <c r="J9" i="41" s="1"/>
  <c r="K9" i="41" s="1"/>
  <c r="L9" i="41" s="1"/>
  <c r="M9" i="41" s="1"/>
  <c r="B72" i="32"/>
  <c r="B74" i="32"/>
  <c r="B75" i="32"/>
  <c r="B64" i="32"/>
  <c r="B65" i="32"/>
  <c r="B67" i="32"/>
  <c r="B68" i="32"/>
  <c r="B62" i="32"/>
  <c r="AA29" i="57"/>
  <c r="AH29" i="57" s="1"/>
  <c r="AA28" i="57"/>
  <c r="AH28" i="57" s="1"/>
  <c r="C68" i="43" s="1"/>
  <c r="AA27" i="57"/>
  <c r="AH27" i="57" s="1"/>
  <c r="B9" i="32"/>
  <c r="B44" i="43" s="1"/>
  <c r="Q7" i="59"/>
  <c r="S7" i="59" s="1"/>
  <c r="F94" i="5"/>
  <c r="F87" i="5"/>
  <c r="F92" i="5"/>
  <c r="F78" i="5"/>
  <c r="C37" i="6"/>
  <c r="F80" i="5" s="1"/>
  <c r="D61" i="32" s="1"/>
  <c r="D8" i="6"/>
  <c r="E8" i="6" s="1"/>
  <c r="F8" i="6" s="1"/>
  <c r="G8" i="6" s="1"/>
  <c r="G6" i="5"/>
  <c r="H6" i="5" s="1"/>
  <c r="I6" i="5" s="1"/>
  <c r="J6" i="5" s="1"/>
  <c r="K6" i="5" s="1"/>
  <c r="L6" i="5" s="1"/>
  <c r="M6" i="5" s="1"/>
  <c r="I32" i="63"/>
  <c r="E39" i="63"/>
  <c r="G39" i="63" s="1"/>
  <c r="E38" i="63"/>
  <c r="G38" i="63" s="1"/>
  <c r="E7" i="63"/>
  <c r="E35" i="63"/>
  <c r="O9" i="63" s="1"/>
  <c r="E21" i="59"/>
  <c r="E22" i="59" s="1"/>
  <c r="E13" i="59"/>
  <c r="E15" i="59" s="1"/>
  <c r="E17" i="59" s="1"/>
  <c r="E66" i="63"/>
  <c r="G66" i="63" s="1"/>
  <c r="D12" i="43"/>
  <c r="E9" i="63"/>
  <c r="G9" i="63" s="1"/>
  <c r="E70" i="63"/>
  <c r="E61" i="63"/>
  <c r="G61" i="63" s="1"/>
  <c r="E63" i="63"/>
  <c r="G63" i="63" s="1"/>
  <c r="E64" i="63"/>
  <c r="G64" i="63" s="1"/>
  <c r="E67" i="63"/>
  <c r="G67" i="63" s="1"/>
  <c r="E24" i="63"/>
  <c r="G24" i="63" s="1"/>
  <c r="E25" i="63"/>
  <c r="G25" i="63" s="1"/>
  <c r="E26" i="63"/>
  <c r="G26" i="63" s="1"/>
  <c r="E27" i="63"/>
  <c r="G27" i="63" s="1"/>
  <c r="E29" i="63"/>
  <c r="G29" i="63" s="1"/>
  <c r="E30" i="63"/>
  <c r="G30" i="63" s="1"/>
  <c r="E31" i="63"/>
  <c r="G31" i="63" s="1"/>
  <c r="E23" i="63"/>
  <c r="G23" i="63" s="1"/>
  <c r="E19" i="63"/>
  <c r="G19" i="63" s="1"/>
  <c r="E20" i="63"/>
  <c r="G20" i="63" s="1"/>
  <c r="E21" i="63"/>
  <c r="G21" i="63" s="1"/>
  <c r="E18" i="63"/>
  <c r="G18" i="63" s="1"/>
  <c r="E14" i="63"/>
  <c r="G14" i="63" s="1"/>
  <c r="E15" i="63"/>
  <c r="G15" i="63" s="1"/>
  <c r="E16" i="63"/>
  <c r="G16" i="63" s="1"/>
  <c r="E13" i="63"/>
  <c r="G13" i="63" s="1"/>
  <c r="I10" i="63"/>
  <c r="L32" i="1"/>
  <c r="U50" i="51"/>
  <c r="V50" i="51" s="1"/>
  <c r="U58" i="51"/>
  <c r="V58" i="51" s="1"/>
  <c r="U68" i="51"/>
  <c r="V68" i="51" s="1"/>
  <c r="U176" i="51"/>
  <c r="V176" i="51" s="1"/>
  <c r="U24" i="51"/>
  <c r="V24" i="51" s="1"/>
  <c r="U26" i="51"/>
  <c r="V26" i="51" s="1"/>
  <c r="U28" i="51"/>
  <c r="V28" i="51" s="1"/>
  <c r="U30" i="51"/>
  <c r="V30" i="51" s="1"/>
  <c r="U31" i="51"/>
  <c r="V31" i="51" s="1"/>
  <c r="U33" i="51"/>
  <c r="V33" i="51" s="1"/>
  <c r="U36" i="51"/>
  <c r="U38" i="51"/>
  <c r="U40" i="51"/>
  <c r="V40" i="51" s="1"/>
  <c r="U42" i="51"/>
  <c r="V42" i="51" s="1"/>
  <c r="U43" i="51"/>
  <c r="V43" i="51" s="1"/>
  <c r="U46" i="51"/>
  <c r="V46" i="51" s="1"/>
  <c r="U48" i="51"/>
  <c r="V48" i="51" s="1"/>
  <c r="U52" i="51"/>
  <c r="V52" i="51" s="1"/>
  <c r="U53" i="51"/>
  <c r="U54" i="51"/>
  <c r="U55" i="51"/>
  <c r="V55" i="51" s="1"/>
  <c r="U56" i="51"/>
  <c r="V56" i="51" s="1"/>
  <c r="U57" i="51"/>
  <c r="V57" i="51" s="1"/>
  <c r="U59" i="51"/>
  <c r="V59" i="51" s="1"/>
  <c r="U61" i="51"/>
  <c r="V61" i="51" s="1"/>
  <c r="U63" i="51"/>
  <c r="V63" i="51" s="1"/>
  <c r="U65" i="51"/>
  <c r="V65" i="51" s="1"/>
  <c r="U67" i="51"/>
  <c r="V67" i="51" s="1"/>
  <c r="U70" i="51"/>
  <c r="V70" i="51" s="1"/>
  <c r="U72" i="51"/>
  <c r="V72" i="51" s="1"/>
  <c r="U73" i="51"/>
  <c r="V73" i="51" s="1"/>
  <c r="U76" i="51"/>
  <c r="V76" i="51" s="1"/>
  <c r="U78" i="51"/>
  <c r="V78" i="51" s="1"/>
  <c r="U80" i="51"/>
  <c r="V80" i="51" s="1"/>
  <c r="U82" i="51"/>
  <c r="V82" i="51" s="1"/>
  <c r="U83" i="51"/>
  <c r="U85" i="51"/>
  <c r="V85" i="51" s="1"/>
  <c r="U87" i="51"/>
  <c r="V87" i="51" s="1"/>
  <c r="U92" i="51"/>
  <c r="V92" i="51" s="1"/>
  <c r="U94" i="51"/>
  <c r="V94" i="51" s="1"/>
  <c r="U96" i="51"/>
  <c r="V96" i="51" s="1"/>
  <c r="U98" i="51"/>
  <c r="V98" i="51" s="1"/>
  <c r="U99" i="51"/>
  <c r="V99" i="51" s="1"/>
  <c r="U101" i="51"/>
  <c r="V101" i="51" s="1"/>
  <c r="U103" i="51"/>
  <c r="U105" i="51"/>
  <c r="V105" i="51" s="1"/>
  <c r="U124" i="51"/>
  <c r="V124" i="51" s="1"/>
  <c r="U126" i="51"/>
  <c r="V126" i="51" s="1"/>
  <c r="U128" i="51"/>
  <c r="V128" i="51" s="1"/>
  <c r="U130" i="51"/>
  <c r="V130" i="51" s="1"/>
  <c r="U131" i="51"/>
  <c r="V131" i="51" s="1"/>
  <c r="U133" i="51"/>
  <c r="V133" i="51" s="1"/>
  <c r="U135" i="51"/>
  <c r="V135" i="51" s="1"/>
  <c r="U137" i="51"/>
  <c r="V137" i="51" s="1"/>
  <c r="U171" i="51"/>
  <c r="V171" i="51" s="1"/>
  <c r="U173" i="51"/>
  <c r="V173" i="51" s="1"/>
  <c r="U174" i="51"/>
  <c r="V174" i="51" s="1"/>
  <c r="U175" i="51"/>
  <c r="V175" i="51" s="1"/>
  <c r="U177" i="51"/>
  <c r="V177" i="51" s="1"/>
  <c r="U178" i="51"/>
  <c r="V178" i="51" s="1"/>
  <c r="U179" i="51"/>
  <c r="V179" i="51" s="1"/>
  <c r="U180" i="51"/>
  <c r="V180" i="51" s="1"/>
  <c r="U181" i="51"/>
  <c r="V181" i="51" s="1"/>
  <c r="U182" i="51"/>
  <c r="V182" i="51" s="1"/>
  <c r="U183" i="51"/>
  <c r="V183" i="51" s="1"/>
  <c r="U184" i="51"/>
  <c r="V184" i="51" s="1"/>
  <c r="U186" i="51"/>
  <c r="V186" i="51" s="1"/>
  <c r="U188" i="51"/>
  <c r="V188" i="51" s="1"/>
  <c r="U190" i="51"/>
  <c r="V190" i="51" s="1"/>
  <c r="U192" i="51"/>
  <c r="V192" i="51" s="1"/>
  <c r="U193" i="51"/>
  <c r="V193" i="51" s="1"/>
  <c r="U195" i="51"/>
  <c r="V195" i="51" s="1"/>
  <c r="U197" i="51"/>
  <c r="V197" i="51" s="1"/>
  <c r="U199" i="51"/>
  <c r="V199" i="51" s="1"/>
  <c r="U232" i="51"/>
  <c r="V232" i="51" s="1"/>
  <c r="U234" i="51"/>
  <c r="V234" i="51" s="1"/>
  <c r="U236" i="51"/>
  <c r="V236" i="51" s="1"/>
  <c r="U237" i="51"/>
  <c r="V237" i="51" s="1"/>
  <c r="U23" i="51"/>
  <c r="V23" i="51" s="1"/>
  <c r="U25" i="51"/>
  <c r="V25" i="51" s="1"/>
  <c r="U27" i="51"/>
  <c r="V27" i="51" s="1"/>
  <c r="U29" i="51"/>
  <c r="V29" i="51" s="1"/>
  <c r="U32" i="51"/>
  <c r="V32" i="51" s="1"/>
  <c r="U34" i="51"/>
  <c r="V34" i="51" s="1"/>
  <c r="U35" i="51"/>
  <c r="V35" i="51" s="1"/>
  <c r="U37" i="51"/>
  <c r="U39" i="51"/>
  <c r="V39" i="51" s="1"/>
  <c r="U41" i="51"/>
  <c r="V41" i="51" s="1"/>
  <c r="U44" i="51"/>
  <c r="V44" i="51" s="1"/>
  <c r="U45" i="51"/>
  <c r="U47" i="51"/>
  <c r="V47" i="51" s="1"/>
  <c r="U49" i="51"/>
  <c r="V49" i="51" s="1"/>
  <c r="U51" i="51"/>
  <c r="V51" i="51" s="1"/>
  <c r="U60" i="51"/>
  <c r="V60" i="51" s="1"/>
  <c r="U62" i="51"/>
  <c r="V62" i="51" s="1"/>
  <c r="U64" i="51"/>
  <c r="V64" i="51" s="1"/>
  <c r="U66" i="51"/>
  <c r="V66" i="51" s="1"/>
  <c r="U69" i="51"/>
  <c r="V69" i="51" s="1"/>
  <c r="U71" i="51"/>
  <c r="V71" i="51" s="1"/>
  <c r="U74" i="51"/>
  <c r="V74" i="51" s="1"/>
  <c r="U75" i="51"/>
  <c r="V75" i="51" s="1"/>
  <c r="U77" i="51"/>
  <c r="V77" i="51" s="1"/>
  <c r="U79" i="51"/>
  <c r="V79" i="51" s="1"/>
  <c r="U81" i="51"/>
  <c r="V81" i="51" s="1"/>
  <c r="U84" i="51"/>
  <c r="V84" i="51" s="1"/>
  <c r="U86" i="51"/>
  <c r="U88" i="51"/>
  <c r="V88" i="51" s="1"/>
  <c r="U90" i="51"/>
  <c r="V90" i="51" s="1"/>
  <c r="U91" i="51"/>
  <c r="V91" i="51" s="1"/>
  <c r="U93" i="51"/>
  <c r="V93" i="51" s="1"/>
  <c r="U95" i="51"/>
  <c r="V95" i="51" s="1"/>
  <c r="U97" i="51"/>
  <c r="V97" i="51" s="1"/>
  <c r="U100" i="51"/>
  <c r="V100" i="51" s="1"/>
  <c r="U102" i="51"/>
  <c r="V102" i="51" s="1"/>
  <c r="U104" i="51"/>
  <c r="V104" i="51" s="1"/>
  <c r="U106" i="51"/>
  <c r="V106" i="51" s="1"/>
  <c r="U123" i="51"/>
  <c r="V123" i="51" s="1"/>
  <c r="U125" i="51"/>
  <c r="V125" i="51" s="1"/>
  <c r="U127" i="51"/>
  <c r="V127" i="51" s="1"/>
  <c r="U129" i="51"/>
  <c r="V129" i="51" s="1"/>
  <c r="U132" i="51"/>
  <c r="V132" i="51" s="1"/>
  <c r="U134" i="51"/>
  <c r="V134" i="51" s="1"/>
  <c r="U136" i="51"/>
  <c r="V136" i="51" s="1"/>
  <c r="U138" i="51"/>
  <c r="V138" i="51" s="1"/>
  <c r="U185" i="51"/>
  <c r="V185" i="51" s="1"/>
  <c r="U187" i="51"/>
  <c r="V187" i="51" s="1"/>
  <c r="U189" i="51"/>
  <c r="V189" i="51" s="1"/>
  <c r="U191" i="51"/>
  <c r="V191" i="51" s="1"/>
  <c r="U194" i="51"/>
  <c r="V194" i="51" s="1"/>
  <c r="U196" i="51"/>
  <c r="V196" i="51" s="1"/>
  <c r="U198" i="51"/>
  <c r="V198" i="51" s="1"/>
  <c r="U200" i="51"/>
  <c r="V200" i="51" s="1"/>
  <c r="U233" i="51"/>
  <c r="V233" i="51" s="1"/>
  <c r="U235" i="51"/>
  <c r="V235" i="51" s="1"/>
  <c r="U219" i="51"/>
  <c r="V219" i="51" s="1"/>
  <c r="U223" i="51"/>
  <c r="V223" i="51" s="1"/>
  <c r="U107" i="51"/>
  <c r="V107" i="51" s="1"/>
  <c r="U108" i="51"/>
  <c r="V108" i="51" s="1"/>
  <c r="U109" i="51"/>
  <c r="V109" i="51" s="1"/>
  <c r="U110" i="51"/>
  <c r="V110" i="51" s="1"/>
  <c r="U111" i="51"/>
  <c r="V111" i="51" s="1"/>
  <c r="U112" i="51"/>
  <c r="V112" i="51" s="1"/>
  <c r="U113" i="51"/>
  <c r="U114" i="51"/>
  <c r="V114" i="51" s="1"/>
  <c r="U115" i="51"/>
  <c r="V115" i="51" s="1"/>
  <c r="U116" i="51"/>
  <c r="V116" i="51" s="1"/>
  <c r="U117" i="51"/>
  <c r="V117" i="51" s="1"/>
  <c r="U118" i="51"/>
  <c r="V118" i="51" s="1"/>
  <c r="U119" i="51"/>
  <c r="V119" i="51" s="1"/>
  <c r="U120" i="51"/>
  <c r="V120" i="51" s="1"/>
  <c r="U121" i="51"/>
  <c r="V121" i="51" s="1"/>
  <c r="U122" i="51"/>
  <c r="V122" i="51" s="1"/>
  <c r="U139" i="51"/>
  <c r="V139" i="51" s="1"/>
  <c r="U140" i="51"/>
  <c r="V140" i="51" s="1"/>
  <c r="U141" i="51"/>
  <c r="V141" i="51" s="1"/>
  <c r="U142" i="51"/>
  <c r="V142" i="51" s="1"/>
  <c r="U143" i="51"/>
  <c r="V143" i="51" s="1"/>
  <c r="U144" i="51"/>
  <c r="V144" i="51" s="1"/>
  <c r="U145" i="51"/>
  <c r="V145" i="51" s="1"/>
  <c r="U146" i="51"/>
  <c r="V146" i="51" s="1"/>
  <c r="U147" i="51"/>
  <c r="V147" i="51" s="1"/>
  <c r="U148" i="51"/>
  <c r="V148" i="51" s="1"/>
  <c r="U149" i="51"/>
  <c r="V149" i="51" s="1"/>
  <c r="U150" i="51"/>
  <c r="V150" i="51" s="1"/>
  <c r="U151" i="51"/>
  <c r="V151" i="51" s="1"/>
  <c r="U152" i="51"/>
  <c r="V152" i="51" s="1"/>
  <c r="U153" i="51"/>
  <c r="V153" i="51" s="1"/>
  <c r="U154" i="51"/>
  <c r="V154" i="51" s="1"/>
  <c r="U216" i="51"/>
  <c r="V216" i="51" s="1"/>
  <c r="U217" i="51"/>
  <c r="V217" i="51" s="1"/>
  <c r="U218" i="51"/>
  <c r="V218" i="51" s="1"/>
  <c r="U220" i="51"/>
  <c r="U221" i="51"/>
  <c r="V221" i="51" s="1"/>
  <c r="U222" i="51"/>
  <c r="V222" i="51" s="1"/>
  <c r="U224" i="51"/>
  <c r="V224" i="51" s="1"/>
  <c r="U225" i="51"/>
  <c r="V225" i="51" s="1"/>
  <c r="U226" i="51"/>
  <c r="V226" i="51" s="1"/>
  <c r="U227" i="51"/>
  <c r="V227" i="51" s="1"/>
  <c r="U228" i="51"/>
  <c r="V228" i="51" s="1"/>
  <c r="U229" i="51"/>
  <c r="V229" i="51" s="1"/>
  <c r="U230" i="51"/>
  <c r="V230" i="51" s="1"/>
  <c r="U231" i="51"/>
  <c r="V231" i="51" s="1"/>
  <c r="U13" i="51"/>
  <c r="V13" i="51" s="1"/>
  <c r="U16" i="51"/>
  <c r="V16" i="51" s="1"/>
  <c r="U19" i="51"/>
  <c r="V19" i="51" s="1"/>
  <c r="U203" i="51"/>
  <c r="V203" i="51" s="1"/>
  <c r="U210" i="51"/>
  <c r="V210" i="51" s="1"/>
  <c r="U7" i="51"/>
  <c r="U8" i="51"/>
  <c r="U9" i="51"/>
  <c r="U10" i="51"/>
  <c r="U11" i="51"/>
  <c r="V11" i="51" s="1"/>
  <c r="U12" i="51"/>
  <c r="V12" i="51" s="1"/>
  <c r="U14" i="51"/>
  <c r="V14" i="51" s="1"/>
  <c r="U15" i="51"/>
  <c r="V15" i="51" s="1"/>
  <c r="U17" i="51"/>
  <c r="V17" i="51" s="1"/>
  <c r="U18" i="51"/>
  <c r="V18" i="51" s="1"/>
  <c r="U20" i="51"/>
  <c r="V20" i="51" s="1"/>
  <c r="U21" i="51"/>
  <c r="V21" i="51" s="1"/>
  <c r="U155" i="51"/>
  <c r="V155" i="51" s="1"/>
  <c r="U156" i="51"/>
  <c r="V156" i="51" s="1"/>
  <c r="U157" i="51"/>
  <c r="V157" i="51" s="1"/>
  <c r="U158" i="51"/>
  <c r="V158" i="51" s="1"/>
  <c r="U159" i="51"/>
  <c r="V159" i="51" s="1"/>
  <c r="U160" i="51"/>
  <c r="V160" i="51" s="1"/>
  <c r="U161" i="51"/>
  <c r="V161" i="51" s="1"/>
  <c r="U162" i="51"/>
  <c r="V162" i="51" s="1"/>
  <c r="U163" i="51"/>
  <c r="V163" i="51" s="1"/>
  <c r="U164" i="51"/>
  <c r="V164" i="51" s="1"/>
  <c r="U165" i="51"/>
  <c r="V165" i="51" s="1"/>
  <c r="U166" i="51"/>
  <c r="V166" i="51" s="1"/>
  <c r="U167" i="51"/>
  <c r="V167" i="51" s="1"/>
  <c r="U168" i="51"/>
  <c r="V168" i="51" s="1"/>
  <c r="U169" i="51"/>
  <c r="V169" i="51" s="1"/>
  <c r="U170" i="51"/>
  <c r="V170" i="51" s="1"/>
  <c r="U201" i="51"/>
  <c r="V201" i="51" s="1"/>
  <c r="U202" i="51"/>
  <c r="V202" i="51" s="1"/>
  <c r="U204" i="51"/>
  <c r="V204" i="51" s="1"/>
  <c r="U205" i="51"/>
  <c r="V205" i="51" s="1"/>
  <c r="U206" i="51"/>
  <c r="V206" i="51" s="1"/>
  <c r="U207" i="51"/>
  <c r="V207" i="51" s="1"/>
  <c r="U209" i="51"/>
  <c r="V209" i="51" s="1"/>
  <c r="U211" i="51"/>
  <c r="V211" i="51" s="1"/>
  <c r="U212" i="51"/>
  <c r="V212" i="51" s="1"/>
  <c r="U213" i="51"/>
  <c r="V213" i="51" s="1"/>
  <c r="U214" i="51"/>
  <c r="V214" i="51" s="1"/>
  <c r="U215" i="51"/>
  <c r="V215" i="51" s="1"/>
  <c r="B53" i="5"/>
  <c r="B35" i="32" s="1"/>
  <c r="B69" i="43" s="1"/>
  <c r="B52" i="5"/>
  <c r="B34" i="32" s="1"/>
  <c r="B68" i="43" s="1"/>
  <c r="B51" i="5"/>
  <c r="B33" i="32" s="1"/>
  <c r="B67" i="43" s="1"/>
  <c r="B50" i="5"/>
  <c r="B32" i="32" s="1"/>
  <c r="B66" i="43" s="1"/>
  <c r="B49" i="5"/>
  <c r="B31" i="32" s="1"/>
  <c r="B65" i="43" s="1"/>
  <c r="B48" i="5"/>
  <c r="B30" i="32" s="1"/>
  <c r="B64" i="43" s="1"/>
  <c r="B47" i="5"/>
  <c r="B29" i="32" s="1"/>
  <c r="B63" i="43" s="1"/>
  <c r="B46" i="5"/>
  <c r="B28" i="32" s="1"/>
  <c r="B62" i="43" s="1"/>
  <c r="B45" i="5"/>
  <c r="B27" i="32" s="1"/>
  <c r="B61" i="43" s="1"/>
  <c r="X70" i="38"/>
  <c r="X71" i="38"/>
  <c r="X72" i="38"/>
  <c r="X73" i="38"/>
  <c r="X74" i="38"/>
  <c r="X75" i="38"/>
  <c r="X76" i="38"/>
  <c r="X77" i="38"/>
  <c r="X78" i="38"/>
  <c r="X79" i="38"/>
  <c r="X80" i="38"/>
  <c r="X81" i="38"/>
  <c r="X82" i="38"/>
  <c r="X83" i="38"/>
  <c r="X84" i="38"/>
  <c r="X85" i="38"/>
  <c r="X86" i="38"/>
  <c r="X87" i="38"/>
  <c r="X88" i="38"/>
  <c r="X89" i="38"/>
  <c r="X90" i="38"/>
  <c r="X91" i="38"/>
  <c r="X92" i="38"/>
  <c r="X28" i="38"/>
  <c r="X29" i="38"/>
  <c r="X30" i="38"/>
  <c r="X31" i="38"/>
  <c r="X32" i="38"/>
  <c r="X33" i="38"/>
  <c r="X34" i="38"/>
  <c r="X35" i="38"/>
  <c r="X36" i="38"/>
  <c r="X37" i="38"/>
  <c r="X38" i="38"/>
  <c r="X11" i="38"/>
  <c r="X12" i="38"/>
  <c r="X13" i="38"/>
  <c r="X14" i="38"/>
  <c r="X15" i="38"/>
  <c r="X16" i="38"/>
  <c r="X17" i="38"/>
  <c r="X18" i="38"/>
  <c r="X19" i="38"/>
  <c r="X20" i="38"/>
  <c r="X21" i="38"/>
  <c r="U3" i="55"/>
  <c r="V3" i="55" s="1"/>
  <c r="W3" i="55" s="1"/>
  <c r="T3" i="55"/>
  <c r="B30" i="59"/>
  <c r="B31" i="59" s="1"/>
  <c r="B32" i="59" s="1"/>
  <c r="B33" i="59" s="1"/>
  <c r="B34" i="59" s="1"/>
  <c r="B35" i="59" s="1"/>
  <c r="B36" i="59" s="1"/>
  <c r="B37" i="59" s="1"/>
  <c r="B38" i="59" s="1"/>
  <c r="B39" i="59" s="1"/>
  <c r="B40" i="59" s="1"/>
  <c r="B41" i="59" s="1"/>
  <c r="O25" i="59"/>
  <c r="P15" i="59"/>
  <c r="P16" i="59"/>
  <c r="P17" i="59"/>
  <c r="P14" i="59"/>
  <c r="P7" i="59"/>
  <c r="P8" i="59"/>
  <c r="P6" i="59"/>
  <c r="I18" i="59"/>
  <c r="I19" i="59"/>
  <c r="I20" i="59"/>
  <c r="I21" i="59"/>
  <c r="I22" i="59"/>
  <c r="I23" i="59"/>
  <c r="I24" i="59"/>
  <c r="I25" i="59"/>
  <c r="I17" i="59"/>
  <c r="I9" i="59"/>
  <c r="I10" i="59"/>
  <c r="I11" i="59"/>
  <c r="I12" i="59"/>
  <c r="I13" i="59"/>
  <c r="I14" i="59"/>
  <c r="I8" i="59"/>
  <c r="A31" i="59"/>
  <c r="A32" i="59" s="1"/>
  <c r="A33" i="59" s="1"/>
  <c r="A34" i="59" s="1"/>
  <c r="A35" i="59" s="1"/>
  <c r="A36" i="59" s="1"/>
  <c r="A37" i="59" s="1"/>
  <c r="A38" i="59" s="1"/>
  <c r="A39" i="59" s="1"/>
  <c r="A40" i="59" s="1"/>
  <c r="A41" i="59" s="1"/>
  <c r="J26" i="59"/>
  <c r="Q8" i="59" s="1"/>
  <c r="L25" i="59"/>
  <c r="K25" i="59"/>
  <c r="O24" i="59"/>
  <c r="L24" i="59"/>
  <c r="K24" i="59"/>
  <c r="L23" i="59"/>
  <c r="K23" i="59"/>
  <c r="L22" i="59"/>
  <c r="K22" i="59"/>
  <c r="L21" i="59"/>
  <c r="K21" i="59"/>
  <c r="L20" i="59"/>
  <c r="L19" i="59"/>
  <c r="L18" i="59"/>
  <c r="Q17" i="59"/>
  <c r="S17" i="59" s="1"/>
  <c r="L17" i="59"/>
  <c r="Q16" i="59"/>
  <c r="S16" i="59" s="1"/>
  <c r="J15" i="59"/>
  <c r="L14" i="59"/>
  <c r="K14" i="59"/>
  <c r="L13" i="59"/>
  <c r="K13" i="59"/>
  <c r="L12" i="59"/>
  <c r="K12" i="59"/>
  <c r="L11" i="59"/>
  <c r="K11" i="59"/>
  <c r="L10" i="59"/>
  <c r="L9" i="59"/>
  <c r="L8" i="59"/>
  <c r="Q6" i="59"/>
  <c r="S6" i="59" s="1"/>
  <c r="D16" i="55"/>
  <c r="D15" i="55"/>
  <c r="D14" i="55"/>
  <c r="D13" i="55"/>
  <c r="D12" i="55"/>
  <c r="D11" i="55"/>
  <c r="D10" i="55"/>
  <c r="D9" i="55"/>
  <c r="D8" i="55"/>
  <c r="AU68" i="57"/>
  <c r="AU44" i="57"/>
  <c r="C42" i="1" s="1"/>
  <c r="I23" i="43" s="1"/>
  <c r="AW40" i="57"/>
  <c r="AU39" i="57"/>
  <c r="AW38" i="57"/>
  <c r="T30" i="57"/>
  <c r="M30" i="57"/>
  <c r="Q30" i="57" s="1"/>
  <c r="F30" i="57"/>
  <c r="J30" i="57" s="1"/>
  <c r="AO29" i="57"/>
  <c r="X29" i="57"/>
  <c r="Q29" i="57"/>
  <c r="J29" i="57"/>
  <c r="AO28" i="57"/>
  <c r="X28" i="57"/>
  <c r="Q28" i="57"/>
  <c r="J28" i="57"/>
  <c r="AO27" i="57"/>
  <c r="X27" i="57"/>
  <c r="Q27" i="57"/>
  <c r="J27" i="57"/>
  <c r="AO26" i="57"/>
  <c r="AA26" i="57"/>
  <c r="AH26" i="57" s="1"/>
  <c r="X26" i="57"/>
  <c r="Q26" i="57"/>
  <c r="J26" i="57"/>
  <c r="AO25" i="57"/>
  <c r="AA25" i="57"/>
  <c r="AH25" i="57" s="1"/>
  <c r="X25" i="57"/>
  <c r="Q25" i="57"/>
  <c r="J25" i="57"/>
  <c r="AO24" i="57"/>
  <c r="AA24" i="57"/>
  <c r="AH24" i="57" s="1"/>
  <c r="X24" i="57"/>
  <c r="Q24" i="57"/>
  <c r="J24" i="57"/>
  <c r="AO23" i="57"/>
  <c r="AA23" i="57"/>
  <c r="AH23" i="57" s="1"/>
  <c r="X23" i="57"/>
  <c r="Q23" i="57"/>
  <c r="J23" i="57"/>
  <c r="AO22" i="57"/>
  <c r="AA22" i="57"/>
  <c r="AH22" i="57" s="1"/>
  <c r="X22" i="57"/>
  <c r="Q22" i="57"/>
  <c r="J22" i="57"/>
  <c r="AO21" i="57"/>
  <c r="AA21" i="57"/>
  <c r="AH21" i="57" s="1"/>
  <c r="X21" i="57"/>
  <c r="Q21" i="57"/>
  <c r="J21" i="57"/>
  <c r="M20" i="57"/>
  <c r="F20" i="57"/>
  <c r="AE14" i="57"/>
  <c r="AD14" i="57"/>
  <c r="X14" i="57"/>
  <c r="W14" i="57"/>
  <c r="Q14" i="57"/>
  <c r="P14" i="57"/>
  <c r="J14" i="57"/>
  <c r="I14" i="57"/>
  <c r="AE17" i="57"/>
  <c r="AD17" i="57"/>
  <c r="X17" i="57"/>
  <c r="W17" i="57"/>
  <c r="Q17" i="57"/>
  <c r="P17" i="57"/>
  <c r="J17" i="57"/>
  <c r="I17" i="57"/>
  <c r="AE16" i="57"/>
  <c r="AD16" i="57"/>
  <c r="X16" i="57"/>
  <c r="W16" i="57"/>
  <c r="Q16" i="57"/>
  <c r="P16" i="57"/>
  <c r="J16" i="57"/>
  <c r="I16" i="57"/>
  <c r="AE13" i="57"/>
  <c r="AD13" i="57"/>
  <c r="X13" i="57"/>
  <c r="W13" i="57"/>
  <c r="Q13" i="57"/>
  <c r="P13" i="57"/>
  <c r="J13" i="57"/>
  <c r="I13" i="57"/>
  <c r="AE12" i="57"/>
  <c r="AD12" i="57"/>
  <c r="X12" i="57"/>
  <c r="W12" i="57"/>
  <c r="Q12" i="57"/>
  <c r="P12" i="57"/>
  <c r="J12" i="57"/>
  <c r="I12" i="57"/>
  <c r="AA11" i="57"/>
  <c r="AA15" i="57" s="1"/>
  <c r="T11" i="57"/>
  <c r="T15" i="57" s="1"/>
  <c r="M11" i="57"/>
  <c r="F11" i="57"/>
  <c r="F15" i="57" s="1"/>
  <c r="AE10" i="57"/>
  <c r="AD10" i="57"/>
  <c r="X10" i="57"/>
  <c r="W10" i="57"/>
  <c r="P10" i="57"/>
  <c r="Q10" i="57"/>
  <c r="N10" i="57"/>
  <c r="J10" i="57"/>
  <c r="I10" i="57"/>
  <c r="AE9" i="57"/>
  <c r="AD9" i="57"/>
  <c r="X9" i="57"/>
  <c r="W9" i="57"/>
  <c r="Q9" i="57"/>
  <c r="P9" i="57"/>
  <c r="J9" i="57"/>
  <c r="I9" i="57"/>
  <c r="AO8" i="57"/>
  <c r="AO7" i="57"/>
  <c r="S41" i="55"/>
  <c r="S40" i="55"/>
  <c r="S39" i="55"/>
  <c r="S38" i="55"/>
  <c r="S37" i="55"/>
  <c r="S36" i="55"/>
  <c r="S35" i="55"/>
  <c r="B35" i="55"/>
  <c r="B36" i="55"/>
  <c r="B37" i="55"/>
  <c r="B38" i="55"/>
  <c r="B39" i="55"/>
  <c r="B40" i="55"/>
  <c r="B41" i="55"/>
  <c r="B42" i="55"/>
  <c r="B43" i="55"/>
  <c r="B44" i="55"/>
  <c r="S34" i="55"/>
  <c r="L28" i="55"/>
  <c r="D28" i="55"/>
  <c r="J27" i="55"/>
  <c r="I27" i="55"/>
  <c r="F27" i="55"/>
  <c r="J26" i="55"/>
  <c r="I26" i="55"/>
  <c r="F26" i="55"/>
  <c r="S25" i="55"/>
  <c r="I25" i="55"/>
  <c r="J25" i="55" s="1"/>
  <c r="F25" i="55"/>
  <c r="I24" i="55"/>
  <c r="F24" i="55"/>
  <c r="I23" i="55"/>
  <c r="J23" i="55" s="1"/>
  <c r="F23" i="55"/>
  <c r="I22" i="55"/>
  <c r="J22" i="55" s="1"/>
  <c r="F22" i="55"/>
  <c r="F21" i="55"/>
  <c r="S17" i="55"/>
  <c r="S27" i="55"/>
  <c r="S16" i="55"/>
  <c r="S26" i="55"/>
  <c r="S15" i="55"/>
  <c r="S14" i="55"/>
  <c r="S24" i="55"/>
  <c r="S13" i="55"/>
  <c r="S23" i="55"/>
  <c r="S12" i="55"/>
  <c r="S22" i="55"/>
  <c r="S11" i="55"/>
  <c r="S21" i="55"/>
  <c r="V5" i="55"/>
  <c r="V4" i="55"/>
  <c r="V31" i="55"/>
  <c r="U4" i="55"/>
  <c r="U31" i="55"/>
  <c r="AL8" i="53"/>
  <c r="AL84" i="53" s="1"/>
  <c r="AL2" i="53"/>
  <c r="AM2" i="53" s="1"/>
  <c r="AN2" i="53" s="1"/>
  <c r="AO2" i="53" s="1"/>
  <c r="AP2" i="53" s="1"/>
  <c r="AQ2" i="53" s="1"/>
  <c r="AR2" i="53" s="1"/>
  <c r="AS2" i="53" s="1"/>
  <c r="AT2" i="53" s="1"/>
  <c r="AU2" i="53" s="1"/>
  <c r="AV2" i="53" s="1"/>
  <c r="AW2" i="53" s="1"/>
  <c r="AX2" i="53" s="1"/>
  <c r="AY2" i="53" s="1"/>
  <c r="AZ2" i="53" s="1"/>
  <c r="BA2" i="53" s="1"/>
  <c r="BB2" i="53" s="1"/>
  <c r="BC2" i="53" s="1"/>
  <c r="BD2" i="53" s="1"/>
  <c r="BE2" i="53" s="1"/>
  <c r="BF2" i="53" s="1"/>
  <c r="BG2" i="53" s="1"/>
  <c r="BH2" i="53" s="1"/>
  <c r="BI2" i="53" s="1"/>
  <c r="BJ2" i="53" s="1"/>
  <c r="BK2" i="53" s="1"/>
  <c r="BL2" i="53" s="1"/>
  <c r="BM2" i="53" s="1"/>
  <c r="BN2" i="53" s="1"/>
  <c r="BO2" i="53" s="1"/>
  <c r="BP2" i="53" s="1"/>
  <c r="BQ2" i="53" s="1"/>
  <c r="BR2" i="53" s="1"/>
  <c r="BS2" i="53" s="1"/>
  <c r="BT2" i="53" s="1"/>
  <c r="BU2" i="53" s="1"/>
  <c r="BV2" i="53" s="1"/>
  <c r="BW2" i="53" s="1"/>
  <c r="BX2" i="53" s="1"/>
  <c r="BY2" i="53" s="1"/>
  <c r="BZ2" i="53" s="1"/>
  <c r="CA2" i="53" s="1"/>
  <c r="CB2" i="53" s="1"/>
  <c r="CC2" i="53" s="1"/>
  <c r="CD2" i="53" s="1"/>
  <c r="CE2" i="53" s="1"/>
  <c r="CF2" i="53" s="1"/>
  <c r="CG2" i="53" s="1"/>
  <c r="CH2" i="53" s="1"/>
  <c r="CI2" i="53" s="1"/>
  <c r="CJ2" i="53" s="1"/>
  <c r="CK2" i="53" s="1"/>
  <c r="CL2" i="53" s="1"/>
  <c r="CM2" i="53" s="1"/>
  <c r="CN2" i="53" s="1"/>
  <c r="CO2" i="53" s="1"/>
  <c r="CP2" i="53" s="1"/>
  <c r="CQ2" i="53" s="1"/>
  <c r="CR2" i="53" s="1"/>
  <c r="CS2" i="53" s="1"/>
  <c r="CT2" i="53" s="1"/>
  <c r="CU2" i="53" s="1"/>
  <c r="CV2" i="53" s="1"/>
  <c r="CW2" i="53" s="1"/>
  <c r="CX2" i="53" s="1"/>
  <c r="CY2" i="53" s="1"/>
  <c r="CZ2" i="53" s="1"/>
  <c r="DA2" i="53" s="1"/>
  <c r="DB2" i="53" s="1"/>
  <c r="DC2" i="53" s="1"/>
  <c r="DD2" i="53" s="1"/>
  <c r="DE2" i="53" s="1"/>
  <c r="DF2" i="53" s="1"/>
  <c r="DG2" i="53" s="1"/>
  <c r="DH2" i="53" s="1"/>
  <c r="DI2" i="53" s="1"/>
  <c r="DJ2" i="53" s="1"/>
  <c r="DK2" i="53" s="1"/>
  <c r="DL2" i="53" s="1"/>
  <c r="DM2" i="53" s="1"/>
  <c r="DN2" i="53" s="1"/>
  <c r="DO2" i="53" s="1"/>
  <c r="DP2" i="53" s="1"/>
  <c r="DQ2" i="53" s="1"/>
  <c r="DR2" i="53" s="1"/>
  <c r="DS2" i="53" s="1"/>
  <c r="DT2" i="53" s="1"/>
  <c r="DU2" i="53" s="1"/>
  <c r="DV2" i="53" s="1"/>
  <c r="DW2" i="53" s="1"/>
  <c r="DX2" i="53" s="1"/>
  <c r="DY2" i="53" s="1"/>
  <c r="DZ2" i="53" s="1"/>
  <c r="EA2" i="53" s="1"/>
  <c r="EB2" i="53" s="1"/>
  <c r="EC2" i="53" s="1"/>
  <c r="ED2" i="53" s="1"/>
  <c r="EE2" i="53" s="1"/>
  <c r="EF2" i="53" s="1"/>
  <c r="EG2" i="53" s="1"/>
  <c r="EH2" i="53" s="1"/>
  <c r="EI2" i="53" s="1"/>
  <c r="EJ2" i="53" s="1"/>
  <c r="EK2" i="53" s="1"/>
  <c r="EL2" i="53" s="1"/>
  <c r="EM2" i="53" s="1"/>
  <c r="EN2" i="53" s="1"/>
  <c r="EO2" i="53" s="1"/>
  <c r="EP2" i="53" s="1"/>
  <c r="EQ2" i="53" s="1"/>
  <c r="ER2" i="53" s="1"/>
  <c r="ES2" i="53" s="1"/>
  <c r="ET2" i="53" s="1"/>
  <c r="EU2" i="53" s="1"/>
  <c r="EV2" i="53" s="1"/>
  <c r="EW2" i="53" s="1"/>
  <c r="EX2" i="53" s="1"/>
  <c r="EY2" i="53" s="1"/>
  <c r="EZ2" i="53" s="1"/>
  <c r="FA2" i="53" s="1"/>
  <c r="FB2" i="53" s="1"/>
  <c r="FC2" i="53" s="1"/>
  <c r="FD2" i="53" s="1"/>
  <c r="FE2" i="53" s="1"/>
  <c r="FF2" i="53" s="1"/>
  <c r="FG2" i="53" s="1"/>
  <c r="FH2" i="53" s="1"/>
  <c r="FI2" i="53" s="1"/>
  <c r="FJ2" i="53" s="1"/>
  <c r="FK2" i="53" s="1"/>
  <c r="FL2" i="53" s="1"/>
  <c r="FM2" i="53" s="1"/>
  <c r="FN2" i="53" s="1"/>
  <c r="D4" i="53"/>
  <c r="P4" i="53"/>
  <c r="P3" i="53"/>
  <c r="P2" i="53"/>
  <c r="AL55" i="53"/>
  <c r="FN45" i="53"/>
  <c r="FN55" i="53" s="1"/>
  <c r="FM45" i="53"/>
  <c r="FM55" i="53" s="1"/>
  <c r="FL45" i="53"/>
  <c r="FL55" i="53" s="1"/>
  <c r="FK45" i="53"/>
  <c r="FK55" i="53" s="1"/>
  <c r="FJ45" i="53"/>
  <c r="FJ55" i="53" s="1"/>
  <c r="FI45" i="53"/>
  <c r="FI55" i="53" s="1"/>
  <c r="FH45" i="53"/>
  <c r="FH55" i="53" s="1"/>
  <c r="FG45" i="53"/>
  <c r="FG55" i="53" s="1"/>
  <c r="FF45" i="53"/>
  <c r="FF55" i="53" s="1"/>
  <c r="FE45" i="53"/>
  <c r="FE55" i="53" s="1"/>
  <c r="FD45" i="53"/>
  <c r="FD55" i="53" s="1"/>
  <c r="FC45" i="53"/>
  <c r="FC55" i="53" s="1"/>
  <c r="FB45" i="53"/>
  <c r="FB55" i="53" s="1"/>
  <c r="FA45" i="53"/>
  <c r="FA55" i="53" s="1"/>
  <c r="EZ45" i="53"/>
  <c r="EZ55" i="53" s="1"/>
  <c r="EY45" i="53"/>
  <c r="EY55" i="53" s="1"/>
  <c r="EX45" i="53"/>
  <c r="EX55" i="53" s="1"/>
  <c r="EW45" i="53"/>
  <c r="EW55" i="53" s="1"/>
  <c r="EV45" i="53"/>
  <c r="EV55" i="53" s="1"/>
  <c r="EU45" i="53"/>
  <c r="EU55" i="53" s="1"/>
  <c r="ET45" i="53"/>
  <c r="ET55" i="53" s="1"/>
  <c r="ES45" i="53"/>
  <c r="ES55" i="53" s="1"/>
  <c r="ER45" i="53"/>
  <c r="ER55" i="53" s="1"/>
  <c r="EQ45" i="53"/>
  <c r="EQ55" i="53" s="1"/>
  <c r="EP45" i="53"/>
  <c r="EP55" i="53" s="1"/>
  <c r="EO45" i="53"/>
  <c r="EO55" i="53" s="1"/>
  <c r="EN45" i="53"/>
  <c r="EN55" i="53"/>
  <c r="EM45" i="53"/>
  <c r="EM55" i="53" s="1"/>
  <c r="EL45" i="53"/>
  <c r="EL55" i="53" s="1"/>
  <c r="EK45" i="53"/>
  <c r="EK55" i="53" s="1"/>
  <c r="EJ45" i="53"/>
  <c r="EJ55" i="53" s="1"/>
  <c r="EI45" i="53"/>
  <c r="EI55" i="53" s="1"/>
  <c r="EH45" i="53"/>
  <c r="EH55" i="53" s="1"/>
  <c r="EG45" i="53"/>
  <c r="EG55" i="53" s="1"/>
  <c r="EF45" i="53"/>
  <c r="EF55" i="53"/>
  <c r="EE45" i="53"/>
  <c r="EE55" i="53" s="1"/>
  <c r="ED45" i="53"/>
  <c r="ED55" i="53" s="1"/>
  <c r="EC45" i="53"/>
  <c r="EC55" i="53" s="1"/>
  <c r="EB45" i="53"/>
  <c r="EB55" i="53" s="1"/>
  <c r="EA45" i="53"/>
  <c r="EA55" i="53" s="1"/>
  <c r="DZ45" i="53"/>
  <c r="DZ55" i="53" s="1"/>
  <c r="DY45" i="53"/>
  <c r="DY55" i="53" s="1"/>
  <c r="DX45" i="53"/>
  <c r="DX55" i="53" s="1"/>
  <c r="DW45" i="53"/>
  <c r="DW55" i="53"/>
  <c r="DV45" i="53"/>
  <c r="DV55" i="53" s="1"/>
  <c r="DU45" i="53"/>
  <c r="DU55" i="53" s="1"/>
  <c r="DT45" i="53"/>
  <c r="DT55" i="53" s="1"/>
  <c r="DS45" i="53"/>
  <c r="DS55" i="53" s="1"/>
  <c r="DR45" i="53"/>
  <c r="DR55" i="53" s="1"/>
  <c r="DQ45" i="53"/>
  <c r="DQ55" i="53" s="1"/>
  <c r="DP45" i="53"/>
  <c r="DP55" i="53" s="1"/>
  <c r="DO45" i="53"/>
  <c r="DO55" i="53" s="1"/>
  <c r="DN45" i="53"/>
  <c r="DN55" i="53" s="1"/>
  <c r="DM45" i="53"/>
  <c r="DM55" i="53" s="1"/>
  <c r="DL45" i="53"/>
  <c r="DL55" i="53" s="1"/>
  <c r="DK45" i="53"/>
  <c r="DK55" i="53" s="1"/>
  <c r="DJ45" i="53"/>
  <c r="DJ55" i="53"/>
  <c r="DI45" i="53"/>
  <c r="DI55" i="53" s="1"/>
  <c r="DH45" i="53"/>
  <c r="DH55" i="53" s="1"/>
  <c r="DG45" i="53"/>
  <c r="DG55" i="53" s="1"/>
  <c r="DF45" i="53"/>
  <c r="DF55" i="53" s="1"/>
  <c r="DE45" i="53"/>
  <c r="DE55" i="53" s="1"/>
  <c r="DD45" i="53"/>
  <c r="DD55" i="53" s="1"/>
  <c r="DC45" i="53"/>
  <c r="DC55" i="53" s="1"/>
  <c r="DB45" i="53"/>
  <c r="DB55" i="53" s="1"/>
  <c r="DA45" i="53"/>
  <c r="DA55" i="53" s="1"/>
  <c r="CZ45" i="53"/>
  <c r="CZ55" i="53" s="1"/>
  <c r="CY45" i="53"/>
  <c r="CY55" i="53" s="1"/>
  <c r="CX45" i="53"/>
  <c r="CX55" i="53" s="1"/>
  <c r="CW45" i="53"/>
  <c r="CW55" i="53" s="1"/>
  <c r="CV45" i="53"/>
  <c r="CV55" i="53" s="1"/>
  <c r="CU45" i="53"/>
  <c r="CU55" i="53" s="1"/>
  <c r="CT45" i="53"/>
  <c r="CT55" i="53" s="1"/>
  <c r="CS45" i="53"/>
  <c r="CS55" i="53" s="1"/>
  <c r="CR45" i="53"/>
  <c r="CR55" i="53" s="1"/>
  <c r="CQ45" i="53"/>
  <c r="CQ55" i="53" s="1"/>
  <c r="CP45" i="53"/>
  <c r="CP55" i="53" s="1"/>
  <c r="CO45" i="53"/>
  <c r="CO55" i="53" s="1"/>
  <c r="CN45" i="53"/>
  <c r="CN55" i="53" s="1"/>
  <c r="CM45" i="53"/>
  <c r="CM55" i="53"/>
  <c r="CL45" i="53"/>
  <c r="CL55" i="53" s="1"/>
  <c r="CK45" i="53"/>
  <c r="CK55" i="53" s="1"/>
  <c r="CJ45" i="53"/>
  <c r="CJ55" i="53" s="1"/>
  <c r="CI45" i="53"/>
  <c r="CI55" i="53" s="1"/>
  <c r="CH45" i="53"/>
  <c r="CH55" i="53" s="1"/>
  <c r="CG45" i="53"/>
  <c r="CG55" i="53" s="1"/>
  <c r="CF45" i="53"/>
  <c r="CF55" i="53" s="1"/>
  <c r="CE45" i="53"/>
  <c r="CE55" i="53" s="1"/>
  <c r="CD45" i="53"/>
  <c r="CD55" i="53" s="1"/>
  <c r="CC45" i="53"/>
  <c r="CC55" i="53" s="1"/>
  <c r="CB45" i="53"/>
  <c r="CB55" i="53" s="1"/>
  <c r="CA45" i="53"/>
  <c r="CA55" i="53" s="1"/>
  <c r="BZ45" i="53"/>
  <c r="BZ55" i="53" s="1"/>
  <c r="BY45" i="53"/>
  <c r="BY55" i="53" s="1"/>
  <c r="BX45" i="53"/>
  <c r="BX55" i="53" s="1"/>
  <c r="BW45" i="53"/>
  <c r="BW55" i="53" s="1"/>
  <c r="BV45" i="53"/>
  <c r="BV55" i="53" s="1"/>
  <c r="BU45" i="53"/>
  <c r="BU55" i="53" s="1"/>
  <c r="BT45" i="53"/>
  <c r="BT55" i="53" s="1"/>
  <c r="BS45" i="53"/>
  <c r="BS55" i="53" s="1"/>
  <c r="BR45" i="53"/>
  <c r="BR55" i="53" s="1"/>
  <c r="BQ45" i="53"/>
  <c r="BQ55" i="53" s="1"/>
  <c r="BP45" i="53"/>
  <c r="BP55" i="53" s="1"/>
  <c r="BO45" i="53"/>
  <c r="BO55" i="53" s="1"/>
  <c r="BN45" i="53"/>
  <c r="BN55" i="53" s="1"/>
  <c r="BM45" i="53"/>
  <c r="BM55" i="53" s="1"/>
  <c r="BL45" i="53"/>
  <c r="BL55" i="53" s="1"/>
  <c r="BK45" i="53"/>
  <c r="BK55" i="53" s="1"/>
  <c r="BJ45" i="53"/>
  <c r="BJ55" i="53" s="1"/>
  <c r="BI45" i="53"/>
  <c r="BI55" i="53" s="1"/>
  <c r="BH45" i="53"/>
  <c r="BH55" i="53" s="1"/>
  <c r="BG45" i="53"/>
  <c r="BG55" i="53" s="1"/>
  <c r="BF45" i="53"/>
  <c r="BF55" i="53" s="1"/>
  <c r="BE45" i="53"/>
  <c r="BE55" i="53" s="1"/>
  <c r="BD45" i="53"/>
  <c r="BD55" i="53" s="1"/>
  <c r="BC45" i="53"/>
  <c r="BC55" i="53" s="1"/>
  <c r="BB45" i="53"/>
  <c r="BB55" i="53" s="1"/>
  <c r="BA45" i="53"/>
  <c r="BA55" i="53" s="1"/>
  <c r="AZ45" i="53"/>
  <c r="AZ55" i="53" s="1"/>
  <c r="AY45" i="53"/>
  <c r="AY55" i="53" s="1"/>
  <c r="AX45" i="53"/>
  <c r="AX55" i="53" s="1"/>
  <c r="AW45" i="53"/>
  <c r="AW55" i="53" s="1"/>
  <c r="AV45" i="53"/>
  <c r="AV55" i="53" s="1"/>
  <c r="AU45" i="53"/>
  <c r="AU55" i="53" s="1"/>
  <c r="AT45" i="53"/>
  <c r="AT55" i="53" s="1"/>
  <c r="AS45" i="53"/>
  <c r="AS55" i="53" s="1"/>
  <c r="AR45" i="53"/>
  <c r="AR55" i="53" s="1"/>
  <c r="AQ45" i="53"/>
  <c r="AQ55" i="53" s="1"/>
  <c r="AP45" i="53"/>
  <c r="AP55" i="53" s="1"/>
  <c r="AO45" i="53"/>
  <c r="AO55" i="53" s="1"/>
  <c r="AM45" i="53"/>
  <c r="AM55" i="53" s="1"/>
  <c r="AM44" i="53"/>
  <c r="Q42" i="53"/>
  <c r="U42" i="53" s="1"/>
  <c r="V42" i="53" s="1"/>
  <c r="Q41" i="53"/>
  <c r="S41" i="53" s="1"/>
  <c r="T41" i="53" s="1"/>
  <c r="FN30" i="53"/>
  <c r="FM30" i="53"/>
  <c r="FL30" i="53"/>
  <c r="FK30" i="53"/>
  <c r="FJ30" i="53"/>
  <c r="FI30" i="53"/>
  <c r="FH30" i="53"/>
  <c r="FG30" i="53"/>
  <c r="FF30" i="53"/>
  <c r="FE30" i="53"/>
  <c r="FD30" i="53"/>
  <c r="FC30" i="53"/>
  <c r="FB30" i="53"/>
  <c r="FA30" i="53"/>
  <c r="EZ30" i="53"/>
  <c r="EY30" i="53"/>
  <c r="EX30" i="53"/>
  <c r="EW30" i="53"/>
  <c r="EV30" i="53"/>
  <c r="EU30" i="53"/>
  <c r="ET30" i="53"/>
  <c r="ES30" i="53"/>
  <c r="ER30" i="53"/>
  <c r="EQ30" i="53"/>
  <c r="EP30" i="53"/>
  <c r="EO30" i="53"/>
  <c r="EN30" i="53"/>
  <c r="EM30" i="53"/>
  <c r="EL30" i="53"/>
  <c r="EK30" i="53"/>
  <c r="EJ30" i="53"/>
  <c r="EI30" i="53"/>
  <c r="EH30" i="53"/>
  <c r="EG30" i="53"/>
  <c r="EF30" i="53"/>
  <c r="EE30" i="53"/>
  <c r="ED30" i="53"/>
  <c r="EC30" i="53"/>
  <c r="EB30" i="53"/>
  <c r="EA30" i="53"/>
  <c r="DZ30" i="53"/>
  <c r="DY30" i="53"/>
  <c r="DX30" i="53"/>
  <c r="DW30" i="53"/>
  <c r="DV30" i="53"/>
  <c r="DU30" i="53"/>
  <c r="DT30" i="53"/>
  <c r="DS30" i="53"/>
  <c r="DR30" i="53"/>
  <c r="DQ30" i="53"/>
  <c r="DP30" i="53"/>
  <c r="DO30" i="53"/>
  <c r="DN30" i="53"/>
  <c r="DM30" i="53"/>
  <c r="DL30" i="53"/>
  <c r="DK30" i="53"/>
  <c r="DJ30" i="53"/>
  <c r="DI30" i="53"/>
  <c r="DH30" i="53"/>
  <c r="DG30" i="53"/>
  <c r="DF30" i="53"/>
  <c r="DE30" i="53"/>
  <c r="DD30" i="53"/>
  <c r="DC30" i="53"/>
  <c r="DB30" i="53"/>
  <c r="DA30" i="53"/>
  <c r="CZ30" i="53"/>
  <c r="CY30" i="53"/>
  <c r="CX30" i="53"/>
  <c r="CW30" i="53"/>
  <c r="CV30" i="53"/>
  <c r="CU30" i="53"/>
  <c r="CT30" i="53"/>
  <c r="CS30" i="53"/>
  <c r="CR30" i="53"/>
  <c r="CQ30" i="53"/>
  <c r="CP30" i="53"/>
  <c r="CO30" i="53"/>
  <c r="CN30" i="53"/>
  <c r="CM30" i="53"/>
  <c r="CL30" i="53"/>
  <c r="CK30" i="53"/>
  <c r="CJ30" i="53"/>
  <c r="CI30" i="53"/>
  <c r="CH30" i="53"/>
  <c r="CG30" i="53"/>
  <c r="CF30" i="53"/>
  <c r="CE30" i="53"/>
  <c r="CD30" i="53"/>
  <c r="CC30" i="53"/>
  <c r="CB30" i="53"/>
  <c r="CA30" i="53"/>
  <c r="BZ30" i="53"/>
  <c r="BY30" i="53"/>
  <c r="BX30" i="53"/>
  <c r="BW30" i="53"/>
  <c r="BV30" i="53"/>
  <c r="BU30" i="53"/>
  <c r="BT30" i="53"/>
  <c r="BS30" i="53"/>
  <c r="BR30" i="53"/>
  <c r="BQ30" i="53"/>
  <c r="BP30" i="53"/>
  <c r="BO30" i="53"/>
  <c r="BN30" i="53"/>
  <c r="BM30" i="53"/>
  <c r="BL30" i="53"/>
  <c r="BK30" i="53"/>
  <c r="BJ30" i="53"/>
  <c r="BI30" i="53"/>
  <c r="BH30" i="53"/>
  <c r="BG30" i="53"/>
  <c r="BF30" i="53"/>
  <c r="BE30" i="53"/>
  <c r="BD30" i="53"/>
  <c r="BC30" i="53"/>
  <c r="BB30" i="53"/>
  <c r="BA30" i="53"/>
  <c r="AZ30" i="53"/>
  <c r="AY30" i="53"/>
  <c r="AX30" i="53"/>
  <c r="AW30" i="53"/>
  <c r="AV30" i="53"/>
  <c r="AU30" i="53"/>
  <c r="AT30" i="53"/>
  <c r="AS30" i="53"/>
  <c r="AR30" i="53"/>
  <c r="AQ30" i="53"/>
  <c r="AP30" i="53"/>
  <c r="AM29" i="53"/>
  <c r="Q29" i="53"/>
  <c r="FN26" i="53"/>
  <c r="EH17" i="5" s="1"/>
  <c r="EZ41" i="38" s="1"/>
  <c r="FM26" i="53"/>
  <c r="EG17" i="5" s="1"/>
  <c r="EY41" i="38" s="1"/>
  <c r="FL26" i="53"/>
  <c r="EF17" i="5" s="1"/>
  <c r="EX41" i="38" s="1"/>
  <c r="FK26" i="53"/>
  <c r="EE17" i="5" s="1"/>
  <c r="EW41" i="38" s="1"/>
  <c r="FJ26" i="53"/>
  <c r="ED17" i="5" s="1"/>
  <c r="EV41" i="38" s="1"/>
  <c r="FI26" i="53"/>
  <c r="EC17" i="5" s="1"/>
  <c r="EU41" i="38" s="1"/>
  <c r="FH26" i="53"/>
  <c r="EB17" i="5" s="1"/>
  <c r="ET41" i="38" s="1"/>
  <c r="FG26" i="53"/>
  <c r="EA17" i="5" s="1"/>
  <c r="ES41" i="38" s="1"/>
  <c r="FF26" i="53"/>
  <c r="DZ17" i="5" s="1"/>
  <c r="ER41" i="38" s="1"/>
  <c r="FE26" i="53"/>
  <c r="DY17" i="5" s="1"/>
  <c r="EQ41" i="38" s="1"/>
  <c r="FD26" i="53"/>
  <c r="DX17" i="5" s="1"/>
  <c r="EP41" i="38" s="1"/>
  <c r="FC26" i="53"/>
  <c r="DW17" i="5" s="1"/>
  <c r="EO41" i="38" s="1"/>
  <c r="FB26" i="53"/>
  <c r="DV17" i="5" s="1"/>
  <c r="EN41" i="38" s="1"/>
  <c r="FA26" i="53"/>
  <c r="DU17" i="5"/>
  <c r="EM41" i="38" s="1"/>
  <c r="EZ26" i="53"/>
  <c r="DT17" i="5" s="1"/>
  <c r="EL41" i="38" s="1"/>
  <c r="EY26" i="53"/>
  <c r="DS17" i="5" s="1"/>
  <c r="EK41" i="38" s="1"/>
  <c r="EX26" i="53"/>
  <c r="DR17" i="5" s="1"/>
  <c r="EJ41" i="38" s="1"/>
  <c r="EW26" i="53"/>
  <c r="DQ17" i="5" s="1"/>
  <c r="EI41" i="38" s="1"/>
  <c r="EV26" i="53"/>
  <c r="DP17" i="5" s="1"/>
  <c r="EH41" i="38" s="1"/>
  <c r="EU26" i="53"/>
  <c r="DO17" i="5" s="1"/>
  <c r="EG41" i="38" s="1"/>
  <c r="ET26" i="53"/>
  <c r="DN17" i="5"/>
  <c r="EF41" i="38" s="1"/>
  <c r="ES26" i="53"/>
  <c r="DM17" i="5" s="1"/>
  <c r="EE41" i="38" s="1"/>
  <c r="ER26" i="53"/>
  <c r="DL17" i="5" s="1"/>
  <c r="ED41" i="38" s="1"/>
  <c r="EQ26" i="53"/>
  <c r="DK17" i="5" s="1"/>
  <c r="EC41" i="38" s="1"/>
  <c r="EP26" i="53"/>
  <c r="DJ17" i="5"/>
  <c r="EB41" i="38" s="1"/>
  <c r="EO26" i="53"/>
  <c r="DI17" i="5" s="1"/>
  <c r="EA41" i="38" s="1"/>
  <c r="EN26" i="53"/>
  <c r="DH17" i="5" s="1"/>
  <c r="DZ41" i="38" s="1"/>
  <c r="EM26" i="53"/>
  <c r="DG17" i="5" s="1"/>
  <c r="DY41" i="38" s="1"/>
  <c r="EL26" i="53"/>
  <c r="DF17" i="5" s="1"/>
  <c r="DX41" i="38" s="1"/>
  <c r="EK26" i="53"/>
  <c r="DE17" i="5" s="1"/>
  <c r="DW41" i="38" s="1"/>
  <c r="EJ26" i="53"/>
  <c r="DD17" i="5" s="1"/>
  <c r="DV41" i="38" s="1"/>
  <c r="EI26" i="53"/>
  <c r="DC17" i="5" s="1"/>
  <c r="DU41" i="38" s="1"/>
  <c r="EH26" i="53"/>
  <c r="DB17" i="5" s="1"/>
  <c r="DT41" i="38" s="1"/>
  <c r="EG26" i="53"/>
  <c r="DA17" i="5" s="1"/>
  <c r="DS41" i="38" s="1"/>
  <c r="EF26" i="53"/>
  <c r="CZ17" i="5"/>
  <c r="DR41" i="38" s="1"/>
  <c r="EE26" i="53"/>
  <c r="CY17" i="5" s="1"/>
  <c r="DQ41" i="38" s="1"/>
  <c r="ED26" i="53"/>
  <c r="CX17" i="5" s="1"/>
  <c r="DP41" i="38" s="1"/>
  <c r="EC26" i="53"/>
  <c r="CW17" i="5" s="1"/>
  <c r="DO41" i="38" s="1"/>
  <c r="EB26" i="53"/>
  <c r="CV17" i="5" s="1"/>
  <c r="DN41" i="38" s="1"/>
  <c r="EA26" i="53"/>
  <c r="CU17" i="5" s="1"/>
  <c r="DM41" i="38" s="1"/>
  <c r="DZ26" i="53"/>
  <c r="CT17" i="5" s="1"/>
  <c r="DL41" i="38" s="1"/>
  <c r="DY26" i="53"/>
  <c r="CS17" i="5" s="1"/>
  <c r="DK41" i="38" s="1"/>
  <c r="DX26" i="53"/>
  <c r="CR17" i="5" s="1"/>
  <c r="DJ41" i="38" s="1"/>
  <c r="DW26" i="53"/>
  <c r="CQ17" i="5" s="1"/>
  <c r="DI41" i="38" s="1"/>
  <c r="DV26" i="53"/>
  <c r="CP17" i="5" s="1"/>
  <c r="DH41" i="38" s="1"/>
  <c r="DU26" i="53"/>
  <c r="CO17" i="5" s="1"/>
  <c r="DG41" i="38" s="1"/>
  <c r="DT26" i="53"/>
  <c r="CN17" i="5" s="1"/>
  <c r="DF41" i="38" s="1"/>
  <c r="DS26" i="53"/>
  <c r="CM17" i="5" s="1"/>
  <c r="DE41" i="38" s="1"/>
  <c r="DR26" i="53"/>
  <c r="CL17" i="5" s="1"/>
  <c r="DD41" i="38" s="1"/>
  <c r="DQ26" i="53"/>
  <c r="CK17" i="5" s="1"/>
  <c r="DC41" i="38" s="1"/>
  <c r="DP26" i="53"/>
  <c r="CJ17" i="5" s="1"/>
  <c r="DB41" i="38" s="1"/>
  <c r="DO26" i="53"/>
  <c r="CI17" i="5" s="1"/>
  <c r="DA41" i="38" s="1"/>
  <c r="DN26" i="53"/>
  <c r="CH17" i="5"/>
  <c r="CZ41" i="38" s="1"/>
  <c r="DM26" i="53"/>
  <c r="CG17" i="5" s="1"/>
  <c r="CY41" i="38" s="1"/>
  <c r="DL26" i="53"/>
  <c r="CF17" i="5" s="1"/>
  <c r="CX41" i="38" s="1"/>
  <c r="DK26" i="53"/>
  <c r="CE17" i="5" s="1"/>
  <c r="CW41" i="38" s="1"/>
  <c r="DJ26" i="53"/>
  <c r="CD17" i="5"/>
  <c r="CV41" i="38" s="1"/>
  <c r="DI26" i="53"/>
  <c r="CC17" i="5"/>
  <c r="CU41" i="38" s="1"/>
  <c r="DH26" i="53"/>
  <c r="CB17" i="5" s="1"/>
  <c r="CT41" i="38" s="1"/>
  <c r="DG26" i="53"/>
  <c r="CA17" i="5"/>
  <c r="CS41" i="38" s="1"/>
  <c r="DF26" i="53"/>
  <c r="BZ17" i="5" s="1"/>
  <c r="CR41" i="38" s="1"/>
  <c r="DE26" i="53"/>
  <c r="BY17" i="5" s="1"/>
  <c r="CQ41" i="38" s="1"/>
  <c r="DD26" i="53"/>
  <c r="BX17" i="5" s="1"/>
  <c r="CP41" i="38" s="1"/>
  <c r="DC26" i="53"/>
  <c r="BW17" i="5" s="1"/>
  <c r="CO41" i="38" s="1"/>
  <c r="DB26" i="53"/>
  <c r="BV17" i="5" s="1"/>
  <c r="CN41" i="38" s="1"/>
  <c r="DA26" i="53"/>
  <c r="BU17" i="5" s="1"/>
  <c r="CM41" i="38" s="1"/>
  <c r="CZ26" i="53"/>
  <c r="BT17" i="5" s="1"/>
  <c r="CL41" i="38" s="1"/>
  <c r="CY26" i="53"/>
  <c r="BS17" i="5" s="1"/>
  <c r="CK41" i="38" s="1"/>
  <c r="CX26" i="53"/>
  <c r="BR17" i="5" s="1"/>
  <c r="CJ41" i="38" s="1"/>
  <c r="CW26" i="53"/>
  <c r="BQ17" i="5" s="1"/>
  <c r="CI41" i="38" s="1"/>
  <c r="CV26" i="53"/>
  <c r="BP17" i="5" s="1"/>
  <c r="CH41" i="38" s="1"/>
  <c r="CU26" i="53"/>
  <c r="BO17" i="5" s="1"/>
  <c r="CG41" i="38" s="1"/>
  <c r="CT26" i="53"/>
  <c r="BN17" i="5" s="1"/>
  <c r="CF41" i="38" s="1"/>
  <c r="CS26" i="53"/>
  <c r="BM17" i="5" s="1"/>
  <c r="CE41" i="38" s="1"/>
  <c r="CR26" i="53"/>
  <c r="BL17" i="5" s="1"/>
  <c r="CD41" i="38" s="1"/>
  <c r="CQ26" i="53"/>
  <c r="BK17" i="5" s="1"/>
  <c r="CC41" i="38" s="1"/>
  <c r="CP26" i="53"/>
  <c r="BJ17" i="5" s="1"/>
  <c r="CB41" i="38" s="1"/>
  <c r="CO26" i="53"/>
  <c r="BI17" i="5" s="1"/>
  <c r="CA41" i="38" s="1"/>
  <c r="CN26" i="53"/>
  <c r="BH17" i="5" s="1"/>
  <c r="BZ41" i="38" s="1"/>
  <c r="CM26" i="53"/>
  <c r="BG17" i="5" s="1"/>
  <c r="BY41" i="38" s="1"/>
  <c r="CL26" i="53"/>
  <c r="BF17" i="5" s="1"/>
  <c r="BX41" i="38" s="1"/>
  <c r="CK26" i="53"/>
  <c r="BE17" i="5" s="1"/>
  <c r="BW41" i="38" s="1"/>
  <c r="CJ26" i="53"/>
  <c r="BD17" i="5" s="1"/>
  <c r="BV41" i="38" s="1"/>
  <c r="CI26" i="53"/>
  <c r="BC17" i="5" s="1"/>
  <c r="BU41" i="38" s="1"/>
  <c r="CH26" i="53"/>
  <c r="BB17" i="5"/>
  <c r="BT41" i="38" s="1"/>
  <c r="CG26" i="53"/>
  <c r="BA17" i="5" s="1"/>
  <c r="BS41" i="38" s="1"/>
  <c r="CF26" i="53"/>
  <c r="AZ17" i="5" s="1"/>
  <c r="BR41" i="38" s="1"/>
  <c r="CE26" i="53"/>
  <c r="AY17" i="5" s="1"/>
  <c r="BQ41" i="38" s="1"/>
  <c r="CD26" i="53"/>
  <c r="AX17" i="5" s="1"/>
  <c r="BP41" i="38" s="1"/>
  <c r="CC26" i="53"/>
  <c r="AW17" i="5" s="1"/>
  <c r="BO41" i="38" s="1"/>
  <c r="CB26" i="53"/>
  <c r="AV17" i="5" s="1"/>
  <c r="BN41" i="38" s="1"/>
  <c r="CA26" i="53"/>
  <c r="AU17" i="5" s="1"/>
  <c r="BM41" i="38" s="1"/>
  <c r="BZ26" i="53"/>
  <c r="AT17" i="5" s="1"/>
  <c r="BL41" i="38" s="1"/>
  <c r="BY26" i="53"/>
  <c r="AS17" i="5" s="1"/>
  <c r="BK41" i="38" s="1"/>
  <c r="BX26" i="53"/>
  <c r="AR17" i="5"/>
  <c r="BJ41" i="38" s="1"/>
  <c r="BW26" i="53"/>
  <c r="AQ17" i="5" s="1"/>
  <c r="BI41" i="38" s="1"/>
  <c r="BV26" i="53"/>
  <c r="AP17" i="5" s="1"/>
  <c r="BH41" i="38" s="1"/>
  <c r="BU26" i="53"/>
  <c r="AO17" i="5" s="1"/>
  <c r="BG41" i="38" s="1"/>
  <c r="BT26" i="53"/>
  <c r="AN17" i="5" s="1"/>
  <c r="BF41" i="38" s="1"/>
  <c r="BS26" i="53"/>
  <c r="AM17" i="5" s="1"/>
  <c r="BE41" i="38" s="1"/>
  <c r="BR26" i="53"/>
  <c r="AL17" i="5" s="1"/>
  <c r="BD41" i="38" s="1"/>
  <c r="BQ26" i="53"/>
  <c r="AK17" i="5" s="1"/>
  <c r="BC41" i="38" s="1"/>
  <c r="BP26" i="53"/>
  <c r="AJ17" i="5" s="1"/>
  <c r="BB41" i="38" s="1"/>
  <c r="BO26" i="53"/>
  <c r="AI17" i="5" s="1"/>
  <c r="BA41" i="38" s="1"/>
  <c r="BN26" i="53"/>
  <c r="AH17" i="5" s="1"/>
  <c r="AZ41" i="38" s="1"/>
  <c r="BM26" i="53"/>
  <c r="AG17" i="5" s="1"/>
  <c r="AY41" i="38" s="1"/>
  <c r="BL26" i="53"/>
  <c r="AF17" i="5" s="1"/>
  <c r="AX41" i="38" s="1"/>
  <c r="BK26" i="53"/>
  <c r="AE17" i="5" s="1"/>
  <c r="AW41" i="38" s="1"/>
  <c r="BJ26" i="53"/>
  <c r="AD17" i="5" s="1"/>
  <c r="AV41" i="38" s="1"/>
  <c r="BI26" i="53"/>
  <c r="AC17" i="5" s="1"/>
  <c r="AU41" i="38" s="1"/>
  <c r="BH26" i="53"/>
  <c r="AB17" i="5"/>
  <c r="AT41" i="38" s="1"/>
  <c r="BG26" i="53"/>
  <c r="AA17" i="5" s="1"/>
  <c r="AS41" i="38" s="1"/>
  <c r="BF26" i="53"/>
  <c r="Z17" i="5" s="1"/>
  <c r="AR41" i="38" s="1"/>
  <c r="BE26" i="53"/>
  <c r="Y17" i="5" s="1"/>
  <c r="AQ41" i="38" s="1"/>
  <c r="BD26" i="53"/>
  <c r="X17" i="5" s="1"/>
  <c r="AP41" i="38" s="1"/>
  <c r="BC26" i="53"/>
  <c r="W17" i="5" s="1"/>
  <c r="AO41" i="38" s="1"/>
  <c r="BB26" i="53"/>
  <c r="V17" i="5" s="1"/>
  <c r="AN41" i="38" s="1"/>
  <c r="BA26" i="53"/>
  <c r="U17" i="5" s="1"/>
  <c r="AM41" i="38" s="1"/>
  <c r="AZ26" i="53"/>
  <c r="T17" i="5" s="1"/>
  <c r="AL41" i="38" s="1"/>
  <c r="AY26" i="53"/>
  <c r="S17" i="5" s="1"/>
  <c r="AK41" i="38" s="1"/>
  <c r="AX26" i="53"/>
  <c r="R17" i="5" s="1"/>
  <c r="AJ41" i="38" s="1"/>
  <c r="AW26" i="53"/>
  <c r="Q17" i="5" s="1"/>
  <c r="AI41" i="38" s="1"/>
  <c r="AV26" i="53"/>
  <c r="P17" i="5" s="1"/>
  <c r="AH41" i="38" s="1"/>
  <c r="AU26" i="53"/>
  <c r="O17" i="5" s="1"/>
  <c r="AG41" i="38" s="1"/>
  <c r="AT26" i="53"/>
  <c r="N17" i="5" s="1"/>
  <c r="AF41" i="38" s="1"/>
  <c r="AS26" i="53"/>
  <c r="M17" i="5" s="1"/>
  <c r="AE41" i="38" s="1"/>
  <c r="AR26" i="53"/>
  <c r="L17" i="5" s="1"/>
  <c r="AD41" i="38" s="1"/>
  <c r="AQ26" i="53"/>
  <c r="K17" i="5" s="1"/>
  <c r="AC41" i="38" s="1"/>
  <c r="AP26" i="53"/>
  <c r="J17" i="5" s="1"/>
  <c r="AB41" i="38" s="1"/>
  <c r="AO26" i="53"/>
  <c r="I17" i="5" s="1"/>
  <c r="AA41" i="38" s="1"/>
  <c r="AN26" i="53"/>
  <c r="H17" i="5" s="1"/>
  <c r="Z41" i="38" s="1"/>
  <c r="AM26" i="53"/>
  <c r="AM25" i="53"/>
  <c r="AI21" i="53"/>
  <c r="V21" i="53"/>
  <c r="T21" i="53"/>
  <c r="V20" i="53"/>
  <c r="T20" i="53"/>
  <c r="T19" i="53"/>
  <c r="BL14" i="53"/>
  <c r="BM14" i="53" s="1"/>
  <c r="BN14" i="53" s="1"/>
  <c r="BO14" i="53" s="1"/>
  <c r="BP14" i="53" s="1"/>
  <c r="BQ14" i="53" s="1"/>
  <c r="BR14" i="53" s="1"/>
  <c r="BS14" i="53" s="1"/>
  <c r="BT14" i="53" s="1"/>
  <c r="BU14" i="53" s="1"/>
  <c r="BV14" i="53" s="1"/>
  <c r="BW14" i="53" s="1"/>
  <c r="BX14" i="53" s="1"/>
  <c r="BY14" i="53" s="1"/>
  <c r="BZ14" i="53" s="1"/>
  <c r="CA14" i="53" s="1"/>
  <c r="CB14" i="53" s="1"/>
  <c r="CC14" i="53" s="1"/>
  <c r="CD14" i="53" s="1"/>
  <c r="CE14" i="53" s="1"/>
  <c r="CF14" i="53" s="1"/>
  <c r="CG14" i="53" s="1"/>
  <c r="CH14" i="53" s="1"/>
  <c r="CI14" i="53" s="1"/>
  <c r="CJ14" i="53" s="1"/>
  <c r="CK14" i="53" s="1"/>
  <c r="CL14" i="53" s="1"/>
  <c r="CM14" i="53" s="1"/>
  <c r="CN14" i="53" s="1"/>
  <c r="CO14" i="53" s="1"/>
  <c r="CP14" i="53" s="1"/>
  <c r="CQ14" i="53" s="1"/>
  <c r="CR14" i="53" s="1"/>
  <c r="CS14" i="53" s="1"/>
  <c r="CT14" i="53" s="1"/>
  <c r="CU14" i="53" s="1"/>
  <c r="CV14" i="53" s="1"/>
  <c r="CW14" i="53" s="1"/>
  <c r="CX14" i="53" s="1"/>
  <c r="CY14" i="53" s="1"/>
  <c r="CZ14" i="53" s="1"/>
  <c r="DA14" i="53" s="1"/>
  <c r="DB14" i="53" s="1"/>
  <c r="DC14" i="53" s="1"/>
  <c r="DD14" i="53" s="1"/>
  <c r="DE14" i="53" s="1"/>
  <c r="DF14" i="53" s="1"/>
  <c r="DG14" i="53" s="1"/>
  <c r="DH14" i="53" s="1"/>
  <c r="DI14" i="53" s="1"/>
  <c r="DJ14" i="53" s="1"/>
  <c r="DK14" i="53" s="1"/>
  <c r="DL14" i="53" s="1"/>
  <c r="DM14" i="53" s="1"/>
  <c r="DN14" i="53" s="1"/>
  <c r="DO14" i="53" s="1"/>
  <c r="DP14" i="53" s="1"/>
  <c r="DQ14" i="53" s="1"/>
  <c r="DR14" i="53" s="1"/>
  <c r="DS14" i="53" s="1"/>
  <c r="DT14" i="53" s="1"/>
  <c r="DU14" i="53" s="1"/>
  <c r="DV14" i="53" s="1"/>
  <c r="DW14" i="53" s="1"/>
  <c r="DX14" i="53" s="1"/>
  <c r="DY14" i="53" s="1"/>
  <c r="DZ14" i="53" s="1"/>
  <c r="EA14" i="53" s="1"/>
  <c r="EB14" i="53" s="1"/>
  <c r="EC14" i="53" s="1"/>
  <c r="ED14" i="53" s="1"/>
  <c r="EE14" i="53" s="1"/>
  <c r="EF14" i="53" s="1"/>
  <c r="EG14" i="53" s="1"/>
  <c r="EH14" i="53" s="1"/>
  <c r="EI14" i="53" s="1"/>
  <c r="EJ14" i="53" s="1"/>
  <c r="EK14" i="53" s="1"/>
  <c r="EL14" i="53" s="1"/>
  <c r="EM14" i="53" s="1"/>
  <c r="EN14" i="53" s="1"/>
  <c r="EO14" i="53" s="1"/>
  <c r="EP14" i="53" s="1"/>
  <c r="EQ14" i="53" s="1"/>
  <c r="ER14" i="53" s="1"/>
  <c r="ES14" i="53" s="1"/>
  <c r="ET14" i="53" s="1"/>
  <c r="EU14" i="53" s="1"/>
  <c r="EV14" i="53" s="1"/>
  <c r="EW14" i="53" s="1"/>
  <c r="EX14" i="53" s="1"/>
  <c r="EY14" i="53" s="1"/>
  <c r="EZ14" i="53" s="1"/>
  <c r="FA14" i="53" s="1"/>
  <c r="FB14" i="53" s="1"/>
  <c r="FC14" i="53" s="1"/>
  <c r="FD14" i="53" s="1"/>
  <c r="FE14" i="53" s="1"/>
  <c r="FF14" i="53" s="1"/>
  <c r="FG14" i="53" s="1"/>
  <c r="FH14" i="53" s="1"/>
  <c r="FI14" i="53" s="1"/>
  <c r="FJ14" i="53" s="1"/>
  <c r="FK14" i="53" s="1"/>
  <c r="FL14" i="53" s="1"/>
  <c r="FM14" i="53" s="1"/>
  <c r="FN14" i="53" s="1"/>
  <c r="AZ14" i="53"/>
  <c r="BA14" i="53" s="1"/>
  <c r="BB14" i="53" s="1"/>
  <c r="BC14" i="53" s="1"/>
  <c r="BD14" i="53" s="1"/>
  <c r="BE14" i="53" s="1"/>
  <c r="BF14" i="53" s="1"/>
  <c r="BG14" i="53" s="1"/>
  <c r="BH14" i="53" s="1"/>
  <c r="BI14" i="53" s="1"/>
  <c r="BJ14" i="53" s="1"/>
  <c r="AN14" i="53"/>
  <c r="AO14" i="53" s="1"/>
  <c r="AP14" i="53" s="1"/>
  <c r="AQ14" i="53" s="1"/>
  <c r="AR14" i="53" s="1"/>
  <c r="AS14" i="53" s="1"/>
  <c r="AT14" i="53" s="1"/>
  <c r="AU14" i="53" s="1"/>
  <c r="AV14" i="53" s="1"/>
  <c r="AW14" i="53" s="1"/>
  <c r="AX14" i="53" s="1"/>
  <c r="AM7" i="53"/>
  <c r="AG420" i="51"/>
  <c r="AF420" i="51"/>
  <c r="AE420" i="51"/>
  <c r="AD420" i="51"/>
  <c r="AC420" i="51"/>
  <c r="AB420" i="51"/>
  <c r="AA420" i="51"/>
  <c r="Z420" i="51"/>
  <c r="Y420" i="51"/>
  <c r="X420" i="51"/>
  <c r="W420" i="51"/>
  <c r="T420" i="51"/>
  <c r="S420" i="51"/>
  <c r="R420" i="51"/>
  <c r="P420" i="51"/>
  <c r="I420" i="51"/>
  <c r="G420" i="51"/>
  <c r="C420" i="51"/>
  <c r="AI419" i="51"/>
  <c r="U419" i="51"/>
  <c r="V419" i="51" s="1"/>
  <c r="Q419" i="51" a="1"/>
  <c r="Q419" i="51" s="1"/>
  <c r="O419" i="51"/>
  <c r="M419" i="51" a="1"/>
  <c r="M419" i="51" s="1"/>
  <c r="E419" i="51"/>
  <c r="AI418" i="51"/>
  <c r="U418" i="51"/>
  <c r="V418" i="51" s="1"/>
  <c r="Q418" i="51" a="1"/>
  <c r="Q418" i="51" s="1"/>
  <c r="O418" i="51"/>
  <c r="M418" i="51" a="1"/>
  <c r="M418" i="51" s="1"/>
  <c r="E418" i="51"/>
  <c r="AI417" i="51"/>
  <c r="U417" i="51"/>
  <c r="V417" i="51" s="1"/>
  <c r="Q417" i="51" a="1"/>
  <c r="Q417" i="51" s="1"/>
  <c r="O417" i="51"/>
  <c r="M417" i="51" a="1"/>
  <c r="M417" i="51" s="1"/>
  <c r="E417" i="51"/>
  <c r="AI416" i="51"/>
  <c r="U416" i="51"/>
  <c r="V416" i="51" s="1"/>
  <c r="Q416" i="51" a="1"/>
  <c r="Q416" i="51" s="1"/>
  <c r="O416" i="51"/>
  <c r="M416" i="51" a="1"/>
  <c r="M416" i="51" s="1"/>
  <c r="E416" i="51"/>
  <c r="AI415" i="51"/>
  <c r="U415" i="51"/>
  <c r="V415" i="51" s="1"/>
  <c r="Q415" i="51" a="1"/>
  <c r="Q415" i="51" s="1"/>
  <c r="O415" i="51"/>
  <c r="M415" i="51" a="1"/>
  <c r="M415" i="51" s="1"/>
  <c r="E415" i="51"/>
  <c r="AI414" i="51"/>
  <c r="U414" i="51"/>
  <c r="V414" i="51" s="1"/>
  <c r="Q414" i="51" a="1"/>
  <c r="Q414" i="51" s="1"/>
  <c r="O414" i="51"/>
  <c r="M414" i="51" a="1"/>
  <c r="M414" i="51" s="1"/>
  <c r="E414" i="51"/>
  <c r="AI413" i="51"/>
  <c r="U413" i="51"/>
  <c r="V413" i="51" s="1"/>
  <c r="Q413" i="51" a="1"/>
  <c r="Q413" i="51" s="1"/>
  <c r="O413" i="51"/>
  <c r="M413" i="51" a="1"/>
  <c r="M413" i="51" s="1"/>
  <c r="E413" i="51"/>
  <c r="AI412" i="51"/>
  <c r="U412" i="51"/>
  <c r="V412" i="51" s="1"/>
  <c r="Q412" i="51" a="1"/>
  <c r="Q412" i="51" s="1"/>
  <c r="O412" i="51"/>
  <c r="M412" i="51" a="1"/>
  <c r="M412" i="51" s="1"/>
  <c r="E412" i="51"/>
  <c r="AI411" i="51"/>
  <c r="U411" i="51"/>
  <c r="V411" i="51" s="1"/>
  <c r="Q411" i="51" a="1"/>
  <c r="Q411" i="51" s="1"/>
  <c r="O411" i="51"/>
  <c r="M411" i="51" a="1"/>
  <c r="M411" i="51" s="1"/>
  <c r="E411" i="51"/>
  <c r="AI410" i="51"/>
  <c r="U410" i="51"/>
  <c r="V410" i="51" s="1"/>
  <c r="Q410" i="51" a="1"/>
  <c r="Q410" i="51" s="1"/>
  <c r="O410" i="51"/>
  <c r="M410" i="51" a="1"/>
  <c r="M410" i="51" s="1"/>
  <c r="E410" i="51"/>
  <c r="AI409" i="51"/>
  <c r="U409" i="51"/>
  <c r="V409" i="51" s="1"/>
  <c r="Q409" i="51" a="1"/>
  <c r="Q409" i="51" s="1"/>
  <c r="O409" i="51"/>
  <c r="M409" i="51" a="1"/>
  <c r="M409" i="51" s="1"/>
  <c r="E409" i="51"/>
  <c r="AI408" i="51"/>
  <c r="U408" i="51"/>
  <c r="V408" i="51" s="1"/>
  <c r="Q408" i="51" a="1"/>
  <c r="Q408" i="51" s="1"/>
  <c r="O408" i="51"/>
  <c r="M408" i="51" a="1"/>
  <c r="M408" i="51" s="1"/>
  <c r="E408" i="51"/>
  <c r="AI407" i="51"/>
  <c r="U407" i="51"/>
  <c r="V407" i="51" s="1"/>
  <c r="Q407" i="51" a="1"/>
  <c r="Q407" i="51" s="1"/>
  <c r="O407" i="51"/>
  <c r="M407" i="51" a="1"/>
  <c r="M407" i="51" s="1"/>
  <c r="E407" i="51"/>
  <c r="AI406" i="51"/>
  <c r="U406" i="51"/>
  <c r="V406" i="51" s="1"/>
  <c r="Q406" i="51" a="1"/>
  <c r="Q406" i="51" s="1"/>
  <c r="O406" i="51"/>
  <c r="M406" i="51" a="1"/>
  <c r="M406" i="51" s="1"/>
  <c r="E406" i="51"/>
  <c r="AI405" i="51"/>
  <c r="U405" i="51"/>
  <c r="V405" i="51" s="1"/>
  <c r="Q405" i="51" a="1"/>
  <c r="Q405" i="51" s="1"/>
  <c r="O405" i="51"/>
  <c r="M405" i="51" a="1"/>
  <c r="M405" i="51" s="1"/>
  <c r="E405" i="51"/>
  <c r="AI404" i="51"/>
  <c r="U404" i="51"/>
  <c r="V404" i="51" s="1"/>
  <c r="Q404" i="51" a="1"/>
  <c r="Q404" i="51" s="1"/>
  <c r="O404" i="51"/>
  <c r="M404" i="51" a="1"/>
  <c r="M404" i="51" s="1"/>
  <c r="E404" i="51"/>
  <c r="AI403" i="51"/>
  <c r="U403" i="51"/>
  <c r="V403" i="51" s="1"/>
  <c r="Q403" i="51" a="1"/>
  <c r="Q403" i="51" s="1"/>
  <c r="O403" i="51"/>
  <c r="M403" i="51" a="1"/>
  <c r="M403" i="51" s="1"/>
  <c r="E403" i="51"/>
  <c r="AI402" i="51"/>
  <c r="U402" i="51"/>
  <c r="V402" i="51" s="1"/>
  <c r="Q402" i="51" a="1"/>
  <c r="Q402" i="51" s="1"/>
  <c r="O402" i="51"/>
  <c r="M402" i="51" a="1"/>
  <c r="M402" i="51" s="1"/>
  <c r="E402" i="51"/>
  <c r="AI401" i="51"/>
  <c r="U401" i="51"/>
  <c r="V401" i="51" s="1"/>
  <c r="Q401" i="51" a="1"/>
  <c r="Q401" i="51" s="1"/>
  <c r="O401" i="51"/>
  <c r="M401" i="51" a="1"/>
  <c r="M401" i="51" s="1"/>
  <c r="E401" i="51"/>
  <c r="AI400" i="51"/>
  <c r="U400" i="51"/>
  <c r="V400" i="51" s="1"/>
  <c r="Q400" i="51" a="1"/>
  <c r="Q400" i="51" s="1"/>
  <c r="O400" i="51"/>
  <c r="M400" i="51" a="1"/>
  <c r="M400" i="51" s="1"/>
  <c r="E400" i="51"/>
  <c r="AI399" i="51"/>
  <c r="U399" i="51"/>
  <c r="V399" i="51" s="1"/>
  <c r="Q399" i="51" a="1"/>
  <c r="Q399" i="51" s="1"/>
  <c r="O399" i="51"/>
  <c r="M399" i="51" a="1"/>
  <c r="M399" i="51" s="1"/>
  <c r="E399" i="51"/>
  <c r="AI398" i="51"/>
  <c r="U398" i="51"/>
  <c r="V398" i="51" s="1"/>
  <c r="Q398" i="51" a="1"/>
  <c r="Q398" i="51" s="1"/>
  <c r="O398" i="51"/>
  <c r="M398" i="51" a="1"/>
  <c r="M398" i="51" s="1"/>
  <c r="E398" i="51"/>
  <c r="AI397" i="51"/>
  <c r="U397" i="51"/>
  <c r="V397" i="51" s="1"/>
  <c r="Q397" i="51" a="1"/>
  <c r="Q397" i="51" s="1"/>
  <c r="O397" i="51"/>
  <c r="M397" i="51" a="1"/>
  <c r="M397" i="51" s="1"/>
  <c r="E397" i="51"/>
  <c r="AI396" i="51"/>
  <c r="U396" i="51"/>
  <c r="V396" i="51" s="1"/>
  <c r="Q396" i="51" a="1"/>
  <c r="Q396" i="51" s="1"/>
  <c r="O396" i="51"/>
  <c r="M396" i="51" a="1"/>
  <c r="M396" i="51" s="1"/>
  <c r="E396" i="51"/>
  <c r="AI395" i="51"/>
  <c r="U395" i="51"/>
  <c r="V395" i="51" s="1"/>
  <c r="Q395" i="51" a="1"/>
  <c r="Q395" i="51" s="1"/>
  <c r="O395" i="51"/>
  <c r="M395" i="51" a="1"/>
  <c r="M395" i="51" s="1"/>
  <c r="E395" i="51"/>
  <c r="AI394" i="51"/>
  <c r="U394" i="51"/>
  <c r="V394" i="51" s="1"/>
  <c r="Q394" i="51" a="1"/>
  <c r="Q394" i="51" s="1"/>
  <c r="O394" i="51"/>
  <c r="M394" i="51" a="1"/>
  <c r="M394" i="51" s="1"/>
  <c r="E394" i="51"/>
  <c r="AI393" i="51"/>
  <c r="U393" i="51"/>
  <c r="V393" i="51" s="1"/>
  <c r="Q393" i="51" a="1"/>
  <c r="Q393" i="51" s="1"/>
  <c r="O393" i="51"/>
  <c r="M393" i="51" a="1"/>
  <c r="M393" i="51" s="1"/>
  <c r="E393" i="51"/>
  <c r="AI392" i="51"/>
  <c r="U392" i="51"/>
  <c r="V392" i="51" s="1"/>
  <c r="Q392" i="51" a="1"/>
  <c r="Q392" i="51" s="1"/>
  <c r="O392" i="51"/>
  <c r="M392" i="51" a="1"/>
  <c r="M392" i="51" s="1"/>
  <c r="E392" i="51"/>
  <c r="AI391" i="51"/>
  <c r="U391" i="51"/>
  <c r="V391" i="51" s="1"/>
  <c r="Q391" i="51" a="1"/>
  <c r="Q391" i="51" s="1"/>
  <c r="O391" i="51"/>
  <c r="M391" i="51" a="1"/>
  <c r="M391" i="51" s="1"/>
  <c r="E391" i="51"/>
  <c r="AI390" i="51"/>
  <c r="U390" i="51"/>
  <c r="V390" i="51" s="1"/>
  <c r="Q390" i="51" a="1"/>
  <c r="Q390" i="51" s="1"/>
  <c r="O390" i="51"/>
  <c r="M390" i="51" a="1"/>
  <c r="M390" i="51" s="1"/>
  <c r="E390" i="51"/>
  <c r="AI389" i="51"/>
  <c r="U389" i="51"/>
  <c r="V389" i="51" s="1"/>
  <c r="Q389" i="51" a="1"/>
  <c r="Q389" i="51" s="1"/>
  <c r="O389" i="51"/>
  <c r="M389" i="51" a="1"/>
  <c r="M389" i="51" s="1"/>
  <c r="E389" i="51"/>
  <c r="AI388" i="51"/>
  <c r="U388" i="51"/>
  <c r="V388" i="51" s="1"/>
  <c r="Q388" i="51" a="1"/>
  <c r="Q388" i="51" s="1"/>
  <c r="O388" i="51"/>
  <c r="M388" i="51" a="1"/>
  <c r="M388" i="51" s="1"/>
  <c r="E388" i="51"/>
  <c r="AI387" i="51"/>
  <c r="U387" i="51"/>
  <c r="V387" i="51" s="1"/>
  <c r="Q387" i="51" a="1"/>
  <c r="Q387" i="51" s="1"/>
  <c r="O387" i="51"/>
  <c r="M387" i="51" a="1"/>
  <c r="M387" i="51" s="1"/>
  <c r="E387" i="51"/>
  <c r="AI386" i="51"/>
  <c r="U386" i="51"/>
  <c r="V386" i="51" s="1"/>
  <c r="Q386" i="51" a="1"/>
  <c r="Q386" i="51" s="1"/>
  <c r="O386" i="51"/>
  <c r="M386" i="51" a="1"/>
  <c r="M386" i="51" s="1"/>
  <c r="E386" i="51"/>
  <c r="AI385" i="51"/>
  <c r="U385" i="51"/>
  <c r="V385" i="51" s="1"/>
  <c r="Q385" i="51" a="1"/>
  <c r="Q385" i="51" s="1"/>
  <c r="O385" i="51"/>
  <c r="M385" i="51" a="1"/>
  <c r="M385" i="51" s="1"/>
  <c r="E385" i="51"/>
  <c r="AI384" i="51"/>
  <c r="U384" i="51"/>
  <c r="V384" i="51" s="1"/>
  <c r="Q384" i="51" a="1"/>
  <c r="Q384" i="51" s="1"/>
  <c r="O384" i="51"/>
  <c r="M384" i="51" a="1"/>
  <c r="M384" i="51" s="1"/>
  <c r="E384" i="51"/>
  <c r="AI383" i="51"/>
  <c r="U383" i="51"/>
  <c r="V383" i="51" s="1"/>
  <c r="Q383" i="51" a="1"/>
  <c r="Q383" i="51" s="1"/>
  <c r="O383" i="51"/>
  <c r="M383" i="51" a="1"/>
  <c r="M383" i="51" s="1"/>
  <c r="E383" i="51"/>
  <c r="AI382" i="51"/>
  <c r="U382" i="51"/>
  <c r="V382" i="51" s="1"/>
  <c r="Q382" i="51" a="1"/>
  <c r="Q382" i="51" s="1"/>
  <c r="O382" i="51"/>
  <c r="M382" i="51" a="1"/>
  <c r="M382" i="51" s="1"/>
  <c r="E382" i="51"/>
  <c r="AI381" i="51"/>
  <c r="U381" i="51"/>
  <c r="V381" i="51" s="1"/>
  <c r="Q381" i="51" a="1"/>
  <c r="Q381" i="51" s="1"/>
  <c r="O381" i="51"/>
  <c r="M381" i="51" a="1"/>
  <c r="M381" i="51" s="1"/>
  <c r="E381" i="51"/>
  <c r="AI380" i="51"/>
  <c r="U380" i="51"/>
  <c r="V380" i="51" s="1"/>
  <c r="Q380" i="51" a="1"/>
  <c r="Q380" i="51" s="1"/>
  <c r="O380" i="51"/>
  <c r="M380" i="51" a="1"/>
  <c r="M380" i="51" s="1"/>
  <c r="E380" i="51"/>
  <c r="AI379" i="51"/>
  <c r="U379" i="51"/>
  <c r="V379" i="51" s="1"/>
  <c r="Q379" i="51" a="1"/>
  <c r="Q379" i="51" s="1"/>
  <c r="O379" i="51"/>
  <c r="M379" i="51" a="1"/>
  <c r="M379" i="51" s="1"/>
  <c r="E379" i="51"/>
  <c r="AI378" i="51"/>
  <c r="U378" i="51"/>
  <c r="V378" i="51" s="1"/>
  <c r="Q378" i="51" a="1"/>
  <c r="Q378" i="51" s="1"/>
  <c r="O378" i="51"/>
  <c r="M378" i="51" a="1"/>
  <c r="M378" i="51" s="1"/>
  <c r="E378" i="51"/>
  <c r="AI377" i="51"/>
  <c r="U377" i="51"/>
  <c r="V377" i="51" s="1"/>
  <c r="Q377" i="51" a="1"/>
  <c r="Q377" i="51" s="1"/>
  <c r="O377" i="51"/>
  <c r="M377" i="51" a="1"/>
  <c r="M377" i="51" s="1"/>
  <c r="E377" i="51"/>
  <c r="AI376" i="51"/>
  <c r="U376" i="51"/>
  <c r="V376" i="51" s="1"/>
  <c r="Q376" i="51" a="1"/>
  <c r="Q376" i="51" s="1"/>
  <c r="O376" i="51"/>
  <c r="M376" i="51" a="1"/>
  <c r="M376" i="51" s="1"/>
  <c r="E376" i="51"/>
  <c r="AI375" i="51"/>
  <c r="U375" i="51"/>
  <c r="V375" i="51" s="1"/>
  <c r="Q375" i="51" a="1"/>
  <c r="Q375" i="51" s="1"/>
  <c r="O375" i="51"/>
  <c r="M375" i="51" a="1"/>
  <c r="M375" i="51" s="1"/>
  <c r="E375" i="51"/>
  <c r="AI374" i="51"/>
  <c r="U374" i="51"/>
  <c r="V374" i="51" s="1"/>
  <c r="Q374" i="51" a="1"/>
  <c r="Q374" i="51" s="1"/>
  <c r="O374" i="51"/>
  <c r="M374" i="51" a="1"/>
  <c r="M374" i="51" s="1"/>
  <c r="E374" i="51"/>
  <c r="AI373" i="51"/>
  <c r="U373" i="51"/>
  <c r="V373" i="51" s="1"/>
  <c r="Q373" i="51" a="1"/>
  <c r="Q373" i="51" s="1"/>
  <c r="O373" i="51"/>
  <c r="M373" i="51" a="1"/>
  <c r="M373" i="51" s="1"/>
  <c r="E373" i="51"/>
  <c r="AI372" i="51"/>
  <c r="U372" i="51"/>
  <c r="V372" i="51" s="1"/>
  <c r="Q372" i="51" a="1"/>
  <c r="Q372" i="51" s="1"/>
  <c r="O372" i="51"/>
  <c r="M372" i="51" a="1"/>
  <c r="M372" i="51" s="1"/>
  <c r="E372" i="51"/>
  <c r="AI371" i="51"/>
  <c r="U371" i="51"/>
  <c r="V371" i="51" s="1"/>
  <c r="Q371" i="51" a="1"/>
  <c r="Q371" i="51" s="1"/>
  <c r="O371" i="51"/>
  <c r="M371" i="51" a="1"/>
  <c r="M371" i="51" s="1"/>
  <c r="E371" i="51"/>
  <c r="AI370" i="51"/>
  <c r="U370" i="51"/>
  <c r="V370" i="51" s="1"/>
  <c r="Q370" i="51" a="1"/>
  <c r="Q370" i="51" s="1"/>
  <c r="O370" i="51"/>
  <c r="M370" i="51" a="1"/>
  <c r="M370" i="51" s="1"/>
  <c r="E370" i="51"/>
  <c r="AI369" i="51"/>
  <c r="U369" i="51"/>
  <c r="V369" i="51" s="1"/>
  <c r="Q369" i="51" a="1"/>
  <c r="Q369" i="51" s="1"/>
  <c r="O369" i="51"/>
  <c r="M369" i="51" a="1"/>
  <c r="M369" i="51" s="1"/>
  <c r="E369" i="51"/>
  <c r="AI368" i="51"/>
  <c r="U368" i="51"/>
  <c r="V368" i="51" s="1"/>
  <c r="Q368" i="51" a="1"/>
  <c r="Q368" i="51" s="1"/>
  <c r="O368" i="51"/>
  <c r="M368" i="51" a="1"/>
  <c r="M368" i="51" s="1"/>
  <c r="E368" i="51"/>
  <c r="AI367" i="51"/>
  <c r="U367" i="51"/>
  <c r="V367" i="51" s="1"/>
  <c r="Q367" i="51" a="1"/>
  <c r="Q367" i="51" s="1"/>
  <c r="O367" i="51"/>
  <c r="M367" i="51" a="1"/>
  <c r="M367" i="51" s="1"/>
  <c r="E367" i="51"/>
  <c r="AI366" i="51"/>
  <c r="U366" i="51"/>
  <c r="V366" i="51" s="1"/>
  <c r="Q366" i="51" a="1"/>
  <c r="Q366" i="51" s="1"/>
  <c r="O366" i="51"/>
  <c r="M366" i="51" a="1"/>
  <c r="M366" i="51" s="1"/>
  <c r="E366" i="51"/>
  <c r="AI365" i="51"/>
  <c r="U365" i="51"/>
  <c r="V365" i="51" s="1"/>
  <c r="Q365" i="51" a="1"/>
  <c r="Q365" i="51" s="1"/>
  <c r="O365" i="51"/>
  <c r="M365" i="51" a="1"/>
  <c r="M365" i="51" s="1"/>
  <c r="E365" i="51"/>
  <c r="AI364" i="51"/>
  <c r="U364" i="51"/>
  <c r="V364" i="51" s="1"/>
  <c r="Q364" i="51" a="1"/>
  <c r="Q364" i="51" s="1"/>
  <c r="O364" i="51"/>
  <c r="M364" i="51" a="1"/>
  <c r="M364" i="51" s="1"/>
  <c r="E364" i="51"/>
  <c r="AI363" i="51"/>
  <c r="U363" i="51"/>
  <c r="V363" i="51" s="1"/>
  <c r="Q363" i="51" a="1"/>
  <c r="Q363" i="51" s="1"/>
  <c r="O363" i="51"/>
  <c r="M363" i="51" a="1"/>
  <c r="M363" i="51" s="1"/>
  <c r="E363" i="51"/>
  <c r="AI362" i="51"/>
  <c r="U362" i="51"/>
  <c r="V362" i="51" s="1"/>
  <c r="Q362" i="51" a="1"/>
  <c r="Q362" i="51" s="1"/>
  <c r="O362" i="51"/>
  <c r="M362" i="51" a="1"/>
  <c r="M362" i="51" s="1"/>
  <c r="E362" i="51"/>
  <c r="AI361" i="51"/>
  <c r="U361" i="51"/>
  <c r="V361" i="51" s="1"/>
  <c r="Q361" i="51" a="1"/>
  <c r="Q361" i="51" s="1"/>
  <c r="O361" i="51"/>
  <c r="M361" i="51" a="1"/>
  <c r="M361" i="51" s="1"/>
  <c r="E361" i="51"/>
  <c r="AI360" i="51"/>
  <c r="U360" i="51"/>
  <c r="V360" i="51" s="1"/>
  <c r="Q360" i="51" a="1"/>
  <c r="Q360" i="51" s="1"/>
  <c r="O360" i="51"/>
  <c r="M360" i="51" a="1"/>
  <c r="M360" i="51" s="1"/>
  <c r="E360" i="51"/>
  <c r="AI359" i="51"/>
  <c r="U359" i="51"/>
  <c r="V359" i="51" s="1"/>
  <c r="Q359" i="51" a="1"/>
  <c r="Q359" i="51" s="1"/>
  <c r="O359" i="51"/>
  <c r="M359" i="51" a="1"/>
  <c r="M359" i="51" s="1"/>
  <c r="E359" i="51"/>
  <c r="AI358" i="51"/>
  <c r="U358" i="51"/>
  <c r="V358" i="51" s="1"/>
  <c r="Q358" i="51" a="1"/>
  <c r="Q358" i="51" s="1"/>
  <c r="O358" i="51"/>
  <c r="M358" i="51" a="1"/>
  <c r="M358" i="51" s="1"/>
  <c r="E358" i="51"/>
  <c r="AI357" i="51"/>
  <c r="U357" i="51"/>
  <c r="V357" i="51" s="1"/>
  <c r="Q357" i="51" a="1"/>
  <c r="Q357" i="51" s="1"/>
  <c r="O357" i="51"/>
  <c r="M357" i="51" a="1"/>
  <c r="M357" i="51" s="1"/>
  <c r="E357" i="51"/>
  <c r="AI356" i="51"/>
  <c r="U356" i="51"/>
  <c r="V356" i="51" s="1"/>
  <c r="Q356" i="51" a="1"/>
  <c r="Q356" i="51" s="1"/>
  <c r="O356" i="51"/>
  <c r="M356" i="51" a="1"/>
  <c r="M356" i="51" s="1"/>
  <c r="E356" i="51"/>
  <c r="AI355" i="51"/>
  <c r="U355" i="51"/>
  <c r="V355" i="51" s="1"/>
  <c r="Q355" i="51" a="1"/>
  <c r="Q355" i="51" s="1"/>
  <c r="O355" i="51"/>
  <c r="M355" i="51" a="1"/>
  <c r="M355" i="51" s="1"/>
  <c r="E355" i="51"/>
  <c r="AI354" i="51"/>
  <c r="U354" i="51"/>
  <c r="V354" i="51" s="1"/>
  <c r="Q354" i="51" a="1"/>
  <c r="Q354" i="51" s="1"/>
  <c r="O354" i="51"/>
  <c r="M354" i="51" a="1"/>
  <c r="M354" i="51" s="1"/>
  <c r="E354" i="51"/>
  <c r="AI353" i="51"/>
  <c r="U353" i="51"/>
  <c r="V353" i="51" s="1"/>
  <c r="Q353" i="51" a="1"/>
  <c r="Q353" i="51" s="1"/>
  <c r="O353" i="51"/>
  <c r="M353" i="51" a="1"/>
  <c r="M353" i="51" s="1"/>
  <c r="E353" i="51"/>
  <c r="AI352" i="51"/>
  <c r="U352" i="51"/>
  <c r="V352" i="51" s="1"/>
  <c r="Q352" i="51" a="1"/>
  <c r="Q352" i="51" s="1"/>
  <c r="O352" i="51"/>
  <c r="M352" i="51" a="1"/>
  <c r="M352" i="51" s="1"/>
  <c r="E352" i="51"/>
  <c r="AI351" i="51"/>
  <c r="U351" i="51"/>
  <c r="V351" i="51" s="1"/>
  <c r="Q351" i="51" a="1"/>
  <c r="Q351" i="51" s="1"/>
  <c r="O351" i="51"/>
  <c r="M351" i="51" a="1"/>
  <c r="M351" i="51" s="1"/>
  <c r="E351" i="51"/>
  <c r="AI350" i="51"/>
  <c r="U350" i="51"/>
  <c r="V350" i="51" s="1"/>
  <c r="Q350" i="51" a="1"/>
  <c r="Q350" i="51" s="1"/>
  <c r="O350" i="51"/>
  <c r="M350" i="51" a="1"/>
  <c r="M350" i="51" s="1"/>
  <c r="E350" i="51"/>
  <c r="AI349" i="51"/>
  <c r="U349" i="51"/>
  <c r="V349" i="51" s="1"/>
  <c r="Q349" i="51" a="1"/>
  <c r="Q349" i="51" s="1"/>
  <c r="O349" i="51"/>
  <c r="M349" i="51" a="1"/>
  <c r="M349" i="51" s="1"/>
  <c r="E349" i="51"/>
  <c r="AI348" i="51"/>
  <c r="U348" i="51"/>
  <c r="V348" i="51" s="1"/>
  <c r="Q348" i="51" a="1"/>
  <c r="Q348" i="51" s="1"/>
  <c r="O348" i="51"/>
  <c r="M348" i="51" a="1"/>
  <c r="M348" i="51" s="1"/>
  <c r="E348" i="51"/>
  <c r="AI347" i="51"/>
  <c r="U347" i="51"/>
  <c r="V347" i="51" s="1"/>
  <c r="Q347" i="51" a="1"/>
  <c r="Q347" i="51" s="1"/>
  <c r="O347" i="51"/>
  <c r="M347" i="51" a="1"/>
  <c r="M347" i="51" s="1"/>
  <c r="E347" i="51"/>
  <c r="AI346" i="51"/>
  <c r="U346" i="51"/>
  <c r="V346" i="51" s="1"/>
  <c r="Q346" i="51" a="1"/>
  <c r="Q346" i="51" s="1"/>
  <c r="O346" i="51"/>
  <c r="M346" i="51" a="1"/>
  <c r="M346" i="51" s="1"/>
  <c r="E346" i="51"/>
  <c r="AI345" i="51"/>
  <c r="U345" i="51"/>
  <c r="V345" i="51" s="1"/>
  <c r="Q345" i="51" a="1"/>
  <c r="Q345" i="51" s="1"/>
  <c r="O345" i="51"/>
  <c r="M345" i="51" a="1"/>
  <c r="M345" i="51" s="1"/>
  <c r="E345" i="51"/>
  <c r="AI344" i="51"/>
  <c r="U344" i="51"/>
  <c r="V344" i="51" s="1"/>
  <c r="Q344" i="51" a="1"/>
  <c r="Q344" i="51" s="1"/>
  <c r="O344" i="51"/>
  <c r="M344" i="51" a="1"/>
  <c r="M344" i="51" s="1"/>
  <c r="E344" i="51"/>
  <c r="AI343" i="51"/>
  <c r="U343" i="51"/>
  <c r="V343" i="51" s="1"/>
  <c r="Q343" i="51" a="1"/>
  <c r="Q343" i="51" s="1"/>
  <c r="O343" i="51"/>
  <c r="M343" i="51" a="1"/>
  <c r="M343" i="51" s="1"/>
  <c r="E343" i="51"/>
  <c r="AI342" i="51"/>
  <c r="U342" i="51"/>
  <c r="V342" i="51" s="1"/>
  <c r="Q342" i="51" a="1"/>
  <c r="Q342" i="51" s="1"/>
  <c r="O342" i="51"/>
  <c r="M342" i="51" a="1"/>
  <c r="M342" i="51" s="1"/>
  <c r="E342" i="51"/>
  <c r="AI341" i="51"/>
  <c r="U341" i="51"/>
  <c r="V341" i="51" s="1"/>
  <c r="Q341" i="51" a="1"/>
  <c r="Q341" i="51" s="1"/>
  <c r="O341" i="51"/>
  <c r="M341" i="51" a="1"/>
  <c r="M341" i="51" s="1"/>
  <c r="E341" i="51"/>
  <c r="AI340" i="51"/>
  <c r="U340" i="51"/>
  <c r="V340" i="51" s="1"/>
  <c r="Q340" i="51" a="1"/>
  <c r="Q340" i="51" s="1"/>
  <c r="M340" i="51" a="1"/>
  <c r="M340" i="51" s="1"/>
  <c r="E340" i="51"/>
  <c r="AI339" i="51"/>
  <c r="U339" i="51"/>
  <c r="V339" i="51" s="1"/>
  <c r="Q339" i="51" a="1"/>
  <c r="Q339" i="51" s="1"/>
  <c r="M339" i="51" a="1"/>
  <c r="M339" i="51" s="1"/>
  <c r="E339" i="51"/>
  <c r="AI338" i="51"/>
  <c r="U338" i="51"/>
  <c r="V338" i="51" s="1"/>
  <c r="Q338" i="51" a="1"/>
  <c r="Q338" i="51" s="1"/>
  <c r="M338" i="51" a="1"/>
  <c r="M338" i="51" s="1"/>
  <c r="E338" i="51"/>
  <c r="AI337" i="51"/>
  <c r="U337" i="51"/>
  <c r="V337" i="51" s="1"/>
  <c r="Q337" i="51" a="1"/>
  <c r="Q337" i="51" s="1"/>
  <c r="O337" i="51"/>
  <c r="M337" i="51" a="1"/>
  <c r="M337" i="51" s="1"/>
  <c r="E337" i="51"/>
  <c r="AI336" i="51"/>
  <c r="U336" i="51"/>
  <c r="V336" i="51" s="1"/>
  <c r="Q336" i="51" a="1"/>
  <c r="Q336" i="51" s="1"/>
  <c r="M336" i="51" a="1"/>
  <c r="M336" i="51" s="1"/>
  <c r="E336" i="51"/>
  <c r="AI335" i="51"/>
  <c r="U335" i="51"/>
  <c r="V335" i="51" s="1"/>
  <c r="Q335" i="51" a="1"/>
  <c r="Q335" i="51" s="1"/>
  <c r="M335" i="51" a="1"/>
  <c r="M335" i="51" s="1"/>
  <c r="E335" i="51"/>
  <c r="AI334" i="51"/>
  <c r="U334" i="51"/>
  <c r="V334" i="51" s="1"/>
  <c r="Q334" i="51" a="1"/>
  <c r="Q334" i="51" s="1"/>
  <c r="O334" i="51"/>
  <c r="M334" i="51" a="1"/>
  <c r="M334" i="51" s="1"/>
  <c r="E334" i="51"/>
  <c r="AI333" i="51"/>
  <c r="U333" i="51"/>
  <c r="V333" i="51" s="1"/>
  <c r="Q333" i="51" a="1"/>
  <c r="Q333" i="51" s="1"/>
  <c r="O333" i="51"/>
  <c r="M333" i="51" a="1"/>
  <c r="M333" i="51" s="1"/>
  <c r="E333" i="51"/>
  <c r="AI332" i="51"/>
  <c r="U332" i="51"/>
  <c r="V332" i="51" s="1"/>
  <c r="Q332" i="51" a="1"/>
  <c r="Q332" i="51" s="1"/>
  <c r="M332" i="51" a="1"/>
  <c r="M332" i="51" s="1"/>
  <c r="E332" i="51"/>
  <c r="AI331" i="51"/>
  <c r="U331" i="51"/>
  <c r="V331" i="51" s="1"/>
  <c r="Q331" i="51" a="1"/>
  <c r="Q331" i="51" s="1"/>
  <c r="M331" i="51" a="1"/>
  <c r="M331" i="51" s="1"/>
  <c r="E331" i="51"/>
  <c r="AI330" i="51"/>
  <c r="U330" i="51"/>
  <c r="V330" i="51" s="1"/>
  <c r="Q330" i="51" a="1"/>
  <c r="Q330" i="51" s="1"/>
  <c r="M330" i="51" a="1"/>
  <c r="M330" i="51" s="1"/>
  <c r="E330" i="51"/>
  <c r="AI329" i="51"/>
  <c r="U329" i="51"/>
  <c r="V329" i="51" s="1"/>
  <c r="Q329" i="51" a="1"/>
  <c r="Q329" i="51" s="1"/>
  <c r="M329" i="51" a="1"/>
  <c r="M329" i="51" s="1"/>
  <c r="E329" i="51"/>
  <c r="AI328" i="51"/>
  <c r="U328" i="51"/>
  <c r="V328" i="51" s="1"/>
  <c r="Q328" i="51" a="1"/>
  <c r="Q328" i="51" s="1"/>
  <c r="M328" i="51" a="1"/>
  <c r="M328" i="51" s="1"/>
  <c r="E328" i="51"/>
  <c r="AI327" i="51"/>
  <c r="U327" i="51"/>
  <c r="V327" i="51" s="1"/>
  <c r="Q327" i="51" a="1"/>
  <c r="Q327" i="51" s="1"/>
  <c r="M327" i="51" a="1"/>
  <c r="M327" i="51" s="1"/>
  <c r="E327" i="51"/>
  <c r="AI326" i="51"/>
  <c r="U326" i="51"/>
  <c r="V326" i="51" s="1"/>
  <c r="Q326" i="51" a="1"/>
  <c r="Q326" i="51" s="1"/>
  <c r="M326" i="51" a="1"/>
  <c r="M326" i="51" s="1"/>
  <c r="E326" i="51"/>
  <c r="AI325" i="51"/>
  <c r="U325" i="51"/>
  <c r="V325" i="51" s="1"/>
  <c r="Q325" i="51" a="1"/>
  <c r="Q325" i="51" s="1"/>
  <c r="M325" i="51" a="1"/>
  <c r="M325" i="51" s="1"/>
  <c r="E325" i="51"/>
  <c r="AI324" i="51"/>
  <c r="U324" i="51"/>
  <c r="V324" i="51" s="1"/>
  <c r="Q324" i="51" a="1"/>
  <c r="Q324" i="51" s="1"/>
  <c r="M324" i="51" a="1"/>
  <c r="M324" i="51" s="1"/>
  <c r="E324" i="51"/>
  <c r="AI323" i="51"/>
  <c r="U323" i="51"/>
  <c r="V323" i="51" s="1"/>
  <c r="Q323" i="51" a="1"/>
  <c r="Q323" i="51" s="1"/>
  <c r="M323" i="51" a="1"/>
  <c r="M323" i="51" s="1"/>
  <c r="E323" i="51"/>
  <c r="AI322" i="51"/>
  <c r="U322" i="51"/>
  <c r="V322" i="51" s="1"/>
  <c r="Q322" i="51" a="1"/>
  <c r="Q322" i="51" s="1"/>
  <c r="M322" i="51" a="1"/>
  <c r="M322" i="51" s="1"/>
  <c r="E322" i="51"/>
  <c r="AI321" i="51"/>
  <c r="U321" i="51"/>
  <c r="V321" i="51" s="1"/>
  <c r="Q321" i="51" a="1"/>
  <c r="Q321" i="51" s="1"/>
  <c r="O321" i="51"/>
  <c r="M321" i="51" a="1"/>
  <c r="M321" i="51" s="1"/>
  <c r="E321" i="51"/>
  <c r="AI320" i="51"/>
  <c r="U320" i="51"/>
  <c r="V320" i="51" s="1"/>
  <c r="Q320" i="51" a="1"/>
  <c r="Q320" i="51" s="1"/>
  <c r="M320" i="51" a="1"/>
  <c r="M320" i="51" s="1"/>
  <c r="E320" i="51"/>
  <c r="AI319" i="51"/>
  <c r="U319" i="51"/>
  <c r="V319" i="51" s="1"/>
  <c r="Q319" i="51" a="1"/>
  <c r="Q319" i="51" s="1"/>
  <c r="M319" i="51" a="1"/>
  <c r="M319" i="51" s="1"/>
  <c r="E319" i="51"/>
  <c r="AI318" i="51"/>
  <c r="U318" i="51"/>
  <c r="V318" i="51" s="1"/>
  <c r="Q318" i="51" a="1"/>
  <c r="Q318" i="51" s="1"/>
  <c r="M318" i="51" a="1"/>
  <c r="M318" i="51" s="1"/>
  <c r="E318" i="51"/>
  <c r="AI317" i="51"/>
  <c r="U317" i="51"/>
  <c r="V317" i="51" s="1"/>
  <c r="Q317" i="51" a="1"/>
  <c r="Q317" i="51" s="1"/>
  <c r="O317" i="51"/>
  <c r="M317" i="51" a="1"/>
  <c r="M317" i="51" s="1"/>
  <c r="E317" i="51"/>
  <c r="AI316" i="51"/>
  <c r="U316" i="51"/>
  <c r="V316" i="51" s="1"/>
  <c r="Q316" i="51" a="1"/>
  <c r="Q316" i="51" s="1"/>
  <c r="M316" i="51" a="1"/>
  <c r="M316" i="51" s="1"/>
  <c r="E316" i="51"/>
  <c r="AI315" i="51"/>
  <c r="U315" i="51"/>
  <c r="V315" i="51" s="1"/>
  <c r="Q315" i="51" a="1"/>
  <c r="Q315" i="51" s="1"/>
  <c r="M315" i="51" a="1"/>
  <c r="M315" i="51" s="1"/>
  <c r="E315" i="51"/>
  <c r="AI314" i="51"/>
  <c r="U314" i="51"/>
  <c r="V314" i="51" s="1"/>
  <c r="Q314" i="51" a="1"/>
  <c r="Q314" i="51" s="1"/>
  <c r="M314" i="51" a="1"/>
  <c r="M314" i="51" s="1"/>
  <c r="E314" i="51"/>
  <c r="AI313" i="51"/>
  <c r="U313" i="51"/>
  <c r="V313" i="51" s="1"/>
  <c r="Q313" i="51" a="1"/>
  <c r="Q313" i="51" s="1"/>
  <c r="M313" i="51" a="1"/>
  <c r="M313" i="51" s="1"/>
  <c r="E313" i="51"/>
  <c r="AI312" i="51"/>
  <c r="U312" i="51"/>
  <c r="V312" i="51" s="1"/>
  <c r="Q312" i="51" a="1"/>
  <c r="Q312" i="51" s="1"/>
  <c r="M312" i="51" a="1"/>
  <c r="M312" i="51" s="1"/>
  <c r="E312" i="51"/>
  <c r="AI311" i="51"/>
  <c r="U311" i="51"/>
  <c r="V311" i="51" s="1"/>
  <c r="Q311" i="51" a="1"/>
  <c r="Q311" i="51" s="1"/>
  <c r="O311" i="51"/>
  <c r="M311" i="51" a="1"/>
  <c r="M311" i="51" s="1"/>
  <c r="E311" i="51"/>
  <c r="AI310" i="51"/>
  <c r="U310" i="51"/>
  <c r="V310" i="51" s="1"/>
  <c r="Q310" i="51" a="1"/>
  <c r="Q310" i="51" s="1"/>
  <c r="M310" i="51" a="1"/>
  <c r="M310" i="51" s="1"/>
  <c r="E310" i="51"/>
  <c r="AI309" i="51"/>
  <c r="U309" i="51"/>
  <c r="V309" i="51" s="1"/>
  <c r="Q309" i="51" a="1"/>
  <c r="Q309" i="51" s="1"/>
  <c r="M309" i="51" a="1"/>
  <c r="M309" i="51" s="1"/>
  <c r="E309" i="51"/>
  <c r="AI308" i="51"/>
  <c r="U308" i="51"/>
  <c r="V308" i="51" s="1"/>
  <c r="Q308" i="51" a="1"/>
  <c r="Q308" i="51" s="1"/>
  <c r="M308" i="51" a="1"/>
  <c r="M308" i="51" s="1"/>
  <c r="E308" i="51"/>
  <c r="AI307" i="51"/>
  <c r="U307" i="51"/>
  <c r="V307" i="51" s="1"/>
  <c r="Q307" i="51" a="1"/>
  <c r="Q307" i="51" s="1"/>
  <c r="M307" i="51" a="1"/>
  <c r="M307" i="51" s="1"/>
  <c r="E307" i="51"/>
  <c r="AI306" i="51"/>
  <c r="U306" i="51"/>
  <c r="V306" i="51" s="1"/>
  <c r="Q306" i="51" a="1"/>
  <c r="Q306" i="51" s="1"/>
  <c r="M306" i="51" a="1"/>
  <c r="M306" i="51" s="1"/>
  <c r="E306" i="51"/>
  <c r="AI305" i="51"/>
  <c r="U305" i="51"/>
  <c r="V305" i="51" s="1"/>
  <c r="Q305" i="51" a="1"/>
  <c r="Q305" i="51" s="1"/>
  <c r="M305" i="51" a="1"/>
  <c r="M305" i="51" s="1"/>
  <c r="E305" i="51"/>
  <c r="AI304" i="51"/>
  <c r="U304" i="51"/>
  <c r="V304" i="51" s="1"/>
  <c r="Q304" i="51" a="1"/>
  <c r="Q304" i="51" s="1"/>
  <c r="M304" i="51" a="1"/>
  <c r="M304" i="51" s="1"/>
  <c r="E304" i="51"/>
  <c r="AI303" i="51"/>
  <c r="U303" i="51"/>
  <c r="V303" i="51" s="1"/>
  <c r="Q303" i="51" a="1"/>
  <c r="Q303" i="51" s="1"/>
  <c r="M303" i="51" a="1"/>
  <c r="M303" i="51" s="1"/>
  <c r="E303" i="51"/>
  <c r="AI302" i="51"/>
  <c r="U302" i="51"/>
  <c r="V302" i="51" s="1"/>
  <c r="Q302" i="51" a="1"/>
  <c r="Q302" i="51" s="1"/>
  <c r="O302" i="51"/>
  <c r="M302" i="51" a="1"/>
  <c r="M302" i="51" s="1"/>
  <c r="E302" i="51"/>
  <c r="AI301" i="51"/>
  <c r="U301" i="51"/>
  <c r="V301" i="51" s="1"/>
  <c r="Q301" i="51" a="1"/>
  <c r="Q301" i="51" s="1"/>
  <c r="O301" i="51"/>
  <c r="M301" i="51" a="1"/>
  <c r="M301" i="51" s="1"/>
  <c r="E301" i="51"/>
  <c r="AI300" i="51"/>
  <c r="U300" i="51"/>
  <c r="V300" i="51" s="1"/>
  <c r="Q300" i="51" a="1"/>
  <c r="Q300" i="51" s="1"/>
  <c r="M300" i="51" a="1"/>
  <c r="M300" i="51" s="1"/>
  <c r="E300" i="51"/>
  <c r="AI299" i="51"/>
  <c r="U299" i="51"/>
  <c r="V299" i="51" s="1"/>
  <c r="Q299" i="51" a="1"/>
  <c r="Q299" i="51" s="1"/>
  <c r="M299" i="51" a="1"/>
  <c r="M299" i="51" s="1"/>
  <c r="E299" i="51"/>
  <c r="AI298" i="51"/>
  <c r="U298" i="51"/>
  <c r="V298" i="51" s="1"/>
  <c r="Q298" i="51" a="1"/>
  <c r="Q298" i="51" s="1"/>
  <c r="M298" i="51" a="1"/>
  <c r="M298" i="51" s="1"/>
  <c r="E298" i="51"/>
  <c r="AI297" i="51"/>
  <c r="U297" i="51"/>
  <c r="V297" i="51" s="1"/>
  <c r="Q297" i="51" a="1"/>
  <c r="Q297" i="51" s="1"/>
  <c r="M297" i="51" a="1"/>
  <c r="M297" i="51" s="1"/>
  <c r="E297" i="51"/>
  <c r="AI296" i="51"/>
  <c r="U296" i="51"/>
  <c r="V296" i="51" s="1"/>
  <c r="Q296" i="51" a="1"/>
  <c r="Q296" i="51" s="1"/>
  <c r="M296" i="51" a="1"/>
  <c r="M296" i="51" s="1"/>
  <c r="E296" i="51"/>
  <c r="AI295" i="51"/>
  <c r="U295" i="51"/>
  <c r="V295" i="51" s="1"/>
  <c r="Q295" i="51" a="1"/>
  <c r="Q295" i="51" s="1"/>
  <c r="M295" i="51" a="1"/>
  <c r="M295" i="51" s="1"/>
  <c r="E295" i="51"/>
  <c r="AI294" i="51"/>
  <c r="U294" i="51"/>
  <c r="V294" i="51" s="1"/>
  <c r="Q294" i="51" a="1"/>
  <c r="Q294" i="51" s="1"/>
  <c r="M294" i="51" a="1"/>
  <c r="M294" i="51" s="1"/>
  <c r="E294" i="51"/>
  <c r="AI293" i="51"/>
  <c r="U293" i="51"/>
  <c r="V293" i="51" s="1"/>
  <c r="Q293" i="51" a="1"/>
  <c r="Q293" i="51" s="1"/>
  <c r="M293" i="51" a="1"/>
  <c r="M293" i="51" s="1"/>
  <c r="E293" i="51"/>
  <c r="AI292" i="51"/>
  <c r="U292" i="51"/>
  <c r="V292" i="51" s="1"/>
  <c r="Q292" i="51" a="1"/>
  <c r="Q292" i="51" s="1"/>
  <c r="M292" i="51" a="1"/>
  <c r="M292" i="51" s="1"/>
  <c r="E292" i="51"/>
  <c r="AI291" i="51"/>
  <c r="U291" i="51"/>
  <c r="V291" i="51" s="1"/>
  <c r="Q291" i="51" a="1"/>
  <c r="Q291" i="51" s="1"/>
  <c r="M291" i="51" a="1"/>
  <c r="M291" i="51" s="1"/>
  <c r="E291" i="51"/>
  <c r="AI290" i="51"/>
  <c r="U290" i="51"/>
  <c r="V290" i="51" s="1"/>
  <c r="Q290" i="51" a="1"/>
  <c r="Q290" i="51" s="1"/>
  <c r="M290" i="51" a="1"/>
  <c r="M290" i="51" s="1"/>
  <c r="E290" i="51"/>
  <c r="AI289" i="51"/>
  <c r="U289" i="51"/>
  <c r="V289" i="51" s="1"/>
  <c r="Q289" i="51" a="1"/>
  <c r="Q289" i="51" s="1"/>
  <c r="M289" i="51" a="1"/>
  <c r="M289" i="51" s="1"/>
  <c r="E289" i="51"/>
  <c r="AI288" i="51"/>
  <c r="U288" i="51"/>
  <c r="V288" i="51" s="1"/>
  <c r="Q288" i="51" a="1"/>
  <c r="Q288" i="51" s="1"/>
  <c r="M288" i="51" a="1"/>
  <c r="M288" i="51" s="1"/>
  <c r="E288" i="51"/>
  <c r="AI287" i="51"/>
  <c r="U287" i="51"/>
  <c r="V287" i="51" s="1"/>
  <c r="Q287" i="51" a="1"/>
  <c r="Q287" i="51" s="1"/>
  <c r="M287" i="51" a="1"/>
  <c r="M287" i="51" s="1"/>
  <c r="E287" i="51"/>
  <c r="AI286" i="51"/>
  <c r="U286" i="51"/>
  <c r="V286" i="51" s="1"/>
  <c r="Q286" i="51" a="1"/>
  <c r="Q286" i="51" s="1"/>
  <c r="O286" i="51"/>
  <c r="M286" i="51" a="1"/>
  <c r="M286" i="51" s="1"/>
  <c r="E286" i="51"/>
  <c r="AI285" i="51"/>
  <c r="U285" i="51"/>
  <c r="V285" i="51" s="1"/>
  <c r="Q285" i="51" a="1"/>
  <c r="Q285" i="51" s="1"/>
  <c r="M285" i="51" a="1"/>
  <c r="M285" i="51" s="1"/>
  <c r="E285" i="51"/>
  <c r="AI284" i="51"/>
  <c r="U284" i="51"/>
  <c r="V284" i="51" s="1"/>
  <c r="Q284" i="51" a="1"/>
  <c r="Q284" i="51" s="1"/>
  <c r="M284" i="51" a="1"/>
  <c r="M284" i="51" s="1"/>
  <c r="E284" i="51"/>
  <c r="AI283" i="51"/>
  <c r="U283" i="51"/>
  <c r="V283" i="51" s="1"/>
  <c r="Q283" i="51" a="1"/>
  <c r="Q283" i="51" s="1"/>
  <c r="M283" i="51" a="1"/>
  <c r="M283" i="51" s="1"/>
  <c r="E283" i="51"/>
  <c r="AI282" i="51"/>
  <c r="U282" i="51"/>
  <c r="V282" i="51" s="1"/>
  <c r="Q282" i="51" a="1"/>
  <c r="Q282" i="51" s="1"/>
  <c r="M282" i="51" a="1"/>
  <c r="M282" i="51" s="1"/>
  <c r="E282" i="51"/>
  <c r="AI281" i="51"/>
  <c r="U281" i="51"/>
  <c r="V281" i="51" s="1"/>
  <c r="Q281" i="51" a="1"/>
  <c r="Q281" i="51" s="1"/>
  <c r="M281" i="51" a="1"/>
  <c r="M281" i="51" s="1"/>
  <c r="E281" i="51"/>
  <c r="AI280" i="51"/>
  <c r="U280" i="51"/>
  <c r="V280" i="51" s="1"/>
  <c r="Q280" i="51" a="1"/>
  <c r="Q280" i="51" s="1"/>
  <c r="M280" i="51" a="1"/>
  <c r="M280" i="51" s="1"/>
  <c r="E280" i="51"/>
  <c r="AI279" i="51"/>
  <c r="U279" i="51"/>
  <c r="V279" i="51" s="1"/>
  <c r="Q279" i="51" a="1"/>
  <c r="Q279" i="51" s="1"/>
  <c r="M279" i="51" a="1"/>
  <c r="M279" i="51" s="1"/>
  <c r="E279" i="51"/>
  <c r="AI278" i="51"/>
  <c r="U278" i="51"/>
  <c r="V278" i="51" s="1"/>
  <c r="Q278" i="51" a="1"/>
  <c r="Q278" i="51" s="1"/>
  <c r="M278" i="51" a="1"/>
  <c r="M278" i="51" s="1"/>
  <c r="E278" i="51"/>
  <c r="AI277" i="51"/>
  <c r="U277" i="51"/>
  <c r="V277" i="51" s="1"/>
  <c r="Q277" i="51" a="1"/>
  <c r="Q277" i="51" s="1"/>
  <c r="M277" i="51" a="1"/>
  <c r="M277" i="51" s="1"/>
  <c r="E277" i="51"/>
  <c r="AI276" i="51"/>
  <c r="U276" i="51"/>
  <c r="V276" i="51" s="1"/>
  <c r="Q276" i="51" a="1"/>
  <c r="Q276" i="51" s="1"/>
  <c r="M276" i="51" a="1"/>
  <c r="M276" i="51" s="1"/>
  <c r="E276" i="51"/>
  <c r="AI275" i="51"/>
  <c r="U275" i="51"/>
  <c r="V275" i="51" s="1"/>
  <c r="Q275" i="51" a="1"/>
  <c r="Q275" i="51" s="1"/>
  <c r="M275" i="51" a="1"/>
  <c r="M275" i="51" s="1"/>
  <c r="E275" i="51"/>
  <c r="AI274" i="51"/>
  <c r="U274" i="51"/>
  <c r="V274" i="51" s="1"/>
  <c r="Q274" i="51" a="1"/>
  <c r="Q274" i="51" s="1"/>
  <c r="M274" i="51" a="1"/>
  <c r="M274" i="51" s="1"/>
  <c r="E274" i="51"/>
  <c r="AI273" i="51"/>
  <c r="U273" i="51"/>
  <c r="V273" i="51" s="1"/>
  <c r="Q273" i="51" a="1"/>
  <c r="Q273" i="51" s="1"/>
  <c r="M273" i="51" a="1"/>
  <c r="M273" i="51" s="1"/>
  <c r="E273" i="51"/>
  <c r="AI272" i="51"/>
  <c r="U272" i="51"/>
  <c r="V272" i="51" s="1"/>
  <c r="Q272" i="51" a="1"/>
  <c r="Q272" i="51" s="1"/>
  <c r="M272" i="51" a="1"/>
  <c r="M272" i="51" s="1"/>
  <c r="E272" i="51"/>
  <c r="AI271" i="51"/>
  <c r="U271" i="51"/>
  <c r="V271" i="51" s="1"/>
  <c r="Q271" i="51" a="1"/>
  <c r="Q271" i="51" s="1"/>
  <c r="M271" i="51" a="1"/>
  <c r="M271" i="51" s="1"/>
  <c r="E271" i="51"/>
  <c r="AI270" i="51"/>
  <c r="U270" i="51"/>
  <c r="V270" i="51" s="1"/>
  <c r="Q270" i="51" a="1"/>
  <c r="Q270" i="51" s="1"/>
  <c r="M270" i="51" a="1"/>
  <c r="M270" i="51" s="1"/>
  <c r="E270" i="51"/>
  <c r="AI269" i="51"/>
  <c r="U269" i="51"/>
  <c r="V269" i="51" s="1"/>
  <c r="Q269" i="51" a="1"/>
  <c r="Q269" i="51" s="1"/>
  <c r="M269" i="51" a="1"/>
  <c r="M269" i="51" s="1"/>
  <c r="E269" i="51"/>
  <c r="AI268" i="51"/>
  <c r="U268" i="51"/>
  <c r="V268" i="51" s="1"/>
  <c r="Q268" i="51" a="1"/>
  <c r="Q268" i="51" s="1"/>
  <c r="M268" i="51" a="1"/>
  <c r="M268" i="51" s="1"/>
  <c r="E268" i="51"/>
  <c r="AI267" i="51"/>
  <c r="U267" i="51"/>
  <c r="V267" i="51" s="1"/>
  <c r="Q267" i="51" a="1"/>
  <c r="Q267" i="51" s="1"/>
  <c r="M267" i="51" a="1"/>
  <c r="M267" i="51" s="1"/>
  <c r="E267" i="51"/>
  <c r="AI266" i="51"/>
  <c r="U266" i="51"/>
  <c r="V266" i="51" s="1"/>
  <c r="Q266" i="51" a="1"/>
  <c r="Q266" i="51" s="1"/>
  <c r="M266" i="51" a="1"/>
  <c r="M266" i="51" s="1"/>
  <c r="E266" i="51"/>
  <c r="AI265" i="51"/>
  <c r="U265" i="51"/>
  <c r="V265" i="51" s="1"/>
  <c r="Q265" i="51" a="1"/>
  <c r="Q265" i="51" s="1"/>
  <c r="M265" i="51" a="1"/>
  <c r="M265" i="51" s="1"/>
  <c r="E265" i="51"/>
  <c r="AI264" i="51"/>
  <c r="U264" i="51"/>
  <c r="V264" i="51" s="1"/>
  <c r="Q264" i="51" a="1"/>
  <c r="Q264" i="51" s="1"/>
  <c r="M264" i="51" a="1"/>
  <c r="M264" i="51" s="1"/>
  <c r="E264" i="51"/>
  <c r="AI263" i="51"/>
  <c r="U263" i="51"/>
  <c r="V263" i="51" s="1"/>
  <c r="Q263" i="51" a="1"/>
  <c r="Q263" i="51" s="1"/>
  <c r="M263" i="51" a="1"/>
  <c r="M263" i="51" s="1"/>
  <c r="E263" i="51"/>
  <c r="AI262" i="51"/>
  <c r="U262" i="51"/>
  <c r="V262" i="51" s="1"/>
  <c r="Q262" i="51" a="1"/>
  <c r="Q262" i="51" s="1"/>
  <c r="M262" i="51" a="1"/>
  <c r="M262" i="51" s="1"/>
  <c r="E262" i="51"/>
  <c r="AI261" i="51"/>
  <c r="U261" i="51"/>
  <c r="V261" i="51" s="1"/>
  <c r="Q261" i="51" a="1"/>
  <c r="Q261" i="51" s="1"/>
  <c r="M261" i="51" a="1"/>
  <c r="M261" i="51" s="1"/>
  <c r="E261" i="51"/>
  <c r="AI260" i="51"/>
  <c r="U260" i="51"/>
  <c r="V260" i="51" s="1"/>
  <c r="Q260" i="51" a="1"/>
  <c r="Q260" i="51" s="1"/>
  <c r="M260" i="51" a="1"/>
  <c r="M260" i="51" s="1"/>
  <c r="E260" i="51"/>
  <c r="AI259" i="51"/>
  <c r="U259" i="51"/>
  <c r="V259" i="51" s="1"/>
  <c r="Q259" i="51" a="1"/>
  <c r="Q259" i="51" s="1"/>
  <c r="M259" i="51" a="1"/>
  <c r="M259" i="51" s="1"/>
  <c r="E259" i="51"/>
  <c r="AI258" i="51"/>
  <c r="U258" i="51"/>
  <c r="V258" i="51" s="1"/>
  <c r="Q258" i="51" a="1"/>
  <c r="Q258" i="51" s="1"/>
  <c r="M258" i="51" a="1"/>
  <c r="M258" i="51" s="1"/>
  <c r="E258" i="51"/>
  <c r="AI257" i="51"/>
  <c r="U257" i="51"/>
  <c r="V257" i="51" s="1"/>
  <c r="Q257" i="51" a="1"/>
  <c r="Q257" i="51" s="1"/>
  <c r="M257" i="51" a="1"/>
  <c r="M257" i="51" s="1"/>
  <c r="E257" i="51"/>
  <c r="AI256" i="51"/>
  <c r="U256" i="51"/>
  <c r="V256" i="51" s="1"/>
  <c r="Q256" i="51" a="1"/>
  <c r="Q256" i="51" s="1"/>
  <c r="O256" i="51"/>
  <c r="M256" i="51" a="1"/>
  <c r="M256" i="51" s="1"/>
  <c r="E256" i="51"/>
  <c r="AI255" i="51"/>
  <c r="U255" i="51"/>
  <c r="V255" i="51" s="1"/>
  <c r="Q255" i="51" a="1"/>
  <c r="Q255" i="51" s="1"/>
  <c r="O255" i="51"/>
  <c r="M255" i="51" a="1"/>
  <c r="M255" i="51" s="1"/>
  <c r="E255" i="51"/>
  <c r="AI254" i="51"/>
  <c r="U254" i="51"/>
  <c r="V254" i="51" s="1"/>
  <c r="Q254" i="51" a="1"/>
  <c r="Q254" i="51" s="1"/>
  <c r="M254" i="51" a="1"/>
  <c r="M254" i="51" s="1"/>
  <c r="E254" i="51"/>
  <c r="AI253" i="51"/>
  <c r="U253" i="51"/>
  <c r="V253" i="51" s="1"/>
  <c r="Q253" i="51" a="1"/>
  <c r="Q253" i="51" s="1"/>
  <c r="M253" i="51" a="1"/>
  <c r="M253" i="51" s="1"/>
  <c r="E253" i="51"/>
  <c r="AI252" i="51"/>
  <c r="U252" i="51"/>
  <c r="V252" i="51" s="1"/>
  <c r="Q252" i="51" a="1"/>
  <c r="Q252" i="51" s="1"/>
  <c r="M252" i="51" a="1"/>
  <c r="M252" i="51" s="1"/>
  <c r="E252" i="51"/>
  <c r="AI251" i="51"/>
  <c r="U251" i="51"/>
  <c r="V251" i="51" s="1"/>
  <c r="Q251" i="51" a="1"/>
  <c r="Q251" i="51" s="1"/>
  <c r="M251" i="51" a="1"/>
  <c r="M251" i="51" s="1"/>
  <c r="E251" i="51"/>
  <c r="AI250" i="51"/>
  <c r="U250" i="51"/>
  <c r="V250" i="51" s="1"/>
  <c r="Q250" i="51" a="1"/>
  <c r="Q250" i="51" s="1"/>
  <c r="M250" i="51" a="1"/>
  <c r="M250" i="51" s="1"/>
  <c r="E250" i="51"/>
  <c r="AI249" i="51"/>
  <c r="U249" i="51"/>
  <c r="V249" i="51" s="1"/>
  <c r="Q249" i="51" a="1"/>
  <c r="Q249" i="51" s="1"/>
  <c r="M249" i="51" a="1"/>
  <c r="M249" i="51" s="1"/>
  <c r="E249" i="51"/>
  <c r="AI248" i="51"/>
  <c r="U248" i="51"/>
  <c r="V248" i="51" s="1"/>
  <c r="Q248" i="51" a="1"/>
  <c r="Q248" i="51" s="1"/>
  <c r="M248" i="51" a="1"/>
  <c r="M248" i="51" s="1"/>
  <c r="E248" i="51"/>
  <c r="AI247" i="51"/>
  <c r="U247" i="51"/>
  <c r="Q247" i="51" a="1"/>
  <c r="Q247" i="51" s="1"/>
  <c r="M247" i="51" a="1"/>
  <c r="M247" i="51" s="1"/>
  <c r="E247" i="51"/>
  <c r="AI246" i="51"/>
  <c r="U246" i="51"/>
  <c r="V246" i="51" s="1"/>
  <c r="Q246" i="51" a="1"/>
  <c r="Q246" i="51" s="1"/>
  <c r="M246" i="51" a="1"/>
  <c r="M246" i="51" s="1"/>
  <c r="E246" i="51"/>
  <c r="AI245" i="51"/>
  <c r="U245" i="51"/>
  <c r="V245" i="51" s="1"/>
  <c r="Q245" i="51" a="1"/>
  <c r="Q245" i="51" s="1"/>
  <c r="M245" i="51" a="1"/>
  <c r="M245" i="51" s="1"/>
  <c r="E245" i="51"/>
  <c r="AI244" i="51"/>
  <c r="U244" i="51"/>
  <c r="V244" i="51" s="1"/>
  <c r="Q244" i="51" a="1"/>
  <c r="Q244" i="51" s="1"/>
  <c r="M244" i="51" a="1"/>
  <c r="M244" i="51" s="1"/>
  <c r="E244" i="51"/>
  <c r="AI243" i="51"/>
  <c r="U243" i="51"/>
  <c r="V243" i="51" s="1"/>
  <c r="Q243" i="51" a="1"/>
  <c r="Q243" i="51" s="1"/>
  <c r="M243" i="51" a="1"/>
  <c r="M243" i="51" s="1"/>
  <c r="E243" i="51"/>
  <c r="AI242" i="51"/>
  <c r="U242" i="51"/>
  <c r="Q242" i="51" a="1"/>
  <c r="Q242" i="51" s="1"/>
  <c r="M242" i="51" a="1"/>
  <c r="M242" i="51" s="1"/>
  <c r="E242" i="51"/>
  <c r="AI241" i="51"/>
  <c r="U241" i="51"/>
  <c r="V241" i="51" s="1"/>
  <c r="Q241" i="51" a="1"/>
  <c r="Q241" i="51" s="1"/>
  <c r="M241" i="51" a="1"/>
  <c r="M241" i="51" s="1"/>
  <c r="E241" i="51"/>
  <c r="AI240" i="51"/>
  <c r="U240" i="51"/>
  <c r="V240" i="51" s="1"/>
  <c r="Q240" i="51" a="1"/>
  <c r="Q240" i="51" s="1"/>
  <c r="M240" i="51" a="1"/>
  <c r="M240" i="51" s="1"/>
  <c r="E240" i="51"/>
  <c r="AI239" i="51"/>
  <c r="U239" i="51"/>
  <c r="V239" i="51" s="1"/>
  <c r="Q239" i="51" a="1"/>
  <c r="Q239" i="51" s="1"/>
  <c r="M239" i="51" a="1"/>
  <c r="M239" i="51" s="1"/>
  <c r="E239" i="51"/>
  <c r="AI238" i="51"/>
  <c r="U238" i="51"/>
  <c r="V238" i="51" s="1"/>
  <c r="Q238" i="51" a="1"/>
  <c r="Q238" i="51" s="1"/>
  <c r="M238" i="51" a="1"/>
  <c r="M238" i="51" s="1"/>
  <c r="E238" i="51"/>
  <c r="AI237" i="51"/>
  <c r="Q237" i="51" a="1"/>
  <c r="Q237" i="51" s="1"/>
  <c r="M237" i="51" a="1"/>
  <c r="M237" i="51" s="1"/>
  <c r="E237" i="51"/>
  <c r="AI236" i="51"/>
  <c r="Q236" i="51" a="1"/>
  <c r="Q236" i="51" s="1"/>
  <c r="M236" i="51" a="1"/>
  <c r="M236" i="51" s="1"/>
  <c r="E236" i="51"/>
  <c r="AI235" i="51"/>
  <c r="Q235" i="51" a="1"/>
  <c r="Q235" i="51" s="1"/>
  <c r="M235" i="51" a="1"/>
  <c r="M235" i="51" s="1"/>
  <c r="E235" i="51"/>
  <c r="AI234" i="51"/>
  <c r="Q234" i="51" a="1"/>
  <c r="Q234" i="51" s="1"/>
  <c r="M234" i="51" a="1"/>
  <c r="M234" i="51" s="1"/>
  <c r="E234" i="51"/>
  <c r="AI233" i="51"/>
  <c r="Q233" i="51" a="1"/>
  <c r="Q233" i="51" s="1"/>
  <c r="M233" i="51" a="1"/>
  <c r="M233" i="51" s="1"/>
  <c r="E233" i="51"/>
  <c r="AI232" i="51"/>
  <c r="Q232" i="51" a="1"/>
  <c r="Q232" i="51" s="1"/>
  <c r="M232" i="51" a="1"/>
  <c r="M232" i="51" s="1"/>
  <c r="E232" i="51"/>
  <c r="AI231" i="51"/>
  <c r="Q231" i="51" a="1"/>
  <c r="Q231" i="51" s="1"/>
  <c r="M231" i="51" a="1"/>
  <c r="M231" i="51" s="1"/>
  <c r="E231" i="51"/>
  <c r="AI230" i="51"/>
  <c r="Q230" i="51" a="1"/>
  <c r="Q230" i="51" s="1"/>
  <c r="M230" i="51" a="1"/>
  <c r="M230" i="51" s="1"/>
  <c r="E230" i="51"/>
  <c r="AI229" i="51"/>
  <c r="Q229" i="51" a="1"/>
  <c r="Q229" i="51" s="1"/>
  <c r="M229" i="51" a="1"/>
  <c r="M229" i="51" s="1"/>
  <c r="E229" i="51"/>
  <c r="AI228" i="51"/>
  <c r="Q228" i="51" a="1"/>
  <c r="Q228" i="51" s="1"/>
  <c r="M228" i="51" a="1"/>
  <c r="M228" i="51" s="1"/>
  <c r="E228" i="51"/>
  <c r="AI227" i="51"/>
  <c r="Q227" i="51" a="1"/>
  <c r="Q227" i="51" s="1"/>
  <c r="M227" i="51" a="1"/>
  <c r="M227" i="51" s="1"/>
  <c r="E227" i="51"/>
  <c r="AI226" i="51"/>
  <c r="Q226" i="51" a="1"/>
  <c r="Q226" i="51" s="1"/>
  <c r="M226" i="51" a="1"/>
  <c r="M226" i="51" s="1"/>
  <c r="E226" i="51"/>
  <c r="AI225" i="51"/>
  <c r="Q225" i="51" a="1"/>
  <c r="Q225" i="51" s="1"/>
  <c r="M225" i="51" a="1"/>
  <c r="M225" i="51" s="1"/>
  <c r="E225" i="51"/>
  <c r="AI224" i="51"/>
  <c r="Q224" i="51" a="1"/>
  <c r="Q224" i="51" s="1"/>
  <c r="M224" i="51" a="1"/>
  <c r="M224" i="51" s="1"/>
  <c r="E224" i="51"/>
  <c r="AI223" i="51"/>
  <c r="Q223" i="51" a="1"/>
  <c r="Q223" i="51" s="1"/>
  <c r="M223" i="51" a="1"/>
  <c r="M223" i="51" s="1"/>
  <c r="E223" i="51"/>
  <c r="AI222" i="51"/>
  <c r="Q222" i="51" a="1"/>
  <c r="Q222" i="51" s="1"/>
  <c r="M222" i="51" a="1"/>
  <c r="M222" i="51" s="1"/>
  <c r="E222" i="51"/>
  <c r="AI221" i="51"/>
  <c r="Q221" i="51" a="1"/>
  <c r="Q221" i="51" s="1"/>
  <c r="M221" i="51" a="1"/>
  <c r="M221" i="51" s="1"/>
  <c r="E221" i="51"/>
  <c r="AI220" i="51"/>
  <c r="Q220" i="51" a="1"/>
  <c r="Q220" i="51" s="1"/>
  <c r="M220" i="51" a="1"/>
  <c r="M220" i="51" s="1"/>
  <c r="E220" i="51"/>
  <c r="AI219" i="51"/>
  <c r="Q219" i="51" a="1"/>
  <c r="Q219" i="51" s="1"/>
  <c r="M219" i="51" a="1"/>
  <c r="M219" i="51" s="1"/>
  <c r="E219" i="51"/>
  <c r="AI218" i="51"/>
  <c r="Q218" i="51" a="1"/>
  <c r="Q218" i="51" s="1"/>
  <c r="M218" i="51" a="1"/>
  <c r="M218" i="51" s="1"/>
  <c r="E218" i="51"/>
  <c r="AI217" i="51"/>
  <c r="Q217" i="51" a="1"/>
  <c r="Q217" i="51" s="1"/>
  <c r="M217" i="51" a="1"/>
  <c r="M217" i="51" s="1"/>
  <c r="E217" i="51"/>
  <c r="AI216" i="51"/>
  <c r="Q216" i="51" a="1"/>
  <c r="Q216" i="51" s="1"/>
  <c r="M216" i="51" a="1"/>
  <c r="M216" i="51" s="1"/>
  <c r="E216" i="51"/>
  <c r="AI215" i="51"/>
  <c r="Q215" i="51" a="1"/>
  <c r="Q215" i="51" s="1"/>
  <c r="M215" i="51" a="1"/>
  <c r="M215" i="51" s="1"/>
  <c r="E215" i="51"/>
  <c r="AI214" i="51"/>
  <c r="Q214" i="51" a="1"/>
  <c r="Q214" i="51" s="1"/>
  <c r="M214" i="51" a="1"/>
  <c r="M214" i="51" s="1"/>
  <c r="E214" i="51"/>
  <c r="AI213" i="51"/>
  <c r="Q213" i="51" a="1"/>
  <c r="Q213" i="51" s="1"/>
  <c r="M213" i="51" a="1"/>
  <c r="M213" i="51" s="1"/>
  <c r="E213" i="51"/>
  <c r="AI212" i="51"/>
  <c r="Q212" i="51" a="1"/>
  <c r="Q212" i="51" s="1"/>
  <c r="M212" i="51" a="1"/>
  <c r="M212" i="51" s="1"/>
  <c r="E212" i="51"/>
  <c r="AI211" i="51"/>
  <c r="Q211" i="51" a="1"/>
  <c r="Q211" i="51" s="1"/>
  <c r="M211" i="51" a="1"/>
  <c r="M211" i="51" s="1"/>
  <c r="E211" i="51"/>
  <c r="AI210" i="51"/>
  <c r="Q210" i="51" a="1"/>
  <c r="Q210" i="51" s="1"/>
  <c r="M210" i="51" a="1"/>
  <c r="M210" i="51" s="1"/>
  <c r="E210" i="51"/>
  <c r="AI209" i="51"/>
  <c r="Q209" i="51" a="1"/>
  <c r="Q209" i="51" s="1"/>
  <c r="M209" i="51" a="1"/>
  <c r="M209" i="51" s="1"/>
  <c r="E209" i="51"/>
  <c r="AI208" i="51"/>
  <c r="U208" i="51"/>
  <c r="V208" i="51" s="1"/>
  <c r="Q208" i="51" a="1"/>
  <c r="Q208" i="51" s="1"/>
  <c r="M208" i="51" a="1"/>
  <c r="M208" i="51" s="1"/>
  <c r="E208" i="51"/>
  <c r="AI207" i="51"/>
  <c r="Q207" i="51" a="1"/>
  <c r="Q207" i="51" s="1"/>
  <c r="M207" i="51" a="1"/>
  <c r="M207" i="51" s="1"/>
  <c r="E207" i="51"/>
  <c r="AI206" i="51"/>
  <c r="Q206" i="51" a="1"/>
  <c r="Q206" i="51" s="1"/>
  <c r="M206" i="51" a="1"/>
  <c r="M206" i="51" s="1"/>
  <c r="E206" i="51"/>
  <c r="AI205" i="51"/>
  <c r="Q205" i="51" a="1"/>
  <c r="Q205" i="51" s="1"/>
  <c r="M205" i="51" a="1"/>
  <c r="M205" i="51" s="1"/>
  <c r="E205" i="51"/>
  <c r="AI204" i="51"/>
  <c r="Q204" i="51" a="1"/>
  <c r="Q204" i="51" s="1"/>
  <c r="M204" i="51" a="1"/>
  <c r="M204" i="51" s="1"/>
  <c r="E204" i="51"/>
  <c r="AI203" i="51"/>
  <c r="Q203" i="51" a="1"/>
  <c r="Q203" i="51" s="1"/>
  <c r="M203" i="51" a="1"/>
  <c r="M203" i="51" s="1"/>
  <c r="E203" i="51"/>
  <c r="AI202" i="51"/>
  <c r="Q202" i="51" a="1"/>
  <c r="Q202" i="51" s="1"/>
  <c r="M202" i="51" a="1"/>
  <c r="M202" i="51" s="1"/>
  <c r="E202" i="51"/>
  <c r="AI201" i="51"/>
  <c r="Q201" i="51" a="1"/>
  <c r="Q201" i="51" s="1"/>
  <c r="M201" i="51" a="1"/>
  <c r="M201" i="51" s="1"/>
  <c r="E201" i="51"/>
  <c r="AI200" i="51"/>
  <c r="Q200" i="51" a="1"/>
  <c r="Q200" i="51" s="1"/>
  <c r="M200" i="51" a="1"/>
  <c r="M200" i="51" s="1"/>
  <c r="E200" i="51"/>
  <c r="AI199" i="51"/>
  <c r="Q199" i="51" a="1"/>
  <c r="Q199" i="51" s="1"/>
  <c r="M199" i="51" a="1"/>
  <c r="M199" i="51" s="1"/>
  <c r="E199" i="51"/>
  <c r="AI198" i="51"/>
  <c r="Q198" i="51" a="1"/>
  <c r="Q198" i="51" s="1"/>
  <c r="M198" i="51" a="1"/>
  <c r="M198" i="51" s="1"/>
  <c r="E198" i="51"/>
  <c r="AI197" i="51"/>
  <c r="Q197" i="51" a="1"/>
  <c r="Q197" i="51" s="1"/>
  <c r="M197" i="51" a="1"/>
  <c r="M197" i="51" s="1"/>
  <c r="E197" i="51"/>
  <c r="AI196" i="51"/>
  <c r="Q196" i="51" a="1"/>
  <c r="Q196" i="51" s="1"/>
  <c r="M196" i="51" a="1"/>
  <c r="M196" i="51" s="1"/>
  <c r="E196" i="51"/>
  <c r="AI195" i="51"/>
  <c r="Q195" i="51" a="1"/>
  <c r="Q195" i="51" s="1"/>
  <c r="M195" i="51" a="1"/>
  <c r="M195" i="51" s="1"/>
  <c r="E195" i="51"/>
  <c r="AI194" i="51"/>
  <c r="Q194" i="51" a="1"/>
  <c r="Q194" i="51" s="1"/>
  <c r="M194" i="51" a="1"/>
  <c r="M194" i="51" s="1"/>
  <c r="E194" i="51"/>
  <c r="AI193" i="51"/>
  <c r="Q193" i="51" a="1"/>
  <c r="Q193" i="51" s="1"/>
  <c r="M193" i="51" a="1"/>
  <c r="M193" i="51" s="1"/>
  <c r="E193" i="51"/>
  <c r="AI192" i="51"/>
  <c r="Q192" i="51" a="1"/>
  <c r="Q192" i="51" s="1"/>
  <c r="M192" i="51" a="1"/>
  <c r="M192" i="51" s="1"/>
  <c r="E192" i="51"/>
  <c r="AI191" i="51"/>
  <c r="Q191" i="51" a="1"/>
  <c r="Q191" i="51" s="1"/>
  <c r="M191" i="51" a="1"/>
  <c r="M191" i="51" s="1"/>
  <c r="E191" i="51"/>
  <c r="AI190" i="51"/>
  <c r="Q190" i="51" a="1"/>
  <c r="Q190" i="51" s="1"/>
  <c r="M190" i="51" a="1"/>
  <c r="M190" i="51" s="1"/>
  <c r="E190" i="51"/>
  <c r="AI189" i="51"/>
  <c r="Q189" i="51" a="1"/>
  <c r="Q189" i="51" s="1"/>
  <c r="M189" i="51" a="1"/>
  <c r="M189" i="51" s="1"/>
  <c r="E189" i="51"/>
  <c r="AI188" i="51"/>
  <c r="Q188" i="51" a="1"/>
  <c r="Q188" i="51" s="1"/>
  <c r="M188" i="51" a="1"/>
  <c r="M188" i="51" s="1"/>
  <c r="E188" i="51"/>
  <c r="AI187" i="51"/>
  <c r="Q187" i="51" a="1"/>
  <c r="Q187" i="51" s="1"/>
  <c r="M187" i="51" a="1"/>
  <c r="M187" i="51" s="1"/>
  <c r="E187" i="51"/>
  <c r="AI186" i="51"/>
  <c r="Q186" i="51" a="1"/>
  <c r="Q186" i="51" s="1"/>
  <c r="M186" i="51" a="1"/>
  <c r="M186" i="51" s="1"/>
  <c r="E186" i="51"/>
  <c r="AI185" i="51"/>
  <c r="Q185" i="51" a="1"/>
  <c r="Q185" i="51" s="1"/>
  <c r="M185" i="51" a="1"/>
  <c r="M185" i="51" s="1"/>
  <c r="E185" i="51"/>
  <c r="AI184" i="51"/>
  <c r="Q184" i="51" a="1"/>
  <c r="Q184" i="51" s="1"/>
  <c r="M184" i="51" a="1"/>
  <c r="M184" i="51" s="1"/>
  <c r="E184" i="51"/>
  <c r="AI183" i="51"/>
  <c r="Q183" i="51" a="1"/>
  <c r="Q183" i="51" s="1"/>
  <c r="M183" i="51" a="1"/>
  <c r="M183" i="51" s="1"/>
  <c r="E183" i="51"/>
  <c r="AI182" i="51"/>
  <c r="Q182" i="51" a="1"/>
  <c r="Q182" i="51" s="1"/>
  <c r="M182" i="51" a="1"/>
  <c r="M182" i="51" s="1"/>
  <c r="E182" i="51"/>
  <c r="AI181" i="51"/>
  <c r="Q181" i="51" a="1"/>
  <c r="Q181" i="51" s="1"/>
  <c r="M181" i="51" a="1"/>
  <c r="M181" i="51" s="1"/>
  <c r="E181" i="51"/>
  <c r="AI180" i="51"/>
  <c r="Q180" i="51" a="1"/>
  <c r="Q180" i="51" s="1"/>
  <c r="M180" i="51" a="1"/>
  <c r="M180" i="51" s="1"/>
  <c r="E180" i="51"/>
  <c r="AI179" i="51"/>
  <c r="Q179" i="51" a="1"/>
  <c r="Q179" i="51" s="1"/>
  <c r="M179" i="51" a="1"/>
  <c r="M179" i="51" s="1"/>
  <c r="E179" i="51"/>
  <c r="AI178" i="51"/>
  <c r="Q178" i="51" a="1"/>
  <c r="Q178" i="51" s="1"/>
  <c r="M178" i="51" a="1"/>
  <c r="M178" i="51" s="1"/>
  <c r="E178" i="51"/>
  <c r="AI177" i="51"/>
  <c r="Q177" i="51" a="1"/>
  <c r="Q177" i="51" s="1"/>
  <c r="M177" i="51" a="1"/>
  <c r="M177" i="51" s="1"/>
  <c r="E177" i="51"/>
  <c r="AI176" i="51"/>
  <c r="Q176" i="51" a="1"/>
  <c r="Q176" i="51" s="1"/>
  <c r="M176" i="51" a="1"/>
  <c r="M176" i="51" s="1"/>
  <c r="E176" i="51"/>
  <c r="AI175" i="51"/>
  <c r="Q175" i="51" a="1"/>
  <c r="Q175" i="51" s="1"/>
  <c r="M175" i="51" a="1"/>
  <c r="M175" i="51" s="1"/>
  <c r="E175" i="51"/>
  <c r="AI174" i="51"/>
  <c r="Q174" i="51" a="1"/>
  <c r="Q174" i="51" s="1"/>
  <c r="M174" i="51" a="1"/>
  <c r="M174" i="51" s="1"/>
  <c r="E174" i="51"/>
  <c r="AI173" i="51"/>
  <c r="Q173" i="51" a="1"/>
  <c r="Q173" i="51" s="1"/>
  <c r="M173" i="51" a="1"/>
  <c r="M173" i="51" s="1"/>
  <c r="E173" i="51"/>
  <c r="AI172" i="51"/>
  <c r="U172" i="51"/>
  <c r="V172" i="51" s="1"/>
  <c r="Q172" i="51" a="1"/>
  <c r="Q172" i="51" s="1"/>
  <c r="M172" i="51" a="1"/>
  <c r="M172" i="51" s="1"/>
  <c r="E172" i="51"/>
  <c r="AI171" i="51"/>
  <c r="Q171" i="51" a="1"/>
  <c r="Q171" i="51" s="1"/>
  <c r="M171" i="51" a="1"/>
  <c r="M171" i="51" s="1"/>
  <c r="E171" i="51"/>
  <c r="AI170" i="51"/>
  <c r="Q170" i="51" a="1"/>
  <c r="Q170" i="51" s="1"/>
  <c r="M170" i="51" a="1"/>
  <c r="M170" i="51" s="1"/>
  <c r="E170" i="51"/>
  <c r="AI169" i="51"/>
  <c r="Q169" i="51" a="1"/>
  <c r="Q169" i="51" s="1"/>
  <c r="M169" i="51" a="1"/>
  <c r="M169" i="51" s="1"/>
  <c r="E169" i="51"/>
  <c r="AI168" i="51"/>
  <c r="Q168" i="51" a="1"/>
  <c r="Q168" i="51" s="1"/>
  <c r="M168" i="51" a="1"/>
  <c r="M168" i="51" s="1"/>
  <c r="E168" i="51"/>
  <c r="AI167" i="51"/>
  <c r="Q167" i="51" a="1"/>
  <c r="Q167" i="51" s="1"/>
  <c r="M167" i="51" a="1"/>
  <c r="M167" i="51" s="1"/>
  <c r="E167" i="51"/>
  <c r="AI166" i="51"/>
  <c r="Q166" i="51" a="1"/>
  <c r="Q166" i="51" s="1"/>
  <c r="M166" i="51" a="1"/>
  <c r="M166" i="51" s="1"/>
  <c r="E166" i="51"/>
  <c r="AI165" i="51"/>
  <c r="Q165" i="51" a="1"/>
  <c r="Q165" i="51" s="1"/>
  <c r="M165" i="51" a="1"/>
  <c r="M165" i="51" s="1"/>
  <c r="E165" i="51"/>
  <c r="AI164" i="51"/>
  <c r="Q164" i="51" a="1"/>
  <c r="Q164" i="51" s="1"/>
  <c r="M164" i="51" a="1"/>
  <c r="M164" i="51" s="1"/>
  <c r="E164" i="51"/>
  <c r="AI163" i="51"/>
  <c r="Q163" i="51" a="1"/>
  <c r="Q163" i="51" s="1"/>
  <c r="M163" i="51" a="1"/>
  <c r="M163" i="51" s="1"/>
  <c r="E163" i="51"/>
  <c r="AI162" i="51"/>
  <c r="Q162" i="51" a="1"/>
  <c r="Q162" i="51" s="1"/>
  <c r="M162" i="51" a="1"/>
  <c r="M162" i="51" s="1"/>
  <c r="E162" i="51"/>
  <c r="AI161" i="51"/>
  <c r="Q161" i="51" a="1"/>
  <c r="Q161" i="51" s="1"/>
  <c r="M161" i="51" a="1"/>
  <c r="M161" i="51" s="1"/>
  <c r="E161" i="51"/>
  <c r="AI160" i="51"/>
  <c r="Q160" i="51" a="1"/>
  <c r="Q160" i="51" s="1"/>
  <c r="M160" i="51" a="1"/>
  <c r="M160" i="51" s="1"/>
  <c r="E160" i="51"/>
  <c r="AI159" i="51"/>
  <c r="Q159" i="51" a="1"/>
  <c r="Q159" i="51" s="1"/>
  <c r="M159" i="51" a="1"/>
  <c r="M159" i="51" s="1"/>
  <c r="E159" i="51"/>
  <c r="AI158" i="51"/>
  <c r="Q158" i="51" a="1"/>
  <c r="Q158" i="51" s="1"/>
  <c r="M158" i="51" a="1"/>
  <c r="M158" i="51" s="1"/>
  <c r="E158" i="51"/>
  <c r="AI157" i="51"/>
  <c r="Q157" i="51" a="1"/>
  <c r="Q157" i="51" s="1"/>
  <c r="M157" i="51" a="1"/>
  <c r="M157" i="51" s="1"/>
  <c r="E157" i="51"/>
  <c r="AI156" i="51"/>
  <c r="Q156" i="51" a="1"/>
  <c r="Q156" i="51" s="1"/>
  <c r="M156" i="51" a="1"/>
  <c r="M156" i="51" s="1"/>
  <c r="E156" i="51"/>
  <c r="AI155" i="51"/>
  <c r="Q155" i="51" a="1"/>
  <c r="Q155" i="51" s="1"/>
  <c r="M155" i="51" a="1"/>
  <c r="M155" i="51" s="1"/>
  <c r="E155" i="51"/>
  <c r="AI154" i="51"/>
  <c r="Q154" i="51" a="1"/>
  <c r="Q154" i="51" s="1"/>
  <c r="M154" i="51" a="1"/>
  <c r="M154" i="51" s="1"/>
  <c r="E154" i="51"/>
  <c r="AI153" i="51"/>
  <c r="Q153" i="51" a="1"/>
  <c r="Q153" i="51" s="1"/>
  <c r="M153" i="51" a="1"/>
  <c r="M153" i="51" s="1"/>
  <c r="E153" i="51"/>
  <c r="AI152" i="51"/>
  <c r="Q152" i="51" a="1"/>
  <c r="Q152" i="51" s="1"/>
  <c r="M152" i="51" a="1"/>
  <c r="M152" i="51" s="1"/>
  <c r="E152" i="51"/>
  <c r="AI151" i="51"/>
  <c r="Q151" i="51" a="1"/>
  <c r="Q151" i="51" s="1"/>
  <c r="M151" i="51" a="1"/>
  <c r="M151" i="51" s="1"/>
  <c r="E151" i="51"/>
  <c r="AI150" i="51"/>
  <c r="Q150" i="51" a="1"/>
  <c r="Q150" i="51" s="1"/>
  <c r="M150" i="51" a="1"/>
  <c r="M150" i="51" s="1"/>
  <c r="E150" i="51"/>
  <c r="AI149" i="51"/>
  <c r="Q149" i="51" a="1"/>
  <c r="Q149" i="51" s="1"/>
  <c r="M149" i="51" a="1"/>
  <c r="M149" i="51" s="1"/>
  <c r="E149" i="51"/>
  <c r="AI148" i="51"/>
  <c r="Q148" i="51" a="1"/>
  <c r="Q148" i="51" s="1"/>
  <c r="M148" i="51" a="1"/>
  <c r="M148" i="51" s="1"/>
  <c r="E148" i="51"/>
  <c r="AI147" i="51"/>
  <c r="Q147" i="51" a="1"/>
  <c r="Q147" i="51" s="1"/>
  <c r="M147" i="51" a="1"/>
  <c r="M147" i="51" s="1"/>
  <c r="E147" i="51"/>
  <c r="AI146" i="51"/>
  <c r="Q146" i="51" a="1"/>
  <c r="Q146" i="51" s="1"/>
  <c r="M146" i="51" a="1"/>
  <c r="M146" i="51" s="1"/>
  <c r="E146" i="51"/>
  <c r="AI145" i="51"/>
  <c r="Q145" i="51" a="1"/>
  <c r="Q145" i="51" s="1"/>
  <c r="M145" i="51" a="1"/>
  <c r="M145" i="51" s="1"/>
  <c r="E145" i="51"/>
  <c r="AI144" i="51"/>
  <c r="Q144" i="51" a="1"/>
  <c r="Q144" i="51" s="1"/>
  <c r="M144" i="51" a="1"/>
  <c r="M144" i="51" s="1"/>
  <c r="E144" i="51"/>
  <c r="AI143" i="51"/>
  <c r="Q143" i="51" a="1"/>
  <c r="Q143" i="51" s="1"/>
  <c r="M143" i="51" a="1"/>
  <c r="M143" i="51" s="1"/>
  <c r="E143" i="51"/>
  <c r="AI142" i="51"/>
  <c r="Q142" i="51" a="1"/>
  <c r="Q142" i="51" s="1"/>
  <c r="M142" i="51" a="1"/>
  <c r="M142" i="51" s="1"/>
  <c r="E142" i="51"/>
  <c r="AI141" i="51"/>
  <c r="Q141" i="51" a="1"/>
  <c r="Q141" i="51" s="1"/>
  <c r="M141" i="51" a="1"/>
  <c r="M141" i="51" s="1"/>
  <c r="E141" i="51"/>
  <c r="AI140" i="51"/>
  <c r="Q140" i="51" a="1"/>
  <c r="Q140" i="51" s="1"/>
  <c r="M140" i="51" a="1"/>
  <c r="M140" i="51" s="1"/>
  <c r="E140" i="51"/>
  <c r="AI139" i="51"/>
  <c r="Q139" i="51" a="1"/>
  <c r="Q139" i="51" s="1"/>
  <c r="M139" i="51" a="1"/>
  <c r="M139" i="51" s="1"/>
  <c r="E139" i="51"/>
  <c r="AI138" i="51"/>
  <c r="Q138" i="51" a="1"/>
  <c r="Q138" i="51" s="1"/>
  <c r="M138" i="51" a="1"/>
  <c r="M138" i="51" s="1"/>
  <c r="E138" i="51"/>
  <c r="AI137" i="51"/>
  <c r="Q137" i="51" a="1"/>
  <c r="Q137" i="51" s="1"/>
  <c r="M137" i="51" a="1"/>
  <c r="M137" i="51" s="1"/>
  <c r="E137" i="51"/>
  <c r="AI136" i="51"/>
  <c r="Q136" i="51" a="1"/>
  <c r="Q136" i="51" s="1"/>
  <c r="M136" i="51" a="1"/>
  <c r="M136" i="51" s="1"/>
  <c r="E136" i="51"/>
  <c r="AI135" i="51"/>
  <c r="Q135" i="51" a="1"/>
  <c r="Q135" i="51" s="1"/>
  <c r="M135" i="51" a="1"/>
  <c r="M135" i="51" s="1"/>
  <c r="E135" i="51"/>
  <c r="AI134" i="51"/>
  <c r="Q134" i="51" a="1"/>
  <c r="Q134" i="51" s="1"/>
  <c r="M134" i="51" a="1"/>
  <c r="M134" i="51" s="1"/>
  <c r="E134" i="51"/>
  <c r="AI133" i="51"/>
  <c r="Q133" i="51" a="1"/>
  <c r="Q133" i="51" s="1"/>
  <c r="M133" i="51" a="1"/>
  <c r="M133" i="51" s="1"/>
  <c r="E133" i="51"/>
  <c r="AI132" i="51"/>
  <c r="Q132" i="51" a="1"/>
  <c r="Q132" i="51" s="1"/>
  <c r="M132" i="51" a="1"/>
  <c r="M132" i="51" s="1"/>
  <c r="E132" i="51"/>
  <c r="AI131" i="51"/>
  <c r="Q131" i="51" a="1"/>
  <c r="Q131" i="51" s="1"/>
  <c r="M131" i="51" a="1"/>
  <c r="M131" i="51" s="1"/>
  <c r="E131" i="51"/>
  <c r="AI130" i="51"/>
  <c r="Q130" i="51" a="1"/>
  <c r="Q130" i="51" s="1"/>
  <c r="M130" i="51" a="1"/>
  <c r="M130" i="51" s="1"/>
  <c r="E130" i="51"/>
  <c r="AI129" i="51"/>
  <c r="Q129" i="51" a="1"/>
  <c r="Q129" i="51" s="1"/>
  <c r="M129" i="51" a="1"/>
  <c r="M129" i="51" s="1"/>
  <c r="E129" i="51"/>
  <c r="AI128" i="51"/>
  <c r="Q128" i="51" a="1"/>
  <c r="Q128" i="51" s="1"/>
  <c r="M128" i="51" a="1"/>
  <c r="M128" i="51" s="1"/>
  <c r="E128" i="51"/>
  <c r="AI127" i="51"/>
  <c r="Q127" i="51" a="1"/>
  <c r="Q127" i="51" s="1"/>
  <c r="M127" i="51" a="1"/>
  <c r="M127" i="51" s="1"/>
  <c r="E127" i="51"/>
  <c r="AI126" i="51"/>
  <c r="Q126" i="51" a="1"/>
  <c r="Q126" i="51" s="1"/>
  <c r="M126" i="51" a="1"/>
  <c r="M126" i="51" s="1"/>
  <c r="E126" i="51"/>
  <c r="AI125" i="51"/>
  <c r="Q125" i="51" a="1"/>
  <c r="Q125" i="51" s="1"/>
  <c r="M125" i="51" a="1"/>
  <c r="M125" i="51" s="1"/>
  <c r="E125" i="51"/>
  <c r="AI124" i="51"/>
  <c r="Q124" i="51" a="1"/>
  <c r="Q124" i="51" s="1"/>
  <c r="M124" i="51" a="1"/>
  <c r="M124" i="51" s="1"/>
  <c r="E124" i="51"/>
  <c r="AI123" i="51"/>
  <c r="Q123" i="51" a="1"/>
  <c r="Q123" i="51" s="1"/>
  <c r="M123" i="51" a="1"/>
  <c r="M123" i="51" s="1"/>
  <c r="E123" i="51"/>
  <c r="AI122" i="51"/>
  <c r="Q122" i="51" a="1"/>
  <c r="Q122" i="51" s="1"/>
  <c r="M122" i="51" a="1"/>
  <c r="M122" i="51" s="1"/>
  <c r="E122" i="51"/>
  <c r="AI121" i="51"/>
  <c r="Q121" i="51" a="1"/>
  <c r="Q121" i="51" s="1"/>
  <c r="M121" i="51" a="1"/>
  <c r="M121" i="51" s="1"/>
  <c r="E121" i="51"/>
  <c r="AI120" i="51"/>
  <c r="Q120" i="51" a="1"/>
  <c r="Q120" i="51" s="1"/>
  <c r="M120" i="51" a="1"/>
  <c r="M120" i="51" s="1"/>
  <c r="E120" i="51"/>
  <c r="AI119" i="51"/>
  <c r="Q119" i="51" a="1"/>
  <c r="Q119" i="51" s="1"/>
  <c r="M119" i="51" a="1"/>
  <c r="M119" i="51" s="1"/>
  <c r="E119" i="51"/>
  <c r="AI118" i="51"/>
  <c r="Q118" i="51" a="1"/>
  <c r="Q118" i="51" s="1"/>
  <c r="M118" i="51" a="1"/>
  <c r="M118" i="51" s="1"/>
  <c r="E118" i="51"/>
  <c r="AI117" i="51"/>
  <c r="Q117" i="51" a="1"/>
  <c r="Q117" i="51" s="1"/>
  <c r="M117" i="51" a="1"/>
  <c r="M117" i="51" s="1"/>
  <c r="E117" i="51"/>
  <c r="AI116" i="51"/>
  <c r="Q116" i="51" a="1"/>
  <c r="Q116" i="51" s="1"/>
  <c r="M116" i="51" a="1"/>
  <c r="M116" i="51" s="1"/>
  <c r="E116" i="51"/>
  <c r="AI115" i="51"/>
  <c r="Q115" i="51" a="1"/>
  <c r="Q115" i="51" s="1"/>
  <c r="M115" i="51" a="1"/>
  <c r="M115" i="51" s="1"/>
  <c r="E115" i="51"/>
  <c r="AI114" i="51"/>
  <c r="Q114" i="51" a="1"/>
  <c r="Q114" i="51" s="1"/>
  <c r="M114" i="51" a="1"/>
  <c r="M114" i="51" s="1"/>
  <c r="E114" i="51"/>
  <c r="AI113" i="51"/>
  <c r="Q113" i="51" a="1"/>
  <c r="Q113" i="51" s="1"/>
  <c r="M113" i="51" a="1"/>
  <c r="M113" i="51" s="1"/>
  <c r="E113" i="51"/>
  <c r="AI112" i="51"/>
  <c r="Q112" i="51" a="1"/>
  <c r="Q112" i="51" s="1"/>
  <c r="M112" i="51" a="1"/>
  <c r="M112" i="51" s="1"/>
  <c r="E112" i="51"/>
  <c r="AI111" i="51"/>
  <c r="Q111" i="51" a="1"/>
  <c r="Q111" i="51" s="1"/>
  <c r="M111" i="51" a="1"/>
  <c r="M111" i="51" s="1"/>
  <c r="E111" i="51"/>
  <c r="AI110" i="51"/>
  <c r="Q110" i="51" a="1"/>
  <c r="Q110" i="51" s="1"/>
  <c r="M110" i="51" a="1"/>
  <c r="M110" i="51" s="1"/>
  <c r="E110" i="51"/>
  <c r="AI109" i="51"/>
  <c r="Q109" i="51" a="1"/>
  <c r="Q109" i="51" s="1"/>
  <c r="M109" i="51" a="1"/>
  <c r="M109" i="51" s="1"/>
  <c r="E109" i="51"/>
  <c r="AI108" i="51"/>
  <c r="Q108" i="51" a="1"/>
  <c r="Q108" i="51" s="1"/>
  <c r="M108" i="51" a="1"/>
  <c r="M108" i="51" s="1"/>
  <c r="E108" i="51"/>
  <c r="AI107" i="51"/>
  <c r="Q107" i="51" a="1"/>
  <c r="Q107" i="51" s="1"/>
  <c r="M107" i="51" a="1"/>
  <c r="M107" i="51" s="1"/>
  <c r="E107" i="51"/>
  <c r="AI106" i="51"/>
  <c r="Q106" i="51" a="1"/>
  <c r="Q106" i="51" s="1"/>
  <c r="M106" i="51" a="1"/>
  <c r="M106" i="51" s="1"/>
  <c r="E106" i="51"/>
  <c r="AI105" i="51"/>
  <c r="Q105" i="51" a="1"/>
  <c r="Q105" i="51" s="1"/>
  <c r="M105" i="51" a="1"/>
  <c r="M105" i="51" s="1"/>
  <c r="E105" i="51"/>
  <c r="AI104" i="51"/>
  <c r="Q104" i="51" a="1"/>
  <c r="Q104" i="51" s="1"/>
  <c r="M104" i="51" a="1"/>
  <c r="M104" i="51" s="1"/>
  <c r="E104" i="51"/>
  <c r="AI103" i="51"/>
  <c r="V103" i="51"/>
  <c r="Q103" i="51" a="1"/>
  <c r="Q103" i="51" s="1"/>
  <c r="M103" i="51" a="1"/>
  <c r="M103" i="51" s="1"/>
  <c r="E103" i="51"/>
  <c r="AI102" i="51"/>
  <c r="Q102" i="51" a="1"/>
  <c r="Q102" i="51" s="1"/>
  <c r="M102" i="51" a="1"/>
  <c r="M102" i="51" s="1"/>
  <c r="E102" i="51"/>
  <c r="AI101" i="51"/>
  <c r="Q101" i="51" a="1"/>
  <c r="Q101" i="51" s="1"/>
  <c r="M101" i="51" a="1"/>
  <c r="M101" i="51" s="1"/>
  <c r="E101" i="51"/>
  <c r="AI100" i="51"/>
  <c r="Q100" i="51" a="1"/>
  <c r="Q100" i="51" s="1"/>
  <c r="M100" i="51" a="1"/>
  <c r="M100" i="51" s="1"/>
  <c r="E100" i="51"/>
  <c r="AI99" i="51"/>
  <c r="Q99" i="51" a="1"/>
  <c r="Q99" i="51" s="1"/>
  <c r="M99" i="51" a="1"/>
  <c r="M99" i="51" s="1"/>
  <c r="E99" i="51"/>
  <c r="AI98" i="51"/>
  <c r="Q98" i="51" a="1"/>
  <c r="Q98" i="51" s="1"/>
  <c r="M98" i="51" a="1"/>
  <c r="M98" i="51" s="1"/>
  <c r="E98" i="51"/>
  <c r="AI97" i="51"/>
  <c r="Q97" i="51" a="1"/>
  <c r="Q97" i="51" s="1"/>
  <c r="M97" i="51" a="1"/>
  <c r="M97" i="51" s="1"/>
  <c r="E97" i="51"/>
  <c r="AI96" i="51"/>
  <c r="Q96" i="51" a="1"/>
  <c r="Q96" i="51" s="1"/>
  <c r="M96" i="51" a="1"/>
  <c r="M96" i="51" s="1"/>
  <c r="E96" i="51"/>
  <c r="AI95" i="51"/>
  <c r="Q95" i="51" a="1"/>
  <c r="Q95" i="51" s="1"/>
  <c r="M95" i="51" a="1"/>
  <c r="M95" i="51" s="1"/>
  <c r="E95" i="51"/>
  <c r="AI94" i="51"/>
  <c r="Q94" i="51" a="1"/>
  <c r="Q94" i="51" s="1"/>
  <c r="M94" i="51" a="1"/>
  <c r="M94" i="51" s="1"/>
  <c r="E94" i="51"/>
  <c r="AI93" i="51"/>
  <c r="Q93" i="51" a="1"/>
  <c r="Q93" i="51" s="1"/>
  <c r="M93" i="51" a="1"/>
  <c r="M93" i="51" s="1"/>
  <c r="E93" i="51"/>
  <c r="AI92" i="51"/>
  <c r="Q92" i="51" a="1"/>
  <c r="Q92" i="51" s="1"/>
  <c r="M92" i="51" a="1"/>
  <c r="M92" i="51" s="1"/>
  <c r="E92" i="51"/>
  <c r="AI91" i="51"/>
  <c r="Q91" i="51" a="1"/>
  <c r="Q91" i="51" s="1"/>
  <c r="M91" i="51" a="1"/>
  <c r="M91" i="51" s="1"/>
  <c r="E91" i="51"/>
  <c r="AI90" i="51"/>
  <c r="Q90" i="51" a="1"/>
  <c r="Q90" i="51" s="1"/>
  <c r="M90" i="51" a="1"/>
  <c r="M90" i="51" s="1"/>
  <c r="E90" i="51"/>
  <c r="AI89" i="51"/>
  <c r="U89" i="51"/>
  <c r="V89" i="51" s="1"/>
  <c r="Q89" i="51" a="1"/>
  <c r="Q89" i="51" s="1"/>
  <c r="M89" i="51" a="1"/>
  <c r="M89" i="51" s="1"/>
  <c r="E89" i="51"/>
  <c r="AI88" i="51"/>
  <c r="Q88" i="51" a="1"/>
  <c r="Q88" i="51" s="1"/>
  <c r="M88" i="51" a="1"/>
  <c r="M88" i="51" s="1"/>
  <c r="E88" i="51"/>
  <c r="AI87" i="51"/>
  <c r="Q87" i="51" a="1"/>
  <c r="Q87" i="51" s="1"/>
  <c r="M87" i="51" a="1"/>
  <c r="M87" i="51" s="1"/>
  <c r="E87" i="51"/>
  <c r="AI86" i="51"/>
  <c r="Q86" i="51" a="1"/>
  <c r="Q86" i="51" s="1"/>
  <c r="M86" i="51" a="1"/>
  <c r="M86" i="51" s="1"/>
  <c r="E86" i="51"/>
  <c r="AI85" i="51"/>
  <c r="Q85" i="51" a="1"/>
  <c r="Q85" i="51" s="1"/>
  <c r="M85" i="51" a="1"/>
  <c r="M85" i="51" s="1"/>
  <c r="E85" i="51"/>
  <c r="AI84" i="51"/>
  <c r="Q84" i="51" a="1"/>
  <c r="Q84" i="51" s="1"/>
  <c r="M84" i="51" a="1"/>
  <c r="M84" i="51" s="1"/>
  <c r="E84" i="51"/>
  <c r="AI83" i="51"/>
  <c r="Q83" i="51" a="1"/>
  <c r="Q83" i="51" s="1"/>
  <c r="M83" i="51" a="1"/>
  <c r="M83" i="51" s="1"/>
  <c r="E83" i="51"/>
  <c r="AI82" i="51"/>
  <c r="Q82" i="51" a="1"/>
  <c r="Q82" i="51" s="1"/>
  <c r="M82" i="51" a="1"/>
  <c r="M82" i="51" s="1"/>
  <c r="E82" i="51"/>
  <c r="AI81" i="51"/>
  <c r="Q81" i="51" a="1"/>
  <c r="Q81" i="51" s="1"/>
  <c r="M81" i="51" a="1"/>
  <c r="M81" i="51" s="1"/>
  <c r="E81" i="51"/>
  <c r="AI80" i="51"/>
  <c r="Q80" i="51" a="1"/>
  <c r="Q80" i="51" s="1"/>
  <c r="M80" i="51" a="1"/>
  <c r="M80" i="51" s="1"/>
  <c r="E80" i="51"/>
  <c r="AI79" i="51"/>
  <c r="Q79" i="51" a="1"/>
  <c r="Q79" i="51" s="1"/>
  <c r="M79" i="51" a="1"/>
  <c r="M79" i="51" s="1"/>
  <c r="E79" i="51"/>
  <c r="AI78" i="51"/>
  <c r="Q78" i="51" a="1"/>
  <c r="Q78" i="51" s="1"/>
  <c r="M78" i="51" a="1"/>
  <c r="M78" i="51" s="1"/>
  <c r="E78" i="51"/>
  <c r="AI77" i="51"/>
  <c r="Q77" i="51" a="1"/>
  <c r="Q77" i="51" s="1"/>
  <c r="M77" i="51" a="1"/>
  <c r="M77" i="51" s="1"/>
  <c r="E77" i="51"/>
  <c r="AI76" i="51"/>
  <c r="Q76" i="51" a="1"/>
  <c r="Q76" i="51" s="1"/>
  <c r="M76" i="51" a="1"/>
  <c r="M76" i="51" s="1"/>
  <c r="E76" i="51"/>
  <c r="AI75" i="51"/>
  <c r="Q75" i="51" a="1"/>
  <c r="Q75" i="51" s="1"/>
  <c r="M75" i="51" a="1"/>
  <c r="M75" i="51" s="1"/>
  <c r="E75" i="51"/>
  <c r="AI74" i="51"/>
  <c r="Q74" i="51" a="1"/>
  <c r="Q74" i="51" s="1"/>
  <c r="M74" i="51" a="1"/>
  <c r="M74" i="51" s="1"/>
  <c r="E74" i="51"/>
  <c r="AI73" i="51"/>
  <c r="Q73" i="51" a="1"/>
  <c r="Q73" i="51" s="1"/>
  <c r="M73" i="51" a="1"/>
  <c r="M73" i="51" s="1"/>
  <c r="E73" i="51"/>
  <c r="AI72" i="51"/>
  <c r="Q72" i="51" a="1"/>
  <c r="Q72" i="51" s="1"/>
  <c r="M72" i="51" a="1"/>
  <c r="M72" i="51" s="1"/>
  <c r="E72" i="51"/>
  <c r="AI71" i="51"/>
  <c r="Q71" i="51" a="1"/>
  <c r="Q71" i="51" s="1"/>
  <c r="M71" i="51" a="1"/>
  <c r="M71" i="51" s="1"/>
  <c r="E71" i="51"/>
  <c r="AI70" i="51"/>
  <c r="Q70" i="51" a="1"/>
  <c r="Q70" i="51" s="1"/>
  <c r="M70" i="51" a="1"/>
  <c r="M70" i="51" s="1"/>
  <c r="E70" i="51"/>
  <c r="AI69" i="51"/>
  <c r="Q69" i="51" a="1"/>
  <c r="Q69" i="51" s="1"/>
  <c r="M69" i="51" a="1"/>
  <c r="M69" i="51" s="1"/>
  <c r="E69" i="51"/>
  <c r="AI68" i="51"/>
  <c r="Q68" i="51" a="1"/>
  <c r="Q68" i="51" s="1"/>
  <c r="M68" i="51" a="1"/>
  <c r="M68" i="51" s="1"/>
  <c r="E68" i="51"/>
  <c r="AI67" i="51"/>
  <c r="Q67" i="51" a="1"/>
  <c r="Q67" i="51" s="1"/>
  <c r="M67" i="51" a="1"/>
  <c r="M67" i="51" s="1"/>
  <c r="E67" i="51"/>
  <c r="AI66" i="51"/>
  <c r="Q66" i="51" a="1"/>
  <c r="Q66" i="51" s="1"/>
  <c r="M66" i="51" a="1"/>
  <c r="M66" i="51" s="1"/>
  <c r="E66" i="51"/>
  <c r="AI65" i="51"/>
  <c r="Q65" i="51" a="1"/>
  <c r="Q65" i="51" s="1"/>
  <c r="M65" i="51" a="1"/>
  <c r="M65" i="51" s="1"/>
  <c r="E65" i="51"/>
  <c r="AI64" i="51"/>
  <c r="Q64" i="51" a="1"/>
  <c r="Q64" i="51" s="1"/>
  <c r="M64" i="51" a="1"/>
  <c r="M64" i="51" s="1"/>
  <c r="E64" i="51"/>
  <c r="AI63" i="51"/>
  <c r="Q63" i="51" a="1"/>
  <c r="Q63" i="51" s="1"/>
  <c r="M63" i="51" a="1"/>
  <c r="M63" i="51" s="1"/>
  <c r="E63" i="51"/>
  <c r="AI62" i="51"/>
  <c r="Q62" i="51" a="1"/>
  <c r="Q62" i="51" s="1"/>
  <c r="M62" i="51" a="1"/>
  <c r="M62" i="51" s="1"/>
  <c r="E62" i="51"/>
  <c r="AI61" i="51"/>
  <c r="Q61" i="51" a="1"/>
  <c r="Q61" i="51" s="1"/>
  <c r="M61" i="51" a="1"/>
  <c r="M61" i="51" s="1"/>
  <c r="E61" i="51"/>
  <c r="AI60" i="51"/>
  <c r="Q60" i="51" a="1"/>
  <c r="Q60" i="51" s="1"/>
  <c r="M60" i="51" a="1"/>
  <c r="M60" i="51" s="1"/>
  <c r="E60" i="51"/>
  <c r="AI59" i="51"/>
  <c r="Q59" i="51" a="1"/>
  <c r="Q59" i="51" s="1"/>
  <c r="M59" i="51" a="1"/>
  <c r="M59" i="51" s="1"/>
  <c r="E59" i="51"/>
  <c r="AI58" i="51"/>
  <c r="Q58" i="51" a="1"/>
  <c r="Q58" i="51" s="1"/>
  <c r="M58" i="51" a="1"/>
  <c r="M58" i="51" s="1"/>
  <c r="E58" i="51"/>
  <c r="AI57" i="51"/>
  <c r="Q57" i="51" a="1"/>
  <c r="Q57" i="51" s="1"/>
  <c r="M57" i="51" a="1"/>
  <c r="M57" i="51" s="1"/>
  <c r="E57" i="51"/>
  <c r="AI56" i="51"/>
  <c r="Q56" i="51" a="1"/>
  <c r="Q56" i="51" s="1"/>
  <c r="M56" i="51" a="1"/>
  <c r="M56" i="51" s="1"/>
  <c r="E56" i="51"/>
  <c r="AI55" i="51"/>
  <c r="Q55" i="51" a="1"/>
  <c r="Q55" i="51" s="1"/>
  <c r="M55" i="51" a="1"/>
  <c r="M55" i="51" s="1"/>
  <c r="E55" i="51"/>
  <c r="AI54" i="51"/>
  <c r="Q54" i="51" a="1"/>
  <c r="Q54" i="51" s="1"/>
  <c r="M54" i="51" a="1"/>
  <c r="M54" i="51" s="1"/>
  <c r="E54" i="51"/>
  <c r="AI53" i="51"/>
  <c r="Q53" i="51" a="1"/>
  <c r="Q53" i="51" s="1"/>
  <c r="M53" i="51" a="1"/>
  <c r="M53" i="51" s="1"/>
  <c r="E53" i="51"/>
  <c r="AI52" i="51"/>
  <c r="Q52" i="51" a="1"/>
  <c r="Q52" i="51" s="1"/>
  <c r="M52" i="51" a="1"/>
  <c r="M52" i="51" s="1"/>
  <c r="E52" i="51"/>
  <c r="AI51" i="51"/>
  <c r="Q51" i="51" a="1"/>
  <c r="Q51" i="51" s="1"/>
  <c r="M51" i="51" a="1"/>
  <c r="M51" i="51" s="1"/>
  <c r="E51" i="51"/>
  <c r="AI50" i="51"/>
  <c r="Q50" i="51" a="1"/>
  <c r="Q50" i="51" s="1"/>
  <c r="M50" i="51" a="1"/>
  <c r="M50" i="51" s="1"/>
  <c r="E50" i="51"/>
  <c r="AI49" i="51"/>
  <c r="Q49" i="51" a="1"/>
  <c r="Q49" i="51" s="1"/>
  <c r="M49" i="51" a="1"/>
  <c r="M49" i="51" s="1"/>
  <c r="E49" i="51"/>
  <c r="AI48" i="51"/>
  <c r="Q48" i="51" a="1"/>
  <c r="Q48" i="51" s="1"/>
  <c r="M48" i="51" a="1"/>
  <c r="M48" i="51" s="1"/>
  <c r="E48" i="51"/>
  <c r="AI47" i="51"/>
  <c r="Q47" i="51" a="1"/>
  <c r="Q47" i="51" s="1"/>
  <c r="M47" i="51" a="1"/>
  <c r="M47" i="51" s="1"/>
  <c r="E47" i="51"/>
  <c r="AI46" i="51"/>
  <c r="Q46" i="51" a="1"/>
  <c r="Q46" i="51" s="1"/>
  <c r="M46" i="51" a="1"/>
  <c r="M46" i="51" s="1"/>
  <c r="E46" i="51"/>
  <c r="AI45" i="51"/>
  <c r="Q45" i="51" a="1"/>
  <c r="Q45" i="51" s="1"/>
  <c r="M45" i="51" a="1"/>
  <c r="M45" i="51" s="1"/>
  <c r="E45" i="51"/>
  <c r="AI44" i="51"/>
  <c r="Q44" i="51" a="1"/>
  <c r="Q44" i="51" s="1"/>
  <c r="M44" i="51" a="1"/>
  <c r="M44" i="51" s="1"/>
  <c r="E44" i="51"/>
  <c r="AI43" i="51"/>
  <c r="Q43" i="51" a="1"/>
  <c r="Q43" i="51" s="1"/>
  <c r="M43" i="51" a="1"/>
  <c r="M43" i="51" s="1"/>
  <c r="E43" i="51"/>
  <c r="AI42" i="51"/>
  <c r="Q42" i="51" a="1"/>
  <c r="Q42" i="51" s="1"/>
  <c r="M42" i="51" a="1"/>
  <c r="M42" i="51" s="1"/>
  <c r="E42" i="51"/>
  <c r="AI41" i="51"/>
  <c r="Q41" i="51" a="1"/>
  <c r="Q41" i="51" s="1"/>
  <c r="M41" i="51" a="1"/>
  <c r="M41" i="51" s="1"/>
  <c r="E41" i="51"/>
  <c r="AI40" i="51"/>
  <c r="Q40" i="51" a="1"/>
  <c r="Q40" i="51" s="1"/>
  <c r="M40" i="51" a="1"/>
  <c r="M40" i="51" s="1"/>
  <c r="E40" i="51"/>
  <c r="AI39" i="51"/>
  <c r="Q39" i="51" a="1"/>
  <c r="Q39" i="51" s="1"/>
  <c r="M39" i="51" a="1"/>
  <c r="M39" i="51" s="1"/>
  <c r="E39" i="51"/>
  <c r="AI38" i="51"/>
  <c r="Q38" i="51" a="1"/>
  <c r="Q38" i="51" s="1"/>
  <c r="M38" i="51" a="1"/>
  <c r="M38" i="51" s="1"/>
  <c r="E38" i="51"/>
  <c r="AI37" i="51"/>
  <c r="Q37" i="51" a="1"/>
  <c r="Q37" i="51" s="1"/>
  <c r="M37" i="51" a="1"/>
  <c r="M37" i="51" s="1"/>
  <c r="E37" i="51"/>
  <c r="AI36" i="51"/>
  <c r="Q36" i="51" a="1"/>
  <c r="Q36" i="51" s="1"/>
  <c r="M36" i="51" a="1"/>
  <c r="M36" i="51" s="1"/>
  <c r="E36" i="51"/>
  <c r="AI35" i="51"/>
  <c r="Q35" i="51" a="1"/>
  <c r="Q35" i="51" s="1"/>
  <c r="M35" i="51" a="1"/>
  <c r="M35" i="51" s="1"/>
  <c r="E35" i="51"/>
  <c r="AI34" i="51"/>
  <c r="Q34" i="51" a="1"/>
  <c r="Q34" i="51" s="1"/>
  <c r="M34" i="51" a="1"/>
  <c r="M34" i="51" s="1"/>
  <c r="E34" i="51"/>
  <c r="AI33" i="51"/>
  <c r="Q33" i="51" a="1"/>
  <c r="Q33" i="51" s="1"/>
  <c r="M33" i="51" a="1"/>
  <c r="M33" i="51" s="1"/>
  <c r="E33" i="51"/>
  <c r="AI32" i="51"/>
  <c r="Q32" i="51" a="1"/>
  <c r="Q32" i="51" s="1"/>
  <c r="M32" i="51" a="1"/>
  <c r="M32" i="51" s="1"/>
  <c r="E32" i="51"/>
  <c r="AI31" i="51"/>
  <c r="Q31" i="51" a="1"/>
  <c r="Q31" i="51" s="1"/>
  <c r="M31" i="51" a="1"/>
  <c r="M31" i="51" s="1"/>
  <c r="E31" i="51"/>
  <c r="AI30" i="51"/>
  <c r="Q30" i="51" a="1"/>
  <c r="Q30" i="51" s="1"/>
  <c r="M30" i="51" a="1"/>
  <c r="M30" i="51" s="1"/>
  <c r="E30" i="51"/>
  <c r="AI29" i="51"/>
  <c r="Q29" i="51" a="1"/>
  <c r="Q29" i="51" s="1"/>
  <c r="M29" i="51" a="1"/>
  <c r="M29" i="51" s="1"/>
  <c r="E29" i="51"/>
  <c r="AI28" i="51"/>
  <c r="Q28" i="51" a="1"/>
  <c r="Q28" i="51" s="1"/>
  <c r="M28" i="51" a="1"/>
  <c r="M28" i="51" s="1"/>
  <c r="E28" i="51"/>
  <c r="AI27" i="51"/>
  <c r="Q27" i="51" a="1"/>
  <c r="Q27" i="51" s="1"/>
  <c r="M27" i="51" a="1"/>
  <c r="M27" i="51" s="1"/>
  <c r="E27" i="51"/>
  <c r="AI26" i="51"/>
  <c r="Q26" i="51" a="1"/>
  <c r="Q26" i="51" s="1"/>
  <c r="M26" i="51" a="1"/>
  <c r="M26" i="51" s="1"/>
  <c r="E26" i="51"/>
  <c r="AI25" i="51"/>
  <c r="Q25" i="51" a="1"/>
  <c r="Q25" i="51" s="1"/>
  <c r="M25" i="51" a="1"/>
  <c r="M25" i="51" s="1"/>
  <c r="E25" i="51"/>
  <c r="AI24" i="51"/>
  <c r="Q24" i="51" a="1"/>
  <c r="Q24" i="51" s="1"/>
  <c r="M24" i="51" a="1"/>
  <c r="M24" i="51" s="1"/>
  <c r="E24" i="51"/>
  <c r="AI23" i="51"/>
  <c r="Q23" i="51" a="1"/>
  <c r="Q23" i="51" s="1"/>
  <c r="M23" i="51" a="1"/>
  <c r="M23" i="51" s="1"/>
  <c r="E23" i="51"/>
  <c r="AI22" i="51"/>
  <c r="U22" i="51"/>
  <c r="V22" i="51" s="1"/>
  <c r="Q22" i="51" a="1"/>
  <c r="Q22" i="51" s="1"/>
  <c r="M22" i="51" a="1"/>
  <c r="M22" i="51" s="1"/>
  <c r="E22" i="51"/>
  <c r="AI21" i="51"/>
  <c r="Q21" i="51" a="1"/>
  <c r="Q21" i="51" s="1"/>
  <c r="M21" i="51" a="1"/>
  <c r="M21" i="51" s="1"/>
  <c r="E21" i="51"/>
  <c r="AI20" i="51"/>
  <c r="Q20" i="51" a="1"/>
  <c r="Q20" i="51" s="1"/>
  <c r="M20" i="51" a="1"/>
  <c r="M20" i="51" s="1"/>
  <c r="E20" i="51"/>
  <c r="AI19" i="51"/>
  <c r="Q19" i="51" a="1"/>
  <c r="Q19" i="51" s="1"/>
  <c r="M19" i="51" a="1"/>
  <c r="M19" i="51" s="1"/>
  <c r="E19" i="51"/>
  <c r="AI18" i="51"/>
  <c r="Q18" i="51" a="1"/>
  <c r="Q18" i="51" s="1"/>
  <c r="M18" i="51" a="1"/>
  <c r="M18" i="51" s="1"/>
  <c r="E18" i="51"/>
  <c r="AI17" i="51"/>
  <c r="Q17" i="51" a="1"/>
  <c r="Q17" i="51" s="1"/>
  <c r="M17" i="51" a="1"/>
  <c r="M17" i="51" s="1"/>
  <c r="E17" i="51"/>
  <c r="AI16" i="51"/>
  <c r="Q16" i="51" a="1"/>
  <c r="Q16" i="51" s="1"/>
  <c r="M16" i="51" a="1"/>
  <c r="M16" i="51" s="1"/>
  <c r="E16" i="51"/>
  <c r="AI15" i="51"/>
  <c r="Q15" i="51" a="1"/>
  <c r="Q15" i="51" s="1"/>
  <c r="M15" i="51" a="1"/>
  <c r="M15" i="51" s="1"/>
  <c r="E15" i="51"/>
  <c r="AI14" i="51"/>
  <c r="Q14" i="51" a="1"/>
  <c r="Q14" i="51" s="1"/>
  <c r="M14" i="51" a="1"/>
  <c r="M14" i="51" s="1"/>
  <c r="E14" i="51"/>
  <c r="AI13" i="51"/>
  <c r="Q13" i="51" a="1"/>
  <c r="Q13" i="51" s="1"/>
  <c r="M13" i="51" a="1"/>
  <c r="M13" i="51" s="1"/>
  <c r="E13" i="51"/>
  <c r="AI12" i="51"/>
  <c r="Q12" i="51" a="1"/>
  <c r="Q12" i="51" s="1"/>
  <c r="M12" i="51" a="1"/>
  <c r="M12" i="51" s="1"/>
  <c r="E12" i="51"/>
  <c r="AI11" i="51"/>
  <c r="Q11" i="51" a="1"/>
  <c r="Q11" i="51" s="1"/>
  <c r="M11" i="51" a="1"/>
  <c r="M11" i="51" s="1"/>
  <c r="E11" i="51"/>
  <c r="AI10" i="51"/>
  <c r="Q10" i="51" a="1"/>
  <c r="Q10" i="51" s="1"/>
  <c r="E10" i="51"/>
  <c r="AI9" i="51"/>
  <c r="Q9" i="51" a="1"/>
  <c r="Q9" i="51" s="1"/>
  <c r="M9" i="51" a="1"/>
  <c r="M9" i="51" s="1"/>
  <c r="E9" i="51"/>
  <c r="AI8" i="51"/>
  <c r="V8" i="51"/>
  <c r="Q8" i="51" a="1"/>
  <c r="Q8" i="51" s="1"/>
  <c r="M8" i="51" a="1"/>
  <c r="M8" i="51" s="1"/>
  <c r="E8" i="51"/>
  <c r="AI7" i="51"/>
  <c r="Q7" i="51" a="1"/>
  <c r="Q7" i="51" s="1"/>
  <c r="M7" i="51" a="1"/>
  <c r="M7" i="51" s="1"/>
  <c r="E7" i="51"/>
  <c r="F3" i="51"/>
  <c r="O117" i="51" s="1"/>
  <c r="G17" i="5"/>
  <c r="Y41" i="38" s="1"/>
  <c r="AE23" i="57"/>
  <c r="AE21" i="57"/>
  <c r="E48" i="59"/>
  <c r="AE29" i="57"/>
  <c r="AE11" i="57"/>
  <c r="AD15" i="57"/>
  <c r="AE15" i="57"/>
  <c r="AA18" i="57"/>
  <c r="AD26" i="57" s="1"/>
  <c r="AE26" i="57"/>
  <c r="X30" i="57"/>
  <c r="I11" i="57"/>
  <c r="J11" i="57"/>
  <c r="J15" i="57" s="1"/>
  <c r="AD11" i="57"/>
  <c r="P11" i="57"/>
  <c r="AE24" i="57"/>
  <c r="W5" i="55"/>
  <c r="U7" i="55"/>
  <c r="V7" i="55"/>
  <c r="J24" i="55"/>
  <c r="AN7" i="53"/>
  <c r="AO7" i="53" s="1"/>
  <c r="AM6" i="53"/>
  <c r="AM11" i="53" s="1"/>
  <c r="AL6" i="53"/>
  <c r="W4" i="55"/>
  <c r="X5" i="55"/>
  <c r="AN6" i="53"/>
  <c r="AN11" i="53" s="1"/>
  <c r="X4" i="55"/>
  <c r="Y5" i="55"/>
  <c r="W31" i="55"/>
  <c r="W7" i="55"/>
  <c r="X31" i="55"/>
  <c r="X7" i="55"/>
  <c r="Y4" i="55"/>
  <c r="Z5" i="55"/>
  <c r="AA5" i="55"/>
  <c r="Z4" i="55"/>
  <c r="Y31" i="55"/>
  <c r="Y7" i="55"/>
  <c r="AB5" i="55"/>
  <c r="AA4" i="55"/>
  <c r="Z31" i="55"/>
  <c r="Z7" i="55"/>
  <c r="AA31" i="55"/>
  <c r="AA7" i="55"/>
  <c r="AC5" i="55"/>
  <c r="AB4" i="55"/>
  <c r="AD5" i="55"/>
  <c r="AC4" i="55"/>
  <c r="AB31" i="55"/>
  <c r="AB7" i="55"/>
  <c r="AC31" i="55"/>
  <c r="AC7" i="55"/>
  <c r="AE5" i="55"/>
  <c r="AD4" i="55"/>
  <c r="AD31" i="55"/>
  <c r="AD7" i="55"/>
  <c r="AF5" i="55"/>
  <c r="AE4" i="55"/>
  <c r="AE31" i="55"/>
  <c r="AE7" i="55"/>
  <c r="AG5" i="55"/>
  <c r="AF4" i="55"/>
  <c r="AF31" i="55"/>
  <c r="AF7" i="55"/>
  <c r="AH5" i="55"/>
  <c r="AG4" i="55"/>
  <c r="AG31" i="55"/>
  <c r="AG7" i="55"/>
  <c r="AI5" i="55"/>
  <c r="AH4" i="55"/>
  <c r="AH31" i="55"/>
  <c r="AH7" i="55"/>
  <c r="AJ5" i="55"/>
  <c r="AI4" i="55"/>
  <c r="AI31" i="55"/>
  <c r="AI7" i="55"/>
  <c r="AK5" i="55"/>
  <c r="AJ4" i="55"/>
  <c r="AJ31" i="55"/>
  <c r="AJ7" i="55"/>
  <c r="AL5" i="55"/>
  <c r="AK4" i="55"/>
  <c r="AL4" i="55"/>
  <c r="AM5" i="55"/>
  <c r="AK31" i="55"/>
  <c r="AK7" i="55"/>
  <c r="AN5" i="55"/>
  <c r="AM4" i="55"/>
  <c r="AL31" i="55"/>
  <c r="AL7" i="55"/>
  <c r="AN4" i="55"/>
  <c r="AO5" i="55"/>
  <c r="AM31" i="55"/>
  <c r="AM7" i="55"/>
  <c r="AO4" i="55"/>
  <c r="AP5" i="55"/>
  <c r="AN31" i="55"/>
  <c r="AN7" i="55"/>
  <c r="AP4" i="55"/>
  <c r="AQ5" i="55"/>
  <c r="AO31" i="55"/>
  <c r="AO7" i="55"/>
  <c r="AQ4" i="55"/>
  <c r="AR5" i="55"/>
  <c r="AP31" i="55"/>
  <c r="AP7" i="55"/>
  <c r="AS5" i="55"/>
  <c r="AR4" i="55"/>
  <c r="AQ31" i="55"/>
  <c r="AQ7" i="55"/>
  <c r="AT5" i="55"/>
  <c r="AS4" i="55"/>
  <c r="AR31" i="55"/>
  <c r="AR7" i="55"/>
  <c r="AS31" i="55"/>
  <c r="AS7" i="55"/>
  <c r="AU5" i="55"/>
  <c r="AT4" i="55"/>
  <c r="AV5" i="55"/>
  <c r="AU4" i="55"/>
  <c r="AT31" i="55"/>
  <c r="AT7" i="55"/>
  <c r="AU31" i="55"/>
  <c r="AU7" i="55"/>
  <c r="AW5" i="55"/>
  <c r="AV4" i="55"/>
  <c r="AX5" i="55"/>
  <c r="AW4" i="55"/>
  <c r="AV31" i="55"/>
  <c r="AV7" i="55"/>
  <c r="AY5" i="55"/>
  <c r="AX4" i="55"/>
  <c r="AW31" i="55"/>
  <c r="AW7" i="55"/>
  <c r="AZ5" i="55"/>
  <c r="AY4" i="55"/>
  <c r="AX31" i="55"/>
  <c r="AX7" i="55"/>
  <c r="AY31" i="55"/>
  <c r="AY7" i="55"/>
  <c r="BA5" i="55"/>
  <c r="AZ4" i="55"/>
  <c r="AZ31" i="55"/>
  <c r="AZ7" i="55"/>
  <c r="BB5" i="55"/>
  <c r="BA4" i="55"/>
  <c r="BA31" i="55"/>
  <c r="BA7" i="55"/>
  <c r="BB4" i="55"/>
  <c r="BC5" i="55"/>
  <c r="BD5" i="55"/>
  <c r="BC4" i="55"/>
  <c r="BB31" i="55"/>
  <c r="BB7" i="55"/>
  <c r="BE5" i="55"/>
  <c r="BD4" i="55"/>
  <c r="BC31" i="55"/>
  <c r="BC7" i="55"/>
  <c r="BD31" i="55"/>
  <c r="BD7" i="55"/>
  <c r="BF5" i="55"/>
  <c r="BE4" i="55"/>
  <c r="BF4" i="55"/>
  <c r="BG5" i="55"/>
  <c r="BG4" i="55"/>
  <c r="BH5" i="55"/>
  <c r="BF31" i="55"/>
  <c r="BH4" i="55"/>
  <c r="BI5" i="55"/>
  <c r="BG31" i="55"/>
  <c r="BI4" i="55"/>
  <c r="BJ5" i="55"/>
  <c r="BH31" i="55"/>
  <c r="BK5" i="55"/>
  <c r="BJ4" i="55"/>
  <c r="BI31" i="55"/>
  <c r="BJ31" i="55"/>
  <c r="BL5" i="55"/>
  <c r="BK4" i="55"/>
  <c r="BK31" i="55"/>
  <c r="BM5" i="55"/>
  <c r="BL4" i="55"/>
  <c r="BL31" i="55"/>
  <c r="BN5" i="55"/>
  <c r="BM4" i="55"/>
  <c r="BM31" i="55"/>
  <c r="BO5" i="55"/>
  <c r="BN4" i="55"/>
  <c r="BN31" i="55"/>
  <c r="BP5" i="55"/>
  <c r="BO4" i="55"/>
  <c r="BO31" i="55"/>
  <c r="BQ5" i="55"/>
  <c r="BP4" i="55"/>
  <c r="BR5" i="55"/>
  <c r="BQ4" i="55"/>
  <c r="BP31" i="55"/>
  <c r="BR4" i="55"/>
  <c r="BS5" i="55"/>
  <c r="BR31" i="55"/>
  <c r="BT5" i="55"/>
  <c r="BS4" i="55"/>
  <c r="BS31" i="55"/>
  <c r="BU5" i="55"/>
  <c r="BT4" i="55"/>
  <c r="BT31" i="55"/>
  <c r="BV5" i="55"/>
  <c r="BU4" i="55"/>
  <c r="BW5" i="55"/>
  <c r="BV4" i="55"/>
  <c r="BU31" i="55"/>
  <c r="BV31" i="55"/>
  <c r="BX5" i="55"/>
  <c r="BW4" i="55"/>
  <c r="BW31" i="55"/>
  <c r="BX4" i="55"/>
  <c r="BY5" i="55"/>
  <c r="BX31" i="55"/>
  <c r="BY4" i="55"/>
  <c r="BZ5" i="55"/>
  <c r="BY31" i="55"/>
  <c r="CA5" i="55"/>
  <c r="BZ4" i="55"/>
  <c r="CA4" i="55"/>
  <c r="CB5" i="55"/>
  <c r="BZ31" i="55"/>
  <c r="CC5" i="55"/>
  <c r="CB4" i="55"/>
  <c r="CA31" i="55"/>
  <c r="CB31" i="55"/>
  <c r="CD5" i="55"/>
  <c r="CC4" i="55"/>
  <c r="CE5" i="55"/>
  <c r="CD4" i="55"/>
  <c r="CD31" i="55"/>
  <c r="CF5" i="55"/>
  <c r="CE4" i="55"/>
  <c r="CE31" i="55"/>
  <c r="CG5" i="55"/>
  <c r="CF4" i="55"/>
  <c r="CH5" i="55"/>
  <c r="CG4" i="55"/>
  <c r="CF31" i="55"/>
  <c r="CH4" i="55"/>
  <c r="CI5" i="55"/>
  <c r="CG31" i="55"/>
  <c r="CJ5" i="55"/>
  <c r="CI4" i="55"/>
  <c r="CH31" i="55"/>
  <c r="CI31" i="55"/>
  <c r="CK5" i="55"/>
  <c r="CJ4" i="55"/>
  <c r="CJ31" i="55"/>
  <c r="CL5" i="55"/>
  <c r="CK4" i="55"/>
  <c r="CK31" i="55"/>
  <c r="CM5" i="55"/>
  <c r="CL4" i="55"/>
  <c r="CN5" i="55"/>
  <c r="CM4" i="55"/>
  <c r="CL31" i="55"/>
  <c r="CO5" i="55"/>
  <c r="CN4" i="55"/>
  <c r="CM31" i="55"/>
  <c r="CN31" i="55"/>
  <c r="CP5" i="55"/>
  <c r="CO4" i="55"/>
  <c r="CQ5" i="55"/>
  <c r="CP4" i="55"/>
  <c r="CP31" i="55"/>
  <c r="CQ4" i="55"/>
  <c r="CR5" i="55"/>
  <c r="CQ31" i="55"/>
  <c r="CR4" i="55"/>
  <c r="CS5" i="55"/>
  <c r="CS4" i="55"/>
  <c r="CT5" i="55"/>
  <c r="CR31" i="55"/>
  <c r="CU5" i="55"/>
  <c r="CT4" i="55"/>
  <c r="CS31" i="55"/>
  <c r="CT31" i="55"/>
  <c r="CV5" i="55"/>
  <c r="CU4" i="55"/>
  <c r="CU31" i="55"/>
  <c r="CW5" i="55"/>
  <c r="CV4" i="55"/>
  <c r="CX5" i="55"/>
  <c r="CW4" i="55"/>
  <c r="CV31" i="55"/>
  <c r="CW31" i="55"/>
  <c r="CX4" i="55"/>
  <c r="CY5" i="55"/>
  <c r="CZ5" i="55"/>
  <c r="CY4" i="55"/>
  <c r="CX31" i="55"/>
  <c r="CY31" i="55"/>
  <c r="DA5" i="55"/>
  <c r="CZ4" i="55"/>
  <c r="DB5" i="55"/>
  <c r="DA4" i="55"/>
  <c r="CZ31" i="55"/>
  <c r="DC5" i="55"/>
  <c r="DB4" i="55"/>
  <c r="DD5" i="55"/>
  <c r="DC4" i="55"/>
  <c r="DB31" i="55"/>
  <c r="DE5" i="55"/>
  <c r="DD4" i="55"/>
  <c r="DC31" i="55"/>
  <c r="DD31" i="55"/>
  <c r="DF5" i="55"/>
  <c r="DE4" i="55"/>
  <c r="DG5" i="55"/>
  <c r="DF4" i="55"/>
  <c r="DE31" i="55"/>
  <c r="DH5" i="55"/>
  <c r="DG4" i="55"/>
  <c r="DF31" i="55"/>
  <c r="DI5" i="55"/>
  <c r="DH4" i="55"/>
  <c r="DG31" i="55"/>
  <c r="DH31" i="55"/>
  <c r="DI4" i="55"/>
  <c r="DJ5" i="55"/>
  <c r="DI31" i="55"/>
  <c r="DK5" i="55"/>
  <c r="DJ4" i="55"/>
  <c r="DJ31" i="55"/>
  <c r="DK4" i="55"/>
  <c r="DL5" i="55"/>
  <c r="DL4" i="55"/>
  <c r="DM5" i="55"/>
  <c r="DK31" i="55"/>
  <c r="DL31" i="55"/>
  <c r="DN5" i="55"/>
  <c r="DM4" i="55"/>
  <c r="DN4" i="55"/>
  <c r="DO5" i="55"/>
  <c r="DP5" i="55"/>
  <c r="DO4" i="55"/>
  <c r="DN31" i="55"/>
  <c r="DO31" i="55"/>
  <c r="DQ5" i="55"/>
  <c r="DP4" i="55"/>
  <c r="DP31" i="55"/>
  <c r="DR5" i="55"/>
  <c r="DQ4" i="55"/>
  <c r="DS5" i="55"/>
  <c r="DR4" i="55"/>
  <c r="DQ31" i="55"/>
  <c r="DR31" i="55"/>
  <c r="DT5" i="55"/>
  <c r="DS4" i="55"/>
  <c r="DS31" i="55"/>
  <c r="DU5" i="55"/>
  <c r="DT4" i="55"/>
  <c r="DV5" i="55"/>
  <c r="DU4" i="55"/>
  <c r="DT31" i="55"/>
  <c r="DU31" i="55"/>
  <c r="DW5" i="55"/>
  <c r="DV4" i="55"/>
  <c r="DV31" i="55"/>
  <c r="DX5" i="55"/>
  <c r="DW4" i="55"/>
  <c r="DW31" i="55"/>
  <c r="DY5" i="55"/>
  <c r="DX4" i="55"/>
  <c r="DX31" i="55"/>
  <c r="DZ5" i="55"/>
  <c r="DY4" i="55"/>
  <c r="EA5" i="55"/>
  <c r="DZ4" i="55"/>
  <c r="DZ31" i="55"/>
  <c r="EB5" i="55"/>
  <c r="EA4" i="55"/>
  <c r="EA31" i="55"/>
  <c r="EB4" i="55"/>
  <c r="EC5" i="55"/>
  <c r="EB31" i="55"/>
  <c r="EC4" i="55"/>
  <c r="ED5" i="55"/>
  <c r="ED4" i="55"/>
  <c r="EE5" i="55"/>
  <c r="EC31" i="55"/>
  <c r="EE4" i="55"/>
  <c r="EF5" i="55"/>
  <c r="ED31" i="55"/>
  <c r="EG5" i="55"/>
  <c r="EF4" i="55"/>
  <c r="EE31" i="55"/>
  <c r="EH5" i="55"/>
  <c r="EG4" i="55"/>
  <c r="EF31" i="55"/>
  <c r="EG31" i="55"/>
  <c r="EI5" i="55"/>
  <c r="EH4" i="55"/>
  <c r="EH31" i="55"/>
  <c r="EJ5" i="55"/>
  <c r="EI4" i="55"/>
  <c r="EK5" i="55"/>
  <c r="EJ4" i="55"/>
  <c r="EI31" i="55"/>
  <c r="EJ31" i="55"/>
  <c r="EL5" i="55"/>
  <c r="EK4" i="55"/>
  <c r="EM5" i="55"/>
  <c r="EL4" i="55"/>
  <c r="EN5" i="55"/>
  <c r="EM4" i="55"/>
  <c r="EL31" i="55"/>
  <c r="EM31" i="55"/>
  <c r="EO5" i="55"/>
  <c r="EN4" i="55"/>
  <c r="EN31" i="55"/>
  <c r="EP5" i="55"/>
  <c r="EO4" i="55"/>
  <c r="EO31" i="55"/>
  <c r="EQ5" i="55"/>
  <c r="EP4" i="55"/>
  <c r="ER5" i="55"/>
  <c r="EQ4" i="55"/>
  <c r="EP31" i="55"/>
  <c r="EQ31" i="55"/>
  <c r="ES5" i="55"/>
  <c r="ER4" i="55"/>
  <c r="ER31" i="55"/>
  <c r="ET5" i="55"/>
  <c r="ES4" i="55"/>
  <c r="ET4" i="55"/>
  <c r="EU5" i="55"/>
  <c r="ES31" i="55"/>
  <c r="ET31" i="55"/>
  <c r="EU4" i="55"/>
  <c r="EV5" i="55"/>
  <c r="EV4" i="55"/>
  <c r="EV31" i="55"/>
  <c r="EU31" i="55"/>
  <c r="C8" i="6"/>
  <c r="F6" i="5"/>
  <c r="C5" i="65" s="1"/>
  <c r="C12" i="65" s="1"/>
  <c r="F13" i="65" s="1"/>
  <c r="J13" i="65" s="1"/>
  <c r="C32" i="1"/>
  <c r="AP35" i="1"/>
  <c r="AQ35" i="1" s="1"/>
  <c r="AP34" i="1"/>
  <c r="AQ34" i="1"/>
  <c r="AP33" i="1"/>
  <c r="AQ33" i="1"/>
  <c r="AP32" i="1"/>
  <c r="AQ32" i="1" s="1"/>
  <c r="AP31" i="1"/>
  <c r="AQ31" i="1" s="1"/>
  <c r="AP30" i="1"/>
  <c r="AQ30" i="1"/>
  <c r="AP29" i="1"/>
  <c r="AQ29" i="1" s="1"/>
  <c r="AP28" i="1"/>
  <c r="AQ28" i="1" s="1"/>
  <c r="AP27" i="1"/>
  <c r="AQ27" i="1" s="1"/>
  <c r="AP26" i="1"/>
  <c r="AQ26" i="1" s="1"/>
  <c r="AR26" i="1" s="1"/>
  <c r="I32" i="43"/>
  <c r="D37" i="1"/>
  <c r="P21" i="43"/>
  <c r="F66" i="5"/>
  <c r="M26" i="43"/>
  <c r="M27" i="43"/>
  <c r="M25" i="43"/>
  <c r="M24" i="43"/>
  <c r="M23" i="43"/>
  <c r="M22" i="43"/>
  <c r="O21" i="43"/>
  <c r="M21" i="43"/>
  <c r="M20" i="43"/>
  <c r="M19" i="43"/>
  <c r="P18" i="43"/>
  <c r="M18" i="43"/>
  <c r="M17" i="43"/>
  <c r="C44" i="43"/>
  <c r="C45" i="43"/>
  <c r="G57" i="43"/>
  <c r="H57" i="43"/>
  <c r="I57" i="43"/>
  <c r="J57" i="43"/>
  <c r="K57" i="43"/>
  <c r="L57" i="43"/>
  <c r="M57" i="43"/>
  <c r="H28" i="43"/>
  <c r="I28" i="43"/>
  <c r="J28" i="43"/>
  <c r="K28" i="43"/>
  <c r="H24" i="43"/>
  <c r="I24" i="43"/>
  <c r="J24" i="43"/>
  <c r="K24" i="43"/>
  <c r="H25" i="43"/>
  <c r="J25" i="43"/>
  <c r="K25" i="43"/>
  <c r="H26" i="43"/>
  <c r="I26" i="43"/>
  <c r="J26" i="43"/>
  <c r="K26" i="43"/>
  <c r="H27" i="43"/>
  <c r="I27" i="43"/>
  <c r="J27" i="43"/>
  <c r="K27" i="43"/>
  <c r="B21" i="43"/>
  <c r="B5" i="43"/>
  <c r="B6" i="43"/>
  <c r="B7" i="43"/>
  <c r="B8" i="43"/>
  <c r="B9" i="43"/>
  <c r="B10" i="43"/>
  <c r="B11" i="43"/>
  <c r="B12" i="43"/>
  <c r="C41" i="6"/>
  <c r="F93" i="5" s="1"/>
  <c r="C28" i="6"/>
  <c r="C19" i="6"/>
  <c r="F86" i="5" s="1"/>
  <c r="F93" i="38"/>
  <c r="X27" i="38"/>
  <c r="X26" i="38"/>
  <c r="X10" i="38"/>
  <c r="X8" i="38"/>
  <c r="X22" i="38" s="1"/>
  <c r="D116" i="38"/>
  <c r="D117" i="38"/>
  <c r="D118" i="38"/>
  <c r="D115" i="38"/>
  <c r="X25" i="38"/>
  <c r="F39" i="38"/>
  <c r="G39" i="38"/>
  <c r="B51" i="32"/>
  <c r="B85" i="43" s="1"/>
  <c r="F70" i="5"/>
  <c r="X69" i="38"/>
  <c r="X67" i="38"/>
  <c r="X66" i="38"/>
  <c r="X65" i="38"/>
  <c r="B12" i="32"/>
  <c r="B46" i="43" s="1"/>
  <c r="B11" i="32"/>
  <c r="B45" i="43" s="1"/>
  <c r="B14" i="32"/>
  <c r="B48" i="43" s="1"/>
  <c r="B13" i="32"/>
  <c r="B47" i="43" s="1"/>
  <c r="F35" i="5"/>
  <c r="B43" i="32"/>
  <c r="B77" i="43" s="1"/>
  <c r="B22" i="32"/>
  <c r="B56" i="43" s="1"/>
  <c r="B19" i="32"/>
  <c r="B53" i="43" s="1"/>
  <c r="B17" i="32"/>
  <c r="B51" i="43" s="1"/>
  <c r="B21" i="32"/>
  <c r="B55" i="43" s="1"/>
  <c r="B20" i="32"/>
  <c r="B54" i="43" s="1"/>
  <c r="C27" i="1"/>
  <c r="B31" i="1"/>
  <c r="B30" i="1"/>
  <c r="AQ7" i="1"/>
  <c r="AQ6" i="1"/>
  <c r="AR6" i="1" s="1"/>
  <c r="AQ9" i="1"/>
  <c r="AR9" i="1" s="1"/>
  <c r="AQ8" i="1"/>
  <c r="AR8" i="1" s="1"/>
  <c r="E32" i="1"/>
  <c r="M39" i="43"/>
  <c r="L39" i="43"/>
  <c r="K39" i="43"/>
  <c r="J39" i="43"/>
  <c r="I39" i="43"/>
  <c r="H39" i="43"/>
  <c r="G39" i="43"/>
  <c r="F39" i="43"/>
  <c r="E39" i="43"/>
  <c r="D39" i="43"/>
  <c r="C39" i="43"/>
  <c r="K23" i="43"/>
  <c r="J23" i="43"/>
  <c r="H23" i="43"/>
  <c r="H22" i="43"/>
  <c r="H21" i="43"/>
  <c r="J20" i="43"/>
  <c r="H20" i="43"/>
  <c r="H19" i="43"/>
  <c r="K18" i="43"/>
  <c r="H18" i="43"/>
  <c r="K17" i="43"/>
  <c r="J17" i="43"/>
  <c r="I17" i="43"/>
  <c r="H17" i="43"/>
  <c r="J10" i="43"/>
  <c r="I10" i="43"/>
  <c r="H10" i="43"/>
  <c r="J9" i="43"/>
  <c r="I9" i="43"/>
  <c r="H9" i="43"/>
  <c r="K8" i="43"/>
  <c r="J8" i="43"/>
  <c r="H8" i="43"/>
  <c r="K7" i="43"/>
  <c r="J7" i="43"/>
  <c r="I7" i="43"/>
  <c r="H7" i="43"/>
  <c r="K6" i="43"/>
  <c r="H6" i="43"/>
  <c r="K5" i="43"/>
  <c r="H5" i="43"/>
  <c r="K4" i="43"/>
  <c r="H4" i="43"/>
  <c r="K3" i="43"/>
  <c r="H3" i="43"/>
  <c r="H2" i="43"/>
  <c r="K15" i="43"/>
  <c r="H15" i="43"/>
  <c r="I13" i="43"/>
  <c r="I14" i="43" s="1"/>
  <c r="H13" i="43"/>
  <c r="K12" i="43"/>
  <c r="J12" i="43"/>
  <c r="I12" i="43"/>
  <c r="H12" i="43"/>
  <c r="B32" i="43"/>
  <c r="B31" i="43"/>
  <c r="B30" i="43"/>
  <c r="B29" i="43"/>
  <c r="B26" i="43"/>
  <c r="B25" i="43"/>
  <c r="F24" i="43"/>
  <c r="E24" i="43"/>
  <c r="D24" i="43"/>
  <c r="B24" i="43"/>
  <c r="B4" i="43"/>
  <c r="B3" i="43"/>
  <c r="D2" i="43"/>
  <c r="B2" i="43"/>
  <c r="I8" i="43"/>
  <c r="B42" i="32"/>
  <c r="B76" i="43" s="1"/>
  <c r="M7" i="41"/>
  <c r="L7" i="41"/>
  <c r="K7" i="41"/>
  <c r="J7" i="41"/>
  <c r="I7" i="41"/>
  <c r="H7" i="41"/>
  <c r="G7" i="41"/>
  <c r="F7" i="41"/>
  <c r="E7" i="41"/>
  <c r="D7" i="41"/>
  <c r="C7" i="41"/>
  <c r="B78" i="32"/>
  <c r="B58" i="32"/>
  <c r="B52" i="32"/>
  <c r="B86" i="43" s="1"/>
  <c r="B50" i="32"/>
  <c r="B84" i="43" s="1"/>
  <c r="B49" i="32"/>
  <c r="B83" i="43" s="1"/>
  <c r="B48" i="32"/>
  <c r="B82" i="43" s="1"/>
  <c r="B47" i="32"/>
  <c r="B81" i="43" s="1"/>
  <c r="B46" i="32"/>
  <c r="B80" i="43" s="1"/>
  <c r="B44" i="32"/>
  <c r="B78" i="43" s="1"/>
  <c r="B41" i="32"/>
  <c r="B75" i="43" s="1"/>
  <c r="B40" i="32"/>
  <c r="B74" i="43" s="1"/>
  <c r="B38" i="32"/>
  <c r="B72" i="43" s="1"/>
  <c r="B36" i="32"/>
  <c r="B70" i="43" s="1"/>
  <c r="B26" i="32"/>
  <c r="B60" i="43" s="1"/>
  <c r="B24" i="32"/>
  <c r="B58" i="43" s="1"/>
  <c r="B16" i="32"/>
  <c r="B50" i="43" s="1"/>
  <c r="B15" i="32"/>
  <c r="B49" i="43" s="1"/>
  <c r="B10" i="32"/>
  <c r="B43" i="43" s="1"/>
  <c r="J2" i="38"/>
  <c r="I48" i="63"/>
  <c r="G22" i="38"/>
  <c r="F22" i="38"/>
  <c r="D14" i="43"/>
  <c r="Y5" i="38"/>
  <c r="Z5" i="38" s="1"/>
  <c r="AA5" i="38" s="1"/>
  <c r="AB5" i="38" s="1"/>
  <c r="AC5" i="38" s="1"/>
  <c r="AD5" i="38" s="1"/>
  <c r="AE5" i="38" s="1"/>
  <c r="AF5" i="38" s="1"/>
  <c r="AG5" i="38" s="1"/>
  <c r="AH5" i="38" s="1"/>
  <c r="AI5" i="38" s="1"/>
  <c r="AJ5" i="38" s="1"/>
  <c r="AK5" i="38" s="1"/>
  <c r="AL5" i="38" s="1"/>
  <c r="AM5" i="38" s="1"/>
  <c r="AN5" i="38" s="1"/>
  <c r="AO5" i="38" s="1"/>
  <c r="AP5" i="38" s="1"/>
  <c r="AQ5" i="38" s="1"/>
  <c r="AR5" i="38" s="1"/>
  <c r="AS5" i="38" s="1"/>
  <c r="AT5" i="38" s="1"/>
  <c r="AU5" i="38" s="1"/>
  <c r="AV5" i="38" s="1"/>
  <c r="AW5" i="38" s="1"/>
  <c r="AX5" i="38" s="1"/>
  <c r="AY5" i="38" s="1"/>
  <c r="AZ5" i="38" s="1"/>
  <c r="BA5" i="38" s="1"/>
  <c r="BB5" i="38" s="1"/>
  <c r="BC5" i="38" s="1"/>
  <c r="BD5" i="38" s="1"/>
  <c r="BE5" i="38" s="1"/>
  <c r="BF5" i="38" s="1"/>
  <c r="BG5" i="38" s="1"/>
  <c r="BH5" i="38" s="1"/>
  <c r="BI5" i="38" s="1"/>
  <c r="BJ5" i="38" s="1"/>
  <c r="BK5" i="38" s="1"/>
  <c r="BL5" i="38" s="1"/>
  <c r="BM5" i="38" s="1"/>
  <c r="BN5" i="38" s="1"/>
  <c r="BO5" i="38" s="1"/>
  <c r="BP5" i="38" s="1"/>
  <c r="BQ5" i="38" s="1"/>
  <c r="BR5" i="38" s="1"/>
  <c r="BS5" i="38" s="1"/>
  <c r="BT5" i="38" s="1"/>
  <c r="BU5" i="38" s="1"/>
  <c r="BV5" i="38" s="1"/>
  <c r="BW5" i="38" s="1"/>
  <c r="BX5" i="38" s="1"/>
  <c r="BY5" i="38" s="1"/>
  <c r="BZ5" i="38" s="1"/>
  <c r="CA5" i="38" s="1"/>
  <c r="CB5" i="38" s="1"/>
  <c r="CC5" i="38" s="1"/>
  <c r="CD5" i="38" s="1"/>
  <c r="CE5" i="38" s="1"/>
  <c r="CF5" i="38" s="1"/>
  <c r="CG5" i="38" s="1"/>
  <c r="CH5" i="38" s="1"/>
  <c r="CI5" i="38" s="1"/>
  <c r="CJ5" i="38" s="1"/>
  <c r="CK5" i="38" s="1"/>
  <c r="CL5" i="38" s="1"/>
  <c r="CM5" i="38" s="1"/>
  <c r="CN5" i="38" s="1"/>
  <c r="CO5" i="38" s="1"/>
  <c r="CP5" i="38" s="1"/>
  <c r="CQ5" i="38" s="1"/>
  <c r="CR5" i="38" s="1"/>
  <c r="CS5" i="38" s="1"/>
  <c r="CT5" i="38" s="1"/>
  <c r="CU5" i="38" s="1"/>
  <c r="CV5" i="38" s="1"/>
  <c r="CW5" i="38" s="1"/>
  <c r="CX5" i="38" s="1"/>
  <c r="CY5" i="38" s="1"/>
  <c r="CZ5" i="38" s="1"/>
  <c r="DA5" i="38" s="1"/>
  <c r="DB5" i="38" s="1"/>
  <c r="DC5" i="38" s="1"/>
  <c r="DD5" i="38" s="1"/>
  <c r="DE5" i="38" s="1"/>
  <c r="DF5" i="38" s="1"/>
  <c r="DG5" i="38" s="1"/>
  <c r="DH5" i="38" s="1"/>
  <c r="DI5" i="38" s="1"/>
  <c r="DJ5" i="38" s="1"/>
  <c r="DK5" i="38" s="1"/>
  <c r="DL5" i="38" s="1"/>
  <c r="DM5" i="38" s="1"/>
  <c r="DN5" i="38" s="1"/>
  <c r="DO5" i="38" s="1"/>
  <c r="DP5" i="38" s="1"/>
  <c r="DQ5" i="38" s="1"/>
  <c r="DR5" i="38" s="1"/>
  <c r="DS5" i="38" s="1"/>
  <c r="DT5" i="38" s="1"/>
  <c r="DU5" i="38" s="1"/>
  <c r="DV5" i="38" s="1"/>
  <c r="DW5" i="38" s="1"/>
  <c r="DX5" i="38" s="1"/>
  <c r="DY5" i="38" s="1"/>
  <c r="DZ5" i="38" s="1"/>
  <c r="EA5" i="38" s="1"/>
  <c r="EB5" i="38" s="1"/>
  <c r="EC5" i="38" s="1"/>
  <c r="ED5" i="38" s="1"/>
  <c r="EE5" i="38" s="1"/>
  <c r="EF5" i="38" s="1"/>
  <c r="EG5" i="38" s="1"/>
  <c r="EH5" i="38" s="1"/>
  <c r="EI5" i="38" s="1"/>
  <c r="EJ5" i="38" s="1"/>
  <c r="EK5" i="38" s="1"/>
  <c r="EL5" i="38" s="1"/>
  <c r="EM5" i="38" s="1"/>
  <c r="EN5" i="38" s="1"/>
  <c r="EO5" i="38" s="1"/>
  <c r="EP5" i="38" s="1"/>
  <c r="EQ5" i="38" s="1"/>
  <c r="ER5" i="38" s="1"/>
  <c r="ES5" i="38" s="1"/>
  <c r="ET5" i="38" s="1"/>
  <c r="EU5" i="38" s="1"/>
  <c r="EV5" i="38" s="1"/>
  <c r="EW5" i="38" s="1"/>
  <c r="EX5" i="38" s="1"/>
  <c r="EY5" i="38" s="1"/>
  <c r="EZ5" i="38" s="1"/>
  <c r="Y3" i="38"/>
  <c r="E31" i="1"/>
  <c r="P3" i="1"/>
  <c r="J3" i="38" s="1"/>
  <c r="H7" i="1"/>
  <c r="I15" i="43" s="1"/>
  <c r="P2" i="1"/>
  <c r="AU6" i="1"/>
  <c r="AV6" i="1"/>
  <c r="AW6" i="1"/>
  <c r="AX6" i="1"/>
  <c r="AY6" i="1"/>
  <c r="AZ6" i="1"/>
  <c r="AZ7" i="1" s="1"/>
  <c r="BA6" i="1"/>
  <c r="BA7" i="1" s="1"/>
  <c r="BB6" i="1"/>
  <c r="BB7" i="1" s="1"/>
  <c r="BC6" i="1"/>
  <c r="BC7" i="1" s="1"/>
  <c r="BD6" i="1"/>
  <c r="BD8" i="1" s="1"/>
  <c r="D6" i="6"/>
  <c r="C7" i="6"/>
  <c r="G4" i="5"/>
  <c r="I7" i="1"/>
  <c r="J15" i="43" s="1"/>
  <c r="B8" i="32"/>
  <c r="B42" i="43" s="1"/>
  <c r="AQ5" i="1"/>
  <c r="AR7" i="1"/>
  <c r="AR21" i="1"/>
  <c r="AR20" i="1"/>
  <c r="B3" i="1"/>
  <c r="E69" i="63"/>
  <c r="G69" i="63" s="1"/>
  <c r="D27" i="43"/>
  <c r="AM8" i="53" l="1"/>
  <c r="AN8" i="53" s="1"/>
  <c r="AN84" i="53" s="1"/>
  <c r="AZ8" i="1"/>
  <c r="L26" i="59"/>
  <c r="G90" i="5"/>
  <c r="G79" i="5"/>
  <c r="AM27" i="53"/>
  <c r="AN25" i="53" s="1"/>
  <c r="AN27" i="53" s="1"/>
  <c r="D14" i="6"/>
  <c r="D12" i="6"/>
  <c r="D7" i="6"/>
  <c r="BA8" i="1"/>
  <c r="BB8" i="1"/>
  <c r="AT10" i="1"/>
  <c r="BD7" i="1"/>
  <c r="BC8" i="1"/>
  <c r="AW44" i="57"/>
  <c r="E10" i="63"/>
  <c r="G5" i="5"/>
  <c r="H4" i="5"/>
  <c r="H90" i="5" s="1"/>
  <c r="G85" i="5"/>
  <c r="G68" i="5"/>
  <c r="AE22" i="57"/>
  <c r="H39" i="38"/>
  <c r="K14" i="43" s="1"/>
  <c r="J14" i="43" s="1"/>
  <c r="U41" i="55"/>
  <c r="G53" i="5" s="1"/>
  <c r="AP7" i="53"/>
  <c r="AO6" i="53"/>
  <c r="AO11" i="53" s="1"/>
  <c r="U41" i="53"/>
  <c r="V41" i="53" s="1"/>
  <c r="S42" i="53"/>
  <c r="T42" i="53" s="1"/>
  <c r="E69" i="53" a="1"/>
  <c r="E69" i="53" s="1"/>
  <c r="F69" i="53" a="1"/>
  <c r="F69" i="53" s="1"/>
  <c r="G69" i="53" a="1"/>
  <c r="G69" i="53" s="1"/>
  <c r="H69" i="53" a="1"/>
  <c r="H69" i="53" s="1"/>
  <c r="I69" i="53" a="1"/>
  <c r="I69" i="53" s="1"/>
  <c r="J69" i="53" a="1"/>
  <c r="J69" i="53" s="1"/>
  <c r="K69" i="53" a="1"/>
  <c r="K69" i="53" s="1"/>
  <c r="L69" i="53" a="1"/>
  <c r="L69" i="53" s="1"/>
  <c r="M69" i="53" a="1"/>
  <c r="M69" i="53" s="1"/>
  <c r="N69" i="53" a="1"/>
  <c r="N69" i="53" s="1"/>
  <c r="O69" i="53" a="1"/>
  <c r="O69" i="53" s="1"/>
  <c r="D69" i="53" a="1"/>
  <c r="AM84" i="53"/>
  <c r="Q9" i="53" a="1"/>
  <c r="Q9" i="53" s="1"/>
  <c r="Q10" i="53" a="1"/>
  <c r="Q10" i="53" s="1"/>
  <c r="Q11" i="53" a="1"/>
  <c r="Q11" i="53" s="1"/>
  <c r="Q12" i="53" a="1"/>
  <c r="Q12" i="53" s="1"/>
  <c r="Q13" i="53" a="1"/>
  <c r="Q13" i="53" s="1"/>
  <c r="Q14" i="53" a="1"/>
  <c r="Q14" i="53" s="1"/>
  <c r="Q15" i="53" a="1"/>
  <c r="Q15" i="53" s="1"/>
  <c r="Q16" i="53" a="1"/>
  <c r="Q16" i="53" s="1"/>
  <c r="Q17" i="53" a="1"/>
  <c r="Q17" i="53" s="1"/>
  <c r="Q18" i="53" a="1"/>
  <c r="Q18" i="53" s="1"/>
  <c r="Q19" i="53" a="1"/>
  <c r="Q19" i="53" s="1"/>
  <c r="Q8" i="53" a="1"/>
  <c r="Q8" i="53" s="1"/>
  <c r="P12" i="53" a="1"/>
  <c r="P12" i="53" s="1"/>
  <c r="V86" i="51"/>
  <c r="P18" i="53" a="1"/>
  <c r="P18" i="53" s="1"/>
  <c r="V45" i="51"/>
  <c r="P13" i="53" a="1"/>
  <c r="P13" i="53" s="1"/>
  <c r="V36" i="51"/>
  <c r="N17" i="53"/>
  <c r="O19" i="1" s="1"/>
  <c r="P17" i="53" a="1"/>
  <c r="P17" i="53" s="1"/>
  <c r="V247" i="51"/>
  <c r="N12" i="53"/>
  <c r="O14" i="1" s="1"/>
  <c r="V37" i="51"/>
  <c r="N13" i="53"/>
  <c r="O15" i="1" s="1"/>
  <c r="V242" i="51"/>
  <c r="N11" i="53"/>
  <c r="O13" i="1" s="1"/>
  <c r="P11" i="53" a="1"/>
  <c r="P11" i="53" s="1"/>
  <c r="V83" i="51"/>
  <c r="N18" i="53"/>
  <c r="O20" i="1" s="1"/>
  <c r="V54" i="51"/>
  <c r="N14" i="53"/>
  <c r="O16" i="1" s="1"/>
  <c r="P14" i="53" a="1"/>
  <c r="P14" i="53" s="1"/>
  <c r="V53" i="51"/>
  <c r="N15" i="53"/>
  <c r="O17" i="1" s="1"/>
  <c r="P15" i="53" a="1"/>
  <c r="P15" i="53" s="1"/>
  <c r="V10" i="51"/>
  <c r="P16" i="53" a="1"/>
  <c r="P16" i="53" s="1"/>
  <c r="V113" i="51"/>
  <c r="P10" i="53" a="1"/>
  <c r="P10" i="53" s="1"/>
  <c r="P8" i="53" a="1"/>
  <c r="P8" i="53" s="1"/>
  <c r="N8" i="53"/>
  <c r="O10" i="1" s="1"/>
  <c r="P19" i="53" a="1"/>
  <c r="P19" i="53" s="1"/>
  <c r="N19" i="53"/>
  <c r="O21" i="1" s="1"/>
  <c r="V7" i="51"/>
  <c r="N16" i="53"/>
  <c r="O18" i="1" s="1"/>
  <c r="V220" i="51"/>
  <c r="N9" i="53"/>
  <c r="O11" i="1" s="1"/>
  <c r="P9" i="53" a="1"/>
  <c r="P9" i="53" s="1"/>
  <c r="V38" i="51"/>
  <c r="N10" i="53"/>
  <c r="O12" i="1" s="1"/>
  <c r="AD29" i="57"/>
  <c r="AD22" i="57"/>
  <c r="AD24" i="57"/>
  <c r="O26" i="59"/>
  <c r="Q15" i="59" s="1"/>
  <c r="S15" i="59" s="1"/>
  <c r="O249" i="51"/>
  <c r="O243" i="51"/>
  <c r="O238" i="51"/>
  <c r="O89" i="51"/>
  <c r="O246" i="51"/>
  <c r="O254" i="51"/>
  <c r="O262" i="51"/>
  <c r="O270" i="51"/>
  <c r="O278" i="51"/>
  <c r="O294" i="51"/>
  <c r="O310" i="51"/>
  <c r="O318" i="51"/>
  <c r="O326" i="51"/>
  <c r="O241" i="51"/>
  <c r="O257" i="51"/>
  <c r="O265" i="51"/>
  <c r="O273" i="51"/>
  <c r="O281" i="51"/>
  <c r="O289" i="51"/>
  <c r="O297" i="51"/>
  <c r="O305" i="51"/>
  <c r="O313" i="51"/>
  <c r="O329" i="51"/>
  <c r="O172" i="51"/>
  <c r="O244" i="51"/>
  <c r="O252" i="51"/>
  <c r="O260" i="51"/>
  <c r="O268" i="51"/>
  <c r="O276" i="51"/>
  <c r="O284" i="51"/>
  <c r="O292" i="51"/>
  <c r="O300" i="51"/>
  <c r="O308" i="51"/>
  <c r="O316" i="51"/>
  <c r="O324" i="51"/>
  <c r="O332" i="51"/>
  <c r="O340" i="51"/>
  <c r="O208" i="51"/>
  <c r="O239" i="51"/>
  <c r="O247" i="51"/>
  <c r="O263" i="51"/>
  <c r="O271" i="51"/>
  <c r="O279" i="51"/>
  <c r="O287" i="51"/>
  <c r="O295" i="51"/>
  <c r="O303" i="51"/>
  <c r="O319" i="51"/>
  <c r="O327" i="51"/>
  <c r="O335" i="51"/>
  <c r="O242" i="51"/>
  <c r="O250" i="51"/>
  <c r="O258" i="51"/>
  <c r="O266" i="51"/>
  <c r="O274" i="51"/>
  <c r="O282" i="51"/>
  <c r="O290" i="51"/>
  <c r="O298" i="51"/>
  <c r="O306" i="51"/>
  <c r="O314" i="51"/>
  <c r="O322" i="51"/>
  <c r="O330" i="51"/>
  <c r="O338" i="51"/>
  <c r="O245" i="51"/>
  <c r="O253" i="51"/>
  <c r="O261" i="51"/>
  <c r="O269" i="51"/>
  <c r="O277" i="51"/>
  <c r="O285" i="51"/>
  <c r="O293" i="51"/>
  <c r="O309" i="51"/>
  <c r="O325" i="51"/>
  <c r="O240" i="51"/>
  <c r="O248" i="51"/>
  <c r="O264" i="51"/>
  <c r="O272" i="51"/>
  <c r="O280" i="51"/>
  <c r="O288" i="51"/>
  <c r="O296" i="51"/>
  <c r="O304" i="51"/>
  <c r="O312" i="51"/>
  <c r="O320" i="51"/>
  <c r="O328" i="51"/>
  <c r="O336" i="51"/>
  <c r="O251" i="51"/>
  <c r="O259" i="51"/>
  <c r="O267" i="51"/>
  <c r="O275" i="51"/>
  <c r="O283" i="51"/>
  <c r="O291" i="51"/>
  <c r="O299" i="51"/>
  <c r="O307" i="51"/>
  <c r="O315" i="51"/>
  <c r="O323" i="51"/>
  <c r="O331" i="51"/>
  <c r="O339" i="51"/>
  <c r="H22" i="38"/>
  <c r="G93" i="38"/>
  <c r="U13" i="55"/>
  <c r="U14" i="55"/>
  <c r="U24" i="55" s="1"/>
  <c r="U15" i="55"/>
  <c r="U25" i="55" s="1"/>
  <c r="U16" i="55"/>
  <c r="U26" i="55" s="1"/>
  <c r="U17" i="55"/>
  <c r="U27" i="55" s="1"/>
  <c r="U12" i="55"/>
  <c r="U22" i="55" s="1"/>
  <c r="X39" i="38"/>
  <c r="F95" i="38"/>
  <c r="F106" i="38" s="1"/>
  <c r="Y4" i="38"/>
  <c r="Z3" i="38"/>
  <c r="AQ7" i="53"/>
  <c r="AP6" i="53"/>
  <c r="AP11" i="53" s="1"/>
  <c r="S40" i="53"/>
  <c r="T40" i="53" s="1"/>
  <c r="BE46" i="53"/>
  <c r="BU46" i="53"/>
  <c r="CK46" i="53"/>
  <c r="DA46" i="53"/>
  <c r="DQ46" i="53"/>
  <c r="EG46" i="53"/>
  <c r="EW46" i="53"/>
  <c r="FM46" i="53"/>
  <c r="AP46" i="53"/>
  <c r="BF46" i="53"/>
  <c r="BV46" i="53"/>
  <c r="CL46" i="53"/>
  <c r="DB46" i="53"/>
  <c r="DR46" i="53"/>
  <c r="EH46" i="53"/>
  <c r="EX46" i="53"/>
  <c r="FN46" i="53"/>
  <c r="EV46" i="53"/>
  <c r="AQ46" i="53"/>
  <c r="BG46" i="53"/>
  <c r="BW46" i="53"/>
  <c r="CM46" i="53"/>
  <c r="DC46" i="53"/>
  <c r="DS46" i="53"/>
  <c r="EI46" i="53"/>
  <c r="EY46" i="53"/>
  <c r="AN46" i="53"/>
  <c r="CJ46" i="53"/>
  <c r="AR46" i="53"/>
  <c r="BH46" i="53"/>
  <c r="BX46" i="53"/>
  <c r="CN46" i="53"/>
  <c r="DD46" i="53"/>
  <c r="DT46" i="53"/>
  <c r="EJ46" i="53"/>
  <c r="EZ46" i="53"/>
  <c r="AS46" i="53"/>
  <c r="BI46" i="53"/>
  <c r="BY46" i="53"/>
  <c r="CO46" i="53"/>
  <c r="DE46" i="53"/>
  <c r="DU46" i="53"/>
  <c r="EK46" i="53"/>
  <c r="FA46" i="53"/>
  <c r="AT46" i="53"/>
  <c r="BJ46" i="53"/>
  <c r="BZ46" i="53"/>
  <c r="CP46" i="53"/>
  <c r="DF46" i="53"/>
  <c r="DV46" i="53"/>
  <c r="EL46" i="53"/>
  <c r="FB46" i="53"/>
  <c r="CZ46" i="53"/>
  <c r="AU46" i="53"/>
  <c r="BK46" i="53"/>
  <c r="CA46" i="53"/>
  <c r="CQ46" i="53"/>
  <c r="DG46" i="53"/>
  <c r="DW46" i="53"/>
  <c r="EM46" i="53"/>
  <c r="FC46" i="53"/>
  <c r="AV46" i="53"/>
  <c r="BL46" i="53"/>
  <c r="CB46" i="53"/>
  <c r="CR46" i="53"/>
  <c r="DH46" i="53"/>
  <c r="DX46" i="53"/>
  <c r="EN46" i="53"/>
  <c r="FD46" i="53"/>
  <c r="BD46" i="53"/>
  <c r="EF46" i="53"/>
  <c r="AW46" i="53"/>
  <c r="BM46" i="53"/>
  <c r="CC46" i="53"/>
  <c r="CS46" i="53"/>
  <c r="DI46" i="53"/>
  <c r="DY46" i="53"/>
  <c r="EO46" i="53"/>
  <c r="FE46" i="53"/>
  <c r="FL46" i="53"/>
  <c r="EP46" i="53"/>
  <c r="AY46" i="53"/>
  <c r="BO46" i="53"/>
  <c r="CE46" i="53"/>
  <c r="CU46" i="53"/>
  <c r="DK46" i="53"/>
  <c r="EA46" i="53"/>
  <c r="EQ46" i="53"/>
  <c r="FG46" i="53"/>
  <c r="DP46" i="53"/>
  <c r="AZ46" i="53"/>
  <c r="BP46" i="53"/>
  <c r="CF46" i="53"/>
  <c r="CV46" i="53"/>
  <c r="DL46" i="53"/>
  <c r="EB46" i="53"/>
  <c r="ER46" i="53"/>
  <c r="FH46" i="53"/>
  <c r="CG46" i="53"/>
  <c r="BB46" i="53"/>
  <c r="BR46" i="53"/>
  <c r="CH46" i="53"/>
  <c r="CX46" i="53"/>
  <c r="DN46" i="53"/>
  <c r="ED46" i="53"/>
  <c r="ET46" i="53"/>
  <c r="FJ46" i="53"/>
  <c r="BT46" i="53"/>
  <c r="BC46" i="53"/>
  <c r="BS46" i="53"/>
  <c r="CI46" i="53"/>
  <c r="CY46" i="53"/>
  <c r="DO46" i="53"/>
  <c r="EE46" i="53"/>
  <c r="EU46" i="53"/>
  <c r="FK46" i="53"/>
  <c r="AM31" i="53"/>
  <c r="D40" i="6"/>
  <c r="G92" i="5" s="1"/>
  <c r="E6" i="6"/>
  <c r="E12" i="6" s="1"/>
  <c r="D36" i="6"/>
  <c r="D38" i="6"/>
  <c r="G94" i="5" s="1"/>
  <c r="D27" i="6"/>
  <c r="D28" i="6" s="1"/>
  <c r="D18" i="6"/>
  <c r="D16" i="6"/>
  <c r="D34" i="6"/>
  <c r="G91" i="5" s="1"/>
  <c r="Q11" i="57"/>
  <c r="M15" i="57"/>
  <c r="O7" i="63"/>
  <c r="G8" i="63"/>
  <c r="G10" i="63" s="1"/>
  <c r="G7" i="63"/>
  <c r="P7" i="63" s="1"/>
  <c r="G70" i="63"/>
  <c r="AR27" i="1"/>
  <c r="AR28" i="1" s="1"/>
  <c r="AR29" i="1" s="1"/>
  <c r="AR30" i="1" s="1"/>
  <c r="AR31" i="1" s="1"/>
  <c r="AR32" i="1" s="1"/>
  <c r="AR33" i="1" s="1"/>
  <c r="AR34" i="1" s="1"/>
  <c r="AR35" i="1" s="1"/>
  <c r="V41" i="55"/>
  <c r="W11" i="57"/>
  <c r="X11" i="57"/>
  <c r="S8" i="59"/>
  <c r="Q9" i="59"/>
  <c r="S9" i="59" s="1"/>
  <c r="J28" i="59"/>
  <c r="L28" i="59" s="1"/>
  <c r="L15" i="59"/>
  <c r="AE27" i="57"/>
  <c r="D17" i="55"/>
  <c r="P24" i="43"/>
  <c r="D20" i="43"/>
  <c r="BE31" i="55"/>
  <c r="BK7" i="55"/>
  <c r="BE7" i="55"/>
  <c r="BG7" i="55"/>
  <c r="BH7" i="55"/>
  <c r="O22" i="51"/>
  <c r="E26" i="6"/>
  <c r="E24" i="6"/>
  <c r="D39" i="1"/>
  <c r="D24" i="6"/>
  <c r="D26" i="6"/>
  <c r="D25" i="6"/>
  <c r="C23" i="6"/>
  <c r="C29" i="6" s="1"/>
  <c r="D23" i="6" s="1"/>
  <c r="J19" i="43"/>
  <c r="C58" i="1"/>
  <c r="D9" i="43" s="1"/>
  <c r="Z29" i="53" a="1"/>
  <c r="Z29" i="53" s="1"/>
  <c r="U420" i="51"/>
  <c r="V9" i="51"/>
  <c r="AL28" i="57"/>
  <c r="E52" i="5" s="1"/>
  <c r="AE28" i="57"/>
  <c r="AA30" i="57"/>
  <c r="AE30" i="57" s="1"/>
  <c r="C69" i="43"/>
  <c r="AL29" i="57"/>
  <c r="AE18" i="57"/>
  <c r="AD28" i="57"/>
  <c r="AO30" i="57"/>
  <c r="AD23" i="57"/>
  <c r="C63" i="43"/>
  <c r="AL23" i="57"/>
  <c r="C64" i="43"/>
  <c r="AL24" i="57"/>
  <c r="C65" i="43"/>
  <c r="AL25" i="57"/>
  <c r="C62" i="43"/>
  <c r="AL22" i="57"/>
  <c r="E46" i="5" s="1"/>
  <c r="C67" i="43"/>
  <c r="AL27" i="57"/>
  <c r="C66" i="43"/>
  <c r="AL26" i="57"/>
  <c r="AE25" i="57"/>
  <c r="AH30" i="57"/>
  <c r="AL30" i="57" s="1"/>
  <c r="AL21" i="57"/>
  <c r="C61" i="43"/>
  <c r="T18" i="57"/>
  <c r="W15" i="57"/>
  <c r="X15" i="57"/>
  <c r="F18" i="57"/>
  <c r="I15" i="57"/>
  <c r="F28" i="55"/>
  <c r="E28" i="55" s="1"/>
  <c r="X68" i="38"/>
  <c r="X93" i="38" s="1"/>
  <c r="I46" i="63"/>
  <c r="I45" i="63"/>
  <c r="E32" i="63"/>
  <c r="G32" i="63"/>
  <c r="G35" i="63"/>
  <c r="P9" i="63" s="1"/>
  <c r="Q9" i="63" s="1"/>
  <c r="O24" i="43"/>
  <c r="I16" i="55"/>
  <c r="C32" i="59"/>
  <c r="C33" i="59" s="1"/>
  <c r="C34" i="59" s="1"/>
  <c r="C35" i="59" s="1"/>
  <c r="C36" i="59" s="1"/>
  <c r="C37" i="59" s="1"/>
  <c r="C38" i="59" s="1"/>
  <c r="C39" i="59" s="1"/>
  <c r="C40" i="59" s="1"/>
  <c r="C41" i="59" s="1"/>
  <c r="N6" i="5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D40" i="43"/>
  <c r="X3" i="55"/>
  <c r="W41" i="55"/>
  <c r="H8" i="6"/>
  <c r="C40" i="43"/>
  <c r="BN7" i="55"/>
  <c r="BF7" i="55"/>
  <c r="BO7" i="55"/>
  <c r="BI7" i="55"/>
  <c r="M18" i="57"/>
  <c r="P22" i="57" s="1"/>
  <c r="BL7" i="55"/>
  <c r="BP7" i="55"/>
  <c r="BM7" i="55"/>
  <c r="BJ7" i="55"/>
  <c r="ED19" i="5"/>
  <c r="AG19" i="5"/>
  <c r="AL19" i="5"/>
  <c r="AO6" i="1"/>
  <c r="AM46" i="53"/>
  <c r="AL82" i="53"/>
  <c r="BQ31" i="55"/>
  <c r="AP6" i="1"/>
  <c r="G19" i="5"/>
  <c r="O182" i="51"/>
  <c r="O42" i="51"/>
  <c r="O157" i="51"/>
  <c r="O210" i="51"/>
  <c r="L19" i="5"/>
  <c r="EE19" i="5"/>
  <c r="O166" i="51"/>
  <c r="O174" i="51"/>
  <c r="O90" i="51"/>
  <c r="O32" i="51"/>
  <c r="AB19" i="5"/>
  <c r="BH19" i="5"/>
  <c r="DD19" i="5"/>
  <c r="DT19" i="5"/>
  <c r="O226" i="51"/>
  <c r="O16" i="51"/>
  <c r="O191" i="51"/>
  <c r="O98" i="51"/>
  <c r="O223" i="51"/>
  <c r="V19" i="5"/>
  <c r="BB19" i="5"/>
  <c r="BR19" i="5"/>
  <c r="CH19" i="5"/>
  <c r="AR19" i="5"/>
  <c r="BX19" i="5"/>
  <c r="CN19" i="5"/>
  <c r="AA19" i="5"/>
  <c r="AQ19" i="5"/>
  <c r="BG19" i="5"/>
  <c r="BW19" i="5"/>
  <c r="Z19" i="5"/>
  <c r="AP19" i="5"/>
  <c r="BV19" i="5"/>
  <c r="CL19" i="5"/>
  <c r="DR19" i="5"/>
  <c r="EH19" i="5"/>
  <c r="DQ19" i="5"/>
  <c r="EG19" i="5"/>
  <c r="AO19" i="5"/>
  <c r="BE19" i="5"/>
  <c r="BU19" i="5"/>
  <c r="CK19" i="5"/>
  <c r="DA19" i="5"/>
  <c r="H19" i="5"/>
  <c r="AJ19" i="5"/>
  <c r="AZ19" i="5"/>
  <c r="CF19" i="5"/>
  <c r="CV19" i="5"/>
  <c r="CE19" i="5"/>
  <c r="CU19" i="5"/>
  <c r="BK19" i="5"/>
  <c r="CA19" i="5"/>
  <c r="P19" i="5"/>
  <c r="AF19" i="5"/>
  <c r="BL19" i="5"/>
  <c r="CB19" i="5"/>
  <c r="DH19" i="5"/>
  <c r="DX19" i="5"/>
  <c r="AU19" i="5"/>
  <c r="N19" i="5"/>
  <c r="AD19" i="5"/>
  <c r="BJ19" i="5"/>
  <c r="BZ19" i="5"/>
  <c r="DF19" i="5"/>
  <c r="DV19" i="5"/>
  <c r="O131" i="51"/>
  <c r="O69" i="51"/>
  <c r="O126" i="51"/>
  <c r="O34" i="51"/>
  <c r="O116" i="51"/>
  <c r="O168" i="51"/>
  <c r="O186" i="51"/>
  <c r="O229" i="51"/>
  <c r="O227" i="51"/>
  <c r="O231" i="51"/>
  <c r="O61" i="51"/>
  <c r="O10" i="51"/>
  <c r="O103" i="51"/>
  <c r="O63" i="51"/>
  <c r="O53" i="51"/>
  <c r="O133" i="51"/>
  <c r="O127" i="51"/>
  <c r="O171" i="51"/>
  <c r="O189" i="51"/>
  <c r="O199" i="51"/>
  <c r="O233" i="51"/>
  <c r="O175" i="51"/>
  <c r="O55" i="51"/>
  <c r="O128" i="51"/>
  <c r="O74" i="51"/>
  <c r="O81" i="51"/>
  <c r="O47" i="51"/>
  <c r="O60" i="51"/>
  <c r="O150" i="51"/>
  <c r="O125" i="51"/>
  <c r="O219" i="51"/>
  <c r="O205" i="51"/>
  <c r="O122" i="51"/>
  <c r="O183" i="51"/>
  <c r="O28" i="51"/>
  <c r="O8" i="51"/>
  <c r="O45" i="51"/>
  <c r="O41" i="51"/>
  <c r="O54" i="51"/>
  <c r="O196" i="51"/>
  <c r="O225" i="51"/>
  <c r="O222" i="51"/>
  <c r="O211" i="51"/>
  <c r="O138" i="51"/>
  <c r="O195" i="51"/>
  <c r="O20" i="51"/>
  <c r="O79" i="51"/>
  <c r="O38" i="51"/>
  <c r="O144" i="51"/>
  <c r="O25" i="51"/>
  <c r="O155" i="51"/>
  <c r="O136" i="51"/>
  <c r="O48" i="51"/>
  <c r="O230" i="51"/>
  <c r="O217" i="51"/>
  <c r="O146" i="51"/>
  <c r="O213" i="51"/>
  <c r="O12" i="51"/>
  <c r="O37" i="51"/>
  <c r="O179" i="51"/>
  <c r="O110" i="51"/>
  <c r="O17" i="51"/>
  <c r="O142" i="51"/>
  <c r="O145" i="51"/>
  <c r="O56" i="51"/>
  <c r="O206" i="51"/>
  <c r="O132" i="51"/>
  <c r="O154" i="51"/>
  <c r="O192" i="51"/>
  <c r="O137" i="51"/>
  <c r="O15" i="51"/>
  <c r="O151" i="51"/>
  <c r="O87" i="51"/>
  <c r="O9" i="51"/>
  <c r="O139" i="51"/>
  <c r="O158" i="51"/>
  <c r="O64" i="51"/>
  <c r="O147" i="51"/>
  <c r="O140" i="51"/>
  <c r="O170" i="51"/>
  <c r="O200" i="51"/>
  <c r="O113" i="51"/>
  <c r="O26" i="51"/>
  <c r="AC19" i="5"/>
  <c r="O114" i="51"/>
  <c r="O152" i="51"/>
  <c r="O173" i="51"/>
  <c r="O121" i="51"/>
  <c r="O190" i="51"/>
  <c r="O72" i="51"/>
  <c r="O163" i="51"/>
  <c r="O148" i="51"/>
  <c r="O178" i="51"/>
  <c r="O216" i="51"/>
  <c r="O102" i="51"/>
  <c r="O50" i="51"/>
  <c r="AS19" i="5"/>
  <c r="O92" i="51"/>
  <c r="O129" i="51"/>
  <c r="O111" i="51"/>
  <c r="O101" i="51"/>
  <c r="O214" i="51"/>
  <c r="O80" i="51"/>
  <c r="O159" i="51"/>
  <c r="O164" i="51"/>
  <c r="O203" i="51"/>
  <c r="O224" i="51"/>
  <c r="O73" i="51"/>
  <c r="O40" i="51"/>
  <c r="BI19" i="5"/>
  <c r="O86" i="51"/>
  <c r="O123" i="51"/>
  <c r="O100" i="51"/>
  <c r="O95" i="51"/>
  <c r="O149" i="51"/>
  <c r="O96" i="51"/>
  <c r="O197" i="51"/>
  <c r="O180" i="51"/>
  <c r="O215" i="51"/>
  <c r="O232" i="51"/>
  <c r="O67" i="51"/>
  <c r="O13" i="51"/>
  <c r="BY19" i="5"/>
  <c r="O57" i="51"/>
  <c r="O115" i="51"/>
  <c r="O94" i="51"/>
  <c r="O66" i="51"/>
  <c r="O165" i="51"/>
  <c r="O104" i="51"/>
  <c r="O194" i="51"/>
  <c r="O187" i="51"/>
  <c r="O221" i="51"/>
  <c r="O84" i="51"/>
  <c r="O44" i="51"/>
  <c r="O58" i="51"/>
  <c r="O51" i="51"/>
  <c r="O105" i="51"/>
  <c r="O65" i="51"/>
  <c r="O35" i="51"/>
  <c r="O236" i="51"/>
  <c r="O112" i="51"/>
  <c r="O212" i="51"/>
  <c r="O193" i="51"/>
  <c r="O161" i="51"/>
  <c r="O78" i="51"/>
  <c r="O118" i="51"/>
  <c r="O29" i="51"/>
  <c r="O209" i="51"/>
  <c r="O99" i="51"/>
  <c r="O59" i="51"/>
  <c r="O27" i="51"/>
  <c r="O184" i="51"/>
  <c r="O134" i="51"/>
  <c r="O235" i="51"/>
  <c r="O234" i="51"/>
  <c r="O169" i="51"/>
  <c r="O49" i="51"/>
  <c r="O39" i="51"/>
  <c r="O18" i="51"/>
  <c r="O135" i="51"/>
  <c r="O76" i="51"/>
  <c r="O106" i="51"/>
  <c r="O11" i="51"/>
  <c r="O207" i="51"/>
  <c r="O143" i="51"/>
  <c r="O181" i="51"/>
  <c r="O198" i="51"/>
  <c r="O177" i="51"/>
  <c r="O43" i="51"/>
  <c r="O91" i="51"/>
  <c r="O68" i="51"/>
  <c r="O119" i="51"/>
  <c r="O70" i="51"/>
  <c r="O77" i="51"/>
  <c r="O141" i="51"/>
  <c r="O153" i="51"/>
  <c r="O160" i="51"/>
  <c r="O188" i="51"/>
  <c r="O204" i="51"/>
  <c r="O185" i="51"/>
  <c r="O176" i="51"/>
  <c r="O52" i="51"/>
  <c r="O46" i="51"/>
  <c r="CJ19" i="5"/>
  <c r="CZ19" i="5"/>
  <c r="EF19" i="5"/>
  <c r="DO19" i="5"/>
  <c r="W19" i="5"/>
  <c r="AM19" i="5"/>
  <c r="BM19" i="5"/>
  <c r="CC19" i="5"/>
  <c r="CS19" i="5"/>
  <c r="DI19" i="5"/>
  <c r="DY19" i="5"/>
  <c r="Q19" i="5"/>
  <c r="AW19" i="5"/>
  <c r="O62" i="51"/>
  <c r="O97" i="51"/>
  <c r="O85" i="51"/>
  <c r="O7" i="51"/>
  <c r="O14" i="51"/>
  <c r="O108" i="51"/>
  <c r="O30" i="51"/>
  <c r="O75" i="51"/>
  <c r="O82" i="51"/>
  <c r="O71" i="51"/>
  <c r="O19" i="51"/>
  <c r="O228" i="51"/>
  <c r="O88" i="51"/>
  <c r="O167" i="51"/>
  <c r="O124" i="51"/>
  <c r="O130" i="51"/>
  <c r="O237" i="51"/>
  <c r="O107" i="51"/>
  <c r="O23" i="51"/>
  <c r="O24" i="51"/>
  <c r="Y19" i="5"/>
  <c r="O109" i="51"/>
  <c r="O93" i="51"/>
  <c r="O33" i="51"/>
  <c r="O83" i="51"/>
  <c r="O202" i="51"/>
  <c r="O220" i="51"/>
  <c r="O120" i="51"/>
  <c r="O218" i="51"/>
  <c r="O156" i="51"/>
  <c r="O162" i="51"/>
  <c r="O201" i="51"/>
  <c r="O36" i="51"/>
  <c r="O21" i="51"/>
  <c r="O31" i="51"/>
  <c r="AE19" i="5"/>
  <c r="BS19" i="5"/>
  <c r="DC19" i="5"/>
  <c r="DE19" i="5"/>
  <c r="DG19" i="5"/>
  <c r="CY19" i="5"/>
  <c r="J19" i="5"/>
  <c r="DS19" i="5"/>
  <c r="DU19" i="5"/>
  <c r="DW19" i="5"/>
  <c r="AN19" i="5"/>
  <c r="BF19" i="5"/>
  <c r="AT19" i="5"/>
  <c r="AV19" i="5"/>
  <c r="T19" i="5"/>
  <c r="DP19" i="5"/>
  <c r="DB19" i="5"/>
  <c r="CP19" i="5"/>
  <c r="CR19" i="5"/>
  <c r="BP19" i="5"/>
  <c r="K19" i="5"/>
  <c r="M19" i="5"/>
  <c r="O19" i="5"/>
  <c r="DL19" i="5"/>
  <c r="BC19" i="5"/>
  <c r="CM19" i="5"/>
  <c r="CO19" i="5"/>
  <c r="CQ19" i="5"/>
  <c r="DK19" i="5"/>
  <c r="EA19" i="5"/>
  <c r="S19" i="5"/>
  <c r="AI19" i="5"/>
  <c r="AY19" i="5"/>
  <c r="BO19" i="5"/>
  <c r="BV7" i="55"/>
  <c r="BZ7" i="55"/>
  <c r="BS7" i="55"/>
  <c r="BY7" i="55"/>
  <c r="CB7" i="55"/>
  <c r="BR7" i="55"/>
  <c r="BX7" i="55"/>
  <c r="BQ7" i="55"/>
  <c r="BU7" i="55"/>
  <c r="CA7" i="55"/>
  <c r="BT7" i="55"/>
  <c r="BW7" i="55"/>
  <c r="DJ19" i="5"/>
  <c r="BA46" i="53"/>
  <c r="U19" i="5"/>
  <c r="BQ46" i="53"/>
  <c r="AK19" i="5"/>
  <c r="CW46" i="53"/>
  <c r="BQ19" i="5"/>
  <c r="DM46" i="53"/>
  <c r="CG19" i="5"/>
  <c r="EC46" i="53"/>
  <c r="CW19" i="5"/>
  <c r="ES46" i="53"/>
  <c r="DM19" i="5"/>
  <c r="FI46" i="53"/>
  <c r="EC19" i="5"/>
  <c r="BA19" i="5"/>
  <c r="AO46" i="53"/>
  <c r="I19" i="5"/>
  <c r="AX46" i="53"/>
  <c r="R19" i="5"/>
  <c r="BN46" i="53"/>
  <c r="AH19" i="5"/>
  <c r="CD46" i="53"/>
  <c r="AX19" i="5"/>
  <c r="CT46" i="53"/>
  <c r="BN19" i="5"/>
  <c r="DJ46" i="53"/>
  <c r="CD19" i="5"/>
  <c r="DZ46" i="53"/>
  <c r="CT19" i="5"/>
  <c r="FF46" i="53"/>
  <c r="DZ19" i="5"/>
  <c r="BD19" i="5"/>
  <c r="BT19" i="5"/>
  <c r="CX19" i="5"/>
  <c r="DN19" i="5"/>
  <c r="EB19" i="5"/>
  <c r="CI19" i="5"/>
  <c r="X19" i="5"/>
  <c r="AI420" i="51"/>
  <c r="T40" i="55"/>
  <c r="AD27" i="57"/>
  <c r="AD21" i="57"/>
  <c r="AD25" i="57"/>
  <c r="AD18" i="57"/>
  <c r="M10" i="51" a="1"/>
  <c r="M10" i="51" s="1"/>
  <c r="M420" i="51" s="1"/>
  <c r="N420" i="51"/>
  <c r="AE29" i="53" a="1"/>
  <c r="AE29" i="53" s="1"/>
  <c r="AD29" i="53" a="1"/>
  <c r="AD29" i="53" s="1"/>
  <c r="AB29" i="53" a="1"/>
  <c r="AB29" i="53" s="1"/>
  <c r="AA29" i="53" a="1"/>
  <c r="AA29" i="53" s="1"/>
  <c r="G21" i="5" l="1"/>
  <c r="H21" i="5" s="1"/>
  <c r="I21" i="5" s="1"/>
  <c r="AO8" i="53"/>
  <c r="AP8" i="53" s="1"/>
  <c r="AP84" i="53" s="1"/>
  <c r="I4" i="5"/>
  <c r="I79" i="5"/>
  <c r="I90" i="5"/>
  <c r="H85" i="5"/>
  <c r="H79" i="5"/>
  <c r="G69" i="5"/>
  <c r="Q7" i="63"/>
  <c r="E25" i="6"/>
  <c r="H5" i="5"/>
  <c r="I53" i="5"/>
  <c r="H53" i="5"/>
  <c r="E14" i="65"/>
  <c r="G70" i="5"/>
  <c r="H68" i="5"/>
  <c r="X95" i="38"/>
  <c r="X103" i="38" s="1"/>
  <c r="G95" i="38"/>
  <c r="G106" i="38" s="1"/>
  <c r="H106" i="38" s="1"/>
  <c r="H93" i="38"/>
  <c r="V420" i="51"/>
  <c r="D69" i="53"/>
  <c r="Q69" i="53" s="1"/>
  <c r="Q203" i="53"/>
  <c r="Q122" i="53"/>
  <c r="Q216" i="53"/>
  <c r="Q135" i="53"/>
  <c r="Q189" i="53"/>
  <c r="Q148" i="53"/>
  <c r="Q83" i="53"/>
  <c r="Q177" i="53"/>
  <c r="Q96" i="53"/>
  <c r="Q174" i="53"/>
  <c r="Q232" i="53"/>
  <c r="Q158" i="53"/>
  <c r="Q206" i="53"/>
  <c r="Q151" i="53"/>
  <c r="Q187" i="53"/>
  <c r="Q106" i="53"/>
  <c r="Q200" i="53"/>
  <c r="Q119" i="53"/>
  <c r="Q213" i="53"/>
  <c r="Q132" i="53"/>
  <c r="Q161" i="53"/>
  <c r="Q80" i="53"/>
  <c r="Q183" i="53"/>
  <c r="Q190" i="53"/>
  <c r="Q171" i="53"/>
  <c r="Q90" i="53"/>
  <c r="Q184" i="53"/>
  <c r="Q103" i="53"/>
  <c r="Q197" i="53"/>
  <c r="Q116" i="53"/>
  <c r="Q226" i="53"/>
  <c r="Q145" i="53"/>
  <c r="Q229" i="53"/>
  <c r="Q142" i="53"/>
  <c r="Q192" i="53"/>
  <c r="Q196" i="53"/>
  <c r="Q99" i="53"/>
  <c r="Q77" i="53"/>
  <c r="Q155" i="53"/>
  <c r="Q74" i="53"/>
  <c r="Q168" i="53"/>
  <c r="Q87" i="53"/>
  <c r="Q181" i="53"/>
  <c r="Q100" i="53"/>
  <c r="Q210" i="53"/>
  <c r="Q129" i="53"/>
  <c r="Q223" i="53"/>
  <c r="Q126" i="53"/>
  <c r="Q143" i="53"/>
  <c r="Q163" i="53"/>
  <c r="Q209" i="53"/>
  <c r="Q193" i="53"/>
  <c r="Q220" i="53"/>
  <c r="Q139" i="53"/>
  <c r="Q125" i="53"/>
  <c r="Q152" i="53"/>
  <c r="Q71" i="53"/>
  <c r="Q165" i="53"/>
  <c r="Q84" i="53"/>
  <c r="Q194" i="53"/>
  <c r="Q113" i="53"/>
  <c r="Q207" i="53"/>
  <c r="Q110" i="53"/>
  <c r="Q95" i="53"/>
  <c r="Q225" i="53"/>
  <c r="Q204" i="53"/>
  <c r="Q123" i="53"/>
  <c r="Q217" i="53"/>
  <c r="Q136" i="53"/>
  <c r="Q157" i="53"/>
  <c r="Q149" i="53"/>
  <c r="Q233" i="53"/>
  <c r="Q178" i="53"/>
  <c r="Q97" i="53"/>
  <c r="Q191" i="53"/>
  <c r="Q94" i="53"/>
  <c r="Q111" i="53"/>
  <c r="Q160" i="53"/>
  <c r="Q128" i="53"/>
  <c r="Q164" i="53"/>
  <c r="Q188" i="53"/>
  <c r="Q107" i="53"/>
  <c r="Q201" i="53"/>
  <c r="Q120" i="53"/>
  <c r="Q214" i="53"/>
  <c r="Q133" i="53"/>
  <c r="Q205" i="53"/>
  <c r="Q162" i="53"/>
  <c r="Q81" i="53"/>
  <c r="Q175" i="53"/>
  <c r="Q78" i="53"/>
  <c r="Q224" i="53"/>
  <c r="Q176" i="53"/>
  <c r="Q131" i="53"/>
  <c r="Q219" i="53"/>
  <c r="Q172" i="53"/>
  <c r="Q91" i="53"/>
  <c r="Q185" i="53"/>
  <c r="Q104" i="53"/>
  <c r="Q198" i="53"/>
  <c r="Q117" i="53"/>
  <c r="Q227" i="53"/>
  <c r="Q146" i="53"/>
  <c r="Q230" i="53"/>
  <c r="Q159" i="53"/>
  <c r="Q82" i="53"/>
  <c r="Q144" i="53"/>
  <c r="Q156" i="53"/>
  <c r="Q75" i="53"/>
  <c r="Q169" i="53"/>
  <c r="Q88" i="53"/>
  <c r="Q182" i="53"/>
  <c r="Q101" i="53"/>
  <c r="Q211" i="53"/>
  <c r="Q130" i="53"/>
  <c r="Q134" i="53"/>
  <c r="Q138" i="53"/>
  <c r="Q140" i="53"/>
  <c r="Q109" i="53"/>
  <c r="Q153" i="53"/>
  <c r="Q72" i="53"/>
  <c r="Q166" i="53"/>
  <c r="Q85" i="53"/>
  <c r="Q195" i="53"/>
  <c r="Q114" i="53"/>
  <c r="Q208" i="53"/>
  <c r="Q127" i="53"/>
  <c r="Q79" i="53"/>
  <c r="Q180" i="53"/>
  <c r="Q124" i="53"/>
  <c r="Q218" i="53"/>
  <c r="Q137" i="53"/>
  <c r="Q141" i="53"/>
  <c r="Q150" i="53"/>
  <c r="Q221" i="53"/>
  <c r="Q179" i="53"/>
  <c r="Q98" i="53"/>
  <c r="Q222" i="53"/>
  <c r="Q173" i="53"/>
  <c r="Q108" i="53"/>
  <c r="Q202" i="53"/>
  <c r="Q121" i="53"/>
  <c r="Q215" i="53"/>
  <c r="Q228" i="53"/>
  <c r="Q70" i="53"/>
  <c r="Q92" i="53"/>
  <c r="Q186" i="53"/>
  <c r="Q105" i="53"/>
  <c r="Q199" i="53"/>
  <c r="Q118" i="53"/>
  <c r="Q212" i="53"/>
  <c r="Q147" i="53"/>
  <c r="Q231" i="53"/>
  <c r="Q115" i="53"/>
  <c r="Q112" i="53"/>
  <c r="Q76" i="53"/>
  <c r="Q170" i="53"/>
  <c r="Q89" i="53"/>
  <c r="Q102" i="53"/>
  <c r="Q93" i="53"/>
  <c r="Q154" i="53"/>
  <c r="Q73" i="53"/>
  <c r="Q167" i="53"/>
  <c r="Q86" i="53"/>
  <c r="O18" i="53"/>
  <c r="P20" i="1" s="1"/>
  <c r="P39" i="53"/>
  <c r="E39" i="53"/>
  <c r="F39" i="53" s="1"/>
  <c r="O12" i="53"/>
  <c r="P14" i="1" s="1"/>
  <c r="E33" i="53"/>
  <c r="F33" i="53" s="1"/>
  <c r="P33" i="53"/>
  <c r="O17" i="53"/>
  <c r="P19" i="1" s="1"/>
  <c r="P38" i="53"/>
  <c r="E38" i="53"/>
  <c r="F38" i="53" s="1"/>
  <c r="O16" i="53"/>
  <c r="P18" i="1" s="1"/>
  <c r="P37" i="53"/>
  <c r="E37" i="53"/>
  <c r="F37" i="53" s="1"/>
  <c r="O11" i="53"/>
  <c r="P13" i="1" s="1"/>
  <c r="E32" i="53"/>
  <c r="F32" i="53" s="1"/>
  <c r="P32" i="53"/>
  <c r="P29" i="53"/>
  <c r="E29" i="53"/>
  <c r="F29" i="53" s="1"/>
  <c r="O10" i="53"/>
  <c r="P12" i="1" s="1"/>
  <c r="E31" i="53"/>
  <c r="F31" i="53" s="1"/>
  <c r="P31" i="53"/>
  <c r="O15" i="53"/>
  <c r="P17" i="1" s="1"/>
  <c r="P36" i="53"/>
  <c r="E36" i="53"/>
  <c r="F36" i="53" s="1"/>
  <c r="O14" i="53"/>
  <c r="P16" i="1" s="1"/>
  <c r="P35" i="53"/>
  <c r="E35" i="53"/>
  <c r="F35" i="53" s="1"/>
  <c r="O9" i="53"/>
  <c r="P11" i="1" s="1"/>
  <c r="E30" i="53"/>
  <c r="F30" i="53" s="1"/>
  <c r="P30" i="53"/>
  <c r="O19" i="53"/>
  <c r="P21" i="1" s="1"/>
  <c r="P40" i="53"/>
  <c r="U40" i="53" s="1"/>
  <c r="V40" i="53" s="1"/>
  <c r="E40" i="53"/>
  <c r="F40" i="53" s="1"/>
  <c r="O13" i="53"/>
  <c r="P15" i="1" s="1"/>
  <c r="P34" i="53"/>
  <c r="E34" i="53"/>
  <c r="F34" i="53" s="1"/>
  <c r="O8" i="53"/>
  <c r="P10" i="1" s="1"/>
  <c r="T38" i="55"/>
  <c r="E50" i="5"/>
  <c r="T41" i="55"/>
  <c r="E53" i="5"/>
  <c r="T39" i="55"/>
  <c r="E51" i="5"/>
  <c r="T37" i="55"/>
  <c r="E49" i="5"/>
  <c r="T36" i="55"/>
  <c r="E48" i="5"/>
  <c r="T35" i="55"/>
  <c r="E47" i="5"/>
  <c r="E45" i="5"/>
  <c r="T34" i="55"/>
  <c r="Y22" i="38"/>
  <c r="V15" i="55"/>
  <c r="V25" i="55" s="1"/>
  <c r="V13" i="55"/>
  <c r="V23" i="55" s="1"/>
  <c r="U23" i="55"/>
  <c r="Y39" i="38"/>
  <c r="AA3" i="38"/>
  <c r="Z4" i="38"/>
  <c r="AR7" i="53"/>
  <c r="AQ6" i="53"/>
  <c r="AQ11" i="53" s="1"/>
  <c r="AN29" i="53"/>
  <c r="AN31" i="53" s="1"/>
  <c r="AM99" i="53"/>
  <c r="I68" i="5"/>
  <c r="J4" i="5"/>
  <c r="I85" i="5"/>
  <c r="I5" i="5"/>
  <c r="D41" i="6"/>
  <c r="G93" i="5" s="1"/>
  <c r="E14" i="6"/>
  <c r="E7" i="6"/>
  <c r="F6" i="6"/>
  <c r="F12" i="6" s="1"/>
  <c r="E40" i="6"/>
  <c r="H92" i="5" s="1"/>
  <c r="E18" i="6"/>
  <c r="E27" i="6"/>
  <c r="E28" i="6" s="1"/>
  <c r="E38" i="6"/>
  <c r="E34" i="6"/>
  <c r="H91" i="5" s="1"/>
  <c r="E36" i="6"/>
  <c r="E16" i="6"/>
  <c r="G87" i="5"/>
  <c r="D19" i="6"/>
  <c r="G86" i="5" s="1"/>
  <c r="D29" i="6"/>
  <c r="E23" i="6" s="1"/>
  <c r="O9" i="59"/>
  <c r="Q11" i="59"/>
  <c r="Q14" i="59" s="1"/>
  <c r="AD30" i="57"/>
  <c r="AA32" i="57"/>
  <c r="AO25" i="53"/>
  <c r="AO27" i="53" s="1"/>
  <c r="V16" i="55"/>
  <c r="V26" i="55" s="1"/>
  <c r="CC31" i="55"/>
  <c r="D11" i="64"/>
  <c r="W25" i="57"/>
  <c r="W21" i="57"/>
  <c r="X18" i="57"/>
  <c r="W30" i="57"/>
  <c r="W18" i="57"/>
  <c r="W26" i="57"/>
  <c r="W22" i="57"/>
  <c r="W27" i="57"/>
  <c r="W23" i="57"/>
  <c r="T32" i="57"/>
  <c r="W28" i="57"/>
  <c r="W24" i="57"/>
  <c r="W29" i="57"/>
  <c r="J18" i="57"/>
  <c r="I18" i="57"/>
  <c r="I30" i="57"/>
  <c r="I26" i="57"/>
  <c r="I22" i="57"/>
  <c r="I25" i="57"/>
  <c r="I27" i="57"/>
  <c r="I23" i="57"/>
  <c r="I28" i="57"/>
  <c r="I24" i="57"/>
  <c r="I29" i="57"/>
  <c r="I21" i="57"/>
  <c r="F32" i="57"/>
  <c r="X41" i="55"/>
  <c r="Y3" i="55"/>
  <c r="AF6" i="5"/>
  <c r="AG6" i="5" s="1"/>
  <c r="AH6" i="5" s="1"/>
  <c r="AI6" i="5" s="1"/>
  <c r="AJ6" i="5" s="1"/>
  <c r="AK6" i="5" s="1"/>
  <c r="AL6" i="5" s="1"/>
  <c r="AM6" i="5" s="1"/>
  <c r="AN6" i="5" s="1"/>
  <c r="AO6" i="5" s="1"/>
  <c r="AP6" i="5" s="1"/>
  <c r="AQ6" i="5" s="1"/>
  <c r="AR6" i="5" s="1"/>
  <c r="AS6" i="5" s="1"/>
  <c r="AT6" i="5" s="1"/>
  <c r="AU6" i="5" s="1"/>
  <c r="AV6" i="5" s="1"/>
  <c r="AW6" i="5" s="1"/>
  <c r="AX6" i="5" s="1"/>
  <c r="AY6" i="5" s="1"/>
  <c r="AZ6" i="5" s="1"/>
  <c r="BA6" i="5" s="1"/>
  <c r="BB6" i="5" s="1"/>
  <c r="BC6" i="5" s="1"/>
  <c r="BD6" i="5" s="1"/>
  <c r="BE6" i="5" s="1"/>
  <c r="BF6" i="5" s="1"/>
  <c r="BG6" i="5" s="1"/>
  <c r="BH6" i="5" s="1"/>
  <c r="BI6" i="5" s="1"/>
  <c r="BJ6" i="5" s="1"/>
  <c r="BK6" i="5" s="1"/>
  <c r="BL6" i="5" s="1"/>
  <c r="BM6" i="5" s="1"/>
  <c r="BN6" i="5" s="1"/>
  <c r="BO6" i="5" s="1"/>
  <c r="BP6" i="5" s="1"/>
  <c r="BQ6" i="5" s="1"/>
  <c r="BR6" i="5" s="1"/>
  <c r="BS6" i="5" s="1"/>
  <c r="BT6" i="5" s="1"/>
  <c r="BU6" i="5" s="1"/>
  <c r="BV6" i="5" s="1"/>
  <c r="BW6" i="5" s="1"/>
  <c r="BX6" i="5" s="1"/>
  <c r="BY6" i="5" s="1"/>
  <c r="BZ6" i="5" s="1"/>
  <c r="CA6" i="5" s="1"/>
  <c r="CB6" i="5" s="1"/>
  <c r="CC6" i="5" s="1"/>
  <c r="CD6" i="5" s="1"/>
  <c r="CE6" i="5" s="1"/>
  <c r="CF6" i="5" s="1"/>
  <c r="CG6" i="5" s="1"/>
  <c r="CH6" i="5" s="1"/>
  <c r="CI6" i="5" s="1"/>
  <c r="CJ6" i="5" s="1"/>
  <c r="CK6" i="5" s="1"/>
  <c r="CL6" i="5" s="1"/>
  <c r="CM6" i="5" s="1"/>
  <c r="CN6" i="5" s="1"/>
  <c r="CO6" i="5" s="1"/>
  <c r="CP6" i="5" s="1"/>
  <c r="CQ6" i="5" s="1"/>
  <c r="CR6" i="5" s="1"/>
  <c r="CS6" i="5" s="1"/>
  <c r="CT6" i="5" s="1"/>
  <c r="CU6" i="5" s="1"/>
  <c r="CV6" i="5" s="1"/>
  <c r="CW6" i="5" s="1"/>
  <c r="CX6" i="5" s="1"/>
  <c r="CY6" i="5" s="1"/>
  <c r="CZ6" i="5" s="1"/>
  <c r="DA6" i="5" s="1"/>
  <c r="DB6" i="5" s="1"/>
  <c r="DC6" i="5" s="1"/>
  <c r="DD6" i="5" s="1"/>
  <c r="DE6" i="5" s="1"/>
  <c r="DF6" i="5" s="1"/>
  <c r="DG6" i="5" s="1"/>
  <c r="DH6" i="5" s="1"/>
  <c r="DI6" i="5" s="1"/>
  <c r="DJ6" i="5" s="1"/>
  <c r="DK6" i="5" s="1"/>
  <c r="DL6" i="5" s="1"/>
  <c r="DM6" i="5" s="1"/>
  <c r="DN6" i="5" s="1"/>
  <c r="DO6" i="5" s="1"/>
  <c r="DP6" i="5" s="1"/>
  <c r="DQ6" i="5" s="1"/>
  <c r="DR6" i="5" s="1"/>
  <c r="DS6" i="5" s="1"/>
  <c r="DT6" i="5" s="1"/>
  <c r="DU6" i="5" s="1"/>
  <c r="DV6" i="5" s="1"/>
  <c r="DW6" i="5" s="1"/>
  <c r="DX6" i="5" s="1"/>
  <c r="DY6" i="5" s="1"/>
  <c r="DZ6" i="5" s="1"/>
  <c r="EA6" i="5" s="1"/>
  <c r="EB6" i="5" s="1"/>
  <c r="EC6" i="5" s="1"/>
  <c r="ED6" i="5" s="1"/>
  <c r="EE6" i="5" s="1"/>
  <c r="EF6" i="5" s="1"/>
  <c r="EG6" i="5" s="1"/>
  <c r="EH6" i="5" s="1"/>
  <c r="E40" i="43"/>
  <c r="I8" i="6"/>
  <c r="V17" i="55"/>
  <c r="V27" i="55" s="1"/>
  <c r="V12" i="55"/>
  <c r="V22" i="55" s="1"/>
  <c r="V14" i="55"/>
  <c r="V24" i="55" s="1"/>
  <c r="P26" i="57"/>
  <c r="Q15" i="57"/>
  <c r="P27" i="57"/>
  <c r="P23" i="57"/>
  <c r="P30" i="57"/>
  <c r="P25" i="57"/>
  <c r="P28" i="57"/>
  <c r="P21" i="57"/>
  <c r="P24" i="57"/>
  <c r="P18" i="57"/>
  <c r="P15" i="57"/>
  <c r="P29" i="57"/>
  <c r="M32" i="57"/>
  <c r="Q18" i="57"/>
  <c r="AM47" i="53"/>
  <c r="G20" i="5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AI20" i="5" s="1"/>
  <c r="AJ20" i="5" s="1"/>
  <c r="AK20" i="5" s="1"/>
  <c r="AL20" i="5" s="1"/>
  <c r="AM20" i="5" s="1"/>
  <c r="AN20" i="5" s="1"/>
  <c r="AO20" i="5" s="1"/>
  <c r="AP20" i="5" s="1"/>
  <c r="AQ20" i="5" s="1"/>
  <c r="AR20" i="5" s="1"/>
  <c r="AS20" i="5" s="1"/>
  <c r="AT20" i="5" s="1"/>
  <c r="AU20" i="5" s="1"/>
  <c r="AV20" i="5" s="1"/>
  <c r="AW20" i="5" s="1"/>
  <c r="AX20" i="5" s="1"/>
  <c r="AY20" i="5" s="1"/>
  <c r="AZ20" i="5" s="1"/>
  <c r="BA20" i="5" s="1"/>
  <c r="BB20" i="5" s="1"/>
  <c r="BC20" i="5" s="1"/>
  <c r="BD20" i="5" s="1"/>
  <c r="BE20" i="5" s="1"/>
  <c r="BF20" i="5" s="1"/>
  <c r="BG20" i="5" s="1"/>
  <c r="BH20" i="5" s="1"/>
  <c r="BI20" i="5" s="1"/>
  <c r="BJ20" i="5" s="1"/>
  <c r="BK20" i="5" s="1"/>
  <c r="BL20" i="5" s="1"/>
  <c r="BM20" i="5" s="1"/>
  <c r="BN20" i="5" s="1"/>
  <c r="BO20" i="5" s="1"/>
  <c r="BP20" i="5" s="1"/>
  <c r="BQ20" i="5" s="1"/>
  <c r="BR20" i="5" s="1"/>
  <c r="BS20" i="5" s="1"/>
  <c r="BT20" i="5" s="1"/>
  <c r="BU20" i="5" s="1"/>
  <c r="BV20" i="5" s="1"/>
  <c r="BW20" i="5" s="1"/>
  <c r="BX20" i="5" s="1"/>
  <c r="BY20" i="5" s="1"/>
  <c r="BZ20" i="5" s="1"/>
  <c r="CA20" i="5" s="1"/>
  <c r="CB20" i="5" s="1"/>
  <c r="CC20" i="5" s="1"/>
  <c r="CD20" i="5" s="1"/>
  <c r="CE20" i="5" s="1"/>
  <c r="CF20" i="5" s="1"/>
  <c r="CG20" i="5" s="1"/>
  <c r="CH20" i="5" s="1"/>
  <c r="CI20" i="5" s="1"/>
  <c r="CJ20" i="5" s="1"/>
  <c r="CK20" i="5" s="1"/>
  <c r="CL20" i="5" s="1"/>
  <c r="CM20" i="5" s="1"/>
  <c r="CN20" i="5" s="1"/>
  <c r="CO20" i="5" s="1"/>
  <c r="CP20" i="5" s="1"/>
  <c r="CQ20" i="5" s="1"/>
  <c r="CR20" i="5" s="1"/>
  <c r="CS20" i="5" s="1"/>
  <c r="CT20" i="5" s="1"/>
  <c r="CU20" i="5" s="1"/>
  <c r="CV20" i="5" s="1"/>
  <c r="CW20" i="5" s="1"/>
  <c r="CX20" i="5" s="1"/>
  <c r="CY20" i="5" s="1"/>
  <c r="CZ20" i="5" s="1"/>
  <c r="DA20" i="5" s="1"/>
  <c r="DB20" i="5" s="1"/>
  <c r="DC20" i="5" s="1"/>
  <c r="DD20" i="5" s="1"/>
  <c r="DE20" i="5" s="1"/>
  <c r="DF20" i="5" s="1"/>
  <c r="DG20" i="5" s="1"/>
  <c r="DH20" i="5" s="1"/>
  <c r="DI20" i="5" s="1"/>
  <c r="DJ20" i="5" s="1"/>
  <c r="DK20" i="5" s="1"/>
  <c r="DL20" i="5" s="1"/>
  <c r="DM20" i="5" s="1"/>
  <c r="DN20" i="5" s="1"/>
  <c r="DO20" i="5" s="1"/>
  <c r="DP20" i="5" s="1"/>
  <c r="DQ20" i="5" s="1"/>
  <c r="DR20" i="5" s="1"/>
  <c r="DS20" i="5" s="1"/>
  <c r="DT20" i="5" s="1"/>
  <c r="DU20" i="5" s="1"/>
  <c r="DV20" i="5" s="1"/>
  <c r="DW20" i="5" s="1"/>
  <c r="DX20" i="5" s="1"/>
  <c r="DY20" i="5" s="1"/>
  <c r="DZ20" i="5" s="1"/>
  <c r="EA20" i="5" s="1"/>
  <c r="EB20" i="5" s="1"/>
  <c r="EC20" i="5" s="1"/>
  <c r="ED20" i="5" s="1"/>
  <c r="EE20" i="5" s="1"/>
  <c r="EF20" i="5" s="1"/>
  <c r="EG20" i="5" s="1"/>
  <c r="EH20" i="5" s="1"/>
  <c r="O420" i="51"/>
  <c r="CC7" i="55"/>
  <c r="CI7" i="55"/>
  <c r="CF7" i="55"/>
  <c r="CL7" i="55"/>
  <c r="CE7" i="55"/>
  <c r="CK7" i="55"/>
  <c r="CN7" i="55"/>
  <c r="CD7" i="55"/>
  <c r="CH7" i="55"/>
  <c r="CJ7" i="55"/>
  <c r="CG7" i="55"/>
  <c r="CM7" i="55"/>
  <c r="CO31" i="55"/>
  <c r="AA43" i="53"/>
  <c r="AC29" i="53" a="1"/>
  <c r="AC29" i="53" s="1"/>
  <c r="AB44" i="53"/>
  <c r="AB45" i="53" s="1"/>
  <c r="AD43" i="53"/>
  <c r="AF29" i="53" a="1"/>
  <c r="AF29" i="53" s="1"/>
  <c r="AE44" i="53"/>
  <c r="AE45" i="53" s="1"/>
  <c r="Y43" i="53"/>
  <c r="Z43" i="53" s="1"/>
  <c r="Z44" i="53"/>
  <c r="Z45" i="53" s="1"/>
  <c r="AQ8" i="53" l="1"/>
  <c r="AR8" i="53" s="1"/>
  <c r="AS8" i="53" s="1"/>
  <c r="G108" i="5"/>
  <c r="AO84" i="53"/>
  <c r="J79" i="5"/>
  <c r="J90" i="5"/>
  <c r="F14" i="65"/>
  <c r="H69" i="5"/>
  <c r="H70" i="5"/>
  <c r="E54" i="5"/>
  <c r="H95" i="38"/>
  <c r="G35" i="53"/>
  <c r="K35" i="53"/>
  <c r="G32" i="53"/>
  <c r="K32" i="53"/>
  <c r="G38" i="53"/>
  <c r="K38" i="53"/>
  <c r="G29" i="53"/>
  <c r="K29" i="53"/>
  <c r="G36" i="53"/>
  <c r="K36" i="53"/>
  <c r="G33" i="53"/>
  <c r="K33" i="53"/>
  <c r="G34" i="53"/>
  <c r="K34" i="53"/>
  <c r="G31" i="53"/>
  <c r="K31" i="53"/>
  <c r="G39" i="53"/>
  <c r="K39" i="53"/>
  <c r="G40" i="53"/>
  <c r="K40" i="53"/>
  <c r="G30" i="53"/>
  <c r="K30" i="53"/>
  <c r="G37" i="53"/>
  <c r="K37" i="53"/>
  <c r="W15" i="55"/>
  <c r="W25" i="55" s="1"/>
  <c r="E29" i="6"/>
  <c r="F23" i="6" s="1"/>
  <c r="Z22" i="38"/>
  <c r="Y93" i="38"/>
  <c r="Z93" i="38"/>
  <c r="W13" i="55"/>
  <c r="W23" i="55" s="1"/>
  <c r="Z39" i="38"/>
  <c r="AB3" i="38"/>
  <c r="AA4" i="38"/>
  <c r="AN99" i="53"/>
  <c r="AS7" i="53"/>
  <c r="AR6" i="53"/>
  <c r="AR11" i="53" s="1"/>
  <c r="AO29" i="53"/>
  <c r="AO31" i="53" s="1"/>
  <c r="AO99" i="53" s="1"/>
  <c r="I70" i="5"/>
  <c r="I69" i="5"/>
  <c r="J68" i="5"/>
  <c r="J5" i="5"/>
  <c r="J85" i="5"/>
  <c r="K4" i="5"/>
  <c r="J53" i="5"/>
  <c r="H87" i="5"/>
  <c r="E19" i="6"/>
  <c r="H86" i="5" s="1"/>
  <c r="E41" i="6"/>
  <c r="H93" i="5" s="1"/>
  <c r="H94" i="5"/>
  <c r="F14" i="6"/>
  <c r="F40" i="6"/>
  <c r="I92" i="5" s="1"/>
  <c r="F24" i="6"/>
  <c r="F7" i="6"/>
  <c r="G6" i="6"/>
  <c r="G12" i="6" s="1"/>
  <c r="F38" i="6"/>
  <c r="F16" i="6"/>
  <c r="F36" i="6"/>
  <c r="F27" i="6"/>
  <c r="F28" i="6" s="1"/>
  <c r="F34" i="6"/>
  <c r="I91" i="5" s="1"/>
  <c r="F18" i="6"/>
  <c r="F26" i="6"/>
  <c r="F25" i="6"/>
  <c r="S11" i="59"/>
  <c r="AE32" i="57"/>
  <c r="AD32" i="57"/>
  <c r="AP25" i="53"/>
  <c r="AP27" i="53" s="1"/>
  <c r="W16" i="55"/>
  <c r="C70" i="43"/>
  <c r="X32" i="57"/>
  <c r="W32" i="57"/>
  <c r="J32" i="57"/>
  <c r="I32" i="57"/>
  <c r="J8" i="6"/>
  <c r="Y41" i="55"/>
  <c r="Z3" i="55"/>
  <c r="F40" i="43"/>
  <c r="W17" i="55"/>
  <c r="W27" i="55" s="1"/>
  <c r="W14" i="55"/>
  <c r="W24" i="55" s="1"/>
  <c r="W12" i="55"/>
  <c r="W22" i="55" s="1"/>
  <c r="Q32" i="57"/>
  <c r="P32" i="57"/>
  <c r="J21" i="5"/>
  <c r="K21" i="5" s="1"/>
  <c r="L21" i="5" s="1"/>
  <c r="M21" i="5" s="1"/>
  <c r="N21" i="5" s="1"/>
  <c r="O21" i="5" s="1"/>
  <c r="P21" i="5" s="1"/>
  <c r="Q21" i="5" s="1"/>
  <c r="R21" i="5" s="1"/>
  <c r="S21" i="5" s="1"/>
  <c r="T21" i="5" s="1"/>
  <c r="U21" i="5" s="1"/>
  <c r="V21" i="5" s="1"/>
  <c r="W21" i="5" s="1"/>
  <c r="X21" i="5" s="1"/>
  <c r="Y21" i="5" s="1"/>
  <c r="Z21" i="5" s="1"/>
  <c r="AA21" i="5" s="1"/>
  <c r="AB21" i="5" s="1"/>
  <c r="AC21" i="5" s="1"/>
  <c r="AD21" i="5" s="1"/>
  <c r="AE21" i="5" s="1"/>
  <c r="AF21" i="5" s="1"/>
  <c r="AG21" i="5" s="1"/>
  <c r="AH21" i="5" s="1"/>
  <c r="AI21" i="5" s="1"/>
  <c r="AJ21" i="5" s="1"/>
  <c r="AK21" i="5" s="1"/>
  <c r="AL21" i="5" s="1"/>
  <c r="AM21" i="5" s="1"/>
  <c r="AN21" i="5" s="1"/>
  <c r="AO21" i="5" s="1"/>
  <c r="AP21" i="5" s="1"/>
  <c r="AQ21" i="5" s="1"/>
  <c r="AR21" i="5" s="1"/>
  <c r="AS21" i="5" s="1"/>
  <c r="AT21" i="5" s="1"/>
  <c r="AU21" i="5" s="1"/>
  <c r="AV21" i="5" s="1"/>
  <c r="AW21" i="5" s="1"/>
  <c r="AX21" i="5" s="1"/>
  <c r="AY21" i="5" s="1"/>
  <c r="AZ21" i="5" s="1"/>
  <c r="BA21" i="5" s="1"/>
  <c r="BB21" i="5" s="1"/>
  <c r="BC21" i="5" s="1"/>
  <c r="BD21" i="5" s="1"/>
  <c r="BE21" i="5" s="1"/>
  <c r="BF21" i="5" s="1"/>
  <c r="BG21" i="5" s="1"/>
  <c r="BH21" i="5" s="1"/>
  <c r="BI21" i="5" s="1"/>
  <c r="BJ21" i="5" s="1"/>
  <c r="BK21" i="5" s="1"/>
  <c r="BL21" i="5" s="1"/>
  <c r="BM21" i="5" s="1"/>
  <c r="BN21" i="5" s="1"/>
  <c r="BO21" i="5" s="1"/>
  <c r="BP21" i="5" s="1"/>
  <c r="BQ21" i="5" s="1"/>
  <c r="BR21" i="5" s="1"/>
  <c r="BS21" i="5" s="1"/>
  <c r="BT21" i="5" s="1"/>
  <c r="BU21" i="5" s="1"/>
  <c r="BV21" i="5" s="1"/>
  <c r="BW21" i="5" s="1"/>
  <c r="BX21" i="5" s="1"/>
  <c r="BY21" i="5" s="1"/>
  <c r="BZ21" i="5" s="1"/>
  <c r="CA21" i="5" s="1"/>
  <c r="CB21" i="5" s="1"/>
  <c r="CC21" i="5" s="1"/>
  <c r="CD21" i="5" s="1"/>
  <c r="CE21" i="5" s="1"/>
  <c r="CF21" i="5" s="1"/>
  <c r="CG21" i="5" s="1"/>
  <c r="CH21" i="5" s="1"/>
  <c r="CI21" i="5" s="1"/>
  <c r="CJ21" i="5" s="1"/>
  <c r="CK21" i="5" s="1"/>
  <c r="CL21" i="5" s="1"/>
  <c r="CM21" i="5" s="1"/>
  <c r="CN21" i="5" s="1"/>
  <c r="CO21" i="5" s="1"/>
  <c r="CP21" i="5" s="1"/>
  <c r="CQ21" i="5" s="1"/>
  <c r="CR21" i="5" s="1"/>
  <c r="CS21" i="5" s="1"/>
  <c r="CT21" i="5" s="1"/>
  <c r="CU21" i="5" s="1"/>
  <c r="CV21" i="5" s="1"/>
  <c r="CW21" i="5" s="1"/>
  <c r="CX21" i="5" s="1"/>
  <c r="CY21" i="5" s="1"/>
  <c r="CZ21" i="5" s="1"/>
  <c r="DA21" i="5" s="1"/>
  <c r="DB21" i="5" s="1"/>
  <c r="DC21" i="5" s="1"/>
  <c r="DD21" i="5" s="1"/>
  <c r="DE21" i="5" s="1"/>
  <c r="DF21" i="5" s="1"/>
  <c r="DG21" i="5" s="1"/>
  <c r="DH21" i="5" s="1"/>
  <c r="DI21" i="5" s="1"/>
  <c r="DJ21" i="5" s="1"/>
  <c r="DK21" i="5" s="1"/>
  <c r="DL21" i="5" s="1"/>
  <c r="DM21" i="5" s="1"/>
  <c r="DN21" i="5" s="1"/>
  <c r="DO21" i="5" s="1"/>
  <c r="DP21" i="5" s="1"/>
  <c r="DQ21" i="5" s="1"/>
  <c r="DR21" i="5" s="1"/>
  <c r="DS21" i="5" s="1"/>
  <c r="DT21" i="5" s="1"/>
  <c r="DU21" i="5" s="1"/>
  <c r="DV21" i="5" s="1"/>
  <c r="DW21" i="5" s="1"/>
  <c r="DX21" i="5" s="1"/>
  <c r="DY21" i="5" s="1"/>
  <c r="DZ21" i="5" s="1"/>
  <c r="EA21" i="5" s="1"/>
  <c r="EB21" i="5" s="1"/>
  <c r="EC21" i="5" s="1"/>
  <c r="ED21" i="5" s="1"/>
  <c r="EE21" i="5" s="1"/>
  <c r="EF21" i="5" s="1"/>
  <c r="EG21" i="5" s="1"/>
  <c r="EH21" i="5" s="1"/>
  <c r="AN44" i="53"/>
  <c r="CR7" i="55"/>
  <c r="CT7" i="55"/>
  <c r="CP7" i="55"/>
  <c r="CU7" i="55"/>
  <c r="CY7" i="55"/>
  <c r="CV7" i="55"/>
  <c r="CW7" i="55"/>
  <c r="CS7" i="55"/>
  <c r="CO7" i="55"/>
  <c r="CQ7" i="55"/>
  <c r="CX7" i="55"/>
  <c r="CZ7" i="55"/>
  <c r="DA31" i="55"/>
  <c r="AF43" i="53"/>
  <c r="AE43" i="53"/>
  <c r="Q22" i="53"/>
  <c r="AB43" i="53"/>
  <c r="AC43" i="53"/>
  <c r="H108" i="5" l="1"/>
  <c r="AR84" i="53"/>
  <c r="AQ84" i="53"/>
  <c r="K79" i="5"/>
  <c r="K90" i="5"/>
  <c r="J14" i="65"/>
  <c r="E15" i="65" s="1"/>
  <c r="F15" i="65" s="1"/>
  <c r="K53" i="5"/>
  <c r="F29" i="6"/>
  <c r="G23" i="6" s="1"/>
  <c r="X15" i="55"/>
  <c r="X25" i="55" s="1"/>
  <c r="T15" i="53"/>
  <c r="T18" i="53"/>
  <c r="T17" i="53"/>
  <c r="T16" i="53"/>
  <c r="AA93" i="38"/>
  <c r="AA22" i="38"/>
  <c r="X13" i="55"/>
  <c r="X23" i="55" s="1"/>
  <c r="X16" i="55"/>
  <c r="X26" i="55" s="1"/>
  <c r="W26" i="55"/>
  <c r="AA39" i="38"/>
  <c r="AB4" i="38"/>
  <c r="AC3" i="38"/>
  <c r="AT7" i="53"/>
  <c r="AS6" i="53"/>
  <c r="AS11" i="53" s="1"/>
  <c r="AP29" i="53"/>
  <c r="AP31" i="53" s="1"/>
  <c r="AP99" i="53" s="1"/>
  <c r="K68" i="5"/>
  <c r="L4" i="5"/>
  <c r="K85" i="5"/>
  <c r="K5" i="5"/>
  <c r="J70" i="5"/>
  <c r="J69" i="5"/>
  <c r="I87" i="5"/>
  <c r="F19" i="6"/>
  <c r="I86" i="5" s="1"/>
  <c r="I94" i="5"/>
  <c r="F41" i="6"/>
  <c r="I93" i="5" s="1"/>
  <c r="G38" i="6"/>
  <c r="G14" i="6"/>
  <c r="G24" i="6"/>
  <c r="G18" i="6"/>
  <c r="G26" i="6"/>
  <c r="G40" i="6"/>
  <c r="J92" i="5" s="1"/>
  <c r="G34" i="6"/>
  <c r="J91" i="5" s="1"/>
  <c r="G25" i="6"/>
  <c r="G27" i="6"/>
  <c r="G28" i="6" s="1"/>
  <c r="G16" i="6"/>
  <c r="G36" i="6"/>
  <c r="H6" i="6"/>
  <c r="H12" i="6" s="1"/>
  <c r="G7" i="6"/>
  <c r="Q18" i="59"/>
  <c r="S14" i="59"/>
  <c r="AQ25" i="53"/>
  <c r="AQ27" i="53" s="1"/>
  <c r="P22" i="53"/>
  <c r="I47" i="63"/>
  <c r="D19" i="43"/>
  <c r="K8" i="6"/>
  <c r="G40" i="43"/>
  <c r="AA3" i="55"/>
  <c r="Z41" i="55"/>
  <c r="AS84" i="53"/>
  <c r="AT8" i="53"/>
  <c r="X17" i="55"/>
  <c r="X27" i="55" s="1"/>
  <c r="X12" i="55"/>
  <c r="X22" i="55" s="1"/>
  <c r="X14" i="55"/>
  <c r="X24" i="55" s="1"/>
  <c r="AN47" i="53"/>
  <c r="DC7" i="55"/>
  <c r="DD7" i="55"/>
  <c r="DF7" i="55"/>
  <c r="DI7" i="55"/>
  <c r="DK7" i="55"/>
  <c r="DG7" i="55"/>
  <c r="DH7" i="55"/>
  <c r="DJ7" i="55"/>
  <c r="DL7" i="55"/>
  <c r="DB7" i="55"/>
  <c r="DE7" i="55"/>
  <c r="DA7" i="55"/>
  <c r="DM31" i="55"/>
  <c r="H22" i="53"/>
  <c r="T12" i="53"/>
  <c r="T14" i="53"/>
  <c r="T13" i="53"/>
  <c r="T10" i="53"/>
  <c r="T9" i="53"/>
  <c r="T11" i="53"/>
  <c r="G22" i="53"/>
  <c r="F22" i="53"/>
  <c r="C43" i="53"/>
  <c r="I108" i="5" l="1"/>
  <c r="L79" i="5"/>
  <c r="L90" i="5"/>
  <c r="J15" i="65"/>
  <c r="E16" i="65" s="1"/>
  <c r="F16" i="65" s="1"/>
  <c r="L53" i="5"/>
  <c r="Y15" i="55"/>
  <c r="Y25" i="55" s="1"/>
  <c r="AL71" i="53"/>
  <c r="AL87" i="53" s="1"/>
  <c r="N22" i="53"/>
  <c r="O29" i="1" s="1"/>
  <c r="H43" i="53"/>
  <c r="AW16" i="53"/>
  <c r="AL16" i="53"/>
  <c r="Z22" i="53"/>
  <c r="Y22" i="53"/>
  <c r="AL72" i="53" s="1"/>
  <c r="G29" i="6"/>
  <c r="H23" i="6" s="1"/>
  <c r="C64" i="1"/>
  <c r="D15" i="43" s="1"/>
  <c r="D54" i="63"/>
  <c r="AB93" i="38"/>
  <c r="AB22" i="38"/>
  <c r="Y13" i="55"/>
  <c r="Y23" i="55" s="1"/>
  <c r="Y16" i="55"/>
  <c r="Y26" i="55" s="1"/>
  <c r="AB39" i="38"/>
  <c r="AC4" i="38"/>
  <c r="AD3" i="38"/>
  <c r="AQ29" i="53"/>
  <c r="AQ31" i="53" s="1"/>
  <c r="AQ99" i="53" s="1"/>
  <c r="AT6" i="53"/>
  <c r="AT11" i="53" s="1"/>
  <c r="AU7" i="53"/>
  <c r="L85" i="5"/>
  <c r="M4" i="5"/>
  <c r="L5" i="5"/>
  <c r="L68" i="5"/>
  <c r="K70" i="5"/>
  <c r="K69" i="5"/>
  <c r="J87" i="5"/>
  <c r="G19" i="6"/>
  <c r="J86" i="5" s="1"/>
  <c r="J94" i="5"/>
  <c r="G41" i="6"/>
  <c r="J93" i="5" s="1"/>
  <c r="H24" i="6"/>
  <c r="H26" i="6"/>
  <c r="H25" i="6"/>
  <c r="H7" i="6"/>
  <c r="H18" i="6"/>
  <c r="H40" i="6"/>
  <c r="K92" i="5" s="1"/>
  <c r="H27" i="6"/>
  <c r="H28" i="6" s="1"/>
  <c r="H38" i="6"/>
  <c r="H34" i="6"/>
  <c r="K91" i="5" s="1"/>
  <c r="I6" i="6"/>
  <c r="I12" i="6" s="1"/>
  <c r="H16" i="6"/>
  <c r="H36" i="6"/>
  <c r="H14" i="6"/>
  <c r="S18" i="59"/>
  <c r="O18" i="59"/>
  <c r="Q20" i="59"/>
  <c r="AR25" i="53"/>
  <c r="AR27" i="53" s="1"/>
  <c r="J43" i="53"/>
  <c r="J44" i="53"/>
  <c r="D55" i="53" s="1"/>
  <c r="X104" i="38"/>
  <c r="D18" i="43"/>
  <c r="L8" i="6"/>
  <c r="AU8" i="53"/>
  <c r="AT84" i="53"/>
  <c r="AB3" i="55"/>
  <c r="AA41" i="55"/>
  <c r="H40" i="43"/>
  <c r="Y17" i="55"/>
  <c r="Y27" i="55" s="1"/>
  <c r="Y12" i="55"/>
  <c r="Y22" i="55" s="1"/>
  <c r="Y14" i="55"/>
  <c r="Y24" i="55" s="1"/>
  <c r="AO44" i="53"/>
  <c r="AO47" i="53" s="1"/>
  <c r="DW7" i="55"/>
  <c r="DU7" i="55"/>
  <c r="DT7" i="55"/>
  <c r="DO7" i="55"/>
  <c r="DM7" i="55"/>
  <c r="DS7" i="55"/>
  <c r="DX7" i="55"/>
  <c r="DV7" i="55"/>
  <c r="DQ7" i="55"/>
  <c r="DN7" i="55"/>
  <c r="DR7" i="55"/>
  <c r="DP7" i="55"/>
  <c r="EK31" i="55"/>
  <c r="DY31" i="55"/>
  <c r="L23" i="53"/>
  <c r="D43" i="53"/>
  <c r="H44" i="53"/>
  <c r="H45" i="53" s="1"/>
  <c r="D44" i="53"/>
  <c r="D45" i="53" s="1"/>
  <c r="E23" i="53"/>
  <c r="T8" i="53"/>
  <c r="V8" i="53"/>
  <c r="C22" i="53"/>
  <c r="U23" i="53"/>
  <c r="U24" i="53" s="1"/>
  <c r="S23" i="53"/>
  <c r="S24" i="53" s="1"/>
  <c r="H29" i="1" l="1"/>
  <c r="K10" i="59"/>
  <c r="R9" i="63"/>
  <c r="R7" i="63"/>
  <c r="J108" i="5"/>
  <c r="M79" i="5"/>
  <c r="M90" i="5"/>
  <c r="J16" i="65"/>
  <c r="E17" i="65" s="1"/>
  <c r="F17" i="65" s="1"/>
  <c r="M53" i="5"/>
  <c r="Z15" i="55"/>
  <c r="AA15" i="55" s="1"/>
  <c r="AA25" i="55" s="1"/>
  <c r="F9" i="5"/>
  <c r="D13" i="53"/>
  <c r="I15" i="1" s="1"/>
  <c r="D14" i="53"/>
  <c r="I16" i="1" s="1"/>
  <c r="D15" i="53"/>
  <c r="I17" i="1" s="1"/>
  <c r="D16" i="53"/>
  <c r="I18" i="1" s="1"/>
  <c r="D17" i="53"/>
  <c r="I19" i="1" s="1"/>
  <c r="D18" i="53"/>
  <c r="I20" i="1" s="1"/>
  <c r="D19" i="53"/>
  <c r="I21" i="1" s="1"/>
  <c r="D8" i="53"/>
  <c r="I10" i="1" s="1"/>
  <c r="D9" i="53"/>
  <c r="I11" i="1" s="1"/>
  <c r="D10" i="53"/>
  <c r="I12" i="1" s="1"/>
  <c r="D12" i="53"/>
  <c r="I14" i="1" s="1"/>
  <c r="D11" i="53"/>
  <c r="I13" i="1" s="1"/>
  <c r="L22" i="53"/>
  <c r="H29" i="6"/>
  <c r="I23" i="6" s="1"/>
  <c r="U37" i="53"/>
  <c r="V37" i="53" s="1"/>
  <c r="U36" i="53"/>
  <c r="V36" i="53" s="1"/>
  <c r="U38" i="53"/>
  <c r="V38" i="53" s="1"/>
  <c r="U39" i="53"/>
  <c r="V39" i="53" s="1"/>
  <c r="S39" i="53"/>
  <c r="T39" i="53" s="1"/>
  <c r="S36" i="53"/>
  <c r="T36" i="53" s="1"/>
  <c r="S37" i="53"/>
  <c r="T37" i="53" s="1"/>
  <c r="S38" i="53"/>
  <c r="T38" i="53" s="1"/>
  <c r="E99" i="38"/>
  <c r="E98" i="38"/>
  <c r="E102" i="38"/>
  <c r="E101" i="38"/>
  <c r="E100" i="38"/>
  <c r="E106" i="38"/>
  <c r="X106" i="38"/>
  <c r="F60" i="5"/>
  <c r="AC93" i="38"/>
  <c r="AC22" i="38"/>
  <c r="AC39" i="38"/>
  <c r="Z13" i="55"/>
  <c r="Z23" i="55" s="1"/>
  <c r="Z16" i="55"/>
  <c r="Z26" i="55" s="1"/>
  <c r="AE3" i="38"/>
  <c r="AD4" i="38"/>
  <c r="AR29" i="53"/>
  <c r="AR31" i="53" s="1"/>
  <c r="AR99" i="53" s="1"/>
  <c r="AU6" i="53"/>
  <c r="AU11" i="53" s="1"/>
  <c r="AV7" i="53"/>
  <c r="L69" i="5"/>
  <c r="L70" i="5"/>
  <c r="M68" i="5"/>
  <c r="M5" i="5"/>
  <c r="M85" i="5"/>
  <c r="N4" i="5"/>
  <c r="H41" i="6"/>
  <c r="K93" i="5" s="1"/>
  <c r="K94" i="5"/>
  <c r="K87" i="5"/>
  <c r="H19" i="6"/>
  <c r="K86" i="5" s="1"/>
  <c r="I40" i="6"/>
  <c r="L92" i="5" s="1"/>
  <c r="I38" i="6"/>
  <c r="I25" i="6"/>
  <c r="I24" i="6"/>
  <c r="I26" i="6"/>
  <c r="I34" i="6"/>
  <c r="L91" i="5" s="1"/>
  <c r="I16" i="6"/>
  <c r="I14" i="6"/>
  <c r="I7" i="6"/>
  <c r="J6" i="6"/>
  <c r="J12" i="6" s="1"/>
  <c r="I18" i="6"/>
  <c r="I27" i="6"/>
  <c r="I28" i="6" s="1"/>
  <c r="I36" i="6"/>
  <c r="D16" i="43"/>
  <c r="AR16" i="53"/>
  <c r="AR17" i="53" s="1"/>
  <c r="AR18" i="53" s="1"/>
  <c r="AR54" i="53" s="1"/>
  <c r="AP16" i="53"/>
  <c r="AP73" i="53" s="1"/>
  <c r="I8" i="55"/>
  <c r="U34" i="55" s="1"/>
  <c r="V34" i="55" s="1"/>
  <c r="S20" i="59"/>
  <c r="AS25" i="53"/>
  <c r="AS27" i="53" s="1"/>
  <c r="J45" i="53"/>
  <c r="AT16" i="53"/>
  <c r="AT73" i="53" s="1"/>
  <c r="AQ16" i="53"/>
  <c r="AQ73" i="53" s="1"/>
  <c r="AM16" i="53"/>
  <c r="AV16" i="53"/>
  <c r="AV17" i="53" s="1"/>
  <c r="AV74" i="53" s="1"/>
  <c r="AV81" i="53" s="1"/>
  <c r="AO16" i="53"/>
  <c r="AS16" i="53"/>
  <c r="AS73" i="53" s="1"/>
  <c r="AN16" i="53"/>
  <c r="AL73" i="53"/>
  <c r="J32" i="63"/>
  <c r="J10" i="63"/>
  <c r="E43" i="53"/>
  <c r="I43" i="53" s="1"/>
  <c r="U22" i="53"/>
  <c r="I55" i="63"/>
  <c r="I40" i="43"/>
  <c r="AB41" i="55"/>
  <c r="AC3" i="55"/>
  <c r="M8" i="6"/>
  <c r="AU84" i="53"/>
  <c r="AV8" i="53"/>
  <c r="Z17" i="55"/>
  <c r="Z27" i="55" s="1"/>
  <c r="Z12" i="55"/>
  <c r="Z22" i="55" s="1"/>
  <c r="Z14" i="55"/>
  <c r="Z24" i="55" s="1"/>
  <c r="AP44" i="53"/>
  <c r="AP47" i="53" s="1"/>
  <c r="EF7" i="55"/>
  <c r="EI7" i="55"/>
  <c r="EA7" i="55"/>
  <c r="DY7" i="55"/>
  <c r="EB7" i="55"/>
  <c r="EC7" i="55"/>
  <c r="DZ7" i="55"/>
  <c r="EH7" i="55"/>
  <c r="EG7" i="55"/>
  <c r="EJ7" i="55"/>
  <c r="ED7" i="55"/>
  <c r="EE7" i="55"/>
  <c r="N43" i="53"/>
  <c r="Q44" i="53"/>
  <c r="Q45" i="53" s="1"/>
  <c r="AL53" i="53"/>
  <c r="AL15" i="53"/>
  <c r="D52" i="53"/>
  <c r="D61" i="53"/>
  <c r="E61" i="53" s="1"/>
  <c r="Z23" i="53"/>
  <c r="F18" i="43"/>
  <c r="F19" i="43"/>
  <c r="F20" i="43"/>
  <c r="E61" i="1"/>
  <c r="F12" i="43" s="1"/>
  <c r="E63" i="1"/>
  <c r="F14" i="43" s="1"/>
  <c r="E13" i="1"/>
  <c r="K10" i="43" s="1"/>
  <c r="E64" i="1"/>
  <c r="F15" i="43" s="1"/>
  <c r="V16" i="57"/>
  <c r="V9" i="57"/>
  <c r="O9" i="57"/>
  <c r="AC16" i="57"/>
  <c r="F8" i="55"/>
  <c r="AC29" i="57"/>
  <c r="H32" i="57"/>
  <c r="H28" i="57"/>
  <c r="O25" i="57"/>
  <c r="O29" i="57"/>
  <c r="H9" i="57"/>
  <c r="H30" i="57"/>
  <c r="AJ21" i="57"/>
  <c r="H29" i="57"/>
  <c r="O26" i="57"/>
  <c r="H21" i="57"/>
  <c r="V22" i="57"/>
  <c r="F16" i="55"/>
  <c r="AQ25" i="57"/>
  <c r="AQ28" i="57"/>
  <c r="O28" i="57"/>
  <c r="H27" i="57"/>
  <c r="AC14" i="57"/>
  <c r="F11" i="55"/>
  <c r="AC24" i="57"/>
  <c r="AJ28" i="57"/>
  <c r="O18" i="57"/>
  <c r="AC12" i="57"/>
  <c r="AC13" i="57"/>
  <c r="AC26" i="57"/>
  <c r="H11" i="57"/>
  <c r="AJ22" i="57"/>
  <c r="AC9" i="57"/>
  <c r="O24" i="57"/>
  <c r="O23" i="57"/>
  <c r="V18" i="57"/>
  <c r="AC18" i="57"/>
  <c r="AC17" i="57"/>
  <c r="V11" i="57"/>
  <c r="V14" i="57"/>
  <c r="AQ22" i="57"/>
  <c r="H18" i="57"/>
  <c r="V25" i="57"/>
  <c r="AC28" i="57"/>
  <c r="V27" i="57"/>
  <c r="AJ24" i="57"/>
  <c r="AC30" i="57"/>
  <c r="O32" i="57"/>
  <c r="H14" i="57"/>
  <c r="V23" i="57"/>
  <c r="V10" i="57"/>
  <c r="O11" i="57"/>
  <c r="V32" i="57"/>
  <c r="H12" i="57"/>
  <c r="H13" i="57"/>
  <c r="H16" i="57"/>
  <c r="V30" i="57"/>
  <c r="AC23" i="57"/>
  <c r="O15" i="57"/>
  <c r="V26" i="57"/>
  <c r="H10" i="57"/>
  <c r="O12" i="57"/>
  <c r="F13" i="55"/>
  <c r="AJ23" i="57"/>
  <c r="F17" i="55"/>
  <c r="H23" i="57"/>
  <c r="F15" i="55"/>
  <c r="AC10" i="57"/>
  <c r="AQ27" i="57"/>
  <c r="AQ26" i="57"/>
  <c r="AJ26" i="57"/>
  <c r="H17" i="57"/>
  <c r="H26" i="57"/>
  <c r="K16" i="55"/>
  <c r="AC21" i="57"/>
  <c r="O30" i="57"/>
  <c r="AJ30" i="57"/>
  <c r="O13" i="57"/>
  <c r="V24" i="57"/>
  <c r="F14" i="55"/>
  <c r="AC27" i="57"/>
  <c r="AQ29" i="57"/>
  <c r="F10" i="55"/>
  <c r="O16" i="57"/>
  <c r="H24" i="57"/>
  <c r="AJ25" i="57"/>
  <c r="AC11" i="57"/>
  <c r="V29" i="57"/>
  <c r="AJ27" i="57"/>
  <c r="V17" i="57"/>
  <c r="AJ29" i="57"/>
  <c r="H25" i="57"/>
  <c r="AQ21" i="57"/>
  <c r="O17" i="57"/>
  <c r="V13" i="57"/>
  <c r="V28" i="57"/>
  <c r="F12" i="55"/>
  <c r="AC32" i="57"/>
  <c r="O27" i="57"/>
  <c r="AQ24" i="57"/>
  <c r="H22" i="57"/>
  <c r="AQ30" i="57"/>
  <c r="V21" i="57"/>
  <c r="AC25" i="57"/>
  <c r="O14" i="57"/>
  <c r="O21" i="57"/>
  <c r="V12" i="57"/>
  <c r="F9" i="55"/>
  <c r="O22" i="57"/>
  <c r="AC15" i="57"/>
  <c r="V15" i="57"/>
  <c r="AC22" i="57"/>
  <c r="AQ23" i="57"/>
  <c r="E58" i="1"/>
  <c r="F9" i="43" s="1"/>
  <c r="E44" i="53"/>
  <c r="E79" i="38"/>
  <c r="E32" i="38"/>
  <c r="E81" i="38"/>
  <c r="E34" i="38"/>
  <c r="E11" i="38"/>
  <c r="E82" i="38"/>
  <c r="E35" i="38"/>
  <c r="E12" i="38"/>
  <c r="K19" i="59"/>
  <c r="E18" i="43"/>
  <c r="F16" i="5"/>
  <c r="F18" i="5" s="1"/>
  <c r="G16" i="5" s="1"/>
  <c r="G18" i="5" s="1"/>
  <c r="H16" i="5" s="1"/>
  <c r="H18" i="5" s="1"/>
  <c r="I16" i="5" s="1"/>
  <c r="I18" i="5" s="1"/>
  <c r="J16" i="5" s="1"/>
  <c r="J18" i="5" s="1"/>
  <c r="K16" i="5" s="1"/>
  <c r="K18" i="5" s="1"/>
  <c r="L16" i="5" s="1"/>
  <c r="L18" i="5" s="1"/>
  <c r="M16" i="5" s="1"/>
  <c r="M18" i="5" s="1"/>
  <c r="N16" i="5" s="1"/>
  <c r="N18" i="5" s="1"/>
  <c r="O16" i="5" s="1"/>
  <c r="O18" i="5" s="1"/>
  <c r="P16" i="5" s="1"/>
  <c r="P18" i="5" s="1"/>
  <c r="Q16" i="5" s="1"/>
  <c r="Q18" i="5" s="1"/>
  <c r="R16" i="5" s="1"/>
  <c r="R18" i="5" s="1"/>
  <c r="S16" i="5" s="1"/>
  <c r="S18" i="5" s="1"/>
  <c r="T16" i="5" s="1"/>
  <c r="T18" i="5" s="1"/>
  <c r="U16" i="5" s="1"/>
  <c r="U18" i="5" s="1"/>
  <c r="V16" i="5" s="1"/>
  <c r="V18" i="5" s="1"/>
  <c r="W16" i="5" s="1"/>
  <c r="W18" i="5" s="1"/>
  <c r="X16" i="5" s="1"/>
  <c r="X18" i="5" s="1"/>
  <c r="Y16" i="5" s="1"/>
  <c r="Y18" i="5" s="1"/>
  <c r="Z16" i="5" s="1"/>
  <c r="Z18" i="5" s="1"/>
  <c r="AA16" i="5" s="1"/>
  <c r="AA18" i="5" s="1"/>
  <c r="AB16" i="5" s="1"/>
  <c r="AB18" i="5" s="1"/>
  <c r="AC16" i="5" s="1"/>
  <c r="AC18" i="5" s="1"/>
  <c r="AD16" i="5" s="1"/>
  <c r="AD18" i="5" s="1"/>
  <c r="AE16" i="5" s="1"/>
  <c r="AE18" i="5" s="1"/>
  <c r="AF16" i="5" s="1"/>
  <c r="AF18" i="5" s="1"/>
  <c r="AG16" i="5" s="1"/>
  <c r="AG18" i="5" s="1"/>
  <c r="AH16" i="5" s="1"/>
  <c r="AH18" i="5" s="1"/>
  <c r="AI16" i="5" s="1"/>
  <c r="AI18" i="5" s="1"/>
  <c r="AJ16" i="5" s="1"/>
  <c r="AJ18" i="5" s="1"/>
  <c r="AK16" i="5" s="1"/>
  <c r="AK18" i="5" s="1"/>
  <c r="AL16" i="5" s="1"/>
  <c r="AL18" i="5" s="1"/>
  <c r="AM16" i="5" s="1"/>
  <c r="AM18" i="5" s="1"/>
  <c r="AN16" i="5" s="1"/>
  <c r="AN18" i="5" s="1"/>
  <c r="AO16" i="5" s="1"/>
  <c r="AO18" i="5" s="1"/>
  <c r="AP16" i="5" s="1"/>
  <c r="AP18" i="5" s="1"/>
  <c r="AQ16" i="5" s="1"/>
  <c r="AQ18" i="5" s="1"/>
  <c r="AR16" i="5" s="1"/>
  <c r="AR18" i="5" s="1"/>
  <c r="AS16" i="5" s="1"/>
  <c r="AS18" i="5" s="1"/>
  <c r="AT16" i="5" s="1"/>
  <c r="AT18" i="5" s="1"/>
  <c r="AU16" i="5" s="1"/>
  <c r="AU18" i="5" s="1"/>
  <c r="AV16" i="5" s="1"/>
  <c r="AV18" i="5" s="1"/>
  <c r="AW16" i="5" s="1"/>
  <c r="AW18" i="5" s="1"/>
  <c r="AX16" i="5" s="1"/>
  <c r="AX18" i="5" s="1"/>
  <c r="AY16" i="5" s="1"/>
  <c r="AY18" i="5" s="1"/>
  <c r="AZ16" i="5" s="1"/>
  <c r="AZ18" i="5" s="1"/>
  <c r="BA16" i="5" s="1"/>
  <c r="BA18" i="5" s="1"/>
  <c r="BB16" i="5" s="1"/>
  <c r="BB18" i="5" s="1"/>
  <c r="BC16" i="5" s="1"/>
  <c r="BC18" i="5" s="1"/>
  <c r="BD16" i="5" s="1"/>
  <c r="BD18" i="5" s="1"/>
  <c r="BE16" i="5" s="1"/>
  <c r="BE18" i="5" s="1"/>
  <c r="BF16" i="5" s="1"/>
  <c r="BF18" i="5" s="1"/>
  <c r="BG16" i="5" s="1"/>
  <c r="BG18" i="5" s="1"/>
  <c r="BH16" i="5" s="1"/>
  <c r="BH18" i="5" s="1"/>
  <c r="BI16" i="5" s="1"/>
  <c r="BI18" i="5" s="1"/>
  <c r="BJ16" i="5" s="1"/>
  <c r="BJ18" i="5" s="1"/>
  <c r="BK16" i="5" s="1"/>
  <c r="BK18" i="5" s="1"/>
  <c r="BL16" i="5" s="1"/>
  <c r="BL18" i="5" s="1"/>
  <c r="BM16" i="5" s="1"/>
  <c r="BM18" i="5" s="1"/>
  <c r="BN16" i="5" s="1"/>
  <c r="BN18" i="5" s="1"/>
  <c r="BO16" i="5" s="1"/>
  <c r="BO18" i="5" s="1"/>
  <c r="BP16" i="5" s="1"/>
  <c r="BP18" i="5" s="1"/>
  <c r="BQ16" i="5" s="1"/>
  <c r="BQ18" i="5" s="1"/>
  <c r="BR16" i="5" s="1"/>
  <c r="BR18" i="5" s="1"/>
  <c r="BS16" i="5" s="1"/>
  <c r="BS18" i="5" s="1"/>
  <c r="BT16" i="5" s="1"/>
  <c r="BT18" i="5" s="1"/>
  <c r="BU16" i="5" s="1"/>
  <c r="BU18" i="5" s="1"/>
  <c r="BV16" i="5" s="1"/>
  <c r="BV18" i="5" s="1"/>
  <c r="BW16" i="5" s="1"/>
  <c r="BW18" i="5" s="1"/>
  <c r="BX16" i="5" s="1"/>
  <c r="BX18" i="5" s="1"/>
  <c r="BY16" i="5" s="1"/>
  <c r="BY18" i="5" s="1"/>
  <c r="BZ16" i="5" s="1"/>
  <c r="BZ18" i="5" s="1"/>
  <c r="CA16" i="5" s="1"/>
  <c r="CA18" i="5" s="1"/>
  <c r="CB16" i="5" s="1"/>
  <c r="CB18" i="5" s="1"/>
  <c r="CC16" i="5" s="1"/>
  <c r="CC18" i="5" s="1"/>
  <c r="CD16" i="5" s="1"/>
  <c r="CD18" i="5" s="1"/>
  <c r="CE16" i="5" s="1"/>
  <c r="CE18" i="5" s="1"/>
  <c r="CF16" i="5" s="1"/>
  <c r="CF18" i="5" s="1"/>
  <c r="CG16" i="5" s="1"/>
  <c r="CG18" i="5" s="1"/>
  <c r="CH16" i="5" s="1"/>
  <c r="CH18" i="5" s="1"/>
  <c r="CI16" i="5" s="1"/>
  <c r="CI18" i="5" s="1"/>
  <c r="CJ16" i="5" s="1"/>
  <c r="CJ18" i="5" s="1"/>
  <c r="CK16" i="5" s="1"/>
  <c r="CK18" i="5" s="1"/>
  <c r="CL16" i="5" s="1"/>
  <c r="CL18" i="5" s="1"/>
  <c r="CM16" i="5" s="1"/>
  <c r="CM18" i="5" s="1"/>
  <c r="CN16" i="5" s="1"/>
  <c r="CN18" i="5" s="1"/>
  <c r="CO16" i="5" s="1"/>
  <c r="CO18" i="5" s="1"/>
  <c r="CP16" i="5" s="1"/>
  <c r="CP18" i="5" s="1"/>
  <c r="CQ16" i="5" s="1"/>
  <c r="CQ18" i="5" s="1"/>
  <c r="CR16" i="5" s="1"/>
  <c r="CR18" i="5" s="1"/>
  <c r="CS16" i="5" s="1"/>
  <c r="CS18" i="5" s="1"/>
  <c r="CT16" i="5" s="1"/>
  <c r="CT18" i="5" s="1"/>
  <c r="CU16" i="5" s="1"/>
  <c r="CU18" i="5" s="1"/>
  <c r="CV16" i="5" s="1"/>
  <c r="CV18" i="5" s="1"/>
  <c r="CW16" i="5" s="1"/>
  <c r="CW18" i="5" s="1"/>
  <c r="CX16" i="5" s="1"/>
  <c r="CX18" i="5" s="1"/>
  <c r="CY16" i="5" s="1"/>
  <c r="CY18" i="5" s="1"/>
  <c r="CZ16" i="5" s="1"/>
  <c r="CZ18" i="5" s="1"/>
  <c r="DA16" i="5" s="1"/>
  <c r="DA18" i="5" s="1"/>
  <c r="DB16" i="5" s="1"/>
  <c r="DB18" i="5" s="1"/>
  <c r="DC16" i="5" s="1"/>
  <c r="DC18" i="5" s="1"/>
  <c r="DD16" i="5" s="1"/>
  <c r="DD18" i="5" s="1"/>
  <c r="DE16" i="5" s="1"/>
  <c r="DE18" i="5" s="1"/>
  <c r="DF16" i="5" s="1"/>
  <c r="DF18" i="5" s="1"/>
  <c r="DG16" i="5" s="1"/>
  <c r="DG18" i="5" s="1"/>
  <c r="DH16" i="5" s="1"/>
  <c r="DH18" i="5" s="1"/>
  <c r="DI16" i="5" s="1"/>
  <c r="DI18" i="5" s="1"/>
  <c r="DJ16" i="5" s="1"/>
  <c r="DJ18" i="5" s="1"/>
  <c r="DK16" i="5" s="1"/>
  <c r="DK18" i="5" s="1"/>
  <c r="DL16" i="5" s="1"/>
  <c r="DL18" i="5" s="1"/>
  <c r="DM16" i="5" s="1"/>
  <c r="DM18" i="5" s="1"/>
  <c r="DN16" i="5" s="1"/>
  <c r="DN18" i="5" s="1"/>
  <c r="DO16" i="5" s="1"/>
  <c r="DO18" i="5" s="1"/>
  <c r="DP16" i="5" s="1"/>
  <c r="DP18" i="5" s="1"/>
  <c r="DQ16" i="5" s="1"/>
  <c r="DQ18" i="5" s="1"/>
  <c r="DR16" i="5" s="1"/>
  <c r="DR18" i="5" s="1"/>
  <c r="DS16" i="5" s="1"/>
  <c r="DS18" i="5" s="1"/>
  <c r="DT16" i="5" s="1"/>
  <c r="DT18" i="5" s="1"/>
  <c r="DU16" i="5" s="1"/>
  <c r="DU18" i="5" s="1"/>
  <c r="DV16" i="5" s="1"/>
  <c r="DV18" i="5" s="1"/>
  <c r="DW16" i="5" s="1"/>
  <c r="DW18" i="5" s="1"/>
  <c r="DX16" i="5" s="1"/>
  <c r="DX18" i="5" s="1"/>
  <c r="DY16" i="5" s="1"/>
  <c r="DY18" i="5" s="1"/>
  <c r="DZ16" i="5" s="1"/>
  <c r="DZ18" i="5" s="1"/>
  <c r="EA16" i="5" s="1"/>
  <c r="EA18" i="5" s="1"/>
  <c r="EB16" i="5" s="1"/>
  <c r="EB18" i="5" s="1"/>
  <c r="EC16" i="5" s="1"/>
  <c r="EC18" i="5" s="1"/>
  <c r="ED16" i="5" s="1"/>
  <c r="ED18" i="5" s="1"/>
  <c r="EE16" i="5" s="1"/>
  <c r="EE18" i="5" s="1"/>
  <c r="EF16" i="5" s="1"/>
  <c r="EF18" i="5" s="1"/>
  <c r="EG16" i="5" s="1"/>
  <c r="EG18" i="5" s="1"/>
  <c r="EH16" i="5" s="1"/>
  <c r="EH18" i="5" s="1"/>
  <c r="E83" i="38"/>
  <c r="E36" i="38"/>
  <c r="E13" i="38"/>
  <c r="E84" i="38"/>
  <c r="E37" i="38"/>
  <c r="E14" i="38"/>
  <c r="K18" i="59"/>
  <c r="E19" i="43"/>
  <c r="E85" i="38"/>
  <c r="E38" i="38"/>
  <c r="E15" i="38"/>
  <c r="E70" i="38"/>
  <c r="E86" i="38"/>
  <c r="E16" i="38"/>
  <c r="R17" i="59"/>
  <c r="E20" i="43"/>
  <c r="E71" i="38"/>
  <c r="E87" i="38"/>
  <c r="E17" i="38"/>
  <c r="E72" i="38"/>
  <c r="E88" i="38"/>
  <c r="E18" i="38"/>
  <c r="K17" i="59"/>
  <c r="E73" i="38"/>
  <c r="E89" i="38"/>
  <c r="E19" i="38"/>
  <c r="K9" i="59"/>
  <c r="E74" i="38"/>
  <c r="E90" i="38"/>
  <c r="E20" i="38"/>
  <c r="O22" i="59"/>
  <c r="O28" i="59" s="1"/>
  <c r="D63" i="1"/>
  <c r="E14" i="43" s="1"/>
  <c r="E75" i="38"/>
  <c r="E91" i="38"/>
  <c r="E28" i="38"/>
  <c r="E21" i="38"/>
  <c r="R8" i="59"/>
  <c r="E29" i="38"/>
  <c r="E9" i="38"/>
  <c r="E30" i="38"/>
  <c r="E8" i="38"/>
  <c r="E31" i="38"/>
  <c r="K20" i="59"/>
  <c r="E33" i="38"/>
  <c r="D64" i="1"/>
  <c r="E15" i="43" s="1"/>
  <c r="E76" i="38"/>
  <c r="E77" i="38"/>
  <c r="K8" i="59"/>
  <c r="E78" i="38"/>
  <c r="K15" i="59"/>
  <c r="E80" i="38"/>
  <c r="E12" i="1"/>
  <c r="K9" i="43" s="1"/>
  <c r="K28" i="59"/>
  <c r="U26" i="57"/>
  <c r="AT33" i="57"/>
  <c r="G10" i="57"/>
  <c r="F33" i="57"/>
  <c r="N9" i="57"/>
  <c r="E10" i="55"/>
  <c r="AB23" i="57"/>
  <c r="K30" i="57"/>
  <c r="AP21" i="57"/>
  <c r="AT21" i="57" s="1"/>
  <c r="Y27" i="57"/>
  <c r="R27" i="57"/>
  <c r="N11" i="57"/>
  <c r="BL70" i="53"/>
  <c r="BT70" i="53"/>
  <c r="CW70" i="53"/>
  <c r="BH70" i="53"/>
  <c r="DC70" i="53"/>
  <c r="CU70" i="53"/>
  <c r="EX70" i="53"/>
  <c r="EP70" i="53"/>
  <c r="K22" i="53"/>
  <c r="K26" i="59"/>
  <c r="K18" i="57"/>
  <c r="AF9" i="57"/>
  <c r="U21" i="57"/>
  <c r="U25" i="57"/>
  <c r="AF10" i="57"/>
  <c r="Y14" i="57"/>
  <c r="N17" i="57"/>
  <c r="K17" i="57"/>
  <c r="K10" i="57"/>
  <c r="AF13" i="57"/>
  <c r="R22" i="57"/>
  <c r="AB29" i="57"/>
  <c r="K26" i="57"/>
  <c r="BJ70" i="53"/>
  <c r="CI70" i="53"/>
  <c r="CV70" i="53"/>
  <c r="DD70" i="53"/>
  <c r="EI70" i="53"/>
  <c r="EZ70" i="53"/>
  <c r="ET70" i="53"/>
  <c r="CT70" i="53"/>
  <c r="N28" i="57"/>
  <c r="G28" i="57"/>
  <c r="G26" i="57"/>
  <c r="I14" i="55"/>
  <c r="U13" i="57"/>
  <c r="R16" i="57"/>
  <c r="AP26" i="57"/>
  <c r="AP24" i="57"/>
  <c r="R24" i="57"/>
  <c r="Y24" i="57"/>
  <c r="EV70" i="53"/>
  <c r="ES70" i="53"/>
  <c r="CH70" i="53"/>
  <c r="AS70" i="53"/>
  <c r="FA70" i="53"/>
  <c r="CM70" i="53"/>
  <c r="DY70" i="53"/>
  <c r="R16" i="59"/>
  <c r="I11" i="55"/>
  <c r="G17" i="57"/>
  <c r="AB17" i="57"/>
  <c r="AI17" i="57" s="1"/>
  <c r="N16" i="57"/>
  <c r="U11" i="57"/>
  <c r="N23" i="57"/>
  <c r="AP29" i="57"/>
  <c r="K16" i="57"/>
  <c r="AI24" i="57"/>
  <c r="Y22" i="57"/>
  <c r="EN70" i="53"/>
  <c r="DP70" i="53"/>
  <c r="DM70" i="53"/>
  <c r="EG70" i="53"/>
  <c r="DB70" i="53"/>
  <c r="CS70" i="53"/>
  <c r="DQ70" i="53"/>
  <c r="BU70" i="53"/>
  <c r="Y32" i="57"/>
  <c r="N13" i="57"/>
  <c r="I12" i="55"/>
  <c r="U12" i="57"/>
  <c r="G25" i="57"/>
  <c r="U14" i="57"/>
  <c r="AB11" i="57"/>
  <c r="U30" i="57"/>
  <c r="K21" i="57"/>
  <c r="AB15" i="57"/>
  <c r="E9" i="55"/>
  <c r="DX70" i="53"/>
  <c r="CZ70" i="53"/>
  <c r="CG70" i="53"/>
  <c r="DE70" i="53"/>
  <c r="BW70" i="53"/>
  <c r="BN70" i="53"/>
  <c r="CL70" i="53"/>
  <c r="BO70" i="53"/>
  <c r="R9" i="59"/>
  <c r="R15" i="59"/>
  <c r="AO33" i="57"/>
  <c r="AH33" i="57"/>
  <c r="U9" i="57"/>
  <c r="U23" i="57"/>
  <c r="I10" i="55"/>
  <c r="U35" i="55" s="1"/>
  <c r="U15" i="57"/>
  <c r="R9" i="57"/>
  <c r="K27" i="57"/>
  <c r="G30" i="57"/>
  <c r="R26" i="57"/>
  <c r="DH70" i="53"/>
  <c r="CJ70" i="53"/>
  <c r="BQ70" i="53"/>
  <c r="CE70" i="53"/>
  <c r="AR70" i="53"/>
  <c r="DU70" i="53"/>
  <c r="BB70" i="53"/>
  <c r="AP70" i="53"/>
  <c r="Y18" i="57"/>
  <c r="AI27" i="57"/>
  <c r="U27" i="57"/>
  <c r="N27" i="57"/>
  <c r="G27" i="57"/>
  <c r="M33" i="57"/>
  <c r="AF16" i="57"/>
  <c r="AF21" i="57"/>
  <c r="K14" i="57"/>
  <c r="U18" i="57"/>
  <c r="R30" i="57"/>
  <c r="AF12" i="57"/>
  <c r="K32" i="57"/>
  <c r="CR70" i="53"/>
  <c r="BD70" i="53"/>
  <c r="BA70" i="53"/>
  <c r="BG70" i="53"/>
  <c r="FN70" i="53"/>
  <c r="CQ70" i="53"/>
  <c r="EQ70" i="53"/>
  <c r="AL70" i="53"/>
  <c r="R6" i="59"/>
  <c r="AF24" i="57"/>
  <c r="AM25" i="57"/>
  <c r="AM22" i="57"/>
  <c r="AT25" i="57"/>
  <c r="AT24" i="57"/>
  <c r="G16" i="57"/>
  <c r="AB22" i="57"/>
  <c r="Y29" i="57"/>
  <c r="AB21" i="57"/>
  <c r="AB25" i="57"/>
  <c r="AP25" i="57"/>
  <c r="R11" i="57"/>
  <c r="CB70" i="53"/>
  <c r="AN70" i="53"/>
  <c r="FH70" i="53"/>
  <c r="FC70" i="53"/>
  <c r="DA70" i="53"/>
  <c r="BM70" i="53"/>
  <c r="DN70" i="53"/>
  <c r="E22" i="53"/>
  <c r="J29" i="1" s="1"/>
  <c r="AB30" i="57"/>
  <c r="U10" i="57"/>
  <c r="K13" i="57"/>
  <c r="AA33" i="57"/>
  <c r="N25" i="57"/>
  <c r="J16" i="55"/>
  <c r="R13" i="57"/>
  <c r="AB26" i="57"/>
  <c r="Y11" i="57"/>
  <c r="AB27" i="57"/>
  <c r="R14" i="57"/>
  <c r="AI30" i="57"/>
  <c r="EL70" i="53"/>
  <c r="EE70" i="53"/>
  <c r="DL70" i="53"/>
  <c r="R15" i="57"/>
  <c r="AF30" i="57"/>
  <c r="N22" i="57"/>
  <c r="AT29" i="57"/>
  <c r="AB14" i="57"/>
  <c r="Y23" i="57"/>
  <c r="AI29" i="57"/>
  <c r="K22" i="57"/>
  <c r="DV70" i="53"/>
  <c r="ER70" i="53"/>
  <c r="EK70" i="53"/>
  <c r="BK70" i="53"/>
  <c r="CX70" i="53"/>
  <c r="AB16" i="57"/>
  <c r="AI16" i="57" s="1"/>
  <c r="N26" i="57"/>
  <c r="U17" i="57"/>
  <c r="AH17" i="57" s="1"/>
  <c r="AH36" i="57" s="1"/>
  <c r="Y9" i="57"/>
  <c r="R21" i="57"/>
  <c r="N30" i="57"/>
  <c r="DF70" i="53"/>
  <c r="EB70" i="53"/>
  <c r="BX70" i="53"/>
  <c r="DS70" i="53"/>
  <c r="J22" i="53"/>
  <c r="L29" i="1" s="1"/>
  <c r="G18" i="57"/>
  <c r="G9" i="57"/>
  <c r="N21" i="57"/>
  <c r="AB13" i="57"/>
  <c r="AP22" i="57"/>
  <c r="AP30" i="57"/>
  <c r="G11" i="57"/>
  <c r="CP70" i="53"/>
  <c r="CF70" i="53"/>
  <c r="EJ70" i="53"/>
  <c r="CN70" i="53"/>
  <c r="I22" i="53"/>
  <c r="K29" i="1" s="1"/>
  <c r="AI26" i="57"/>
  <c r="E16" i="55"/>
  <c r="Y17" i="57"/>
  <c r="N24" i="57"/>
  <c r="K25" i="57"/>
  <c r="R12" i="57"/>
  <c r="Y13" i="57"/>
  <c r="BZ70" i="53"/>
  <c r="BP70" i="53"/>
  <c r="BV70" i="53"/>
  <c r="BI70" i="53"/>
  <c r="G29" i="57"/>
  <c r="N12" i="57"/>
  <c r="AF23" i="57"/>
  <c r="AF14" i="57"/>
  <c r="N15" i="57"/>
  <c r="AT70" i="53"/>
  <c r="AZ70" i="53"/>
  <c r="AQ70" i="53"/>
  <c r="EW70" i="53"/>
  <c r="AJ21" i="53"/>
  <c r="R20" i="59"/>
  <c r="N18" i="57"/>
  <c r="G12" i="57"/>
  <c r="G14" i="57"/>
  <c r="AB10" i="57"/>
  <c r="Y26" i="57"/>
  <c r="Y25" i="57"/>
  <c r="E14" i="55"/>
  <c r="G32" i="57"/>
  <c r="FL70" i="53"/>
  <c r="FF70" i="53"/>
  <c r="FM70" i="53"/>
  <c r="DR70" i="53"/>
  <c r="S22" i="53"/>
  <c r="E13" i="55"/>
  <c r="G13" i="57"/>
  <c r="N29" i="57"/>
  <c r="AF17" i="57"/>
  <c r="Y16" i="57"/>
  <c r="K9" i="57"/>
  <c r="EF70" i="53"/>
  <c r="EH70" i="53"/>
  <c r="EA70" i="53"/>
  <c r="BE70" i="53"/>
  <c r="I13" i="55"/>
  <c r="E15" i="55"/>
  <c r="U22" i="57"/>
  <c r="R28" i="57"/>
  <c r="K24" i="57"/>
  <c r="R17" i="57"/>
  <c r="FK70" i="53"/>
  <c r="DG70" i="53"/>
  <c r="FJ70" i="53"/>
  <c r="CK70" i="53"/>
  <c r="AM27" i="57"/>
  <c r="G23" i="57"/>
  <c r="T33" i="57"/>
  <c r="K12" i="57"/>
  <c r="Y28" i="57"/>
  <c r="E8" i="55"/>
  <c r="AP28" i="57"/>
  <c r="EU70" i="53"/>
  <c r="FE70" i="53"/>
  <c r="DZ70" i="53"/>
  <c r="AY70" i="53"/>
  <c r="AM21" i="57"/>
  <c r="G22" i="57"/>
  <c r="AT28" i="57"/>
  <c r="E11" i="55"/>
  <c r="AI28" i="57"/>
  <c r="AP27" i="57"/>
  <c r="Y10" i="57"/>
  <c r="DO70" i="53"/>
  <c r="ED70" i="53"/>
  <c r="BR70" i="53"/>
  <c r="DK70" i="53"/>
  <c r="AF27" i="57"/>
  <c r="AI22" i="57"/>
  <c r="K11" i="57"/>
  <c r="N14" i="57"/>
  <c r="U24" i="57"/>
  <c r="K29" i="57"/>
  <c r="AF25" i="57"/>
  <c r="R29" i="57"/>
  <c r="CY70" i="53"/>
  <c r="CD70" i="53"/>
  <c r="AO70" i="53"/>
  <c r="CC70" i="53"/>
  <c r="R7" i="59"/>
  <c r="AF26" i="57"/>
  <c r="AB12" i="57"/>
  <c r="G24" i="57"/>
  <c r="AB28" i="57"/>
  <c r="AM23" i="57"/>
  <c r="K28" i="57"/>
  <c r="BS70" i="53"/>
  <c r="BF70" i="53"/>
  <c r="FG70" i="53"/>
  <c r="AX70" i="53"/>
  <c r="AM24" i="57"/>
  <c r="U16" i="57"/>
  <c r="AH16" i="57" s="1"/>
  <c r="U28" i="57"/>
  <c r="AI25" i="57"/>
  <c r="R25" i="57"/>
  <c r="AI21" i="57"/>
  <c r="BC70" i="53"/>
  <c r="EM70" i="53"/>
  <c r="DW70" i="53"/>
  <c r="EO70" i="53"/>
  <c r="R18" i="59"/>
  <c r="U29" i="57"/>
  <c r="AW70" i="53"/>
  <c r="K23" i="57"/>
  <c r="AI23" i="57"/>
  <c r="FD70" i="53"/>
  <c r="R23" i="57"/>
  <c r="AV70" i="53"/>
  <c r="AP23" i="57"/>
  <c r="AU23" i="57" s="1"/>
  <c r="AT23" i="57" s="1"/>
  <c r="FB70" i="53"/>
  <c r="R14" i="59"/>
  <c r="AM70" i="53"/>
  <c r="AB24" i="57"/>
  <c r="FI70" i="53"/>
  <c r="R11" i="59"/>
  <c r="E12" i="55"/>
  <c r="DI70" i="53"/>
  <c r="AF28" i="57"/>
  <c r="BY70" i="53"/>
  <c r="U32" i="57"/>
  <c r="AU70" i="53"/>
  <c r="Y12" i="57"/>
  <c r="AF15" i="57"/>
  <c r="EY70" i="53"/>
  <c r="EC70" i="53"/>
  <c r="DT70" i="53"/>
  <c r="CO70" i="53"/>
  <c r="DJ70" i="53"/>
  <c r="CA70" i="53"/>
  <c r="AB9" i="57"/>
  <c r="AF22" i="57"/>
  <c r="I15" i="55"/>
  <c r="G21" i="57"/>
  <c r="Y21" i="57"/>
  <c r="Y15" i="57"/>
  <c r="E17" i="55"/>
  <c r="G59" i="5"/>
  <c r="L59" i="5"/>
  <c r="K59" i="5"/>
  <c r="H59" i="5"/>
  <c r="J59" i="5"/>
  <c r="E95" i="38"/>
  <c r="E22" i="38"/>
  <c r="E62" i="38"/>
  <c r="E67" i="38"/>
  <c r="E10" i="38"/>
  <c r="E66" i="38"/>
  <c r="I59" i="5"/>
  <c r="M59" i="5"/>
  <c r="D61" i="1"/>
  <c r="E12" i="43" s="1"/>
  <c r="E68" i="38"/>
  <c r="E25" i="38"/>
  <c r="E27" i="38"/>
  <c r="E26" i="38"/>
  <c r="E103" i="38"/>
  <c r="E93" i="38"/>
  <c r="E104" i="38"/>
  <c r="D58" i="1"/>
  <c r="E9" i="43" s="1"/>
  <c r="E17" i="1"/>
  <c r="P19" i="43" s="1"/>
  <c r="E92" i="38"/>
  <c r="E69" i="38"/>
  <c r="E39" i="38"/>
  <c r="E65" i="38"/>
  <c r="AB32" i="57"/>
  <c r="Y30" i="57"/>
  <c r="AM28" i="57"/>
  <c r="AF29" i="57"/>
  <c r="AF32" i="57"/>
  <c r="R32" i="57"/>
  <c r="N32" i="57"/>
  <c r="AM29" i="57"/>
  <c r="R18" i="57"/>
  <c r="AF18" i="57"/>
  <c r="AB18" i="57"/>
  <c r="AM30" i="57"/>
  <c r="AF11" i="57"/>
  <c r="AM26" i="57"/>
  <c r="AW73" i="53"/>
  <c r="AW17" i="53"/>
  <c r="AW74" i="53" s="1"/>
  <c r="AW81" i="53" s="1"/>
  <c r="P44" i="53"/>
  <c r="U31" i="53"/>
  <c r="V31" i="53" s="1"/>
  <c r="U34" i="53"/>
  <c r="V34" i="53" s="1"/>
  <c r="U30" i="53"/>
  <c r="V30" i="53" s="1"/>
  <c r="U33" i="53"/>
  <c r="V33" i="53" s="1"/>
  <c r="U32" i="53"/>
  <c r="V32" i="53" s="1"/>
  <c r="U35" i="53"/>
  <c r="V35" i="53" s="1"/>
  <c r="AR73" i="53"/>
  <c r="D54" i="53"/>
  <c r="S30" i="53"/>
  <c r="T30" i="53" s="1"/>
  <c r="S31" i="53"/>
  <c r="T31" i="53" s="1"/>
  <c r="S32" i="53"/>
  <c r="T32" i="53" s="1"/>
  <c r="S33" i="53"/>
  <c r="T33" i="53" s="1"/>
  <c r="S34" i="53"/>
  <c r="T34" i="53" s="1"/>
  <c r="S35" i="53"/>
  <c r="T35" i="53" s="1"/>
  <c r="E55" i="53"/>
  <c r="D49" i="53"/>
  <c r="F55" i="53" s="1"/>
  <c r="L24" i="53"/>
  <c r="M29" i="1" l="1"/>
  <c r="AL35" i="53"/>
  <c r="K108" i="5"/>
  <c r="N79" i="5"/>
  <c r="N90" i="5"/>
  <c r="N59" i="5"/>
  <c r="J17" i="65"/>
  <c r="E18" i="65" s="1"/>
  <c r="N53" i="5"/>
  <c r="I29" i="6"/>
  <c r="J23" i="6" s="1"/>
  <c r="Z25" i="55"/>
  <c r="AP17" i="53"/>
  <c r="AP74" i="53" s="1"/>
  <c r="AP81" i="53" s="1"/>
  <c r="AA16" i="55"/>
  <c r="AA26" i="55" s="1"/>
  <c r="AR74" i="53"/>
  <c r="AR81" i="53" s="1"/>
  <c r="AD93" i="38"/>
  <c r="AD22" i="38"/>
  <c r="AA13" i="55"/>
  <c r="AA23" i="55" s="1"/>
  <c r="AB15" i="55"/>
  <c r="AB25" i="55" s="1"/>
  <c r="AD39" i="38"/>
  <c r="AF3" i="38"/>
  <c r="AE4" i="38"/>
  <c r="AS29" i="53"/>
  <c r="AS31" i="53" s="1"/>
  <c r="AS99" i="53" s="1"/>
  <c r="AU16" i="53"/>
  <c r="AU73" i="53" s="1"/>
  <c r="AV6" i="53"/>
  <c r="AV11" i="53" s="1"/>
  <c r="AW7" i="53"/>
  <c r="N68" i="5"/>
  <c r="N5" i="5"/>
  <c r="N85" i="5"/>
  <c r="O4" i="5"/>
  <c r="M69" i="5"/>
  <c r="M70" i="5"/>
  <c r="L87" i="5"/>
  <c r="I19" i="6"/>
  <c r="L86" i="5" s="1"/>
  <c r="L94" i="5"/>
  <c r="I41" i="6"/>
  <c r="L93" i="5" s="1"/>
  <c r="K6" i="6"/>
  <c r="K12" i="6" s="1"/>
  <c r="J7" i="6"/>
  <c r="J26" i="6"/>
  <c r="J14" i="6"/>
  <c r="J38" i="6"/>
  <c r="J24" i="6"/>
  <c r="J25" i="6"/>
  <c r="J18" i="6"/>
  <c r="J40" i="6"/>
  <c r="M92" i="5" s="1"/>
  <c r="J27" i="6"/>
  <c r="J28" i="6" s="1"/>
  <c r="J16" i="6"/>
  <c r="J34" i="6"/>
  <c r="M91" i="5" s="1"/>
  <c r="J36" i="6"/>
  <c r="AT27" i="57"/>
  <c r="AV27" i="57" s="1"/>
  <c r="AU26" i="57"/>
  <c r="AT26" i="57" s="1"/>
  <c r="AV26" i="57" s="1"/>
  <c r="E16" i="43"/>
  <c r="E20" i="1"/>
  <c r="P23" i="43" s="1"/>
  <c r="F16" i="43"/>
  <c r="K8" i="55"/>
  <c r="J8" i="55"/>
  <c r="G45" i="5"/>
  <c r="AT25" i="53"/>
  <c r="AT27" i="53" s="1"/>
  <c r="AQ17" i="53"/>
  <c r="AQ74" i="53" s="1"/>
  <c r="AQ81" i="53" s="1"/>
  <c r="AV73" i="53"/>
  <c r="AV75" i="53" s="1"/>
  <c r="P11" i="5" s="1"/>
  <c r="AS17" i="53"/>
  <c r="AS74" i="53" s="1"/>
  <c r="AS81" i="53" s="1"/>
  <c r="AL17" i="53"/>
  <c r="AL74" i="53" s="1"/>
  <c r="AL81" i="53" s="1"/>
  <c r="AL83" i="53" s="1"/>
  <c r="AX16" i="53" s="1"/>
  <c r="AX73" i="53" s="1"/>
  <c r="AT17" i="53"/>
  <c r="AT74" i="53" s="1"/>
  <c r="AT81" i="53" s="1"/>
  <c r="AN73" i="53"/>
  <c r="AN17" i="53"/>
  <c r="AN74" i="53" s="1"/>
  <c r="AN81" i="53" s="1"/>
  <c r="AO73" i="53"/>
  <c r="AO17" i="53"/>
  <c r="AO74" i="53" s="1"/>
  <c r="AO81" i="53" s="1"/>
  <c r="AM73" i="53"/>
  <c r="AM17" i="53"/>
  <c r="AM74" i="53" s="1"/>
  <c r="AM81" i="53" s="1"/>
  <c r="K15" i="57"/>
  <c r="H15" i="57"/>
  <c r="G15" i="57"/>
  <c r="J40" i="43"/>
  <c r="AW18" i="53"/>
  <c r="AW54" i="53" s="1"/>
  <c r="N8" i="6"/>
  <c r="AD3" i="55"/>
  <c r="AC41" i="55"/>
  <c r="AV84" i="53"/>
  <c r="AW8" i="53"/>
  <c r="AA17" i="55"/>
  <c r="AA27" i="55" s="1"/>
  <c r="AA14" i="55"/>
  <c r="AA24" i="55" s="1"/>
  <c r="AA12" i="55"/>
  <c r="AA22" i="55" s="1"/>
  <c r="AQ44" i="53"/>
  <c r="AQ47" i="53" s="1"/>
  <c r="EL7" i="55"/>
  <c r="EM7" i="55"/>
  <c r="ER7" i="55"/>
  <c r="EK7" i="55"/>
  <c r="EU7" i="55"/>
  <c r="ET7" i="55"/>
  <c r="EP7" i="55"/>
  <c r="EV7" i="55"/>
  <c r="EO7" i="55"/>
  <c r="EQ7" i="55"/>
  <c r="EN7" i="55"/>
  <c r="ES7" i="55"/>
  <c r="AV18" i="53"/>
  <c r="AV54" i="53" s="1"/>
  <c r="F44" i="53"/>
  <c r="F43" i="53"/>
  <c r="G43" i="53" s="1"/>
  <c r="P45" i="53"/>
  <c r="U29" i="53"/>
  <c r="U43" i="53" s="1"/>
  <c r="AM38" i="53" s="1"/>
  <c r="E45" i="53"/>
  <c r="D60" i="53"/>
  <c r="V22" i="53"/>
  <c r="AV33" i="57"/>
  <c r="AM35" i="53"/>
  <c r="F23" i="5"/>
  <c r="M22" i="53"/>
  <c r="N29" i="1" s="1"/>
  <c r="U37" i="55"/>
  <c r="K12" i="55"/>
  <c r="F54" i="53"/>
  <c r="E54" i="53"/>
  <c r="AW75" i="53"/>
  <c r="K14" i="55"/>
  <c r="U39" i="55"/>
  <c r="AV28" i="57"/>
  <c r="AV21" i="57"/>
  <c r="U36" i="55"/>
  <c r="V36" i="55" s="1"/>
  <c r="K11" i="55"/>
  <c r="P33" i="57"/>
  <c r="O33" i="57"/>
  <c r="Q33" i="57"/>
  <c r="R33" i="57" s="1"/>
  <c r="M34" i="57"/>
  <c r="S29" i="53"/>
  <c r="S43" i="53" s="1"/>
  <c r="O44" i="53"/>
  <c r="O45" i="53" s="1"/>
  <c r="AR75" i="53"/>
  <c r="Q43" i="53"/>
  <c r="P43" i="53"/>
  <c r="O43" i="53"/>
  <c r="T22" i="53"/>
  <c r="E49" i="53"/>
  <c r="AH9" i="57" s="1"/>
  <c r="F49" i="53"/>
  <c r="K10" i="55"/>
  <c r="C55" i="43"/>
  <c r="AJ17" i="57"/>
  <c r="K33" i="55"/>
  <c r="AL17" i="57"/>
  <c r="AO17" i="57" a="1"/>
  <c r="AO17" i="57" s="1"/>
  <c r="AT17" i="57" s="1"/>
  <c r="AV24" i="57"/>
  <c r="X33" i="57"/>
  <c r="Y33" i="57" s="1"/>
  <c r="T34" i="57"/>
  <c r="W33" i="57"/>
  <c r="V33" i="57"/>
  <c r="K13" i="55"/>
  <c r="U38" i="55"/>
  <c r="AA34" i="57"/>
  <c r="AE33" i="57"/>
  <c r="AF33" i="57" s="1"/>
  <c r="AC33" i="57"/>
  <c r="AD33" i="57"/>
  <c r="AL33" i="57"/>
  <c r="AM33" i="57" s="1"/>
  <c r="AJ33" i="57"/>
  <c r="E52" i="53"/>
  <c r="AH12" i="57" s="1"/>
  <c r="F52" i="53"/>
  <c r="AV25" i="57"/>
  <c r="O22" i="53"/>
  <c r="P29" i="1" s="1"/>
  <c r="AV29" i="57"/>
  <c r="AQ33" i="57"/>
  <c r="J21" i="55"/>
  <c r="AL16" i="57"/>
  <c r="AJ16" i="57"/>
  <c r="AO16" i="57" a="1"/>
  <c r="AO16" i="57" s="1"/>
  <c r="AT16" i="57" s="1"/>
  <c r="F10" i="5"/>
  <c r="U40" i="55"/>
  <c r="K15" i="55"/>
  <c r="AV23" i="57"/>
  <c r="J33" i="57"/>
  <c r="K33" i="57" s="1"/>
  <c r="I33" i="57"/>
  <c r="H33" i="57"/>
  <c r="F34" i="57"/>
  <c r="L108" i="5" l="1"/>
  <c r="O79" i="5"/>
  <c r="O90" i="5"/>
  <c r="O53" i="5"/>
  <c r="F18" i="65"/>
  <c r="AM39" i="53"/>
  <c r="AB16" i="55"/>
  <c r="AB26" i="55" s="1"/>
  <c r="AP18" i="53"/>
  <c r="AP54" i="53" s="1"/>
  <c r="AP75" i="53"/>
  <c r="AC15" i="55"/>
  <c r="AC25" i="55" s="1"/>
  <c r="AK12" i="57"/>
  <c r="AM17" i="57"/>
  <c r="E39" i="5"/>
  <c r="AU17" i="53"/>
  <c r="AU74" i="53" s="1"/>
  <c r="AU81" i="53" s="1"/>
  <c r="AM16" i="57"/>
  <c r="E38" i="5"/>
  <c r="J29" i="6"/>
  <c r="K23" i="6" s="1"/>
  <c r="AE93" i="38"/>
  <c r="AE22" i="38"/>
  <c r="AB13" i="55"/>
  <c r="AB23" i="55" s="1"/>
  <c r="AE39" i="38"/>
  <c r="AF4" i="38"/>
  <c r="AG3" i="38"/>
  <c r="AT29" i="53"/>
  <c r="AT31" i="53" s="1"/>
  <c r="AT99" i="53" s="1"/>
  <c r="AK14" i="57"/>
  <c r="AK13" i="57"/>
  <c r="AW6" i="53"/>
  <c r="AW11" i="53" s="1"/>
  <c r="AX7" i="53"/>
  <c r="O68" i="5"/>
  <c r="O5" i="5"/>
  <c r="O85" i="5"/>
  <c r="P4" i="5"/>
  <c r="O59" i="5"/>
  <c r="N70" i="5"/>
  <c r="N69" i="5"/>
  <c r="J19" i="6"/>
  <c r="M86" i="5" s="1"/>
  <c r="M87" i="5"/>
  <c r="M94" i="5"/>
  <c r="J41" i="6"/>
  <c r="M93" i="5" s="1"/>
  <c r="K38" i="6"/>
  <c r="K25" i="6"/>
  <c r="K24" i="6"/>
  <c r="K26" i="6"/>
  <c r="K14" i="6"/>
  <c r="K40" i="6"/>
  <c r="N92" i="5" s="1"/>
  <c r="K34" i="6"/>
  <c r="N91" i="5" s="1"/>
  <c r="K27" i="6"/>
  <c r="K28" i="6" s="1"/>
  <c r="K36" i="6"/>
  <c r="K18" i="6"/>
  <c r="K16" i="6"/>
  <c r="K7" i="6"/>
  <c r="L6" i="6"/>
  <c r="L12" i="6" s="1"/>
  <c r="AK16" i="57"/>
  <c r="AI13" i="57"/>
  <c r="AI14" i="57"/>
  <c r="W34" i="55"/>
  <c r="H45" i="5"/>
  <c r="AU25" i="53"/>
  <c r="AU27" i="53" s="1"/>
  <c r="AO18" i="53"/>
  <c r="AO54" i="53" s="1"/>
  <c r="AS75" i="53"/>
  <c r="M11" i="5" s="1"/>
  <c r="AQ75" i="53"/>
  <c r="K11" i="5" s="1"/>
  <c r="AQ18" i="53"/>
  <c r="AQ54" i="53" s="1"/>
  <c r="AS18" i="53"/>
  <c r="AS54" i="53" s="1"/>
  <c r="AL75" i="53"/>
  <c r="AL77" i="53" s="1"/>
  <c r="AL78" i="53" s="1"/>
  <c r="AL18" i="53"/>
  <c r="AL54" i="53" s="1"/>
  <c r="AL57" i="53" s="1"/>
  <c r="AM15" i="53" s="1"/>
  <c r="AT75" i="53"/>
  <c r="N11" i="5" s="1"/>
  <c r="AT18" i="53"/>
  <c r="AT54" i="53" s="1"/>
  <c r="AO75" i="53"/>
  <c r="I11" i="5" s="1"/>
  <c r="AM18" i="53"/>
  <c r="AM54" i="53" s="1"/>
  <c r="AN18" i="53"/>
  <c r="AN54" i="53" s="1"/>
  <c r="AM75" i="53"/>
  <c r="AN75" i="53"/>
  <c r="H11" i="5" s="1"/>
  <c r="F63" i="5"/>
  <c r="O8" i="6"/>
  <c r="AW84" i="53"/>
  <c r="AX8" i="53"/>
  <c r="AE3" i="55"/>
  <c r="AD41" i="55"/>
  <c r="K40" i="43"/>
  <c r="AB17" i="55"/>
  <c r="AB27" i="55" s="1"/>
  <c r="AB12" i="55"/>
  <c r="AB22" i="55" s="1"/>
  <c r="AB14" i="55"/>
  <c r="AB24" i="55" s="1"/>
  <c r="V43" i="53"/>
  <c r="AR44" i="53"/>
  <c r="AR47" i="53" s="1"/>
  <c r="AX17" i="53"/>
  <c r="AX74" i="53" s="1"/>
  <c r="AX81" i="53" s="1"/>
  <c r="AI9" i="57"/>
  <c r="AK9" i="57"/>
  <c r="AO9" i="57" a="1"/>
  <c r="AO9" i="57" s="1"/>
  <c r="AL9" i="57"/>
  <c r="AJ9" i="57"/>
  <c r="V35" i="55"/>
  <c r="G47" i="5"/>
  <c r="AQ16" i="57"/>
  <c r="AP16" i="57"/>
  <c r="I21" i="55"/>
  <c r="T11" i="55" s="1"/>
  <c r="J28" i="55"/>
  <c r="I28" i="55" s="1"/>
  <c r="G28" i="55" s="1"/>
  <c r="N34" i="57"/>
  <c r="P34" i="57"/>
  <c r="O34" i="57"/>
  <c r="Q34" i="57"/>
  <c r="R34" i="57" s="1"/>
  <c r="V40" i="55"/>
  <c r="G52" i="5"/>
  <c r="D9" i="64"/>
  <c r="C56" i="43"/>
  <c r="C54" i="43"/>
  <c r="L11" i="5"/>
  <c r="D62" i="53"/>
  <c r="E62" i="53" s="1"/>
  <c r="E60" i="53"/>
  <c r="AQ17" i="57"/>
  <c r="AP17" i="57"/>
  <c r="U44" i="53"/>
  <c r="U45" i="53" s="1"/>
  <c r="V29" i="53"/>
  <c r="S44" i="53"/>
  <c r="S45" i="53" s="1"/>
  <c r="T29" i="53"/>
  <c r="V37" i="55"/>
  <c r="G49" i="5"/>
  <c r="T43" i="53"/>
  <c r="AC34" i="57"/>
  <c r="AB34" i="57"/>
  <c r="AE34" i="57"/>
  <c r="AF34" i="57" s="1"/>
  <c r="AD34" i="57"/>
  <c r="X34" i="57"/>
  <c r="Y34" i="57" s="1"/>
  <c r="W34" i="57"/>
  <c r="V34" i="57"/>
  <c r="U34" i="57"/>
  <c r="J34" i="57"/>
  <c r="K34" i="57" s="1"/>
  <c r="I34" i="57"/>
  <c r="H34" i="57"/>
  <c r="G34" i="57"/>
  <c r="J11" i="5"/>
  <c r="AK17" i="57"/>
  <c r="K44" i="53"/>
  <c r="K45" i="53" s="1"/>
  <c r="K43" i="53"/>
  <c r="G48" i="5"/>
  <c r="Q11" i="5"/>
  <c r="AL36" i="53"/>
  <c r="AL40" i="53" s="1"/>
  <c r="V38" i="55"/>
  <c r="G50" i="5"/>
  <c r="C48" i="43"/>
  <c r="AL12" i="57"/>
  <c r="AO12" i="57" a="1"/>
  <c r="AO12" i="57" s="1"/>
  <c r="AI12" i="57"/>
  <c r="AJ12" i="57"/>
  <c r="D50" i="53"/>
  <c r="F45" i="53"/>
  <c r="V39" i="55"/>
  <c r="G51" i="5"/>
  <c r="G33" i="55" l="1"/>
  <c r="AW12" i="57"/>
  <c r="M108" i="5"/>
  <c r="P79" i="5"/>
  <c r="P90" i="5"/>
  <c r="E40" i="5"/>
  <c r="J18" i="65"/>
  <c r="E19" i="65" s="1"/>
  <c r="P53" i="5"/>
  <c r="AC16" i="55"/>
  <c r="AC26" i="55" s="1"/>
  <c r="AD15" i="55"/>
  <c r="AD25" i="55" s="1"/>
  <c r="AU18" i="53"/>
  <c r="AU54" i="53" s="1"/>
  <c r="AU75" i="53"/>
  <c r="O11" i="5" s="1"/>
  <c r="G11" i="5"/>
  <c r="AM12" i="57"/>
  <c r="E32" i="5"/>
  <c r="AF93" i="38"/>
  <c r="AF22" i="38"/>
  <c r="AC13" i="55"/>
  <c r="AC23" i="55" s="1"/>
  <c r="AF39" i="38"/>
  <c r="AG4" i="38"/>
  <c r="AH3" i="38"/>
  <c r="AU29" i="53"/>
  <c r="AU31" i="53" s="1"/>
  <c r="AU99" i="53" s="1"/>
  <c r="AR12" i="57"/>
  <c r="AX6" i="53"/>
  <c r="AX11" i="53" s="1"/>
  <c r="AY7" i="53"/>
  <c r="AM9" i="57"/>
  <c r="E27" i="5"/>
  <c r="E29" i="5" s="1"/>
  <c r="P68" i="5"/>
  <c r="P5" i="5"/>
  <c r="P85" i="5"/>
  <c r="Q4" i="5"/>
  <c r="P59" i="5"/>
  <c r="O70" i="5"/>
  <c r="O69" i="5"/>
  <c r="K29" i="6"/>
  <c r="L23" i="6" s="1"/>
  <c r="K41" i="6"/>
  <c r="N93" i="5" s="1"/>
  <c r="N94" i="5"/>
  <c r="L38" i="6"/>
  <c r="L26" i="6"/>
  <c r="L25" i="6"/>
  <c r="L24" i="6"/>
  <c r="L14" i="6"/>
  <c r="M6" i="6"/>
  <c r="M12" i="6" s="1"/>
  <c r="L7" i="6"/>
  <c r="L40" i="6"/>
  <c r="O92" i="5" s="1"/>
  <c r="L18" i="6"/>
  <c r="L34" i="6"/>
  <c r="O91" i="5" s="1"/>
  <c r="L27" i="6"/>
  <c r="L28" i="6" s="1"/>
  <c r="L36" i="6"/>
  <c r="L16" i="6"/>
  <c r="N87" i="5"/>
  <c r="K19" i="6"/>
  <c r="N86" i="5" s="1"/>
  <c r="X34" i="55"/>
  <c r="I45" i="5"/>
  <c r="AV25" i="53"/>
  <c r="AV27" i="53" s="1"/>
  <c r="AW25" i="53" s="1"/>
  <c r="AW27" i="53" s="1"/>
  <c r="AX25" i="53" s="1"/>
  <c r="AX27" i="53" s="1"/>
  <c r="AY25" i="53" s="1"/>
  <c r="AY27" i="53" s="1"/>
  <c r="AZ25" i="53" s="1"/>
  <c r="AZ27" i="53" s="1"/>
  <c r="BA25" i="53" s="1"/>
  <c r="BA27" i="53" s="1"/>
  <c r="BB25" i="53" s="1"/>
  <c r="BB27" i="53" s="1"/>
  <c r="BC25" i="53" s="1"/>
  <c r="BC27" i="53" s="1"/>
  <c r="BD25" i="53" s="1"/>
  <c r="BD27" i="53" s="1"/>
  <c r="BE25" i="53" s="1"/>
  <c r="BE27" i="53" s="1"/>
  <c r="BF25" i="53" s="1"/>
  <c r="BF27" i="53" s="1"/>
  <c r="BG25" i="53" s="1"/>
  <c r="BG27" i="53" s="1"/>
  <c r="BH25" i="53" s="1"/>
  <c r="BH27" i="53" s="1"/>
  <c r="BI25" i="53" s="1"/>
  <c r="BI27" i="53" s="1"/>
  <c r="BJ25" i="53" s="1"/>
  <c r="BJ27" i="53" s="1"/>
  <c r="BK25" i="53" s="1"/>
  <c r="BK27" i="53" s="1"/>
  <c r="BL25" i="53" s="1"/>
  <c r="BL27" i="53" s="1"/>
  <c r="BM25" i="53" s="1"/>
  <c r="BM27" i="53" s="1"/>
  <c r="BN25" i="53" s="1"/>
  <c r="BN27" i="53" s="1"/>
  <c r="BO25" i="53" s="1"/>
  <c r="BO27" i="53" s="1"/>
  <c r="BP25" i="53" s="1"/>
  <c r="BP27" i="53" s="1"/>
  <c r="BQ25" i="53" s="1"/>
  <c r="BQ27" i="53" s="1"/>
  <c r="BR25" i="53" s="1"/>
  <c r="BR27" i="53" s="1"/>
  <c r="BS25" i="53" s="1"/>
  <c r="BS27" i="53" s="1"/>
  <c r="BT25" i="53" s="1"/>
  <c r="BT27" i="53" s="1"/>
  <c r="BU25" i="53" s="1"/>
  <c r="BU27" i="53" s="1"/>
  <c r="BV25" i="53" s="1"/>
  <c r="BV27" i="53" s="1"/>
  <c r="BW25" i="53" s="1"/>
  <c r="BW27" i="53" s="1"/>
  <c r="BX25" i="53" s="1"/>
  <c r="BX27" i="53" s="1"/>
  <c r="BY25" i="53" s="1"/>
  <c r="BY27" i="53" s="1"/>
  <c r="BZ25" i="53" s="1"/>
  <c r="BZ27" i="53" s="1"/>
  <c r="CA25" i="53" s="1"/>
  <c r="CA27" i="53" s="1"/>
  <c r="CB25" i="53" s="1"/>
  <c r="CB27" i="53" s="1"/>
  <c r="CC25" i="53" s="1"/>
  <c r="CC27" i="53" s="1"/>
  <c r="CD25" i="53" s="1"/>
  <c r="CD27" i="53" s="1"/>
  <c r="CE25" i="53" s="1"/>
  <c r="CE27" i="53" s="1"/>
  <c r="CF25" i="53" s="1"/>
  <c r="CF27" i="53" s="1"/>
  <c r="CG25" i="53" s="1"/>
  <c r="CG27" i="53" s="1"/>
  <c r="CH25" i="53" s="1"/>
  <c r="CH27" i="53" s="1"/>
  <c r="CI25" i="53" s="1"/>
  <c r="CI27" i="53" s="1"/>
  <c r="CJ25" i="53" s="1"/>
  <c r="CJ27" i="53" s="1"/>
  <c r="CK25" i="53" s="1"/>
  <c r="CK27" i="53" s="1"/>
  <c r="CL25" i="53" s="1"/>
  <c r="CL27" i="53" s="1"/>
  <c r="CM25" i="53" s="1"/>
  <c r="CM27" i="53" s="1"/>
  <c r="CN25" i="53" s="1"/>
  <c r="CN27" i="53" s="1"/>
  <c r="CO25" i="53" s="1"/>
  <c r="CO27" i="53" s="1"/>
  <c r="CP25" i="53" s="1"/>
  <c r="CP27" i="53" s="1"/>
  <c r="CQ25" i="53" s="1"/>
  <c r="CQ27" i="53" s="1"/>
  <c r="CR25" i="53" s="1"/>
  <c r="CR27" i="53" s="1"/>
  <c r="CS25" i="53" s="1"/>
  <c r="CS27" i="53" s="1"/>
  <c r="CT25" i="53" s="1"/>
  <c r="CT27" i="53" s="1"/>
  <c r="CU25" i="53" s="1"/>
  <c r="CU27" i="53" s="1"/>
  <c r="CV25" i="53" s="1"/>
  <c r="CV27" i="53" s="1"/>
  <c r="CW25" i="53" s="1"/>
  <c r="CW27" i="53" s="1"/>
  <c r="CX25" i="53" s="1"/>
  <c r="CX27" i="53" s="1"/>
  <c r="CY25" i="53" s="1"/>
  <c r="CY27" i="53" s="1"/>
  <c r="CZ25" i="53" s="1"/>
  <c r="CZ27" i="53" s="1"/>
  <c r="DA25" i="53" s="1"/>
  <c r="DA27" i="53" s="1"/>
  <c r="DB25" i="53" s="1"/>
  <c r="DB27" i="53" s="1"/>
  <c r="DC25" i="53" s="1"/>
  <c r="DC27" i="53" s="1"/>
  <c r="DD25" i="53" s="1"/>
  <c r="DD27" i="53" s="1"/>
  <c r="DE25" i="53" s="1"/>
  <c r="DE27" i="53" s="1"/>
  <c r="DF25" i="53" s="1"/>
  <c r="DF27" i="53" s="1"/>
  <c r="DG25" i="53" s="1"/>
  <c r="DG27" i="53" s="1"/>
  <c r="DH25" i="53" s="1"/>
  <c r="DH27" i="53" s="1"/>
  <c r="DI25" i="53" s="1"/>
  <c r="DI27" i="53" s="1"/>
  <c r="DJ25" i="53" s="1"/>
  <c r="DJ27" i="53" s="1"/>
  <c r="DK25" i="53" s="1"/>
  <c r="DK27" i="53" s="1"/>
  <c r="DL25" i="53" s="1"/>
  <c r="DL27" i="53" s="1"/>
  <c r="DM25" i="53" s="1"/>
  <c r="DM27" i="53" s="1"/>
  <c r="DN25" i="53" s="1"/>
  <c r="DN27" i="53" s="1"/>
  <c r="DO25" i="53" s="1"/>
  <c r="DO27" i="53" s="1"/>
  <c r="DP25" i="53" s="1"/>
  <c r="DP27" i="53" s="1"/>
  <c r="DQ25" i="53" s="1"/>
  <c r="DQ27" i="53" s="1"/>
  <c r="DR25" i="53" s="1"/>
  <c r="DR27" i="53" s="1"/>
  <c r="DS25" i="53" s="1"/>
  <c r="DS27" i="53" s="1"/>
  <c r="DT25" i="53" s="1"/>
  <c r="DT27" i="53" s="1"/>
  <c r="DU25" i="53" s="1"/>
  <c r="DU27" i="53" s="1"/>
  <c r="DV25" i="53" s="1"/>
  <c r="DV27" i="53" s="1"/>
  <c r="DW25" i="53" s="1"/>
  <c r="DW27" i="53" s="1"/>
  <c r="DX25" i="53" s="1"/>
  <c r="DX27" i="53" s="1"/>
  <c r="DY25" i="53" s="1"/>
  <c r="DY27" i="53" s="1"/>
  <c r="DZ25" i="53" s="1"/>
  <c r="DZ27" i="53" s="1"/>
  <c r="EA25" i="53" s="1"/>
  <c r="EA27" i="53" s="1"/>
  <c r="EB25" i="53" s="1"/>
  <c r="EB27" i="53" s="1"/>
  <c r="EC25" i="53" s="1"/>
  <c r="EC27" i="53" s="1"/>
  <c r="ED25" i="53" s="1"/>
  <c r="ED27" i="53" s="1"/>
  <c r="EE25" i="53" s="1"/>
  <c r="EE27" i="53" s="1"/>
  <c r="EF25" i="53" s="1"/>
  <c r="EF27" i="53" s="1"/>
  <c r="EG25" i="53" s="1"/>
  <c r="EG27" i="53" s="1"/>
  <c r="EH25" i="53" s="1"/>
  <c r="EH27" i="53" s="1"/>
  <c r="EI25" i="53" s="1"/>
  <c r="EI27" i="53" s="1"/>
  <c r="EJ25" i="53" s="1"/>
  <c r="EJ27" i="53" s="1"/>
  <c r="EK25" i="53" s="1"/>
  <c r="EK27" i="53" s="1"/>
  <c r="EL25" i="53" s="1"/>
  <c r="EL27" i="53" s="1"/>
  <c r="EM25" i="53" s="1"/>
  <c r="EM27" i="53" s="1"/>
  <c r="EN25" i="53" s="1"/>
  <c r="EN27" i="53" s="1"/>
  <c r="EO25" i="53" s="1"/>
  <c r="EO27" i="53" s="1"/>
  <c r="EP25" i="53" s="1"/>
  <c r="EP27" i="53" s="1"/>
  <c r="EQ25" i="53" s="1"/>
  <c r="EQ27" i="53" s="1"/>
  <c r="ER25" i="53" s="1"/>
  <c r="ER27" i="53" s="1"/>
  <c r="ES25" i="53" s="1"/>
  <c r="ES27" i="53" s="1"/>
  <c r="ET25" i="53" s="1"/>
  <c r="ET27" i="53" s="1"/>
  <c r="EU25" i="53" s="1"/>
  <c r="EU27" i="53" s="1"/>
  <c r="EV25" i="53" s="1"/>
  <c r="EV27" i="53" s="1"/>
  <c r="EW25" i="53" s="1"/>
  <c r="EW27" i="53" s="1"/>
  <c r="EX25" i="53" s="1"/>
  <c r="EX27" i="53" s="1"/>
  <c r="EY25" i="53" s="1"/>
  <c r="EY27" i="53" s="1"/>
  <c r="EZ25" i="53" s="1"/>
  <c r="EZ27" i="53" s="1"/>
  <c r="FA25" i="53" s="1"/>
  <c r="FA27" i="53" s="1"/>
  <c r="FB25" i="53" s="1"/>
  <c r="FB27" i="53" s="1"/>
  <c r="FC25" i="53" s="1"/>
  <c r="FC27" i="53" s="1"/>
  <c r="FD25" i="53" s="1"/>
  <c r="FD27" i="53" s="1"/>
  <c r="FE25" i="53" s="1"/>
  <c r="FE27" i="53" s="1"/>
  <c r="FF25" i="53" s="1"/>
  <c r="FF27" i="53" s="1"/>
  <c r="FG25" i="53" s="1"/>
  <c r="FG27" i="53" s="1"/>
  <c r="FH25" i="53" s="1"/>
  <c r="FH27" i="53" s="1"/>
  <c r="FI25" i="53" s="1"/>
  <c r="FI27" i="53" s="1"/>
  <c r="FJ25" i="53" s="1"/>
  <c r="FJ27" i="53" s="1"/>
  <c r="FK25" i="53" s="1"/>
  <c r="FK27" i="53" s="1"/>
  <c r="FL25" i="53" s="1"/>
  <c r="FL27" i="53" s="1"/>
  <c r="FM25" i="53" s="1"/>
  <c r="FM27" i="53" s="1"/>
  <c r="FN25" i="53" s="1"/>
  <c r="FN27" i="53" s="1"/>
  <c r="AI27" i="53" s="1"/>
  <c r="F11" i="5"/>
  <c r="F13" i="5" s="1"/>
  <c r="G10" i="5" s="1"/>
  <c r="AM72" i="53"/>
  <c r="AM53" i="53"/>
  <c r="AL59" i="53"/>
  <c r="AL65" i="53" s="1"/>
  <c r="AL79" i="53" s="1"/>
  <c r="AL23" i="53" s="1"/>
  <c r="AM20" i="53"/>
  <c r="AM22" i="53" s="1"/>
  <c r="AL88" i="53"/>
  <c r="AL89" i="53" s="1"/>
  <c r="AM87" i="53" s="1"/>
  <c r="AM88" i="53" s="1"/>
  <c r="L40" i="43"/>
  <c r="AX84" i="53"/>
  <c r="AY8" i="53"/>
  <c r="P8" i="6"/>
  <c r="AE41" i="55"/>
  <c r="AF3" i="55"/>
  <c r="AC17" i="55"/>
  <c r="AC27" i="55" s="1"/>
  <c r="AC14" i="55"/>
  <c r="AC24" i="55" s="1"/>
  <c r="AC12" i="55"/>
  <c r="AC22" i="55" s="1"/>
  <c r="AR17" i="57"/>
  <c r="AS44" i="53"/>
  <c r="AS47" i="53" s="1"/>
  <c r="AX18" i="53"/>
  <c r="AX54" i="53" s="1"/>
  <c r="AX75" i="53"/>
  <c r="R11" i="5" s="1"/>
  <c r="AM71" i="53"/>
  <c r="AL92" i="53"/>
  <c r="AL93" i="53" s="1"/>
  <c r="AR16" i="57"/>
  <c r="G39" i="5"/>
  <c r="W35" i="55"/>
  <c r="H47" i="5"/>
  <c r="AU17" i="57"/>
  <c r="AV17" i="57"/>
  <c r="AN38" i="53"/>
  <c r="AN39" i="53" s="1"/>
  <c r="G24" i="5"/>
  <c r="G28" i="5" s="1"/>
  <c r="F50" i="53"/>
  <c r="E50" i="53"/>
  <c r="AH10" i="57" s="1"/>
  <c r="D51" i="53"/>
  <c r="W38" i="55"/>
  <c r="H50" i="5"/>
  <c r="H39" i="5" s="1"/>
  <c r="W37" i="55"/>
  <c r="H49" i="5"/>
  <c r="W40" i="55"/>
  <c r="H52" i="5"/>
  <c r="G21" i="55"/>
  <c r="AV16" i="57"/>
  <c r="AU16" i="57"/>
  <c r="AM36" i="53"/>
  <c r="AN35" i="53"/>
  <c r="G23" i="5"/>
  <c r="G27" i="5" s="1"/>
  <c r="AR9" i="57"/>
  <c r="AQ9" i="57"/>
  <c r="AP9" i="57"/>
  <c r="AQ12" i="57"/>
  <c r="AP12" i="57"/>
  <c r="D7" i="64"/>
  <c r="C43" i="43"/>
  <c r="W36" i="55"/>
  <c r="H48" i="5"/>
  <c r="W39" i="55"/>
  <c r="H51" i="5"/>
  <c r="N108" i="5" l="1"/>
  <c r="Q79" i="5"/>
  <c r="Q90" i="5"/>
  <c r="F19" i="65"/>
  <c r="AJ27" i="53"/>
  <c r="E60" i="38"/>
  <c r="E44" i="38"/>
  <c r="E59" i="38"/>
  <c r="E43" i="38"/>
  <c r="E58" i="38"/>
  <c r="E42" i="38"/>
  <c r="E57" i="38"/>
  <c r="E61" i="38"/>
  <c r="E56" i="38"/>
  <c r="E55" i="38"/>
  <c r="E54" i="38"/>
  <c r="E53" i="38"/>
  <c r="E52" i="38"/>
  <c r="E51" i="38"/>
  <c r="E50" i="38"/>
  <c r="E49" i="38"/>
  <c r="E48" i="38"/>
  <c r="E47" i="38"/>
  <c r="E46" i="38"/>
  <c r="E45" i="38"/>
  <c r="AE15" i="55"/>
  <c r="AE25" i="55" s="1"/>
  <c r="AD16" i="55"/>
  <c r="AD26" i="55" s="1"/>
  <c r="AD13" i="55"/>
  <c r="AD23" i="55" s="1"/>
  <c r="Y104" i="38"/>
  <c r="Z104" i="38"/>
  <c r="AG93" i="38"/>
  <c r="AG22" i="38"/>
  <c r="AG39" i="38"/>
  <c r="G29" i="5"/>
  <c r="AH4" i="38"/>
  <c r="AI3" i="38"/>
  <c r="AV29" i="53"/>
  <c r="AV31" i="53" s="1"/>
  <c r="AV99" i="53" s="1"/>
  <c r="AY6" i="53"/>
  <c r="AY11" i="53" s="1"/>
  <c r="AZ7" i="53"/>
  <c r="Q53" i="5"/>
  <c r="R4" i="5"/>
  <c r="Q5" i="5"/>
  <c r="Q68" i="5"/>
  <c r="Q85" i="5"/>
  <c r="Q59" i="5"/>
  <c r="P70" i="5"/>
  <c r="P69" i="5"/>
  <c r="L29" i="6"/>
  <c r="M23" i="6" s="1"/>
  <c r="N6" i="6"/>
  <c r="N12" i="6" s="1"/>
  <c r="M26" i="6"/>
  <c r="M24" i="6"/>
  <c r="M38" i="6"/>
  <c r="M25" i="6"/>
  <c r="M14" i="6"/>
  <c r="M40" i="6"/>
  <c r="P92" i="5" s="1"/>
  <c r="M18" i="6"/>
  <c r="M34" i="6"/>
  <c r="P91" i="5" s="1"/>
  <c r="M27" i="6"/>
  <c r="M28" i="6" s="1"/>
  <c r="M36" i="6"/>
  <c r="M16" i="6"/>
  <c r="M7" i="6"/>
  <c r="O94" i="5"/>
  <c r="L41" i="6"/>
  <c r="O93" i="5" s="1"/>
  <c r="L19" i="6"/>
  <c r="O86" i="5" s="1"/>
  <c r="O87" i="5"/>
  <c r="AU9" i="57"/>
  <c r="AT9" i="57" s="1"/>
  <c r="AT13" i="57" s="1"/>
  <c r="Y34" i="55"/>
  <c r="J45" i="5"/>
  <c r="AL60" i="53"/>
  <c r="AL67" i="53" s="1"/>
  <c r="F14" i="5"/>
  <c r="G9" i="5" s="1"/>
  <c r="AL95" i="53"/>
  <c r="M40" i="43"/>
  <c r="AG3" i="55"/>
  <c r="AF41" i="55"/>
  <c r="Q8" i="6"/>
  <c r="AY84" i="53"/>
  <c r="AZ8" i="53"/>
  <c r="AD17" i="55"/>
  <c r="AD27" i="55" s="1"/>
  <c r="AD14" i="55"/>
  <c r="AD24" i="55" s="1"/>
  <c r="AD12" i="55"/>
  <c r="AD22" i="55" s="1"/>
  <c r="AN36" i="53"/>
  <c r="AN40" i="53" s="1"/>
  <c r="AT44" i="53"/>
  <c r="AT47" i="53" s="1"/>
  <c r="AM91" i="53"/>
  <c r="AL96" i="53"/>
  <c r="AL98" i="53"/>
  <c r="AM40" i="53"/>
  <c r="AM49" i="53" s="1"/>
  <c r="AM50" i="53" s="1"/>
  <c r="AM60" i="53" s="1"/>
  <c r="AM57" i="53" s="1"/>
  <c r="X36" i="55"/>
  <c r="I48" i="5"/>
  <c r="AL66" i="53"/>
  <c r="AO38" i="53"/>
  <c r="AO39" i="53" s="1"/>
  <c r="H24" i="5"/>
  <c r="H28" i="5" s="1"/>
  <c r="X40" i="55"/>
  <c r="I52" i="5"/>
  <c r="X39" i="55"/>
  <c r="I51" i="5"/>
  <c r="AO35" i="53"/>
  <c r="AO36" i="53" s="1"/>
  <c r="H23" i="5"/>
  <c r="H27" i="5" s="1"/>
  <c r="X37" i="55"/>
  <c r="I49" i="5"/>
  <c r="AJ10" i="57"/>
  <c r="AI10" i="57"/>
  <c r="AO10" i="57" a="1"/>
  <c r="AO10" i="57" s="1"/>
  <c r="AL10" i="57"/>
  <c r="AK10" i="57"/>
  <c r="I33" i="55" s="1"/>
  <c r="AJ140" i="53" s="1"/>
  <c r="AH11" i="57"/>
  <c r="D53" i="53"/>
  <c r="E51" i="53"/>
  <c r="F51" i="53"/>
  <c r="AM89" i="53"/>
  <c r="T21" i="55"/>
  <c r="T28" i="55" s="1"/>
  <c r="U11" i="55"/>
  <c r="X35" i="55"/>
  <c r="I47" i="5"/>
  <c r="X38" i="55"/>
  <c r="I50" i="5"/>
  <c r="D17" i="64"/>
  <c r="D39" i="64"/>
  <c r="O108" i="5" l="1"/>
  <c r="BK61" i="38"/>
  <c r="DY61" i="38"/>
  <c r="BP61" i="38"/>
  <c r="CX61" i="38"/>
  <c r="EV61" i="38"/>
  <c r="EX61" i="38"/>
  <c r="BY61" i="38"/>
  <c r="CA61" i="38"/>
  <c r="EO61" i="38"/>
  <c r="CF61" i="38"/>
  <c r="DN61" i="38"/>
  <c r="Y61" i="38"/>
  <c r="DU61" i="38"/>
  <c r="CQ61" i="38"/>
  <c r="AH61" i="38"/>
  <c r="CV61" i="38"/>
  <c r="ED61" i="38"/>
  <c r="AO61" i="38"/>
  <c r="AA61" i="38"/>
  <c r="DG61" i="38"/>
  <c r="AX61" i="38"/>
  <c r="DL61" i="38"/>
  <c r="ET61" i="38"/>
  <c r="BE61" i="38"/>
  <c r="AQ61" i="38"/>
  <c r="BN61" i="38"/>
  <c r="EB61" i="38"/>
  <c r="AM61" i="38"/>
  <c r="BU61" i="38"/>
  <c r="BG61" i="38"/>
  <c r="EM61" i="38"/>
  <c r="ER61" i="38"/>
  <c r="BC61" i="38"/>
  <c r="CK61" i="38"/>
  <c r="AF61" i="38"/>
  <c r="AS61" i="38"/>
  <c r="BS61" i="38"/>
  <c r="CM61" i="38"/>
  <c r="DJ61" i="38"/>
  <c r="CI61" i="38"/>
  <c r="DC61" i="38"/>
  <c r="BL61" i="38"/>
  <c r="BA61" i="38"/>
  <c r="CY61" i="38"/>
  <c r="DS61" i="38"/>
  <c r="EQ61" i="38"/>
  <c r="CS61" i="38"/>
  <c r="DP61" i="38"/>
  <c r="DI61" i="38"/>
  <c r="CH61" i="38"/>
  <c r="EH61" i="38"/>
  <c r="DW61" i="38"/>
  <c r="CD61" i="38"/>
  <c r="BW61" i="38"/>
  <c r="CT61" i="38"/>
  <c r="DA61" i="38"/>
  <c r="AV61" i="38"/>
  <c r="AK61" i="38"/>
  <c r="DQ61" i="38"/>
  <c r="DZ61" i="38"/>
  <c r="EG61" i="38"/>
  <c r="CC61" i="38"/>
  <c r="DT61" i="38"/>
  <c r="AJ61" i="38"/>
  <c r="EJ61" i="38"/>
  <c r="AU61" i="38"/>
  <c r="AZ61" i="38"/>
  <c r="EF61" i="38"/>
  <c r="EZ61" i="38"/>
  <c r="AD61" i="38"/>
  <c r="CB61" i="38"/>
  <c r="EP61" i="38"/>
  <c r="BQ61" i="38"/>
  <c r="DO61" i="38"/>
  <c r="EW61" i="38"/>
  <c r="EI61" i="38"/>
  <c r="AT61" i="38"/>
  <c r="CR61" i="38"/>
  <c r="AI61" i="38"/>
  <c r="CG61" i="38"/>
  <c r="EE61" i="38"/>
  <c r="BI61" i="38"/>
  <c r="EY61" i="38"/>
  <c r="BJ61" i="38"/>
  <c r="DH61" i="38"/>
  <c r="AY61" i="38"/>
  <c r="CW61" i="38"/>
  <c r="EU61" i="38"/>
  <c r="EK61" i="38"/>
  <c r="AB61" i="38"/>
  <c r="BZ61" i="38"/>
  <c r="DX61" i="38"/>
  <c r="BO61" i="38"/>
  <c r="DM61" i="38"/>
  <c r="CO61" i="38"/>
  <c r="Z61" i="38"/>
  <c r="AR61" i="38"/>
  <c r="CP61" i="38"/>
  <c r="EN61" i="38"/>
  <c r="CE61" i="38"/>
  <c r="EC61" i="38"/>
  <c r="AN61" i="38"/>
  <c r="AP61" i="38"/>
  <c r="BH61" i="38"/>
  <c r="DF61" i="38"/>
  <c r="AG61" i="38"/>
  <c r="CU61" i="38"/>
  <c r="ES61" i="38"/>
  <c r="BD61" i="38"/>
  <c r="BF61" i="38"/>
  <c r="BX61" i="38"/>
  <c r="DV61" i="38"/>
  <c r="AW61" i="38"/>
  <c r="DK61" i="38"/>
  <c r="DE61" i="38"/>
  <c r="BT61" i="38"/>
  <c r="BV61" i="38"/>
  <c r="CN61" i="38"/>
  <c r="EL61" i="38"/>
  <c r="BM61" i="38"/>
  <c r="EA61" i="38"/>
  <c r="AL61" i="38"/>
  <c r="CJ61" i="38"/>
  <c r="CL61" i="38"/>
  <c r="DD61" i="38"/>
  <c r="AC61" i="38"/>
  <c r="BB61" i="38"/>
  <c r="CZ61" i="38"/>
  <c r="DB61" i="38"/>
  <c r="AE61" i="38"/>
  <c r="BR61" i="38"/>
  <c r="DR61" i="38"/>
  <c r="R79" i="5"/>
  <c r="R90" i="5"/>
  <c r="J19" i="65"/>
  <c r="E20" i="65" s="1"/>
  <c r="R53" i="5"/>
  <c r="BF53" i="38"/>
  <c r="AB53" i="38"/>
  <c r="EK53" i="38"/>
  <c r="EM53" i="38"/>
  <c r="EO53" i="38"/>
  <c r="EQ53" i="38"/>
  <c r="ES53" i="38"/>
  <c r="EU53" i="38"/>
  <c r="AO53" i="38"/>
  <c r="BV53" i="38"/>
  <c r="AR53" i="38"/>
  <c r="AD53" i="38"/>
  <c r="AF53" i="38"/>
  <c r="AH53" i="38"/>
  <c r="AJ53" i="38"/>
  <c r="AL53" i="38"/>
  <c r="AN53" i="38"/>
  <c r="BE53" i="38"/>
  <c r="CL53" i="38"/>
  <c r="BH53" i="38"/>
  <c r="AT53" i="38"/>
  <c r="AV53" i="38"/>
  <c r="AX53" i="38"/>
  <c r="AZ53" i="38"/>
  <c r="BB53" i="38"/>
  <c r="BD53" i="38"/>
  <c r="DB53" i="38"/>
  <c r="BX53" i="38"/>
  <c r="BJ53" i="38"/>
  <c r="BL53" i="38"/>
  <c r="BN53" i="38"/>
  <c r="BP53" i="38"/>
  <c r="BR53" i="38"/>
  <c r="BT53" i="38"/>
  <c r="DR53" i="38"/>
  <c r="CN53" i="38"/>
  <c r="BZ53" i="38"/>
  <c r="CB53" i="38"/>
  <c r="CD53" i="38"/>
  <c r="CF53" i="38"/>
  <c r="CH53" i="38"/>
  <c r="CJ53" i="38"/>
  <c r="EH53" i="38"/>
  <c r="DD53" i="38"/>
  <c r="CP53" i="38"/>
  <c r="CR53" i="38"/>
  <c r="CT53" i="38"/>
  <c r="CV53" i="38"/>
  <c r="CX53" i="38"/>
  <c r="CZ53" i="38"/>
  <c r="EX53" i="38"/>
  <c r="DT53" i="38"/>
  <c r="DF53" i="38"/>
  <c r="DH53" i="38"/>
  <c r="DJ53" i="38"/>
  <c r="DL53" i="38"/>
  <c r="DN53" i="38"/>
  <c r="DP53" i="38"/>
  <c r="AA53" i="38"/>
  <c r="EJ53" i="38"/>
  <c r="DV53" i="38"/>
  <c r="DX53" i="38"/>
  <c r="DZ53" i="38"/>
  <c r="EB53" i="38"/>
  <c r="ED53" i="38"/>
  <c r="EF53" i="38"/>
  <c r="AQ53" i="38"/>
  <c r="EZ53" i="38"/>
  <c r="EL53" i="38"/>
  <c r="EN53" i="38"/>
  <c r="EP53" i="38"/>
  <c r="ER53" i="38"/>
  <c r="ET53" i="38"/>
  <c r="EV53" i="38"/>
  <c r="BG53" i="38"/>
  <c r="AC53" i="38"/>
  <c r="AE53" i="38"/>
  <c r="AG53" i="38"/>
  <c r="AI53" i="38"/>
  <c r="AK53" i="38"/>
  <c r="AM53" i="38"/>
  <c r="BU53" i="38"/>
  <c r="BW53" i="38"/>
  <c r="AS53" i="38"/>
  <c r="AU53" i="38"/>
  <c r="AW53" i="38"/>
  <c r="AY53" i="38"/>
  <c r="BA53" i="38"/>
  <c r="BC53" i="38"/>
  <c r="CK53" i="38"/>
  <c r="DC53" i="38"/>
  <c r="BY53" i="38"/>
  <c r="CA53" i="38"/>
  <c r="CC53" i="38"/>
  <c r="CE53" i="38"/>
  <c r="CG53" i="38"/>
  <c r="CI53" i="38"/>
  <c r="DQ53" i="38"/>
  <c r="DS53" i="38"/>
  <c r="CO53" i="38"/>
  <c r="CQ53" i="38"/>
  <c r="CS53" i="38"/>
  <c r="CU53" i="38"/>
  <c r="CW53" i="38"/>
  <c r="CY53" i="38"/>
  <c r="EG53" i="38"/>
  <c r="Z53" i="38"/>
  <c r="EI53" i="38"/>
  <c r="DE53" i="38"/>
  <c r="DG53" i="38"/>
  <c r="DI53" i="38"/>
  <c r="DK53" i="38"/>
  <c r="DM53" i="38"/>
  <c r="DO53" i="38"/>
  <c r="EW53" i="38"/>
  <c r="AP53" i="38"/>
  <c r="EY53" i="38"/>
  <c r="DA53" i="38"/>
  <c r="Y53" i="38"/>
  <c r="CM53" i="38"/>
  <c r="BI53" i="38"/>
  <c r="DU53" i="38"/>
  <c r="BK53" i="38"/>
  <c r="DW53" i="38"/>
  <c r="BM53" i="38"/>
  <c r="DY53" i="38"/>
  <c r="BO53" i="38"/>
  <c r="EA53" i="38"/>
  <c r="BQ53" i="38"/>
  <c r="BS53" i="38"/>
  <c r="EE53" i="38"/>
  <c r="EC53" i="38"/>
  <c r="ED51" i="38"/>
  <c r="DC51" i="38"/>
  <c r="CA51" i="38"/>
  <c r="AG51" i="38"/>
  <c r="BL51" i="38"/>
  <c r="CP51" i="38"/>
  <c r="DQ51" i="38"/>
  <c r="DW51" i="38"/>
  <c r="ET51" i="38"/>
  <c r="DS51" i="38"/>
  <c r="CQ51" i="38"/>
  <c r="BE51" i="38"/>
  <c r="CJ51" i="38"/>
  <c r="DM51" i="38"/>
  <c r="EO51" i="38"/>
  <c r="ES51" i="38"/>
  <c r="Z51" i="38"/>
  <c r="EI51" i="38"/>
  <c r="AH51" i="38"/>
  <c r="CF51" i="38"/>
  <c r="DI51" i="38"/>
  <c r="EL51" i="38"/>
  <c r="AW51" i="38"/>
  <c r="AC51" i="38"/>
  <c r="AP51" i="38"/>
  <c r="EY51" i="38"/>
  <c r="AX51" i="38"/>
  <c r="DF51" i="38"/>
  <c r="EF51" i="38"/>
  <c r="AS51" i="38"/>
  <c r="BU51" i="38"/>
  <c r="BA51" i="38"/>
  <c r="BF51" i="38"/>
  <c r="AB51" i="38"/>
  <c r="BN51" i="38"/>
  <c r="EB51" i="38"/>
  <c r="AM51" i="38"/>
  <c r="BQ51" i="38"/>
  <c r="CV51" i="38"/>
  <c r="CB51" i="38"/>
  <c r="BV51" i="38"/>
  <c r="AR51" i="38"/>
  <c r="CD51" i="38"/>
  <c r="AI51" i="38"/>
  <c r="BM51" i="38"/>
  <c r="CR51" i="38"/>
  <c r="DU51" i="38"/>
  <c r="CZ51" i="38"/>
  <c r="CL51" i="38"/>
  <c r="BH51" i="38"/>
  <c r="CT51" i="38"/>
  <c r="BI51" i="38"/>
  <c r="CK51" i="38"/>
  <c r="DO51" i="38"/>
  <c r="EQ51" i="38"/>
  <c r="DX51" i="38"/>
  <c r="DB51" i="38"/>
  <c r="BX51" i="38"/>
  <c r="DJ51" i="38"/>
  <c r="CG51" i="38"/>
  <c r="DK51" i="38"/>
  <c r="EM51" i="38"/>
  <c r="AY51" i="38"/>
  <c r="EU51" i="38"/>
  <c r="DR51" i="38"/>
  <c r="CN51" i="38"/>
  <c r="DZ51" i="38"/>
  <c r="DG51" i="38"/>
  <c r="EG51" i="38"/>
  <c r="AT51" i="38"/>
  <c r="BY51" i="38"/>
  <c r="AD51" i="38"/>
  <c r="EH51" i="38"/>
  <c r="DD51" i="38"/>
  <c r="EP51" i="38"/>
  <c r="EC51" i="38"/>
  <c r="AN51" i="38"/>
  <c r="BS51" i="38"/>
  <c r="CW51" i="38"/>
  <c r="BC51" i="38"/>
  <c r="EZ51" i="38"/>
  <c r="BO51" i="38"/>
  <c r="BZ51" i="38"/>
  <c r="AE51" i="38"/>
  <c r="CO51" i="38"/>
  <c r="CY51" i="38"/>
  <c r="AL51" i="38"/>
  <c r="AU51" i="38"/>
  <c r="DL51" i="38"/>
  <c r="CC51" i="38"/>
  <c r="BB51" i="38"/>
  <c r="BK51" i="38"/>
  <c r="EK51" i="38"/>
  <c r="DA51" i="38"/>
  <c r="BR51" i="38"/>
  <c r="AF51" i="38"/>
  <c r="AO51" i="38"/>
  <c r="DY51" i="38"/>
  <c r="CH51" i="38"/>
  <c r="BD51" i="38"/>
  <c r="BP51" i="38"/>
  <c r="EV51" i="38"/>
  <c r="CX51" i="38"/>
  <c r="CE51" i="38"/>
  <c r="CS51" i="38"/>
  <c r="DN51" i="38"/>
  <c r="DE51" i="38"/>
  <c r="DP51" i="38"/>
  <c r="EX51" i="38"/>
  <c r="EA51" i="38"/>
  <c r="EN51" i="38"/>
  <c r="AA51" i="38"/>
  <c r="EW51" i="38"/>
  <c r="AV51" i="38"/>
  <c r="AQ51" i="38"/>
  <c r="AJ51" i="38"/>
  <c r="BT51" i="38"/>
  <c r="BG51" i="38"/>
  <c r="BJ51" i="38"/>
  <c r="CU51" i="38"/>
  <c r="BW51" i="38"/>
  <c r="CI51" i="38"/>
  <c r="DV51" i="38"/>
  <c r="DT51" i="38"/>
  <c r="EE51" i="38"/>
  <c r="Y51" i="38"/>
  <c r="AZ51" i="38"/>
  <c r="CM51" i="38"/>
  <c r="EJ51" i="38"/>
  <c r="DH51" i="38"/>
  <c r="AK51" i="38"/>
  <c r="ER51" i="38"/>
  <c r="DC57" i="38"/>
  <c r="BJ57" i="38"/>
  <c r="DS57" i="38"/>
  <c r="BZ57" i="38"/>
  <c r="Z57" i="38"/>
  <c r="EI57" i="38"/>
  <c r="CP57" i="38"/>
  <c r="AP57" i="38"/>
  <c r="EY57" i="38"/>
  <c r="DF57" i="38"/>
  <c r="BF57" i="38"/>
  <c r="AB57" i="38"/>
  <c r="DV57" i="38"/>
  <c r="BV57" i="38"/>
  <c r="AR57" i="38"/>
  <c r="EL57" i="38"/>
  <c r="DT57" i="38"/>
  <c r="AN57" i="38"/>
  <c r="BL57" i="38"/>
  <c r="CS57" i="38"/>
  <c r="CV57" i="38"/>
  <c r="CB57" i="38"/>
  <c r="BC57" i="38"/>
  <c r="EJ57" i="38"/>
  <c r="BD57" i="38"/>
  <c r="CO57" i="38"/>
  <c r="DN57" i="38"/>
  <c r="DQ57" i="38"/>
  <c r="CZ57" i="38"/>
  <c r="CE57" i="38"/>
  <c r="CL57" i="38"/>
  <c r="EZ57" i="38"/>
  <c r="BT57" i="38"/>
  <c r="DK57" i="38"/>
  <c r="EK57" i="38"/>
  <c r="EO57" i="38"/>
  <c r="DX57" i="38"/>
  <c r="DG57" i="38"/>
  <c r="DB57" i="38"/>
  <c r="AC57" i="38"/>
  <c r="CJ57" i="38"/>
  <c r="EE57" i="38"/>
  <c r="AO57" i="38"/>
  <c r="EB57" i="38"/>
  <c r="ER57" i="38"/>
  <c r="EA57" i="38"/>
  <c r="DR57" i="38"/>
  <c r="AD57" i="38"/>
  <c r="AF57" i="38"/>
  <c r="AI57" i="38"/>
  <c r="BP57" i="38"/>
  <c r="AV57" i="38"/>
  <c r="CF57" i="38"/>
  <c r="EU57" i="38"/>
  <c r="EH57" i="38"/>
  <c r="AT57" i="38"/>
  <c r="BI57" i="38"/>
  <c r="BM57" i="38"/>
  <c r="CT57" i="38"/>
  <c r="BY57" i="38"/>
  <c r="AY57" i="38"/>
  <c r="EV57" i="38"/>
  <c r="EX57" i="38"/>
  <c r="AE57" i="38"/>
  <c r="CI57" i="38"/>
  <c r="CQ57" i="38"/>
  <c r="DO57" i="38"/>
  <c r="CW57" i="38"/>
  <c r="CC57" i="38"/>
  <c r="AA57" i="38"/>
  <c r="AK57" i="38"/>
  <c r="DI57" i="38"/>
  <c r="DL57" i="38"/>
  <c r="EM57" i="38"/>
  <c r="DU57" i="38"/>
  <c r="DA57" i="38"/>
  <c r="AQ57" i="38"/>
  <c r="BA57" i="38"/>
  <c r="EC57" i="38"/>
  <c r="EF57" i="38"/>
  <c r="AS57" i="38"/>
  <c r="EP57" i="38"/>
  <c r="DY57" i="38"/>
  <c r="BG57" i="38"/>
  <c r="BQ57" i="38"/>
  <c r="EW57" i="38"/>
  <c r="AJ57" i="38"/>
  <c r="BS57" i="38"/>
  <c r="AW57" i="38"/>
  <c r="ES57" i="38"/>
  <c r="BW57" i="38"/>
  <c r="CG57" i="38"/>
  <c r="AG57" i="38"/>
  <c r="BN57" i="38"/>
  <c r="CU57" i="38"/>
  <c r="CA57" i="38"/>
  <c r="DH57" i="38"/>
  <c r="CM57" i="38"/>
  <c r="AL57" i="38"/>
  <c r="BK57" i="38"/>
  <c r="CR57" i="38"/>
  <c r="DP57" i="38"/>
  <c r="CY57" i="38"/>
  <c r="AZ57" i="38"/>
  <c r="BH57" i="38"/>
  <c r="BB57" i="38"/>
  <c r="CK57" i="38"/>
  <c r="DM57" i="38"/>
  <c r="EN57" i="38"/>
  <c r="DW57" i="38"/>
  <c r="CD57" i="38"/>
  <c r="CN57" i="38"/>
  <c r="CH57" i="38"/>
  <c r="ED57" i="38"/>
  <c r="AM57" i="38"/>
  <c r="AU57" i="38"/>
  <c r="Y57" i="38"/>
  <c r="DZ57" i="38"/>
  <c r="AH57" i="38"/>
  <c r="BX57" i="38"/>
  <c r="EG57" i="38"/>
  <c r="BO57" i="38"/>
  <c r="BE57" i="38"/>
  <c r="BU57" i="38"/>
  <c r="EQ57" i="38"/>
  <c r="AX57" i="38"/>
  <c r="DE57" i="38"/>
  <c r="ET57" i="38"/>
  <c r="DD57" i="38"/>
  <c r="BR57" i="38"/>
  <c r="CX57" i="38"/>
  <c r="DJ57" i="38"/>
  <c r="BS58" i="38"/>
  <c r="CL58" i="38"/>
  <c r="BO58" i="38"/>
  <c r="CO58" i="38"/>
  <c r="EA58" i="38"/>
  <c r="ET58" i="38"/>
  <c r="AJ58" i="38"/>
  <c r="AO58" i="38"/>
  <c r="CI58" i="38"/>
  <c r="AS58" i="38"/>
  <c r="CM58" i="38"/>
  <c r="DG58" i="38"/>
  <c r="ER58" i="38"/>
  <c r="AH58" i="38"/>
  <c r="BH58" i="38"/>
  <c r="BJ58" i="38"/>
  <c r="CY58" i="38"/>
  <c r="BM58" i="38"/>
  <c r="DE58" i="38"/>
  <c r="DY58" i="38"/>
  <c r="BL58" i="38"/>
  <c r="BE58" i="38"/>
  <c r="CB58" i="38"/>
  <c r="CD58" i="38"/>
  <c r="DO58" i="38"/>
  <c r="CG58" i="38"/>
  <c r="DW58" i="38"/>
  <c r="EP58" i="38"/>
  <c r="AF58" i="38"/>
  <c r="BZ58" i="38"/>
  <c r="CV58" i="38"/>
  <c r="CX58" i="38"/>
  <c r="EE58" i="38"/>
  <c r="DC58" i="38"/>
  <c r="EN58" i="38"/>
  <c r="AD58" i="38"/>
  <c r="AZ58" i="38"/>
  <c r="CT58" i="38"/>
  <c r="DN58" i="38"/>
  <c r="DR58" i="38"/>
  <c r="EU58" i="38"/>
  <c r="DU58" i="38"/>
  <c r="AB58" i="38"/>
  <c r="AX58" i="38"/>
  <c r="BX58" i="38"/>
  <c r="DL58" i="38"/>
  <c r="EG58" i="38"/>
  <c r="EI58" i="38"/>
  <c r="AN58" i="38"/>
  <c r="EL58" i="38"/>
  <c r="AV58" i="38"/>
  <c r="BU58" i="38"/>
  <c r="CR58" i="38"/>
  <c r="ED58" i="38"/>
  <c r="EX58" i="38"/>
  <c r="EZ58" i="38"/>
  <c r="BD58" i="38"/>
  <c r="Y58" i="38"/>
  <c r="BP58" i="38"/>
  <c r="CP58" i="38"/>
  <c r="DJ58" i="38"/>
  <c r="EV58" i="38"/>
  <c r="AR58" i="38"/>
  <c r="AQ58" i="38"/>
  <c r="BT58" i="38"/>
  <c r="AT58" i="38"/>
  <c r="CN58" i="38"/>
  <c r="DH58" i="38"/>
  <c r="EB58" i="38"/>
  <c r="CF58" i="38"/>
  <c r="EK58" i="38"/>
  <c r="BK58" i="38"/>
  <c r="CJ58" i="38"/>
  <c r="BN58" i="38"/>
  <c r="DF58" i="38"/>
  <c r="DZ58" i="38"/>
  <c r="ES58" i="38"/>
  <c r="AI58" i="38"/>
  <c r="AK58" i="38"/>
  <c r="CE58" i="38"/>
  <c r="AL58" i="38"/>
  <c r="CZ58" i="38"/>
  <c r="CK58" i="38"/>
  <c r="DX58" i="38"/>
  <c r="EQ58" i="38"/>
  <c r="AG58" i="38"/>
  <c r="BG58" i="38"/>
  <c r="BI58" i="38"/>
  <c r="DA58" i="38"/>
  <c r="BR58" i="38"/>
  <c r="Z58" i="38"/>
  <c r="DV58" i="38"/>
  <c r="DT58" i="38"/>
  <c r="AY58" i="38"/>
  <c r="BY58" i="38"/>
  <c r="CU58" i="38"/>
  <c r="CW58" i="38"/>
  <c r="EJ58" i="38"/>
  <c r="CH58" i="38"/>
  <c r="AP58" i="38"/>
  <c r="EM58" i="38"/>
  <c r="AC58" i="38"/>
  <c r="BW58" i="38"/>
  <c r="CS58" i="38"/>
  <c r="DM58" i="38"/>
  <c r="DQ58" i="38"/>
  <c r="DB58" i="38"/>
  <c r="AM58" i="38"/>
  <c r="BF58" i="38"/>
  <c r="AA58" i="38"/>
  <c r="AW58" i="38"/>
  <c r="CQ58" i="38"/>
  <c r="DK58" i="38"/>
  <c r="EF58" i="38"/>
  <c r="EH58" i="38"/>
  <c r="BC58" i="38"/>
  <c r="BV58" i="38"/>
  <c r="AU58" i="38"/>
  <c r="BQ58" i="38"/>
  <c r="DI58" i="38"/>
  <c r="EC58" i="38"/>
  <c r="EW58" i="38"/>
  <c r="EY58" i="38"/>
  <c r="DD58" i="38"/>
  <c r="EO58" i="38"/>
  <c r="AE58" i="38"/>
  <c r="BA58" i="38"/>
  <c r="CA58" i="38"/>
  <c r="CC58" i="38"/>
  <c r="DS58" i="38"/>
  <c r="BB58" i="38"/>
  <c r="DP58" i="38"/>
  <c r="Y50" i="38"/>
  <c r="AB50" i="38"/>
  <c r="BK50" i="38"/>
  <c r="BM50" i="38"/>
  <c r="BB50" i="38"/>
  <c r="EJ50" i="38"/>
  <c r="ER50" i="38"/>
  <c r="EW50" i="38"/>
  <c r="CG50" i="38"/>
  <c r="AO50" i="38"/>
  <c r="AR50" i="38"/>
  <c r="CA50" i="38"/>
  <c r="AI50" i="38"/>
  <c r="BR50" i="38"/>
  <c r="AM50" i="38"/>
  <c r="BS50" i="38"/>
  <c r="BY50" i="38"/>
  <c r="DE50" i="38"/>
  <c r="BE50" i="38"/>
  <c r="BH50" i="38"/>
  <c r="CQ50" i="38"/>
  <c r="AY50" i="38"/>
  <c r="CH50" i="38"/>
  <c r="CM50" i="38"/>
  <c r="CT50" i="38"/>
  <c r="CZ50" i="38"/>
  <c r="BU50" i="38"/>
  <c r="AC50" i="38"/>
  <c r="DG50" i="38"/>
  <c r="BO50" i="38"/>
  <c r="CX50" i="38"/>
  <c r="DM50" i="38"/>
  <c r="DS50" i="38"/>
  <c r="DZ50" i="38"/>
  <c r="Z50" i="38"/>
  <c r="AS50" i="38"/>
  <c r="DW50" i="38"/>
  <c r="CE50" i="38"/>
  <c r="DN50" i="38"/>
  <c r="EK50" i="38"/>
  <c r="ES50" i="38"/>
  <c r="EY50" i="38"/>
  <c r="AP50" i="38"/>
  <c r="BI50" i="38"/>
  <c r="EM50" i="38"/>
  <c r="CU50" i="38"/>
  <c r="ED50" i="38"/>
  <c r="AX50" i="38"/>
  <c r="BT50" i="38"/>
  <c r="CC50" i="38"/>
  <c r="BF50" i="38"/>
  <c r="AD50" i="38"/>
  <c r="AF50" i="38"/>
  <c r="DK50" i="38"/>
  <c r="ET50" i="38"/>
  <c r="CN50" i="38"/>
  <c r="CV50" i="38"/>
  <c r="DA50" i="38"/>
  <c r="BV50" i="38"/>
  <c r="AT50" i="38"/>
  <c r="AV50" i="38"/>
  <c r="EA50" i="38"/>
  <c r="CI50" i="38"/>
  <c r="DO50" i="38"/>
  <c r="DT50" i="38"/>
  <c r="EB50" i="38"/>
  <c r="CL50" i="38"/>
  <c r="BJ50" i="38"/>
  <c r="BL50" i="38"/>
  <c r="EQ50" i="38"/>
  <c r="DI50" i="38"/>
  <c r="EO50" i="38"/>
  <c r="EU50" i="38"/>
  <c r="EZ50" i="38"/>
  <c r="DB50" i="38"/>
  <c r="BZ50" i="38"/>
  <c r="CB50" i="38"/>
  <c r="AJ50" i="38"/>
  <c r="EG50" i="38"/>
  <c r="BC50" i="38"/>
  <c r="BW50" i="38"/>
  <c r="CD50" i="38"/>
  <c r="DR50" i="38"/>
  <c r="CP50" i="38"/>
  <c r="CR50" i="38"/>
  <c r="AZ50" i="38"/>
  <c r="CJ50" i="38"/>
  <c r="CO50" i="38"/>
  <c r="CW50" i="38"/>
  <c r="DC50" i="38"/>
  <c r="EX50" i="38"/>
  <c r="DV50" i="38"/>
  <c r="DX50" i="38"/>
  <c r="AK50" i="38"/>
  <c r="EI50" i="38"/>
  <c r="EP50" i="38"/>
  <c r="EV50" i="38"/>
  <c r="CF50" i="38"/>
  <c r="AA50" i="38"/>
  <c r="EL50" i="38"/>
  <c r="EN50" i="38"/>
  <c r="BA50" i="38"/>
  <c r="AH50" i="38"/>
  <c r="BN50" i="38"/>
  <c r="BX50" i="38"/>
  <c r="DD50" i="38"/>
  <c r="AN50" i="38"/>
  <c r="AQ50" i="38"/>
  <c r="AE50" i="38"/>
  <c r="AG50" i="38"/>
  <c r="BQ50" i="38"/>
  <c r="CK50" i="38"/>
  <c r="CS50" i="38"/>
  <c r="CY50" i="38"/>
  <c r="EE50" i="38"/>
  <c r="BD50" i="38"/>
  <c r="BG50" i="38"/>
  <c r="AU50" i="38"/>
  <c r="AW50" i="38"/>
  <c r="AL50" i="38"/>
  <c r="DL50" i="38"/>
  <c r="DQ50" i="38"/>
  <c r="DY50" i="38"/>
  <c r="EF50" i="38"/>
  <c r="EH50" i="38"/>
  <c r="DF50" i="38"/>
  <c r="DH50" i="38"/>
  <c r="BP50" i="38"/>
  <c r="DJ50" i="38"/>
  <c r="DP50" i="38"/>
  <c r="EC50" i="38"/>
  <c r="DU50" i="38"/>
  <c r="BQ43" i="38"/>
  <c r="BS43" i="38"/>
  <c r="BE43" i="38"/>
  <c r="AA43" i="38"/>
  <c r="EJ43" i="38"/>
  <c r="DV43" i="38"/>
  <c r="DX43" i="38"/>
  <c r="DZ43" i="38"/>
  <c r="CG43" i="38"/>
  <c r="CI43" i="38"/>
  <c r="BU43" i="38"/>
  <c r="AQ43" i="38"/>
  <c r="EZ43" i="38"/>
  <c r="EL43" i="38"/>
  <c r="EN43" i="38"/>
  <c r="EP43" i="38"/>
  <c r="CW43" i="38"/>
  <c r="CY43" i="38"/>
  <c r="CK43" i="38"/>
  <c r="BG43" i="38"/>
  <c r="AC43" i="38"/>
  <c r="AE43" i="38"/>
  <c r="AG43" i="38"/>
  <c r="AI43" i="38"/>
  <c r="DM43" i="38"/>
  <c r="DO43" i="38"/>
  <c r="DA43" i="38"/>
  <c r="BW43" i="38"/>
  <c r="AS43" i="38"/>
  <c r="AU43" i="38"/>
  <c r="AW43" i="38"/>
  <c r="AY43" i="38"/>
  <c r="EC43" i="38"/>
  <c r="EE43" i="38"/>
  <c r="DQ43" i="38"/>
  <c r="CM43" i="38"/>
  <c r="BI43" i="38"/>
  <c r="BK43" i="38"/>
  <c r="BM43" i="38"/>
  <c r="BO43" i="38"/>
  <c r="ES43" i="38"/>
  <c r="EU43" i="38"/>
  <c r="EG43" i="38"/>
  <c r="DC43" i="38"/>
  <c r="BY43" i="38"/>
  <c r="CA43" i="38"/>
  <c r="CC43" i="38"/>
  <c r="CE43" i="38"/>
  <c r="AJ43" i="38"/>
  <c r="AL43" i="38"/>
  <c r="AN43" i="38"/>
  <c r="EW43" i="38"/>
  <c r="DS43" i="38"/>
  <c r="CO43" i="38"/>
  <c r="CQ43" i="38"/>
  <c r="CS43" i="38"/>
  <c r="CU43" i="38"/>
  <c r="AZ43" i="38"/>
  <c r="BB43" i="38"/>
  <c r="BD43" i="38"/>
  <c r="Z43" i="38"/>
  <c r="EI43" i="38"/>
  <c r="DE43" i="38"/>
  <c r="DG43" i="38"/>
  <c r="DI43" i="38"/>
  <c r="DK43" i="38"/>
  <c r="BP43" i="38"/>
  <c r="BR43" i="38"/>
  <c r="BT43" i="38"/>
  <c r="AP43" i="38"/>
  <c r="EY43" i="38"/>
  <c r="DU43" i="38"/>
  <c r="DW43" i="38"/>
  <c r="DY43" i="38"/>
  <c r="EA43" i="38"/>
  <c r="CF43" i="38"/>
  <c r="CH43" i="38"/>
  <c r="CJ43" i="38"/>
  <c r="BF43" i="38"/>
  <c r="AB43" i="38"/>
  <c r="EK43" i="38"/>
  <c r="EM43" i="38"/>
  <c r="EO43" i="38"/>
  <c r="EQ43" i="38"/>
  <c r="CV43" i="38"/>
  <c r="DL43" i="38"/>
  <c r="DN43" i="38"/>
  <c r="DP43" i="38"/>
  <c r="CL43" i="38"/>
  <c r="BH43" i="38"/>
  <c r="AT43" i="38"/>
  <c r="AV43" i="38"/>
  <c r="AX43" i="38"/>
  <c r="EB43" i="38"/>
  <c r="ED43" i="38"/>
  <c r="EF43" i="38"/>
  <c r="DB43" i="38"/>
  <c r="BX43" i="38"/>
  <c r="BJ43" i="38"/>
  <c r="BL43" i="38"/>
  <c r="BN43" i="38"/>
  <c r="AK43" i="38"/>
  <c r="AM43" i="38"/>
  <c r="Y43" i="38"/>
  <c r="EH43" i="38"/>
  <c r="DD43" i="38"/>
  <c r="CP43" i="38"/>
  <c r="CR43" i="38"/>
  <c r="CT43" i="38"/>
  <c r="AO43" i="38"/>
  <c r="BV43" i="38"/>
  <c r="DR43" i="38"/>
  <c r="CX43" i="38"/>
  <c r="EX43" i="38"/>
  <c r="AR43" i="38"/>
  <c r="CN43" i="38"/>
  <c r="DT43" i="38"/>
  <c r="AD43" i="38"/>
  <c r="CB43" i="38"/>
  <c r="BZ43" i="38"/>
  <c r="ER43" i="38"/>
  <c r="DF43" i="38"/>
  <c r="BA43" i="38"/>
  <c r="AF43" i="38"/>
  <c r="ET43" i="38"/>
  <c r="DH43" i="38"/>
  <c r="BC43" i="38"/>
  <c r="AH43" i="38"/>
  <c r="CZ43" i="38"/>
  <c r="CD43" i="38"/>
  <c r="EV43" i="38"/>
  <c r="DJ43" i="38"/>
  <c r="DZ55" i="38"/>
  <c r="EB55" i="38"/>
  <c r="ED55" i="38"/>
  <c r="EF55" i="38"/>
  <c r="DB55" i="38"/>
  <c r="BX55" i="38"/>
  <c r="BJ55" i="38"/>
  <c r="BL55" i="38"/>
  <c r="EP55" i="38"/>
  <c r="ER55" i="38"/>
  <c r="ET55" i="38"/>
  <c r="EV55" i="38"/>
  <c r="DR55" i="38"/>
  <c r="CN55" i="38"/>
  <c r="BZ55" i="38"/>
  <c r="CB55" i="38"/>
  <c r="AI55" i="38"/>
  <c r="AK55" i="38"/>
  <c r="AM55" i="38"/>
  <c r="Y55" i="38"/>
  <c r="EH55" i="38"/>
  <c r="DD55" i="38"/>
  <c r="CP55" i="38"/>
  <c r="CR55" i="38"/>
  <c r="AY55" i="38"/>
  <c r="BA55" i="38"/>
  <c r="BC55" i="38"/>
  <c r="AO55" i="38"/>
  <c r="EX55" i="38"/>
  <c r="DT55" i="38"/>
  <c r="DF55" i="38"/>
  <c r="DH55" i="38"/>
  <c r="BO55" i="38"/>
  <c r="BQ55" i="38"/>
  <c r="BS55" i="38"/>
  <c r="BE55" i="38"/>
  <c r="AA55" i="38"/>
  <c r="EJ55" i="38"/>
  <c r="DV55" i="38"/>
  <c r="DX55" i="38"/>
  <c r="CE55" i="38"/>
  <c r="CG55" i="38"/>
  <c r="CI55" i="38"/>
  <c r="BU55" i="38"/>
  <c r="AQ55" i="38"/>
  <c r="EZ55" i="38"/>
  <c r="EL55" i="38"/>
  <c r="EN55" i="38"/>
  <c r="CU55" i="38"/>
  <c r="CW55" i="38"/>
  <c r="CY55" i="38"/>
  <c r="CK55" i="38"/>
  <c r="BG55" i="38"/>
  <c r="AC55" i="38"/>
  <c r="AE55" i="38"/>
  <c r="BM55" i="38"/>
  <c r="DK55" i="38"/>
  <c r="DM55" i="38"/>
  <c r="DO55" i="38"/>
  <c r="DA55" i="38"/>
  <c r="BW55" i="38"/>
  <c r="AS55" i="38"/>
  <c r="AU55" i="38"/>
  <c r="CC55" i="38"/>
  <c r="EA55" i="38"/>
  <c r="EC55" i="38"/>
  <c r="EE55" i="38"/>
  <c r="DQ55" i="38"/>
  <c r="CM55" i="38"/>
  <c r="BI55" i="38"/>
  <c r="BK55" i="38"/>
  <c r="CS55" i="38"/>
  <c r="EQ55" i="38"/>
  <c r="ES55" i="38"/>
  <c r="EU55" i="38"/>
  <c r="EG55" i="38"/>
  <c r="DC55" i="38"/>
  <c r="BY55" i="38"/>
  <c r="CA55" i="38"/>
  <c r="DI55" i="38"/>
  <c r="AX55" i="38"/>
  <c r="AZ55" i="38"/>
  <c r="BB55" i="38"/>
  <c r="BD55" i="38"/>
  <c r="Z55" i="38"/>
  <c r="EI55" i="38"/>
  <c r="DE55" i="38"/>
  <c r="DG55" i="38"/>
  <c r="EO55" i="38"/>
  <c r="AH55" i="38"/>
  <c r="BT55" i="38"/>
  <c r="EK55" i="38"/>
  <c r="BN55" i="38"/>
  <c r="CJ55" i="38"/>
  <c r="AD55" i="38"/>
  <c r="CD55" i="38"/>
  <c r="CZ55" i="38"/>
  <c r="AT55" i="38"/>
  <c r="CT55" i="38"/>
  <c r="DP55" i="38"/>
  <c r="CQ55" i="38"/>
  <c r="DJ55" i="38"/>
  <c r="EW55" i="38"/>
  <c r="DW55" i="38"/>
  <c r="AJ55" i="38"/>
  <c r="AP55" i="38"/>
  <c r="EM55" i="38"/>
  <c r="BP55" i="38"/>
  <c r="BF55" i="38"/>
  <c r="AF55" i="38"/>
  <c r="AB55" i="38"/>
  <c r="CF55" i="38"/>
  <c r="BV55" i="38"/>
  <c r="AV55" i="38"/>
  <c r="CV55" i="38"/>
  <c r="CL55" i="38"/>
  <c r="DY55" i="38"/>
  <c r="DL55" i="38"/>
  <c r="DS55" i="38"/>
  <c r="AW55" i="38"/>
  <c r="AL55" i="38"/>
  <c r="EY55" i="38"/>
  <c r="AG55" i="38"/>
  <c r="BR55" i="38"/>
  <c r="CH55" i="38"/>
  <c r="AR55" i="38"/>
  <c r="CX55" i="38"/>
  <c r="BH55" i="38"/>
  <c r="DN55" i="38"/>
  <c r="CO55" i="38"/>
  <c r="AN55" i="38"/>
  <c r="DU55" i="38"/>
  <c r="BO59" i="38"/>
  <c r="BJ59" i="38"/>
  <c r="BL59" i="38"/>
  <c r="AW59" i="38"/>
  <c r="AH59" i="38"/>
  <c r="BH59" i="38"/>
  <c r="AM59" i="38"/>
  <c r="AO59" i="38"/>
  <c r="BY59" i="38"/>
  <c r="CE59" i="38"/>
  <c r="CA59" i="38"/>
  <c r="CC59" i="38"/>
  <c r="BN59" i="38"/>
  <c r="AZ59" i="38"/>
  <c r="AK59" i="38"/>
  <c r="BD59" i="38"/>
  <c r="BF59" i="38"/>
  <c r="DX59" i="38"/>
  <c r="CU59" i="38"/>
  <c r="CR59" i="38"/>
  <c r="CT59" i="38"/>
  <c r="CF59" i="38"/>
  <c r="BQ59" i="38"/>
  <c r="BB59" i="38"/>
  <c r="BU59" i="38"/>
  <c r="BW59" i="38"/>
  <c r="DK59" i="38"/>
  <c r="DI59" i="38"/>
  <c r="DL59" i="38"/>
  <c r="CW59" i="38"/>
  <c r="CH59" i="38"/>
  <c r="BS59" i="38"/>
  <c r="CL59" i="38"/>
  <c r="CN59" i="38"/>
  <c r="EA59" i="38"/>
  <c r="DZ59" i="38"/>
  <c r="EC59" i="38"/>
  <c r="DN59" i="38"/>
  <c r="CY59" i="38"/>
  <c r="CJ59" i="38"/>
  <c r="DC59" i="38"/>
  <c r="DE59" i="38"/>
  <c r="EQ59" i="38"/>
  <c r="ER59" i="38"/>
  <c r="ET59" i="38"/>
  <c r="EE59" i="38"/>
  <c r="DP59" i="38"/>
  <c r="DA59" i="38"/>
  <c r="DT59" i="38"/>
  <c r="DV59" i="38"/>
  <c r="AA59" i="38"/>
  <c r="AC59" i="38"/>
  <c r="AR59" i="38"/>
  <c r="AT59" i="38"/>
  <c r="BI59" i="38"/>
  <c r="BK59" i="38"/>
  <c r="CS59" i="38"/>
  <c r="EV59" i="38"/>
  <c r="CZ59" i="38"/>
  <c r="EO59" i="38"/>
  <c r="DW59" i="38"/>
  <c r="DJ59" i="38"/>
  <c r="AG59" i="38"/>
  <c r="DQ59" i="38"/>
  <c r="AN59" i="38"/>
  <c r="EN59" i="38"/>
  <c r="EB59" i="38"/>
  <c r="AX59" i="38"/>
  <c r="EH59" i="38"/>
  <c r="BE59" i="38"/>
  <c r="ES59" i="38"/>
  <c r="BP59" i="38"/>
  <c r="EY59" i="38"/>
  <c r="BV59" i="38"/>
  <c r="AD59" i="38"/>
  <c r="CG59" i="38"/>
  <c r="DR59" i="38"/>
  <c r="CM59" i="38"/>
  <c r="AU59" i="38"/>
  <c r="CX59" i="38"/>
  <c r="EI59" i="38"/>
  <c r="DD59" i="38"/>
  <c r="AI59" i="38"/>
  <c r="AE59" i="38"/>
  <c r="DO59" i="38"/>
  <c r="EZ59" i="38"/>
  <c r="DU59" i="38"/>
  <c r="AY59" i="38"/>
  <c r="AV59" i="38"/>
  <c r="EF59" i="38"/>
  <c r="AL59" i="38"/>
  <c r="EL59" i="38"/>
  <c r="BZ59" i="38"/>
  <c r="BM59" i="38"/>
  <c r="EW59" i="38"/>
  <c r="BC59" i="38"/>
  <c r="EM59" i="38"/>
  <c r="CQ59" i="38"/>
  <c r="CD59" i="38"/>
  <c r="DG59" i="38"/>
  <c r="BT59" i="38"/>
  <c r="Z59" i="38"/>
  <c r="DH59" i="38"/>
  <c r="CV59" i="38"/>
  <c r="EG59" i="38"/>
  <c r="CK59" i="38"/>
  <c r="Y59" i="38"/>
  <c r="DY59" i="38"/>
  <c r="DM59" i="38"/>
  <c r="EX59" i="38"/>
  <c r="DB59" i="38"/>
  <c r="AP59" i="38"/>
  <c r="EP59" i="38"/>
  <c r="ED59" i="38"/>
  <c r="AJ59" i="38"/>
  <c r="DS59" i="38"/>
  <c r="BG59" i="38"/>
  <c r="AS59" i="38"/>
  <c r="AQ59" i="38"/>
  <c r="BR59" i="38"/>
  <c r="EK59" i="38"/>
  <c r="CO59" i="38"/>
  <c r="AB59" i="38"/>
  <c r="CB59" i="38"/>
  <c r="EU59" i="38"/>
  <c r="AF59" i="38"/>
  <c r="BA59" i="38"/>
  <c r="CI59" i="38"/>
  <c r="EJ59" i="38"/>
  <c r="CP59" i="38"/>
  <c r="BX59" i="38"/>
  <c r="DF59" i="38"/>
  <c r="ED54" i="38"/>
  <c r="EF54" i="38"/>
  <c r="DB54" i="38"/>
  <c r="BX54" i="38"/>
  <c r="BJ54" i="38"/>
  <c r="BL54" i="38"/>
  <c r="BN54" i="38"/>
  <c r="BP54" i="38"/>
  <c r="ET54" i="38"/>
  <c r="EV54" i="38"/>
  <c r="DR54" i="38"/>
  <c r="CN54" i="38"/>
  <c r="BZ54" i="38"/>
  <c r="CB54" i="38"/>
  <c r="CD54" i="38"/>
  <c r="CF54" i="38"/>
  <c r="AM54" i="38"/>
  <c r="Y54" i="38"/>
  <c r="EH54" i="38"/>
  <c r="DD54" i="38"/>
  <c r="CP54" i="38"/>
  <c r="BC54" i="38"/>
  <c r="AO54" i="38"/>
  <c r="EX54" i="38"/>
  <c r="DT54" i="38"/>
  <c r="DF54" i="38"/>
  <c r="BS54" i="38"/>
  <c r="BE54" i="38"/>
  <c r="AA54" i="38"/>
  <c r="EJ54" i="38"/>
  <c r="DV54" i="38"/>
  <c r="DX54" i="38"/>
  <c r="CI54" i="38"/>
  <c r="BU54" i="38"/>
  <c r="AQ54" i="38"/>
  <c r="EZ54" i="38"/>
  <c r="EL54" i="38"/>
  <c r="EN54" i="38"/>
  <c r="EP54" i="38"/>
  <c r="ER54" i="38"/>
  <c r="CY54" i="38"/>
  <c r="CK54" i="38"/>
  <c r="BG54" i="38"/>
  <c r="AC54" i="38"/>
  <c r="AE54" i="38"/>
  <c r="AG54" i="38"/>
  <c r="DO54" i="38"/>
  <c r="DA54" i="38"/>
  <c r="BW54" i="38"/>
  <c r="AS54" i="38"/>
  <c r="AU54" i="38"/>
  <c r="AW54" i="38"/>
  <c r="BR54" i="38"/>
  <c r="AP54" i="38"/>
  <c r="DU54" i="38"/>
  <c r="CS54" i="38"/>
  <c r="EQ54" i="38"/>
  <c r="CH54" i="38"/>
  <c r="BF54" i="38"/>
  <c r="EK54" i="38"/>
  <c r="DI54" i="38"/>
  <c r="AJ54" i="38"/>
  <c r="CX54" i="38"/>
  <c r="BV54" i="38"/>
  <c r="AD54" i="38"/>
  <c r="DY54" i="38"/>
  <c r="AZ54" i="38"/>
  <c r="DP54" i="38"/>
  <c r="DN54" i="38"/>
  <c r="CL54" i="38"/>
  <c r="AT54" i="38"/>
  <c r="EO54" i="38"/>
  <c r="CV54" i="38"/>
  <c r="EE54" i="38"/>
  <c r="CM54" i="38"/>
  <c r="BK54" i="38"/>
  <c r="AH54" i="38"/>
  <c r="DL54" i="38"/>
  <c r="AR54" i="38"/>
  <c r="EU54" i="38"/>
  <c r="DC54" i="38"/>
  <c r="CA54" i="38"/>
  <c r="AX54" i="38"/>
  <c r="EB54" i="38"/>
  <c r="AF54" i="38"/>
  <c r="AN54" i="38"/>
  <c r="DS54" i="38"/>
  <c r="CQ54" i="38"/>
  <c r="CT54" i="38"/>
  <c r="AK54" i="38"/>
  <c r="CZ54" i="38"/>
  <c r="BD54" i="38"/>
  <c r="EI54" i="38"/>
  <c r="DG54" i="38"/>
  <c r="DJ54" i="38"/>
  <c r="BA54" i="38"/>
  <c r="BT54" i="38"/>
  <c r="EY54" i="38"/>
  <c r="DW54" i="38"/>
  <c r="DZ54" i="38"/>
  <c r="BQ54" i="38"/>
  <c r="CW54" i="38"/>
  <c r="AV54" i="38"/>
  <c r="CJ54" i="38"/>
  <c r="AB54" i="38"/>
  <c r="EM54" i="38"/>
  <c r="AI54" i="38"/>
  <c r="CG54" i="38"/>
  <c r="BH54" i="38"/>
  <c r="AY54" i="38"/>
  <c r="BO54" i="38"/>
  <c r="DQ54" i="38"/>
  <c r="BI54" i="38"/>
  <c r="CR54" i="38"/>
  <c r="CE54" i="38"/>
  <c r="EC54" i="38"/>
  <c r="DM54" i="38"/>
  <c r="EG54" i="38"/>
  <c r="BY54" i="38"/>
  <c r="DH54" i="38"/>
  <c r="CU54" i="38"/>
  <c r="ES54" i="38"/>
  <c r="AL54" i="38"/>
  <c r="EW54" i="38"/>
  <c r="CO54" i="38"/>
  <c r="BM54" i="38"/>
  <c r="DK54" i="38"/>
  <c r="BB54" i="38"/>
  <c r="Z54" i="38"/>
  <c r="DE54" i="38"/>
  <c r="CC54" i="38"/>
  <c r="EA54" i="38"/>
  <c r="DW56" i="38"/>
  <c r="DY56" i="38"/>
  <c r="EA56" i="38"/>
  <c r="EC56" i="38"/>
  <c r="EE56" i="38"/>
  <c r="EG56" i="38"/>
  <c r="DC56" i="38"/>
  <c r="BY56" i="38"/>
  <c r="EM56" i="38"/>
  <c r="EO56" i="38"/>
  <c r="EQ56" i="38"/>
  <c r="ES56" i="38"/>
  <c r="EU56" i="38"/>
  <c r="EW56" i="38"/>
  <c r="DS56" i="38"/>
  <c r="CO56" i="38"/>
  <c r="AD56" i="38"/>
  <c r="AF56" i="38"/>
  <c r="AH56" i="38"/>
  <c r="AJ56" i="38"/>
  <c r="AL56" i="38"/>
  <c r="AN56" i="38"/>
  <c r="Z56" i="38"/>
  <c r="EI56" i="38"/>
  <c r="DE56" i="38"/>
  <c r="AT56" i="38"/>
  <c r="AV56" i="38"/>
  <c r="AX56" i="38"/>
  <c r="AZ56" i="38"/>
  <c r="BB56" i="38"/>
  <c r="BD56" i="38"/>
  <c r="AP56" i="38"/>
  <c r="EY56" i="38"/>
  <c r="DU56" i="38"/>
  <c r="BJ56" i="38"/>
  <c r="BL56" i="38"/>
  <c r="BN56" i="38"/>
  <c r="BP56" i="38"/>
  <c r="BR56" i="38"/>
  <c r="BT56" i="38"/>
  <c r="BF56" i="38"/>
  <c r="AB56" i="38"/>
  <c r="EK56" i="38"/>
  <c r="BZ56" i="38"/>
  <c r="CB56" i="38"/>
  <c r="CD56" i="38"/>
  <c r="CF56" i="38"/>
  <c r="CH56" i="38"/>
  <c r="CJ56" i="38"/>
  <c r="BV56" i="38"/>
  <c r="AR56" i="38"/>
  <c r="EV56" i="38"/>
  <c r="CP56" i="38"/>
  <c r="CR56" i="38"/>
  <c r="CT56" i="38"/>
  <c r="CV56" i="38"/>
  <c r="CX56" i="38"/>
  <c r="CZ56" i="38"/>
  <c r="CL56" i="38"/>
  <c r="BH56" i="38"/>
  <c r="DF56" i="38"/>
  <c r="DH56" i="38"/>
  <c r="DJ56" i="38"/>
  <c r="DL56" i="38"/>
  <c r="DN56" i="38"/>
  <c r="DP56" i="38"/>
  <c r="DB56" i="38"/>
  <c r="BX56" i="38"/>
  <c r="DV56" i="38"/>
  <c r="DX56" i="38"/>
  <c r="DZ56" i="38"/>
  <c r="EB56" i="38"/>
  <c r="ED56" i="38"/>
  <c r="EF56" i="38"/>
  <c r="DR56" i="38"/>
  <c r="CN56" i="38"/>
  <c r="EL56" i="38"/>
  <c r="EN56" i="38"/>
  <c r="EP56" i="38"/>
  <c r="ER56" i="38"/>
  <c r="ET56" i="38"/>
  <c r="Y56" i="38"/>
  <c r="EH56" i="38"/>
  <c r="DD56" i="38"/>
  <c r="BK56" i="38"/>
  <c r="BM56" i="38"/>
  <c r="BO56" i="38"/>
  <c r="BQ56" i="38"/>
  <c r="BS56" i="38"/>
  <c r="BU56" i="38"/>
  <c r="AQ56" i="38"/>
  <c r="EZ56" i="38"/>
  <c r="CQ56" i="38"/>
  <c r="CS56" i="38"/>
  <c r="CU56" i="38"/>
  <c r="CW56" i="38"/>
  <c r="CY56" i="38"/>
  <c r="CG56" i="38"/>
  <c r="DT56" i="38"/>
  <c r="DM56" i="38"/>
  <c r="EJ56" i="38"/>
  <c r="AE56" i="38"/>
  <c r="AM56" i="38"/>
  <c r="AC56" i="38"/>
  <c r="AU56" i="38"/>
  <c r="BC56" i="38"/>
  <c r="AS56" i="38"/>
  <c r="CA56" i="38"/>
  <c r="CI56" i="38"/>
  <c r="BI56" i="38"/>
  <c r="DG56" i="38"/>
  <c r="DO56" i="38"/>
  <c r="AG56" i="38"/>
  <c r="AO56" i="38"/>
  <c r="AW56" i="38"/>
  <c r="BE56" i="38"/>
  <c r="CC56" i="38"/>
  <c r="CK56" i="38"/>
  <c r="DI56" i="38"/>
  <c r="DA56" i="38"/>
  <c r="AI56" i="38"/>
  <c r="DQ56" i="38"/>
  <c r="AY56" i="38"/>
  <c r="EX56" i="38"/>
  <c r="CE56" i="38"/>
  <c r="AA56" i="38"/>
  <c r="AK56" i="38"/>
  <c r="BW56" i="38"/>
  <c r="DK56" i="38"/>
  <c r="BA56" i="38"/>
  <c r="BG56" i="38"/>
  <c r="CM56" i="38"/>
  <c r="BH45" i="38"/>
  <c r="AT45" i="38"/>
  <c r="AV45" i="38"/>
  <c r="AX45" i="38"/>
  <c r="AZ45" i="38"/>
  <c r="AM45" i="38"/>
  <c r="Y45" i="38"/>
  <c r="EH45" i="38"/>
  <c r="ET45" i="38"/>
  <c r="BX45" i="38"/>
  <c r="BJ45" i="38"/>
  <c r="BL45" i="38"/>
  <c r="BN45" i="38"/>
  <c r="BP45" i="38"/>
  <c r="BC45" i="38"/>
  <c r="AO45" i="38"/>
  <c r="EX45" i="38"/>
  <c r="EY45" i="38"/>
  <c r="CN45" i="38"/>
  <c r="BZ45" i="38"/>
  <c r="CB45" i="38"/>
  <c r="CD45" i="38"/>
  <c r="CF45" i="38"/>
  <c r="BS45" i="38"/>
  <c r="BE45" i="38"/>
  <c r="AA45" i="38"/>
  <c r="DD45" i="38"/>
  <c r="CP45" i="38"/>
  <c r="CR45" i="38"/>
  <c r="CT45" i="38"/>
  <c r="CV45" i="38"/>
  <c r="CI45" i="38"/>
  <c r="BU45" i="38"/>
  <c r="AQ45" i="38"/>
  <c r="DT45" i="38"/>
  <c r="DF45" i="38"/>
  <c r="DH45" i="38"/>
  <c r="DJ45" i="38"/>
  <c r="DL45" i="38"/>
  <c r="CY45" i="38"/>
  <c r="CK45" i="38"/>
  <c r="BB45" i="38"/>
  <c r="EJ45" i="38"/>
  <c r="DV45" i="38"/>
  <c r="DX45" i="38"/>
  <c r="DZ45" i="38"/>
  <c r="EB45" i="38"/>
  <c r="DO45" i="38"/>
  <c r="DA45" i="38"/>
  <c r="BG45" i="38"/>
  <c r="EZ45" i="38"/>
  <c r="EL45" i="38"/>
  <c r="EN45" i="38"/>
  <c r="EP45" i="38"/>
  <c r="ER45" i="38"/>
  <c r="EE45" i="38"/>
  <c r="DQ45" i="38"/>
  <c r="BR45" i="38"/>
  <c r="AC45" i="38"/>
  <c r="AE45" i="38"/>
  <c r="AG45" i="38"/>
  <c r="AI45" i="38"/>
  <c r="AK45" i="38"/>
  <c r="EU45" i="38"/>
  <c r="EG45" i="38"/>
  <c r="BW45" i="38"/>
  <c r="AS45" i="38"/>
  <c r="AU45" i="38"/>
  <c r="AW45" i="38"/>
  <c r="AY45" i="38"/>
  <c r="BA45" i="38"/>
  <c r="AN45" i="38"/>
  <c r="EW45" i="38"/>
  <c r="CH45" i="38"/>
  <c r="BI45" i="38"/>
  <c r="BK45" i="38"/>
  <c r="BM45" i="38"/>
  <c r="BO45" i="38"/>
  <c r="BQ45" i="38"/>
  <c r="BD45" i="38"/>
  <c r="Z45" i="38"/>
  <c r="CM45" i="38"/>
  <c r="CO45" i="38"/>
  <c r="EK45" i="38"/>
  <c r="DK45" i="38"/>
  <c r="AP45" i="38"/>
  <c r="AD45" i="38"/>
  <c r="EA45" i="38"/>
  <c r="BF45" i="38"/>
  <c r="CA45" i="38"/>
  <c r="EQ45" i="38"/>
  <c r="BV45" i="38"/>
  <c r="EI45" i="38"/>
  <c r="CQ45" i="38"/>
  <c r="AJ45" i="38"/>
  <c r="CL45" i="38"/>
  <c r="DG45" i="38"/>
  <c r="CG45" i="38"/>
  <c r="DB45" i="38"/>
  <c r="DW45" i="38"/>
  <c r="CW45" i="38"/>
  <c r="DR45" i="38"/>
  <c r="CJ45" i="38"/>
  <c r="EM45" i="38"/>
  <c r="DM45" i="38"/>
  <c r="CX45" i="38"/>
  <c r="AF45" i="38"/>
  <c r="EC45" i="38"/>
  <c r="DC45" i="38"/>
  <c r="CC45" i="38"/>
  <c r="ES45" i="38"/>
  <c r="DN45" i="38"/>
  <c r="AB45" i="38"/>
  <c r="CS45" i="38"/>
  <c r="AL45" i="38"/>
  <c r="DS45" i="38"/>
  <c r="DY45" i="38"/>
  <c r="DI45" i="38"/>
  <c r="BT45" i="38"/>
  <c r="ED45" i="38"/>
  <c r="AR45" i="38"/>
  <c r="EO45" i="38"/>
  <c r="CZ45" i="38"/>
  <c r="BY45" i="38"/>
  <c r="AH45" i="38"/>
  <c r="DP45" i="38"/>
  <c r="DE45" i="38"/>
  <c r="CE45" i="38"/>
  <c r="EF45" i="38"/>
  <c r="DU45" i="38"/>
  <c r="CU45" i="38"/>
  <c r="EV45" i="38"/>
  <c r="BP47" i="38"/>
  <c r="BR47" i="38"/>
  <c r="BT47" i="38"/>
  <c r="AP47" i="38"/>
  <c r="EY47" i="38"/>
  <c r="DU47" i="38"/>
  <c r="DX47" i="38"/>
  <c r="DZ47" i="38"/>
  <c r="EL47" i="38"/>
  <c r="CF47" i="38"/>
  <c r="CH47" i="38"/>
  <c r="CJ47" i="38"/>
  <c r="BF47" i="38"/>
  <c r="AB47" i="38"/>
  <c r="EK47" i="38"/>
  <c r="EN47" i="38"/>
  <c r="EP47" i="38"/>
  <c r="EQ47" i="38"/>
  <c r="ER47" i="38"/>
  <c r="ET47" i="38"/>
  <c r="EV47" i="38"/>
  <c r="DR47" i="38"/>
  <c r="CN47" i="38"/>
  <c r="CA47" i="38"/>
  <c r="CC47" i="38"/>
  <c r="AY47" i="38"/>
  <c r="CV47" i="38"/>
  <c r="AM47" i="38"/>
  <c r="BU47" i="38"/>
  <c r="CM47" i="38"/>
  <c r="DE47" i="38"/>
  <c r="BM47" i="38"/>
  <c r="BZ47" i="38"/>
  <c r="DP47" i="38"/>
  <c r="DL47" i="38"/>
  <c r="BC47" i="38"/>
  <c r="CK47" i="38"/>
  <c r="DC47" i="38"/>
  <c r="AE47" i="38"/>
  <c r="CS47" i="38"/>
  <c r="CE47" i="38"/>
  <c r="DJ47" i="38"/>
  <c r="AC47" i="38"/>
  <c r="EB47" i="38"/>
  <c r="BS47" i="38"/>
  <c r="DA47" i="38"/>
  <c r="DS47" i="38"/>
  <c r="AU47" i="38"/>
  <c r="DI47" i="38"/>
  <c r="CP47" i="38"/>
  <c r="AD47" i="38"/>
  <c r="AK47" i="38"/>
  <c r="CI47" i="38"/>
  <c r="DQ47" i="38"/>
  <c r="EI47" i="38"/>
  <c r="BK47" i="38"/>
  <c r="DY47" i="38"/>
  <c r="CU47" i="38"/>
  <c r="BA47" i="38"/>
  <c r="CY47" i="38"/>
  <c r="EG47" i="38"/>
  <c r="AR47" i="38"/>
  <c r="CQ47" i="38"/>
  <c r="EO47" i="38"/>
  <c r="DF47" i="38"/>
  <c r="BQ47" i="38"/>
  <c r="DO47" i="38"/>
  <c r="EW47" i="38"/>
  <c r="BH47" i="38"/>
  <c r="DG47" i="38"/>
  <c r="AH47" i="38"/>
  <c r="DK47" i="38"/>
  <c r="EH47" i="38"/>
  <c r="CB47" i="38"/>
  <c r="CG47" i="38"/>
  <c r="EE47" i="38"/>
  <c r="Z47" i="38"/>
  <c r="BX47" i="38"/>
  <c r="DW47" i="38"/>
  <c r="AX47" i="38"/>
  <c r="DV47" i="38"/>
  <c r="BL47" i="38"/>
  <c r="CW47" i="38"/>
  <c r="EU47" i="38"/>
  <c r="BV47" i="38"/>
  <c r="DD47" i="38"/>
  <c r="EM47" i="38"/>
  <c r="BN47" i="38"/>
  <c r="EA47" i="38"/>
  <c r="EX47" i="38"/>
  <c r="DM47" i="38"/>
  <c r="AN47" i="38"/>
  <c r="CL47" i="38"/>
  <c r="DT47" i="38"/>
  <c r="AF47" i="38"/>
  <c r="CD47" i="38"/>
  <c r="EC47" i="38"/>
  <c r="BD47" i="38"/>
  <c r="DB47" i="38"/>
  <c r="EJ47" i="38"/>
  <c r="AV47" i="38"/>
  <c r="CT47" i="38"/>
  <c r="ES47" i="38"/>
  <c r="CZ47" i="38"/>
  <c r="EZ47" i="38"/>
  <c r="BB47" i="38"/>
  <c r="EF47" i="38"/>
  <c r="AA47" i="38"/>
  <c r="AS47" i="38"/>
  <c r="CR47" i="38"/>
  <c r="AI47" i="38"/>
  <c r="CX47" i="38"/>
  <c r="Y47" i="38"/>
  <c r="AQ47" i="38"/>
  <c r="BI47" i="38"/>
  <c r="DH47" i="38"/>
  <c r="AT47" i="38"/>
  <c r="AL47" i="38"/>
  <c r="AJ47" i="38"/>
  <c r="DN47" i="38"/>
  <c r="AO47" i="38"/>
  <c r="BG47" i="38"/>
  <c r="BY47" i="38"/>
  <c r="AG47" i="38"/>
  <c r="BJ47" i="38"/>
  <c r="AZ47" i="38"/>
  <c r="ED47" i="38"/>
  <c r="BE47" i="38"/>
  <c r="BW47" i="38"/>
  <c r="CO47" i="38"/>
  <c r="AW47" i="38"/>
  <c r="BO47" i="38"/>
  <c r="DY44" i="38"/>
  <c r="EA44" i="38"/>
  <c r="EC44" i="38"/>
  <c r="EE44" i="38"/>
  <c r="DQ44" i="38"/>
  <c r="CM44" i="38"/>
  <c r="BI44" i="38"/>
  <c r="BK44" i="38"/>
  <c r="EO44" i="38"/>
  <c r="EQ44" i="38"/>
  <c r="ES44" i="38"/>
  <c r="EU44" i="38"/>
  <c r="EG44" i="38"/>
  <c r="DC44" i="38"/>
  <c r="BY44" i="38"/>
  <c r="CA44" i="38"/>
  <c r="AF44" i="38"/>
  <c r="AH44" i="38"/>
  <c r="AJ44" i="38"/>
  <c r="AL44" i="38"/>
  <c r="AN44" i="38"/>
  <c r="EW44" i="38"/>
  <c r="DS44" i="38"/>
  <c r="CO44" i="38"/>
  <c r="CQ44" i="38"/>
  <c r="AV44" i="38"/>
  <c r="AX44" i="38"/>
  <c r="AZ44" i="38"/>
  <c r="BB44" i="38"/>
  <c r="BD44" i="38"/>
  <c r="Z44" i="38"/>
  <c r="EI44" i="38"/>
  <c r="DE44" i="38"/>
  <c r="DG44" i="38"/>
  <c r="BL44" i="38"/>
  <c r="BN44" i="38"/>
  <c r="BP44" i="38"/>
  <c r="BR44" i="38"/>
  <c r="BT44" i="38"/>
  <c r="AP44" i="38"/>
  <c r="EY44" i="38"/>
  <c r="DU44" i="38"/>
  <c r="DW44" i="38"/>
  <c r="CB44" i="38"/>
  <c r="CD44" i="38"/>
  <c r="CF44" i="38"/>
  <c r="CH44" i="38"/>
  <c r="CJ44" i="38"/>
  <c r="BF44" i="38"/>
  <c r="AB44" i="38"/>
  <c r="EK44" i="38"/>
  <c r="EM44" i="38"/>
  <c r="CR44" i="38"/>
  <c r="CT44" i="38"/>
  <c r="CV44" i="38"/>
  <c r="CX44" i="38"/>
  <c r="CZ44" i="38"/>
  <c r="BV44" i="38"/>
  <c r="AR44" i="38"/>
  <c r="AD44" i="38"/>
  <c r="DH44" i="38"/>
  <c r="DJ44" i="38"/>
  <c r="DL44" i="38"/>
  <c r="DN44" i="38"/>
  <c r="DP44" i="38"/>
  <c r="CL44" i="38"/>
  <c r="BH44" i="38"/>
  <c r="AT44" i="38"/>
  <c r="DX44" i="38"/>
  <c r="DZ44" i="38"/>
  <c r="EB44" i="38"/>
  <c r="ED44" i="38"/>
  <c r="EF44" i="38"/>
  <c r="DB44" i="38"/>
  <c r="BX44" i="38"/>
  <c r="BJ44" i="38"/>
  <c r="EN44" i="38"/>
  <c r="EP44" i="38"/>
  <c r="ER44" i="38"/>
  <c r="ET44" i="38"/>
  <c r="EV44" i="38"/>
  <c r="DR44" i="38"/>
  <c r="CN44" i="38"/>
  <c r="BZ44" i="38"/>
  <c r="AG44" i="38"/>
  <c r="AI44" i="38"/>
  <c r="AK44" i="38"/>
  <c r="AM44" i="38"/>
  <c r="Y44" i="38"/>
  <c r="EH44" i="38"/>
  <c r="DD44" i="38"/>
  <c r="CP44" i="38"/>
  <c r="BM44" i="38"/>
  <c r="BO44" i="38"/>
  <c r="BQ44" i="38"/>
  <c r="BS44" i="38"/>
  <c r="BE44" i="38"/>
  <c r="AA44" i="38"/>
  <c r="EJ44" i="38"/>
  <c r="DV44" i="38"/>
  <c r="CC44" i="38"/>
  <c r="CE44" i="38"/>
  <c r="CG44" i="38"/>
  <c r="CI44" i="38"/>
  <c r="BU44" i="38"/>
  <c r="AQ44" i="38"/>
  <c r="EZ44" i="38"/>
  <c r="EL44" i="38"/>
  <c r="CS44" i="38"/>
  <c r="CU44" i="38"/>
  <c r="CW44" i="38"/>
  <c r="CY44" i="38"/>
  <c r="CK44" i="38"/>
  <c r="BG44" i="38"/>
  <c r="AC44" i="38"/>
  <c r="AE44" i="38"/>
  <c r="DI44" i="38"/>
  <c r="DK44" i="38"/>
  <c r="DM44" i="38"/>
  <c r="DO44" i="38"/>
  <c r="DA44" i="38"/>
  <c r="BW44" i="38"/>
  <c r="AS44" i="38"/>
  <c r="AU44" i="38"/>
  <c r="AY44" i="38"/>
  <c r="BA44" i="38"/>
  <c r="BC44" i="38"/>
  <c r="AO44" i="38"/>
  <c r="EX44" i="38"/>
  <c r="DT44" i="38"/>
  <c r="DF44" i="38"/>
  <c r="AW44" i="38"/>
  <c r="BM48" i="38"/>
  <c r="BO48" i="38"/>
  <c r="BQ48" i="38"/>
  <c r="BS48" i="38"/>
  <c r="BE48" i="38"/>
  <c r="AB48" i="38"/>
  <c r="EK48" i="38"/>
  <c r="BV48" i="38"/>
  <c r="CC48" i="38"/>
  <c r="CE48" i="38"/>
  <c r="CG48" i="38"/>
  <c r="CI48" i="38"/>
  <c r="BU48" i="38"/>
  <c r="AR48" i="38"/>
  <c r="AD48" i="38"/>
  <c r="CA48" i="38"/>
  <c r="CS48" i="38"/>
  <c r="CU48" i="38"/>
  <c r="CW48" i="38"/>
  <c r="CY48" i="38"/>
  <c r="CK48" i="38"/>
  <c r="BH48" i="38"/>
  <c r="AT48" i="38"/>
  <c r="CL48" i="38"/>
  <c r="DI48" i="38"/>
  <c r="DK48" i="38"/>
  <c r="DM48" i="38"/>
  <c r="DO48" i="38"/>
  <c r="DA48" i="38"/>
  <c r="BX48" i="38"/>
  <c r="BJ48" i="38"/>
  <c r="CQ48" i="38"/>
  <c r="DY48" i="38"/>
  <c r="EA48" i="38"/>
  <c r="EC48" i="38"/>
  <c r="EE48" i="38"/>
  <c r="DQ48" i="38"/>
  <c r="CN48" i="38"/>
  <c r="BZ48" i="38"/>
  <c r="DB48" i="38"/>
  <c r="EO48" i="38"/>
  <c r="EQ48" i="38"/>
  <c r="ES48" i="38"/>
  <c r="EU48" i="38"/>
  <c r="EG48" i="38"/>
  <c r="DD48" i="38"/>
  <c r="CP48" i="38"/>
  <c r="DG48" i="38"/>
  <c r="AF48" i="38"/>
  <c r="AH48" i="38"/>
  <c r="AJ48" i="38"/>
  <c r="AL48" i="38"/>
  <c r="AN48" i="38"/>
  <c r="EW48" i="38"/>
  <c r="DT48" i="38"/>
  <c r="DF48" i="38"/>
  <c r="DR48" i="38"/>
  <c r="AV48" i="38"/>
  <c r="AX48" i="38"/>
  <c r="AZ48" i="38"/>
  <c r="BB48" i="38"/>
  <c r="BD48" i="38"/>
  <c r="AA48" i="38"/>
  <c r="EJ48" i="38"/>
  <c r="DV48" i="38"/>
  <c r="DW48" i="38"/>
  <c r="BL48" i="38"/>
  <c r="BN48" i="38"/>
  <c r="BP48" i="38"/>
  <c r="BR48" i="38"/>
  <c r="BT48" i="38"/>
  <c r="AQ48" i="38"/>
  <c r="EZ48" i="38"/>
  <c r="EL48" i="38"/>
  <c r="EH48" i="38"/>
  <c r="CB48" i="38"/>
  <c r="CD48" i="38"/>
  <c r="CF48" i="38"/>
  <c r="CH48" i="38"/>
  <c r="CJ48" i="38"/>
  <c r="BG48" i="38"/>
  <c r="AC48" i="38"/>
  <c r="Z48" i="38"/>
  <c r="EM48" i="38"/>
  <c r="CR48" i="38"/>
  <c r="CT48" i="38"/>
  <c r="CV48" i="38"/>
  <c r="CX48" i="38"/>
  <c r="CZ48" i="38"/>
  <c r="BW48" i="38"/>
  <c r="AS48" i="38"/>
  <c r="EX48" i="38"/>
  <c r="DX48" i="38"/>
  <c r="DZ48" i="38"/>
  <c r="EB48" i="38"/>
  <c r="ED48" i="38"/>
  <c r="EF48" i="38"/>
  <c r="DC48" i="38"/>
  <c r="BY48" i="38"/>
  <c r="AP48" i="38"/>
  <c r="EN48" i="38"/>
  <c r="EP48" i="38"/>
  <c r="ER48" i="38"/>
  <c r="ET48" i="38"/>
  <c r="EV48" i="38"/>
  <c r="DS48" i="38"/>
  <c r="CO48" i="38"/>
  <c r="AU48" i="38"/>
  <c r="AG48" i="38"/>
  <c r="AI48" i="38"/>
  <c r="AK48" i="38"/>
  <c r="AM48" i="38"/>
  <c r="Y48" i="38"/>
  <c r="EI48" i="38"/>
  <c r="DE48" i="38"/>
  <c r="BF48" i="38"/>
  <c r="AW48" i="38"/>
  <c r="AY48" i="38"/>
  <c r="BA48" i="38"/>
  <c r="BC48" i="38"/>
  <c r="AO48" i="38"/>
  <c r="EY48" i="38"/>
  <c r="DU48" i="38"/>
  <c r="BK48" i="38"/>
  <c r="DH48" i="38"/>
  <c r="DJ48" i="38"/>
  <c r="DL48" i="38"/>
  <c r="DN48" i="38"/>
  <c r="DP48" i="38"/>
  <c r="CM48" i="38"/>
  <c r="AE48" i="38"/>
  <c r="BI48" i="38"/>
  <c r="EP60" i="38"/>
  <c r="EB60" i="38"/>
  <c r="ED60" i="38"/>
  <c r="DP60" i="38"/>
  <c r="DR60" i="38"/>
  <c r="BX60" i="38"/>
  <c r="AA60" i="38"/>
  <c r="EM60" i="38"/>
  <c r="AG60" i="38"/>
  <c r="ER60" i="38"/>
  <c r="ET60" i="38"/>
  <c r="EF60" i="38"/>
  <c r="EH60" i="38"/>
  <c r="CN60" i="38"/>
  <c r="AR60" i="38"/>
  <c r="AC60" i="38"/>
  <c r="AX60" i="38"/>
  <c r="AI60" i="38"/>
  <c r="AK60" i="38"/>
  <c r="EV60" i="38"/>
  <c r="EX60" i="38"/>
  <c r="DD60" i="38"/>
  <c r="BI60" i="38"/>
  <c r="AT60" i="38"/>
  <c r="BO60" i="38"/>
  <c r="AZ60" i="38"/>
  <c r="BB60" i="38"/>
  <c r="AM60" i="38"/>
  <c r="EO60" i="38"/>
  <c r="DT60" i="38"/>
  <c r="BZ60" i="38"/>
  <c r="BL60" i="38"/>
  <c r="CE60" i="38"/>
  <c r="BQ60" i="38"/>
  <c r="BS60" i="38"/>
  <c r="BD60" i="38"/>
  <c r="AO60" i="38"/>
  <c r="EJ60" i="38"/>
  <c r="CP60" i="38"/>
  <c r="CB60" i="38"/>
  <c r="CU60" i="38"/>
  <c r="CG60" i="38"/>
  <c r="CI60" i="38"/>
  <c r="BU60" i="38"/>
  <c r="BF60" i="38"/>
  <c r="EZ60" i="38"/>
  <c r="DF60" i="38"/>
  <c r="CR60" i="38"/>
  <c r="AE60" i="38"/>
  <c r="DK60" i="38"/>
  <c r="CW60" i="38"/>
  <c r="CY60" i="38"/>
  <c r="CK60" i="38"/>
  <c r="BW60" i="38"/>
  <c r="CS60" i="38"/>
  <c r="DV60" i="38"/>
  <c r="DH60" i="38"/>
  <c r="AU60" i="38"/>
  <c r="EA60" i="38"/>
  <c r="DM60" i="38"/>
  <c r="DO60" i="38"/>
  <c r="DA60" i="38"/>
  <c r="CM60" i="38"/>
  <c r="Z60" i="38"/>
  <c r="EL60" i="38"/>
  <c r="DX60" i="38"/>
  <c r="BK60" i="38"/>
  <c r="EQ60" i="38"/>
  <c r="EC60" i="38"/>
  <c r="EE60" i="38"/>
  <c r="DQ60" i="38"/>
  <c r="DC60" i="38"/>
  <c r="AQ60" i="38"/>
  <c r="AV60" i="38"/>
  <c r="AF60" i="38"/>
  <c r="BM60" i="38"/>
  <c r="ES60" i="38"/>
  <c r="EU60" i="38"/>
  <c r="EG60" i="38"/>
  <c r="DS60" i="38"/>
  <c r="BH60" i="38"/>
  <c r="AB60" i="38"/>
  <c r="DJ60" i="38"/>
  <c r="BC60" i="38"/>
  <c r="BY60" i="38"/>
  <c r="DZ60" i="38"/>
  <c r="BT60" i="38"/>
  <c r="CO60" i="38"/>
  <c r="DG60" i="38"/>
  <c r="CH60" i="38"/>
  <c r="AH60" i="38"/>
  <c r="CJ60" i="38"/>
  <c r="DE60" i="38"/>
  <c r="BR60" i="38"/>
  <c r="AY60" i="38"/>
  <c r="CZ60" i="38"/>
  <c r="DU60" i="38"/>
  <c r="BP60" i="38"/>
  <c r="EW60" i="38"/>
  <c r="EK60" i="38"/>
  <c r="EY60" i="38"/>
  <c r="CF60" i="38"/>
  <c r="AN60" i="38"/>
  <c r="DY60" i="38"/>
  <c r="CV60" i="38"/>
  <c r="BE60" i="38"/>
  <c r="AS60" i="38"/>
  <c r="DW60" i="38"/>
  <c r="DL60" i="38"/>
  <c r="BV60" i="38"/>
  <c r="BJ60" i="38"/>
  <c r="EI60" i="38"/>
  <c r="AJ60" i="38"/>
  <c r="CL60" i="38"/>
  <c r="CA60" i="38"/>
  <c r="BA60" i="38"/>
  <c r="DB60" i="38"/>
  <c r="CQ60" i="38"/>
  <c r="AW60" i="38"/>
  <c r="CX60" i="38"/>
  <c r="AD60" i="38"/>
  <c r="EN60" i="38"/>
  <c r="BN60" i="38"/>
  <c r="DN60" i="38"/>
  <c r="Y60" i="38"/>
  <c r="DI60" i="38"/>
  <c r="CD60" i="38"/>
  <c r="CC60" i="38"/>
  <c r="AP60" i="38"/>
  <c r="CT60" i="38"/>
  <c r="AL60" i="38"/>
  <c r="BG60" i="38"/>
  <c r="AU52" i="38"/>
  <c r="AW52" i="38"/>
  <c r="AY52" i="38"/>
  <c r="BA52" i="38"/>
  <c r="BK52" i="38"/>
  <c r="BM52" i="38"/>
  <c r="BO52" i="38"/>
  <c r="AN52" i="38"/>
  <c r="DW52" i="38"/>
  <c r="DY52" i="38"/>
  <c r="EA52" i="38"/>
  <c r="CP52" i="38"/>
  <c r="EN52" i="38"/>
  <c r="CU52" i="38"/>
  <c r="EC52" i="38"/>
  <c r="EE52" i="38"/>
  <c r="EG52" i="38"/>
  <c r="EI52" i="38"/>
  <c r="EK52" i="38"/>
  <c r="AQ52" i="38"/>
  <c r="AE52" i="38"/>
  <c r="BB52" i="38"/>
  <c r="BH52" i="38"/>
  <c r="CJ52" i="38"/>
  <c r="CX52" i="38"/>
  <c r="ED52" i="38"/>
  <c r="AR52" i="38"/>
  <c r="BC52" i="38"/>
  <c r="DF52" i="38"/>
  <c r="AA52" i="38"/>
  <c r="DK52" i="38"/>
  <c r="ES52" i="38"/>
  <c r="EU52" i="38"/>
  <c r="EW52" i="38"/>
  <c r="EY52" i="38"/>
  <c r="AG52" i="38"/>
  <c r="EL52" i="38"/>
  <c r="BF52" i="38"/>
  <c r="CL52" i="38"/>
  <c r="CZ52" i="38"/>
  <c r="EF52" i="38"/>
  <c r="BI52" i="38"/>
  <c r="DV52" i="38"/>
  <c r="CC52" i="38"/>
  <c r="EQ52" i="38"/>
  <c r="AJ52" i="38"/>
  <c r="AO52" i="38"/>
  <c r="EJ52" i="38"/>
  <c r="AI52" i="38"/>
  <c r="BE52" i="38"/>
  <c r="CS52" i="38"/>
  <c r="BD52" i="38"/>
  <c r="AK52" i="38"/>
  <c r="BG52" i="38"/>
  <c r="Y52" i="38"/>
  <c r="DI52" i="38"/>
  <c r="AZ52" i="38"/>
  <c r="BR52" i="38"/>
  <c r="BT52" i="38"/>
  <c r="BV52" i="38"/>
  <c r="BX52" i="38"/>
  <c r="AV52" i="38"/>
  <c r="CA52" i="38"/>
  <c r="EO52" i="38"/>
  <c r="BP52" i="38"/>
  <c r="CH52" i="38"/>
  <c r="CN52" i="38"/>
  <c r="EH52" i="38"/>
  <c r="AM52" i="38"/>
  <c r="AP52" i="38"/>
  <c r="CQ52" i="38"/>
  <c r="AB52" i="38"/>
  <c r="CF52" i="38"/>
  <c r="DB52" i="38"/>
  <c r="DD52" i="38"/>
  <c r="AD52" i="38"/>
  <c r="DG52" i="38"/>
  <c r="AX52" i="38"/>
  <c r="CV52" i="38"/>
  <c r="DN52" i="38"/>
  <c r="DP52" i="38"/>
  <c r="DR52" i="38"/>
  <c r="DT52" i="38"/>
  <c r="CT52" i="38"/>
  <c r="AH52" i="38"/>
  <c r="EM52" i="38"/>
  <c r="BN52" i="38"/>
  <c r="DL52" i="38"/>
  <c r="AF52" i="38"/>
  <c r="AL52" i="38"/>
  <c r="Z52" i="38"/>
  <c r="CD52" i="38"/>
  <c r="EB52" i="38"/>
  <c r="ET52" i="38"/>
  <c r="EV52" i="38"/>
  <c r="EX52" i="38"/>
  <c r="EZ52" i="38"/>
  <c r="DJ52" i="38"/>
  <c r="ER52" i="38"/>
  <c r="BL52" i="38"/>
  <c r="AT52" i="38"/>
  <c r="CB52" i="38"/>
  <c r="DZ52" i="38"/>
  <c r="BQ52" i="38"/>
  <c r="BS52" i="38"/>
  <c r="BU52" i="38"/>
  <c r="BW52" i="38"/>
  <c r="BY52" i="38"/>
  <c r="DE52" i="38"/>
  <c r="AS52" i="38"/>
  <c r="CR52" i="38"/>
  <c r="EP52" i="38"/>
  <c r="CG52" i="38"/>
  <c r="CI52" i="38"/>
  <c r="CK52" i="38"/>
  <c r="CM52" i="38"/>
  <c r="CO52" i="38"/>
  <c r="CY52" i="38"/>
  <c r="BJ52" i="38"/>
  <c r="DH52" i="38"/>
  <c r="AC52" i="38"/>
  <c r="CW52" i="38"/>
  <c r="DA52" i="38"/>
  <c r="DC52" i="38"/>
  <c r="BZ52" i="38"/>
  <c r="DX52" i="38"/>
  <c r="CE52" i="38"/>
  <c r="DM52" i="38"/>
  <c r="DO52" i="38"/>
  <c r="DQ52" i="38"/>
  <c r="DS52" i="38"/>
  <c r="DU52" i="38"/>
  <c r="DD42" i="38"/>
  <c r="BJ42" i="38"/>
  <c r="BL42" i="38"/>
  <c r="AX42" i="38"/>
  <c r="AJ42" i="38"/>
  <c r="ES42" i="38"/>
  <c r="DO42" i="38"/>
  <c r="DA42" i="38"/>
  <c r="DT42" i="38"/>
  <c r="BZ42" i="38"/>
  <c r="CB42" i="38"/>
  <c r="BN42" i="38"/>
  <c r="AZ42" i="38"/>
  <c r="EX42" i="38"/>
  <c r="EE42" i="38"/>
  <c r="DQ42" i="38"/>
  <c r="AA42" i="38"/>
  <c r="EJ42" i="38"/>
  <c r="CP42" i="38"/>
  <c r="CR42" i="38"/>
  <c r="CD42" i="38"/>
  <c r="BP42" i="38"/>
  <c r="AL42" i="38"/>
  <c r="EU42" i="38"/>
  <c r="EG42" i="38"/>
  <c r="AQ42" i="38"/>
  <c r="EZ42" i="38"/>
  <c r="DF42" i="38"/>
  <c r="DH42" i="38"/>
  <c r="CT42" i="38"/>
  <c r="CF42" i="38"/>
  <c r="BB42" i="38"/>
  <c r="AN42" i="38"/>
  <c r="EW42" i="38"/>
  <c r="BG42" i="38"/>
  <c r="DR42" i="38"/>
  <c r="DV42" i="38"/>
  <c r="DX42" i="38"/>
  <c r="DJ42" i="38"/>
  <c r="CV42" i="38"/>
  <c r="BR42" i="38"/>
  <c r="BD42" i="38"/>
  <c r="Z42" i="38"/>
  <c r="BW42" i="38"/>
  <c r="AC42" i="38"/>
  <c r="EL42" i="38"/>
  <c r="EN42" i="38"/>
  <c r="DZ42" i="38"/>
  <c r="DL42" i="38"/>
  <c r="CH42" i="38"/>
  <c r="BT42" i="38"/>
  <c r="DB42" i="38"/>
  <c r="CM42" i="38"/>
  <c r="AS42" i="38"/>
  <c r="AE42" i="38"/>
  <c r="AG42" i="38"/>
  <c r="EP42" i="38"/>
  <c r="EB42" i="38"/>
  <c r="CX42" i="38"/>
  <c r="CJ42" i="38"/>
  <c r="DC42" i="38"/>
  <c r="BI42" i="38"/>
  <c r="AU42" i="38"/>
  <c r="AW42" i="38"/>
  <c r="AI42" i="38"/>
  <c r="ER42" i="38"/>
  <c r="DN42" i="38"/>
  <c r="CZ42" i="38"/>
  <c r="DS42" i="38"/>
  <c r="BY42" i="38"/>
  <c r="BK42" i="38"/>
  <c r="BM42" i="38"/>
  <c r="AY42" i="38"/>
  <c r="EH42" i="38"/>
  <c r="ED42" i="38"/>
  <c r="DP42" i="38"/>
  <c r="EI42" i="38"/>
  <c r="CO42" i="38"/>
  <c r="CA42" i="38"/>
  <c r="CC42" i="38"/>
  <c r="BO42" i="38"/>
  <c r="AK42" i="38"/>
  <c r="ET42" i="38"/>
  <c r="EF42" i="38"/>
  <c r="BX42" i="38"/>
  <c r="DY42" i="38"/>
  <c r="CL42" i="38"/>
  <c r="BU42" i="38"/>
  <c r="EM42" i="38"/>
  <c r="CN42" i="38"/>
  <c r="EO42" i="38"/>
  <c r="AM42" i="38"/>
  <c r="DE42" i="38"/>
  <c r="BF42" i="38"/>
  <c r="BC42" i="38"/>
  <c r="DU42" i="38"/>
  <c r="AH42" i="38"/>
  <c r="BS42" i="38"/>
  <c r="EK42" i="38"/>
  <c r="CE42" i="38"/>
  <c r="CI42" i="38"/>
  <c r="BV42" i="38"/>
  <c r="CU42" i="38"/>
  <c r="CY42" i="38"/>
  <c r="AD42" i="38"/>
  <c r="DK42" i="38"/>
  <c r="EV42" i="38"/>
  <c r="AT42" i="38"/>
  <c r="EA42" i="38"/>
  <c r="Y42" i="38"/>
  <c r="CK42" i="38"/>
  <c r="CQ42" i="38"/>
  <c r="EQ42" i="38"/>
  <c r="AO42" i="38"/>
  <c r="DG42" i="38"/>
  <c r="AP42" i="38"/>
  <c r="BE42" i="38"/>
  <c r="DW42" i="38"/>
  <c r="BA42" i="38"/>
  <c r="BQ42" i="38"/>
  <c r="EY42" i="38"/>
  <c r="AF42" i="38"/>
  <c r="CG42" i="38"/>
  <c r="AB42" i="38"/>
  <c r="AV42" i="38"/>
  <c r="CW42" i="38"/>
  <c r="AR42" i="38"/>
  <c r="CS42" i="38"/>
  <c r="DM42" i="38"/>
  <c r="BH42" i="38"/>
  <c r="DI42" i="38"/>
  <c r="EC42" i="38"/>
  <c r="BE46" i="38"/>
  <c r="AA46" i="38"/>
  <c r="EJ46" i="38"/>
  <c r="DV46" i="38"/>
  <c r="DX46" i="38"/>
  <c r="EA46" i="38"/>
  <c r="EC46" i="38"/>
  <c r="CD46" i="38"/>
  <c r="BU46" i="38"/>
  <c r="AQ46" i="38"/>
  <c r="EZ46" i="38"/>
  <c r="EL46" i="38"/>
  <c r="EN46" i="38"/>
  <c r="EQ46" i="38"/>
  <c r="ES46" i="38"/>
  <c r="CI46" i="38"/>
  <c r="CK46" i="38"/>
  <c r="BG46" i="38"/>
  <c r="AC46" i="38"/>
  <c r="AE46" i="38"/>
  <c r="AG46" i="38"/>
  <c r="AJ46" i="38"/>
  <c r="AL46" i="38"/>
  <c r="CT46" i="38"/>
  <c r="DA46" i="38"/>
  <c r="BW46" i="38"/>
  <c r="AS46" i="38"/>
  <c r="AU46" i="38"/>
  <c r="AW46" i="38"/>
  <c r="AZ46" i="38"/>
  <c r="BB46" i="38"/>
  <c r="CY46" i="38"/>
  <c r="DQ46" i="38"/>
  <c r="CM46" i="38"/>
  <c r="BI46" i="38"/>
  <c r="BK46" i="38"/>
  <c r="BM46" i="38"/>
  <c r="BP46" i="38"/>
  <c r="BR46" i="38"/>
  <c r="DJ46" i="38"/>
  <c r="EG46" i="38"/>
  <c r="DC46" i="38"/>
  <c r="BY46" i="38"/>
  <c r="CA46" i="38"/>
  <c r="CC46" i="38"/>
  <c r="CF46" i="38"/>
  <c r="CH46" i="38"/>
  <c r="DO46" i="38"/>
  <c r="AN46" i="38"/>
  <c r="EW46" i="38"/>
  <c r="DS46" i="38"/>
  <c r="CO46" i="38"/>
  <c r="CQ46" i="38"/>
  <c r="CS46" i="38"/>
  <c r="CV46" i="38"/>
  <c r="CX46" i="38"/>
  <c r="DZ46" i="38"/>
  <c r="BD46" i="38"/>
  <c r="Z46" i="38"/>
  <c r="EI46" i="38"/>
  <c r="DE46" i="38"/>
  <c r="DG46" i="38"/>
  <c r="DI46" i="38"/>
  <c r="DL46" i="38"/>
  <c r="DN46" i="38"/>
  <c r="EE46" i="38"/>
  <c r="BT46" i="38"/>
  <c r="AP46" i="38"/>
  <c r="EY46" i="38"/>
  <c r="DU46" i="38"/>
  <c r="DW46" i="38"/>
  <c r="DY46" i="38"/>
  <c r="EB46" i="38"/>
  <c r="ED46" i="38"/>
  <c r="EP46" i="38"/>
  <c r="CJ46" i="38"/>
  <c r="BF46" i="38"/>
  <c r="AB46" i="38"/>
  <c r="EK46" i="38"/>
  <c r="EM46" i="38"/>
  <c r="EO46" i="38"/>
  <c r="ER46" i="38"/>
  <c r="ET46" i="38"/>
  <c r="EU46" i="38"/>
  <c r="EF46" i="38"/>
  <c r="DB46" i="38"/>
  <c r="BX46" i="38"/>
  <c r="BH46" i="38"/>
  <c r="AI46" i="38"/>
  <c r="BN46" i="38"/>
  <c r="CN46" i="38"/>
  <c r="AY46" i="38"/>
  <c r="BS46" i="38"/>
  <c r="DD46" i="38"/>
  <c r="BO46" i="38"/>
  <c r="DT46" i="38"/>
  <c r="CE46" i="38"/>
  <c r="AD46" i="38"/>
  <c r="CU46" i="38"/>
  <c r="CZ46" i="38"/>
  <c r="AT46" i="38"/>
  <c r="DK46" i="38"/>
  <c r="DP46" i="38"/>
  <c r="BJ46" i="38"/>
  <c r="AK46" i="38"/>
  <c r="EV46" i="38"/>
  <c r="BZ46" i="38"/>
  <c r="BA46" i="38"/>
  <c r="Y46" i="38"/>
  <c r="CP46" i="38"/>
  <c r="BQ46" i="38"/>
  <c r="AO46" i="38"/>
  <c r="DF46" i="38"/>
  <c r="CG46" i="38"/>
  <c r="BV46" i="38"/>
  <c r="AF46" i="38"/>
  <c r="CW46" i="38"/>
  <c r="CL46" i="38"/>
  <c r="AV46" i="38"/>
  <c r="DM46" i="38"/>
  <c r="DR46" i="38"/>
  <c r="BL46" i="38"/>
  <c r="AH46" i="38"/>
  <c r="EX46" i="38"/>
  <c r="CR46" i="38"/>
  <c r="AX46" i="38"/>
  <c r="EH46" i="38"/>
  <c r="AR46" i="38"/>
  <c r="CB46" i="38"/>
  <c r="DH46" i="38"/>
  <c r="AM46" i="38"/>
  <c r="BC46" i="38"/>
  <c r="AS49" i="38"/>
  <c r="AU49" i="38"/>
  <c r="AW49" i="38"/>
  <c r="AY49" i="38"/>
  <c r="BA49" i="38"/>
  <c r="BD49" i="38"/>
  <c r="Z49" i="38"/>
  <c r="BR49" i="38"/>
  <c r="BI49" i="38"/>
  <c r="BK49" i="38"/>
  <c r="BM49" i="38"/>
  <c r="BO49" i="38"/>
  <c r="BQ49" i="38"/>
  <c r="BT49" i="38"/>
  <c r="AP49" i="38"/>
  <c r="BW49" i="38"/>
  <c r="BY49" i="38"/>
  <c r="CA49" i="38"/>
  <c r="CC49" i="38"/>
  <c r="CE49" i="38"/>
  <c r="CG49" i="38"/>
  <c r="CJ49" i="38"/>
  <c r="BF49" i="38"/>
  <c r="CH49" i="38"/>
  <c r="CO49" i="38"/>
  <c r="CQ49" i="38"/>
  <c r="CS49" i="38"/>
  <c r="CU49" i="38"/>
  <c r="CW49" i="38"/>
  <c r="CZ49" i="38"/>
  <c r="BV49" i="38"/>
  <c r="CM49" i="38"/>
  <c r="DE49" i="38"/>
  <c r="DG49" i="38"/>
  <c r="DI49" i="38"/>
  <c r="DK49" i="38"/>
  <c r="DM49" i="38"/>
  <c r="DP49" i="38"/>
  <c r="CL49" i="38"/>
  <c r="CX49" i="38"/>
  <c r="DU49" i="38"/>
  <c r="DW49" i="38"/>
  <c r="DY49" i="38"/>
  <c r="EA49" i="38"/>
  <c r="EC49" i="38"/>
  <c r="EF49" i="38"/>
  <c r="DB49" i="38"/>
  <c r="DC49" i="38"/>
  <c r="AB49" i="38"/>
  <c r="EK49" i="38"/>
  <c r="EM49" i="38"/>
  <c r="EO49" i="38"/>
  <c r="EQ49" i="38"/>
  <c r="ES49" i="38"/>
  <c r="EV49" i="38"/>
  <c r="DR49" i="38"/>
  <c r="DN49" i="38"/>
  <c r="AR49" i="38"/>
  <c r="AD49" i="38"/>
  <c r="AF49" i="38"/>
  <c r="AH49" i="38"/>
  <c r="AJ49" i="38"/>
  <c r="AM49" i="38"/>
  <c r="Y49" i="38"/>
  <c r="EH49" i="38"/>
  <c r="DS49" i="38"/>
  <c r="BH49" i="38"/>
  <c r="AT49" i="38"/>
  <c r="AV49" i="38"/>
  <c r="AX49" i="38"/>
  <c r="AZ49" i="38"/>
  <c r="BC49" i="38"/>
  <c r="AO49" i="38"/>
  <c r="EX49" i="38"/>
  <c r="ED49" i="38"/>
  <c r="BX49" i="38"/>
  <c r="BJ49" i="38"/>
  <c r="BL49" i="38"/>
  <c r="BN49" i="38"/>
  <c r="BP49" i="38"/>
  <c r="BS49" i="38"/>
  <c r="BE49" i="38"/>
  <c r="ET49" i="38"/>
  <c r="EI49" i="38"/>
  <c r="CN49" i="38"/>
  <c r="BZ49" i="38"/>
  <c r="CB49" i="38"/>
  <c r="CD49" i="38"/>
  <c r="CF49" i="38"/>
  <c r="CI49" i="38"/>
  <c r="BU49" i="38"/>
  <c r="AA49" i="38"/>
  <c r="DT49" i="38"/>
  <c r="DF49" i="38"/>
  <c r="DH49" i="38"/>
  <c r="DJ49" i="38"/>
  <c r="DL49" i="38"/>
  <c r="DO49" i="38"/>
  <c r="DA49" i="38"/>
  <c r="AL49" i="38"/>
  <c r="EJ49" i="38"/>
  <c r="DV49" i="38"/>
  <c r="DX49" i="38"/>
  <c r="DZ49" i="38"/>
  <c r="EB49" i="38"/>
  <c r="EE49" i="38"/>
  <c r="DQ49" i="38"/>
  <c r="AQ49" i="38"/>
  <c r="EZ49" i="38"/>
  <c r="EL49" i="38"/>
  <c r="EN49" i="38"/>
  <c r="EP49" i="38"/>
  <c r="ER49" i="38"/>
  <c r="EU49" i="38"/>
  <c r="EG49" i="38"/>
  <c r="BB49" i="38"/>
  <c r="AC49" i="38"/>
  <c r="AE49" i="38"/>
  <c r="AG49" i="38"/>
  <c r="AI49" i="38"/>
  <c r="AK49" i="38"/>
  <c r="AN49" i="38"/>
  <c r="EW49" i="38"/>
  <c r="BG49" i="38"/>
  <c r="DD49" i="38"/>
  <c r="CP49" i="38"/>
  <c r="CR49" i="38"/>
  <c r="CT49" i="38"/>
  <c r="CV49" i="38"/>
  <c r="CY49" i="38"/>
  <c r="CK49" i="38"/>
  <c r="EY49" i="38"/>
  <c r="AE16" i="55"/>
  <c r="AE26" i="55" s="1"/>
  <c r="AF15" i="55"/>
  <c r="AF25" i="55" s="1"/>
  <c r="AE13" i="55"/>
  <c r="AE23" i="55" s="1"/>
  <c r="AH93" i="38"/>
  <c r="AH22" i="38"/>
  <c r="AH39" i="38"/>
  <c r="AI4" i="38"/>
  <c r="AJ3" i="38"/>
  <c r="AW29" i="53"/>
  <c r="AW31" i="53" s="1"/>
  <c r="AW99" i="53" s="1"/>
  <c r="BA7" i="53"/>
  <c r="AZ6" i="53"/>
  <c r="AZ11" i="53" s="1"/>
  <c r="AM10" i="57"/>
  <c r="E30" i="5"/>
  <c r="E31" i="5" s="1"/>
  <c r="Q70" i="5"/>
  <c r="Q69" i="5"/>
  <c r="R5" i="5"/>
  <c r="S4" i="5"/>
  <c r="R68" i="5"/>
  <c r="R85" i="5"/>
  <c r="R59" i="5"/>
  <c r="M29" i="6"/>
  <c r="N23" i="6" s="1"/>
  <c r="M41" i="6"/>
  <c r="P93" i="5" s="1"/>
  <c r="P94" i="5"/>
  <c r="N26" i="6"/>
  <c r="N24" i="6"/>
  <c r="N14" i="6"/>
  <c r="N18" i="6"/>
  <c r="N34" i="6"/>
  <c r="Q91" i="5" s="1"/>
  <c r="N27" i="6"/>
  <c r="N28" i="6" s="1"/>
  <c r="N36" i="6"/>
  <c r="N16" i="6"/>
  <c r="N7" i="6"/>
  <c r="N40" i="6"/>
  <c r="Q92" i="5" s="1"/>
  <c r="N25" i="6"/>
  <c r="O6" i="6"/>
  <c r="O12" i="6" s="1"/>
  <c r="N38" i="6"/>
  <c r="P87" i="5"/>
  <c r="M19" i="6"/>
  <c r="P86" i="5" s="1"/>
  <c r="AT12" i="57"/>
  <c r="AW16" i="57"/>
  <c r="AW17" i="57"/>
  <c r="AV9" i="57"/>
  <c r="AW9" i="57"/>
  <c r="Z34" i="55"/>
  <c r="K45" i="5"/>
  <c r="R8" i="6"/>
  <c r="AH3" i="55"/>
  <c r="AG41" i="55"/>
  <c r="AZ84" i="53"/>
  <c r="BA8" i="53"/>
  <c r="AE17" i="55"/>
  <c r="AE27" i="55" s="1"/>
  <c r="AE12" i="55"/>
  <c r="AE22" i="55" s="1"/>
  <c r="AE14" i="55"/>
  <c r="AE24" i="55" s="1"/>
  <c r="AU44" i="53"/>
  <c r="AU47" i="53" s="1"/>
  <c r="AN15" i="53"/>
  <c r="AN20" i="53" s="1"/>
  <c r="AM56" i="53"/>
  <c r="AM76" i="53" s="1"/>
  <c r="AN53" i="53"/>
  <c r="AM67" i="53"/>
  <c r="AM59" i="53"/>
  <c r="AM65" i="53" s="1"/>
  <c r="AN49" i="53"/>
  <c r="AN50" i="53" s="1"/>
  <c r="H29" i="5"/>
  <c r="Y40" i="55"/>
  <c r="J52" i="5"/>
  <c r="AQ10" i="57"/>
  <c r="AP10" i="57"/>
  <c r="AR10" i="57"/>
  <c r="AO11" i="57"/>
  <c r="AP35" i="53"/>
  <c r="I23" i="5"/>
  <c r="I27" i="5" s="1"/>
  <c r="Y35" i="55"/>
  <c r="J47" i="5"/>
  <c r="D56" i="53"/>
  <c r="F53" i="53"/>
  <c r="E53" i="53"/>
  <c r="I24" i="5"/>
  <c r="I28" i="5" s="1"/>
  <c r="AP38" i="53"/>
  <c r="Y39" i="55"/>
  <c r="J51" i="5"/>
  <c r="AN87" i="53"/>
  <c r="AN88" i="53" s="1"/>
  <c r="V11" i="55"/>
  <c r="U21" i="55"/>
  <c r="U28" i="55" s="1"/>
  <c r="G38" i="5" s="1"/>
  <c r="AK11" i="57"/>
  <c r="AJ11" i="57"/>
  <c r="AI11" i="57"/>
  <c r="AL11" i="57"/>
  <c r="AM11" i="57" s="1"/>
  <c r="C46" i="43"/>
  <c r="Y36" i="55"/>
  <c r="J48" i="5"/>
  <c r="I39" i="5"/>
  <c r="Y38" i="55"/>
  <c r="J50" i="5"/>
  <c r="Y37" i="55"/>
  <c r="J49" i="5"/>
  <c r="G32" i="5" l="1"/>
  <c r="P108" i="5"/>
  <c r="S79" i="5"/>
  <c r="S90" i="5"/>
  <c r="F20" i="65"/>
  <c r="DE62" i="38"/>
  <c r="CM61" i="5" s="1"/>
  <c r="EI62" i="38"/>
  <c r="DQ61" i="5" s="1"/>
  <c r="DC62" i="38"/>
  <c r="CK61" i="5" s="1"/>
  <c r="EA62" i="38"/>
  <c r="DI61" i="5" s="1"/>
  <c r="AV62" i="38"/>
  <c r="AD61" i="5" s="1"/>
  <c r="DH62" i="38"/>
  <c r="CP61" i="5" s="1"/>
  <c r="AZ62" i="38"/>
  <c r="AH61" i="5" s="1"/>
  <c r="BD62" i="38"/>
  <c r="AL61" i="5" s="1"/>
  <c r="BZ62" i="38"/>
  <c r="BH61" i="5" s="1"/>
  <c r="EM62" i="38"/>
  <c r="DU61" i="5" s="1"/>
  <c r="EP62" i="38"/>
  <c r="DX61" i="5" s="1"/>
  <c r="BR62" i="38"/>
  <c r="AZ61" i="5" s="1"/>
  <c r="AB62" i="38"/>
  <c r="J61" i="5" s="1"/>
  <c r="AT62" i="38"/>
  <c r="AB61" i="5" s="1"/>
  <c r="AM62" i="38"/>
  <c r="U61" i="5" s="1"/>
  <c r="DP62" i="38"/>
  <c r="CX61" i="5" s="1"/>
  <c r="CJ62" i="38"/>
  <c r="BR61" i="5" s="1"/>
  <c r="BW62" i="38"/>
  <c r="BE61" i="5" s="1"/>
  <c r="DF62" i="38"/>
  <c r="CN61" i="5" s="1"/>
  <c r="BN62" i="38"/>
  <c r="AV61" i="5" s="1"/>
  <c r="CG62" i="38"/>
  <c r="BO61" i="5" s="1"/>
  <c r="EV62" i="38"/>
  <c r="ED61" i="5" s="1"/>
  <c r="EO62" i="38"/>
  <c r="DW61" i="5" s="1"/>
  <c r="ED62" i="38"/>
  <c r="DL61" i="5" s="1"/>
  <c r="CX62" i="38"/>
  <c r="CF61" i="5" s="1"/>
  <c r="Z62" i="38"/>
  <c r="H61" i="5" s="1"/>
  <c r="EZ62" i="38"/>
  <c r="EH61" i="5" s="1"/>
  <c r="CB62" i="38"/>
  <c r="BJ61" i="5" s="1"/>
  <c r="AF62" i="38"/>
  <c r="N61" i="5" s="1"/>
  <c r="DK62" i="38"/>
  <c r="CS61" i="5" s="1"/>
  <c r="CN62" i="38"/>
  <c r="BV61" i="5" s="1"/>
  <c r="EH62" i="38"/>
  <c r="DP61" i="5" s="1"/>
  <c r="EB62" i="38"/>
  <c r="DJ61" i="5" s="1"/>
  <c r="AQ62" i="38"/>
  <c r="Y61" i="5" s="1"/>
  <c r="AY62" i="38"/>
  <c r="AG61" i="5" s="1"/>
  <c r="EG62" i="38"/>
  <c r="DO61" i="5" s="1"/>
  <c r="DT62" i="38"/>
  <c r="DB61" i="5" s="1"/>
  <c r="AC62" i="38"/>
  <c r="K61" i="5" s="1"/>
  <c r="BQ62" i="38"/>
  <c r="AY61" i="5" s="1"/>
  <c r="CY62" i="38"/>
  <c r="CG61" i="5" s="1"/>
  <c r="BU62" i="38"/>
  <c r="BC61" i="5" s="1"/>
  <c r="BM62" i="38"/>
  <c r="AU61" i="5" s="1"/>
  <c r="AG62" i="38"/>
  <c r="O61" i="5" s="1"/>
  <c r="CV62" i="38"/>
  <c r="CD61" i="5" s="1"/>
  <c r="EU62" i="38"/>
  <c r="EC61" i="5" s="1"/>
  <c r="DA62" i="38"/>
  <c r="CI61" i="5" s="1"/>
  <c r="BA62" i="38"/>
  <c r="AI61" i="5" s="1"/>
  <c r="CU62" i="38"/>
  <c r="CC61" i="5" s="1"/>
  <c r="CL62" i="38"/>
  <c r="BT61" i="5" s="1"/>
  <c r="BK62" i="38"/>
  <c r="AS61" i="5" s="1"/>
  <c r="AE62" i="38"/>
  <c r="M61" i="5" s="1"/>
  <c r="DJ62" i="38"/>
  <c r="CR61" i="5" s="1"/>
  <c r="AL62" i="38"/>
  <c r="T61" i="5" s="1"/>
  <c r="DO62" i="38"/>
  <c r="CW61" i="5" s="1"/>
  <c r="DW62" i="38"/>
  <c r="DE61" i="5" s="1"/>
  <c r="BV62" i="38"/>
  <c r="BD61" i="5" s="1"/>
  <c r="DY62" i="38"/>
  <c r="DG61" i="5" s="1"/>
  <c r="BY62" i="38"/>
  <c r="BG61" i="5" s="1"/>
  <c r="AS62" i="38"/>
  <c r="AA61" i="5" s="1"/>
  <c r="DX62" i="38"/>
  <c r="DF61" i="5" s="1"/>
  <c r="BP62" i="38"/>
  <c r="AX61" i="5" s="1"/>
  <c r="ES62" i="38"/>
  <c r="EA61" i="5" s="1"/>
  <c r="BE62" i="38"/>
  <c r="AM61" i="5" s="1"/>
  <c r="CI62" i="38"/>
  <c r="BQ61" i="5" s="1"/>
  <c r="BX62" i="38"/>
  <c r="BF61" i="5" s="1"/>
  <c r="DS62" i="38"/>
  <c r="DA61" i="5" s="1"/>
  <c r="CM62" i="38"/>
  <c r="BU61" i="5" s="1"/>
  <c r="DV62" i="38"/>
  <c r="DD61" i="5" s="1"/>
  <c r="CD62" i="38"/>
  <c r="BL61" i="5" s="1"/>
  <c r="AJ62" i="38"/>
  <c r="R61" i="5" s="1"/>
  <c r="EY62" i="38"/>
  <c r="EG61" i="5" s="1"/>
  <c r="EC62" i="38"/>
  <c r="DK61" i="5" s="1"/>
  <c r="AP62" i="38"/>
  <c r="X61" i="5" s="1"/>
  <c r="CE62" i="38"/>
  <c r="BM61" i="5" s="1"/>
  <c r="EF62" i="38"/>
  <c r="DN61" i="5" s="1"/>
  <c r="CZ62" i="38"/>
  <c r="CH61" i="5" s="1"/>
  <c r="DB62" i="38"/>
  <c r="CJ61" i="5" s="1"/>
  <c r="DR62" i="38"/>
  <c r="CZ61" i="5" s="1"/>
  <c r="CR62" i="38"/>
  <c r="BZ61" i="5" s="1"/>
  <c r="AX62" i="38"/>
  <c r="AF61" i="5" s="1"/>
  <c r="DI62" i="38"/>
  <c r="CQ61" i="5" s="1"/>
  <c r="DG62" i="38"/>
  <c r="CO61" i="5" s="1"/>
  <c r="EK62" i="38"/>
  <c r="DS61" i="5" s="1"/>
  <c r="ET62" i="38"/>
  <c r="EB61" i="5" s="1"/>
  <c r="DN62" i="38"/>
  <c r="CV61" i="5" s="1"/>
  <c r="BT62" i="38"/>
  <c r="BB61" i="5" s="1"/>
  <c r="BG62" i="38"/>
  <c r="AO61" i="5" s="1"/>
  <c r="CP62" i="38"/>
  <c r="BX61" i="5" s="1"/>
  <c r="BL62" i="38"/>
  <c r="AT61" i="5" s="1"/>
  <c r="AD62" i="38"/>
  <c r="L61" i="5" s="1"/>
  <c r="BH62" i="38"/>
  <c r="AP61" i="5" s="1"/>
  <c r="AO62" i="38"/>
  <c r="W61" i="5" s="1"/>
  <c r="BS62" i="38"/>
  <c r="BA61" i="5" s="1"/>
  <c r="AK62" i="38"/>
  <c r="S61" i="5" s="1"/>
  <c r="ER62" i="38"/>
  <c r="DZ61" i="5" s="1"/>
  <c r="CH62" i="38"/>
  <c r="BP61" i="5" s="1"/>
  <c r="EW62" i="38"/>
  <c r="EE61" i="5" s="1"/>
  <c r="EJ62" i="38"/>
  <c r="DR61" i="5" s="1"/>
  <c r="BJ62" i="38"/>
  <c r="AR61" i="5" s="1"/>
  <c r="DM62" i="38"/>
  <c r="CU61" i="5" s="1"/>
  <c r="EQ62" i="38"/>
  <c r="DY61" i="5" s="1"/>
  <c r="AH62" i="38"/>
  <c r="P61" i="5" s="1"/>
  <c r="BO62" i="38"/>
  <c r="AW61" i="5" s="1"/>
  <c r="AI62" i="38"/>
  <c r="Q61" i="5" s="1"/>
  <c r="DL62" i="38"/>
  <c r="CT61" i="5" s="1"/>
  <c r="AN62" i="38"/>
  <c r="V61" i="5" s="1"/>
  <c r="AA62" i="38"/>
  <c r="I61" i="5" s="1"/>
  <c r="DD62" i="38"/>
  <c r="CL61" i="5" s="1"/>
  <c r="CQ62" i="38"/>
  <c r="BY61" i="5" s="1"/>
  <c r="DU62" i="38"/>
  <c r="DC61" i="5" s="1"/>
  <c r="AW62" i="38"/>
  <c r="AE61" i="5" s="1"/>
  <c r="DZ62" i="38"/>
  <c r="DH61" i="5" s="1"/>
  <c r="BB62" i="38"/>
  <c r="AJ61" i="5" s="1"/>
  <c r="DQ62" i="38"/>
  <c r="CY61" i="5" s="1"/>
  <c r="CS62" i="38"/>
  <c r="CA61" i="5" s="1"/>
  <c r="CK62" i="38"/>
  <c r="BS61" i="5" s="1"/>
  <c r="CA62" i="38"/>
  <c r="BI61" i="5" s="1"/>
  <c r="EN62" i="38"/>
  <c r="DV61" i="5" s="1"/>
  <c r="EE62" i="38"/>
  <c r="DM61" i="5" s="1"/>
  <c r="CC62" i="38"/>
  <c r="BK61" i="5" s="1"/>
  <c r="AR62" i="38"/>
  <c r="Z61" i="5" s="1"/>
  <c r="BC62" i="38"/>
  <c r="AK61" i="5" s="1"/>
  <c r="AU62" i="38"/>
  <c r="AC61" i="5" s="1"/>
  <c r="CF62" i="38"/>
  <c r="BN61" i="5" s="1"/>
  <c r="CW62" i="38"/>
  <c r="CE61" i="5" s="1"/>
  <c r="Y62" i="38"/>
  <c r="G61" i="5" s="1"/>
  <c r="BF62" i="38"/>
  <c r="AN61" i="5" s="1"/>
  <c r="CO62" i="38"/>
  <c r="BW61" i="5" s="1"/>
  <c r="BI62" i="38"/>
  <c r="AQ61" i="5" s="1"/>
  <c r="EL62" i="38"/>
  <c r="DT61" i="5" s="1"/>
  <c r="CT62" i="38"/>
  <c r="CB61" i="5" s="1"/>
  <c r="EX62" i="38"/>
  <c r="EF61" i="5" s="1"/>
  <c r="AG15" i="55"/>
  <c r="AG25" i="55" s="1"/>
  <c r="AF16" i="55"/>
  <c r="AF26" i="55" s="1"/>
  <c r="AI93" i="38"/>
  <c r="AF13" i="55"/>
  <c r="AF23" i="55" s="1"/>
  <c r="AI22" i="38"/>
  <c r="AI39" i="38"/>
  <c r="AJ4" i="38"/>
  <c r="AK3" i="38"/>
  <c r="AX29" i="53"/>
  <c r="AX31" i="53" s="1"/>
  <c r="AX99" i="53" s="1"/>
  <c r="BA6" i="53"/>
  <c r="BA11" i="53" s="1"/>
  <c r="BB7" i="53"/>
  <c r="S5" i="5"/>
  <c r="T4" i="5"/>
  <c r="S68" i="5"/>
  <c r="S85" i="5"/>
  <c r="S59" i="5"/>
  <c r="S53" i="5"/>
  <c r="R70" i="5"/>
  <c r="R69" i="5"/>
  <c r="Q87" i="5"/>
  <c r="N19" i="6"/>
  <c r="Q86" i="5" s="1"/>
  <c r="N41" i="6"/>
  <c r="Q93" i="5" s="1"/>
  <c r="Q94" i="5"/>
  <c r="O36" i="6"/>
  <c r="O14" i="6"/>
  <c r="O16" i="6"/>
  <c r="O7" i="6"/>
  <c r="O40" i="6"/>
  <c r="R92" i="5" s="1"/>
  <c r="O27" i="6"/>
  <c r="O28" i="6" s="1"/>
  <c r="O26" i="6"/>
  <c r="O24" i="6"/>
  <c r="O25" i="6"/>
  <c r="O38" i="6"/>
  <c r="O34" i="6"/>
  <c r="R91" i="5" s="1"/>
  <c r="P6" i="6"/>
  <c r="P12" i="6" s="1"/>
  <c r="O18" i="6"/>
  <c r="N29" i="6"/>
  <c r="O23" i="6" s="1"/>
  <c r="AW10" i="57"/>
  <c r="AT10" i="57" s="1"/>
  <c r="L45" i="5"/>
  <c r="AA34" i="55"/>
  <c r="BA84" i="53"/>
  <c r="BB8" i="53"/>
  <c r="AI3" i="55"/>
  <c r="AH41" i="55"/>
  <c r="S8" i="6"/>
  <c r="AF17" i="55"/>
  <c r="AF27" i="55" s="1"/>
  <c r="AF14" i="55"/>
  <c r="AF24" i="55" s="1"/>
  <c r="AF12" i="55"/>
  <c r="AF22" i="55" s="1"/>
  <c r="AV44" i="53"/>
  <c r="AV47" i="53" s="1"/>
  <c r="AM77" i="53"/>
  <c r="AM78" i="53" s="1"/>
  <c r="AN60" i="53"/>
  <c r="AN57" i="53" s="1"/>
  <c r="AN56" i="53" s="1"/>
  <c r="AN76" i="53" s="1"/>
  <c r="AN22" i="53"/>
  <c r="AM66" i="53"/>
  <c r="AM79" i="53"/>
  <c r="AM23" i="53" s="1"/>
  <c r="G40" i="5"/>
  <c r="V21" i="55"/>
  <c r="V28" i="55" s="1"/>
  <c r="H38" i="5" s="1"/>
  <c r="H40" i="5" s="1"/>
  <c r="W11" i="55"/>
  <c r="E56" i="53"/>
  <c r="F56" i="53"/>
  <c r="AO40" i="53"/>
  <c r="AO49" i="53" s="1"/>
  <c r="AO50" i="53" s="1"/>
  <c r="J39" i="5"/>
  <c r="AN89" i="53"/>
  <c r="Z39" i="55"/>
  <c r="K51" i="5"/>
  <c r="Z35" i="55"/>
  <c r="K47" i="5"/>
  <c r="Z40" i="55"/>
  <c r="K52" i="5"/>
  <c r="I29" i="5"/>
  <c r="Z38" i="55"/>
  <c r="K50" i="5"/>
  <c r="K39" i="5" s="1"/>
  <c r="C47" i="43"/>
  <c r="AQ11" i="57"/>
  <c r="AR11" i="57"/>
  <c r="AP11" i="57"/>
  <c r="Z36" i="55"/>
  <c r="K48" i="5"/>
  <c r="Z37" i="55"/>
  <c r="K49" i="5"/>
  <c r="J24" i="5"/>
  <c r="J28" i="5" s="1"/>
  <c r="AP39" i="53"/>
  <c r="AQ38" i="53"/>
  <c r="AQ35" i="53"/>
  <c r="AP36" i="53"/>
  <c r="J23" i="5"/>
  <c r="J27" i="5" s="1"/>
  <c r="Q108" i="5" l="1"/>
  <c r="T79" i="5"/>
  <c r="T90" i="5"/>
  <c r="T53" i="5"/>
  <c r="AI95" i="38"/>
  <c r="AI104" i="38" s="1"/>
  <c r="J20" i="65"/>
  <c r="E21" i="65" s="1"/>
  <c r="AE95" i="38"/>
  <c r="AB95" i="38"/>
  <c r="AC95" i="38"/>
  <c r="AG95" i="38"/>
  <c r="AF95" i="38"/>
  <c r="Z95" i="38"/>
  <c r="H60" i="5" s="1"/>
  <c r="AH95" i="38"/>
  <c r="AH104" i="38" s="1"/>
  <c r="AH106" i="38" s="1"/>
  <c r="AC104" i="38"/>
  <c r="AE104" i="38"/>
  <c r="Y95" i="38"/>
  <c r="AG104" i="38"/>
  <c r="AA95" i="38"/>
  <c r="AD95" i="38"/>
  <c r="AF104" i="38"/>
  <c r="AB104" i="38"/>
  <c r="AH15" i="55"/>
  <c r="AH25" i="55" s="1"/>
  <c r="AG16" i="55"/>
  <c r="AG26" i="55" s="1"/>
  <c r="AG13" i="55"/>
  <c r="AG23" i="55" s="1"/>
  <c r="O29" i="6"/>
  <c r="P23" i="6" s="1"/>
  <c r="AJ93" i="38"/>
  <c r="AJ22" i="38"/>
  <c r="AJ39" i="38"/>
  <c r="AK4" i="38"/>
  <c r="AL3" i="38"/>
  <c r="AM100" i="53"/>
  <c r="AY29" i="53"/>
  <c r="AY31" i="53" s="1"/>
  <c r="AY99" i="53" s="1"/>
  <c r="AM92" i="53"/>
  <c r="AM93" i="53" s="1"/>
  <c r="AM98" i="53" s="1"/>
  <c r="BB6" i="53"/>
  <c r="BB11" i="53" s="1"/>
  <c r="BC7" i="53"/>
  <c r="S70" i="5"/>
  <c r="S69" i="5"/>
  <c r="T5" i="5"/>
  <c r="U4" i="5"/>
  <c r="T68" i="5"/>
  <c r="T85" i="5"/>
  <c r="T59" i="5"/>
  <c r="O19" i="6"/>
  <c r="R86" i="5" s="1"/>
  <c r="R87" i="5"/>
  <c r="O41" i="6"/>
  <c r="R93" i="5" s="1"/>
  <c r="R94" i="5"/>
  <c r="P7" i="6"/>
  <c r="P16" i="6"/>
  <c r="Q6" i="6"/>
  <c r="Q12" i="6" s="1"/>
  <c r="P34" i="6"/>
  <c r="S91" i="5" s="1"/>
  <c r="P38" i="6"/>
  <c r="P25" i="6"/>
  <c r="P26" i="6"/>
  <c r="P24" i="6"/>
  <c r="P27" i="6"/>
  <c r="P28" i="6" s="1"/>
  <c r="P14" i="6"/>
  <c r="P40" i="6"/>
  <c r="S92" i="5" s="1"/>
  <c r="P18" i="6"/>
  <c r="AU10" i="57"/>
  <c r="AV10" i="57"/>
  <c r="AT11" i="57"/>
  <c r="M45" i="5"/>
  <c r="AB34" i="55"/>
  <c r="AI41" i="55"/>
  <c r="AJ3" i="55"/>
  <c r="T8" i="6"/>
  <c r="BB84" i="53"/>
  <c r="BC8" i="53"/>
  <c r="AG17" i="55"/>
  <c r="AG27" i="55" s="1"/>
  <c r="AG12" i="55"/>
  <c r="AG22" i="55" s="1"/>
  <c r="AG14" i="55"/>
  <c r="AG24" i="55" s="1"/>
  <c r="AW44" i="53"/>
  <c r="AW47" i="53" s="1"/>
  <c r="G12" i="5"/>
  <c r="G13" i="5" s="1"/>
  <c r="H10" i="5" s="1"/>
  <c r="AM82" i="53"/>
  <c r="AM83" i="53" s="1"/>
  <c r="AY16" i="53" s="1"/>
  <c r="AY17" i="53" s="1"/>
  <c r="AY74" i="53" s="1"/>
  <c r="AY81" i="53" s="1"/>
  <c r="AN67" i="53"/>
  <c r="AN59" i="53"/>
  <c r="AN65" i="53" s="1"/>
  <c r="AP40" i="53"/>
  <c r="AP49" i="53" s="1"/>
  <c r="AP50" i="53" s="1"/>
  <c r="AO87" i="53"/>
  <c r="H12" i="5"/>
  <c r="AN82" i="53"/>
  <c r="AN83" i="53" s="1"/>
  <c r="AZ16" i="53" s="1"/>
  <c r="AQ39" i="53"/>
  <c r="AR38" i="53"/>
  <c r="K24" i="5"/>
  <c r="K28" i="5" s="1"/>
  <c r="AA39" i="55"/>
  <c r="L51" i="5"/>
  <c r="AN72" i="53"/>
  <c r="AN77" i="53" s="1"/>
  <c r="AA36" i="55"/>
  <c r="L48" i="5"/>
  <c r="AA38" i="55"/>
  <c r="L50" i="5"/>
  <c r="AA40" i="55"/>
  <c r="L52" i="5"/>
  <c r="AA35" i="55"/>
  <c r="L47" i="5"/>
  <c r="AR35" i="53"/>
  <c r="K23" i="5"/>
  <c r="K27" i="5" s="1"/>
  <c r="AQ36" i="53"/>
  <c r="AA37" i="55"/>
  <c r="L49" i="5"/>
  <c r="J29" i="5"/>
  <c r="W21" i="55"/>
  <c r="W28" i="55" s="1"/>
  <c r="I38" i="5" s="1"/>
  <c r="I40" i="5" s="1"/>
  <c r="X11" i="55"/>
  <c r="AO15" i="53"/>
  <c r="AO20" i="53" s="1"/>
  <c r="AO22" i="53" s="1"/>
  <c r="AO53" i="53"/>
  <c r="R108" i="5" l="1"/>
  <c r="U79" i="5"/>
  <c r="U90" i="5"/>
  <c r="Q60" i="5"/>
  <c r="AI106" i="38"/>
  <c r="F21" i="65"/>
  <c r="AB106" i="38"/>
  <c r="AE106" i="38"/>
  <c r="AC106" i="38"/>
  <c r="N60" i="5"/>
  <c r="AG106" i="38"/>
  <c r="AF106" i="38"/>
  <c r="P60" i="5"/>
  <c r="M60" i="5"/>
  <c r="O60" i="5"/>
  <c r="K60" i="5"/>
  <c r="Z106" i="38"/>
  <c r="J60" i="5"/>
  <c r="G60" i="5"/>
  <c r="Y106" i="38"/>
  <c r="AD104" i="38"/>
  <c r="AD106" i="38" s="1"/>
  <c r="AA104" i="38"/>
  <c r="AA106" i="38" s="1"/>
  <c r="U53" i="5"/>
  <c r="AI15" i="55"/>
  <c r="AI25" i="55" s="1"/>
  <c r="AH16" i="55"/>
  <c r="AH26" i="55" s="1"/>
  <c r="AH13" i="55"/>
  <c r="AH23" i="55" s="1"/>
  <c r="AJ95" i="38"/>
  <c r="AJ104" i="38" s="1"/>
  <c r="P29" i="6"/>
  <c r="Q23" i="6" s="1"/>
  <c r="AK93" i="38"/>
  <c r="AK22" i="38"/>
  <c r="AK95" i="38" s="1"/>
  <c r="AK104" i="38" s="1"/>
  <c r="AK39" i="38"/>
  <c r="AM3" i="38"/>
  <c r="AL4" i="38"/>
  <c r="AZ29" i="53"/>
  <c r="AZ31" i="53" s="1"/>
  <c r="AZ99" i="53" s="1"/>
  <c r="BD7" i="53"/>
  <c r="BC6" i="53"/>
  <c r="BC11" i="53" s="1"/>
  <c r="U68" i="5"/>
  <c r="U5" i="5"/>
  <c r="U85" i="5"/>
  <c r="V4" i="5"/>
  <c r="U59" i="5"/>
  <c r="T70" i="5"/>
  <c r="T69" i="5"/>
  <c r="S94" i="5"/>
  <c r="P41" i="6"/>
  <c r="S93" i="5" s="1"/>
  <c r="Q38" i="6"/>
  <c r="Q40" i="6"/>
  <c r="T92" i="5" s="1"/>
  <c r="Q34" i="6"/>
  <c r="T91" i="5" s="1"/>
  <c r="Q18" i="6"/>
  <c r="Q24" i="6"/>
  <c r="Q25" i="6"/>
  <c r="Q26" i="6"/>
  <c r="R6" i="6"/>
  <c r="R12" i="6" s="1"/>
  <c r="Q14" i="6"/>
  <c r="Q27" i="6"/>
  <c r="Q28" i="6" s="1"/>
  <c r="Q16" i="6"/>
  <c r="Q7" i="6"/>
  <c r="S87" i="5"/>
  <c r="P19" i="6"/>
  <c r="S86" i="5" s="1"/>
  <c r="AU11" i="57"/>
  <c r="AV12" i="57"/>
  <c r="AW11" i="57"/>
  <c r="AU13" i="57"/>
  <c r="AV11" i="57"/>
  <c r="AC34" i="55"/>
  <c r="N45" i="5"/>
  <c r="BD8" i="53"/>
  <c r="BC84" i="53"/>
  <c r="U8" i="6"/>
  <c r="AK3" i="55"/>
  <c r="AJ41" i="55"/>
  <c r="AH17" i="55"/>
  <c r="AH27" i="55" s="1"/>
  <c r="AH14" i="55"/>
  <c r="AH24" i="55" s="1"/>
  <c r="AH12" i="55"/>
  <c r="AH22" i="55" s="1"/>
  <c r="AN91" i="53"/>
  <c r="AX44" i="53"/>
  <c r="AX47" i="53" s="1"/>
  <c r="G14" i="5"/>
  <c r="H9" i="5" s="1"/>
  <c r="AY73" i="53"/>
  <c r="AY75" i="53" s="1"/>
  <c r="S11" i="5" s="1"/>
  <c r="AN66" i="53"/>
  <c r="AN79" i="53"/>
  <c r="AN23" i="53" s="1"/>
  <c r="H32" i="5"/>
  <c r="AO72" i="53"/>
  <c r="H13" i="5"/>
  <c r="I10" i="5" s="1"/>
  <c r="AQ40" i="53"/>
  <c r="AY18" i="53"/>
  <c r="AY54" i="53" s="1"/>
  <c r="AB37" i="55"/>
  <c r="M49" i="5"/>
  <c r="AR39" i="53"/>
  <c r="L24" i="5"/>
  <c r="L28" i="5" s="1"/>
  <c r="AS38" i="53"/>
  <c r="AB40" i="55"/>
  <c r="M52" i="5"/>
  <c r="K29" i="5"/>
  <c r="L39" i="5"/>
  <c r="AN71" i="53"/>
  <c r="AM95" i="53"/>
  <c r="AZ17" i="53"/>
  <c r="AZ74" i="53" s="1"/>
  <c r="AZ81" i="53" s="1"/>
  <c r="AZ73" i="53"/>
  <c r="X21" i="55"/>
  <c r="X28" i="55" s="1"/>
  <c r="J38" i="5" s="1"/>
  <c r="J40" i="5" s="1"/>
  <c r="Y11" i="55"/>
  <c r="L23" i="5"/>
  <c r="L27" i="5" s="1"/>
  <c r="AR36" i="53"/>
  <c r="AS35" i="53"/>
  <c r="AB38" i="55"/>
  <c r="M50" i="5"/>
  <c r="M39" i="5" s="1"/>
  <c r="AB35" i="55"/>
  <c r="M47" i="5"/>
  <c r="AN78" i="53"/>
  <c r="AB36" i="55"/>
  <c r="M48" i="5"/>
  <c r="AB39" i="55"/>
  <c r="M51" i="5"/>
  <c r="AO88" i="53"/>
  <c r="AO89" i="53" s="1"/>
  <c r="AO60" i="53"/>
  <c r="S108" i="5" l="1"/>
  <c r="V79" i="5"/>
  <c r="V90" i="5"/>
  <c r="J21" i="65"/>
  <c r="E22" i="65" s="1"/>
  <c r="I60" i="5"/>
  <c r="L60" i="5"/>
  <c r="V53" i="5"/>
  <c r="AJ15" i="55"/>
  <c r="AJ25" i="55" s="1"/>
  <c r="AI16" i="55"/>
  <c r="AI26" i="55" s="1"/>
  <c r="AI13" i="55"/>
  <c r="AI23" i="55" s="1"/>
  <c r="R60" i="5"/>
  <c r="AJ106" i="38"/>
  <c r="AK106" i="38"/>
  <c r="S60" i="5"/>
  <c r="AL93" i="38"/>
  <c r="AL22" i="38"/>
  <c r="AL95" i="38" s="1"/>
  <c r="AL104" i="38" s="1"/>
  <c r="AL39" i="38"/>
  <c r="AN3" i="38"/>
  <c r="AM4" i="38"/>
  <c r="AN100" i="53"/>
  <c r="BA29" i="53"/>
  <c r="BA31" i="53" s="1"/>
  <c r="BA99" i="53" s="1"/>
  <c r="BE7" i="53"/>
  <c r="BD6" i="53"/>
  <c r="BD11" i="53" s="1"/>
  <c r="V68" i="5"/>
  <c r="W4" i="5"/>
  <c r="V85" i="5"/>
  <c r="V5" i="5"/>
  <c r="V59" i="5"/>
  <c r="U70" i="5"/>
  <c r="U69" i="5"/>
  <c r="R34" i="6"/>
  <c r="U91" i="5" s="1"/>
  <c r="S6" i="6"/>
  <c r="S12" i="6" s="1"/>
  <c r="R27" i="6"/>
  <c r="R28" i="6" s="1"/>
  <c r="R16" i="6"/>
  <c r="R14" i="6"/>
  <c r="R38" i="6"/>
  <c r="R7" i="6"/>
  <c r="R18" i="6"/>
  <c r="R24" i="6"/>
  <c r="R26" i="6"/>
  <c r="R40" i="6"/>
  <c r="U92" i="5" s="1"/>
  <c r="R25" i="6"/>
  <c r="Q29" i="6"/>
  <c r="R23" i="6" s="1"/>
  <c r="Q19" i="6"/>
  <c r="T86" i="5" s="1"/>
  <c r="T87" i="5"/>
  <c r="T94" i="5"/>
  <c r="Q41" i="6"/>
  <c r="T93" i="5" s="1"/>
  <c r="AV13" i="57"/>
  <c r="AU12" i="57"/>
  <c r="AD34" i="55"/>
  <c r="O45" i="5"/>
  <c r="BD84" i="53"/>
  <c r="BE8" i="53"/>
  <c r="AL3" i="55"/>
  <c r="AK41" i="55"/>
  <c r="V8" i="6"/>
  <c r="AI17" i="55"/>
  <c r="AI27" i="55" s="1"/>
  <c r="AI12" i="55"/>
  <c r="AI22" i="55" s="1"/>
  <c r="AI14" i="55"/>
  <c r="AI24" i="55" s="1"/>
  <c r="AN92" i="53"/>
  <c r="AQ49" i="53"/>
  <c r="AQ50" i="53" s="1"/>
  <c r="AY44" i="53"/>
  <c r="AY47" i="53" s="1"/>
  <c r="AO71" i="53"/>
  <c r="H14" i="5"/>
  <c r="I9" i="5" s="1"/>
  <c r="AZ75" i="53"/>
  <c r="T11" i="5" s="1"/>
  <c r="AZ18" i="53"/>
  <c r="AZ54" i="53" s="1"/>
  <c r="AR40" i="53"/>
  <c r="AR49" i="53" s="1"/>
  <c r="AR50" i="53" s="1"/>
  <c r="AP87" i="53"/>
  <c r="AN95" i="53"/>
  <c r="AC35" i="55"/>
  <c r="N47" i="5"/>
  <c r="AO67" i="53"/>
  <c r="AO59" i="53"/>
  <c r="AO65" i="53" s="1"/>
  <c r="AO57" i="53"/>
  <c r="AC40" i="55"/>
  <c r="N52" i="5"/>
  <c r="AC38" i="55"/>
  <c r="N50" i="5"/>
  <c r="Y21" i="55"/>
  <c r="Y28" i="55" s="1"/>
  <c r="K38" i="5" s="1"/>
  <c r="K40" i="5" s="1"/>
  <c r="Z11" i="55"/>
  <c r="M23" i="5"/>
  <c r="M27" i="5" s="1"/>
  <c r="AS36" i="53"/>
  <c r="AT35" i="53"/>
  <c r="L29" i="5"/>
  <c r="M24" i="5"/>
  <c r="M28" i="5" s="1"/>
  <c r="AS39" i="53"/>
  <c r="AT38" i="53"/>
  <c r="AC37" i="55"/>
  <c r="N49" i="5"/>
  <c r="AM96" i="53"/>
  <c r="G30" i="5" s="1"/>
  <c r="AC39" i="55"/>
  <c r="N51" i="5"/>
  <c r="AC36" i="55"/>
  <c r="N48" i="5"/>
  <c r="I32" i="5" l="1"/>
  <c r="T108" i="5"/>
  <c r="AK15" i="55"/>
  <c r="AK25" i="55" s="1"/>
  <c r="W79" i="5"/>
  <c r="W90" i="5"/>
  <c r="F22" i="65"/>
  <c r="W53" i="5"/>
  <c r="AJ16" i="55"/>
  <c r="AJ26" i="55" s="1"/>
  <c r="AJ13" i="55"/>
  <c r="AJ23" i="55" s="1"/>
  <c r="R29" i="6"/>
  <c r="S23" i="6" s="1"/>
  <c r="AL106" i="38"/>
  <c r="T60" i="5"/>
  <c r="AM93" i="38"/>
  <c r="AM22" i="38"/>
  <c r="AM95" i="38" s="1"/>
  <c r="AM104" i="38" s="1"/>
  <c r="AM39" i="38"/>
  <c r="AO3" i="38"/>
  <c r="AN4" i="38"/>
  <c r="BB29" i="53"/>
  <c r="BB31" i="53" s="1"/>
  <c r="BB99" i="53" s="1"/>
  <c r="BF7" i="53"/>
  <c r="BE6" i="53"/>
  <c r="BE11" i="53" s="1"/>
  <c r="W68" i="5"/>
  <c r="W5" i="5"/>
  <c r="W85" i="5"/>
  <c r="X4" i="5"/>
  <c r="W59" i="5"/>
  <c r="V69" i="5"/>
  <c r="V70" i="5"/>
  <c r="R41" i="6"/>
  <c r="U93" i="5" s="1"/>
  <c r="U94" i="5"/>
  <c r="U87" i="5"/>
  <c r="R19" i="6"/>
  <c r="U86" i="5" s="1"/>
  <c r="S26" i="6"/>
  <c r="S24" i="6"/>
  <c r="S14" i="6"/>
  <c r="S40" i="6"/>
  <c r="V92" i="5" s="1"/>
  <c r="T6" i="6"/>
  <c r="T12" i="6" s="1"/>
  <c r="S18" i="6"/>
  <c r="S27" i="6"/>
  <c r="S28" i="6" s="1"/>
  <c r="S34" i="6"/>
  <c r="V91" i="5" s="1"/>
  <c r="S7" i="6"/>
  <c r="S38" i="6"/>
  <c r="S16" i="6"/>
  <c r="S25" i="6"/>
  <c r="P45" i="5"/>
  <c r="AE34" i="55"/>
  <c r="AL41" i="55"/>
  <c r="AM3" i="55"/>
  <c r="W8" i="6"/>
  <c r="BE84" i="53"/>
  <c r="BF8" i="53"/>
  <c r="AJ17" i="55"/>
  <c r="AJ27" i="55" s="1"/>
  <c r="AJ14" i="55"/>
  <c r="AJ24" i="55" s="1"/>
  <c r="AJ12" i="55"/>
  <c r="AJ22" i="55" s="1"/>
  <c r="AZ44" i="53"/>
  <c r="AZ47" i="53" s="1"/>
  <c r="AL15" i="55"/>
  <c r="AL25" i="55" s="1"/>
  <c r="G31" i="5"/>
  <c r="AD35" i="55"/>
  <c r="O47" i="5"/>
  <c r="N39" i="5"/>
  <c r="AD38" i="55"/>
  <c r="O50" i="5"/>
  <c r="O39" i="5" s="1"/>
  <c r="AD36" i="55"/>
  <c r="O48" i="5"/>
  <c r="AN93" i="53"/>
  <c r="AD37" i="55"/>
  <c r="O49" i="5"/>
  <c r="AD39" i="55"/>
  <c r="O51" i="5"/>
  <c r="N23" i="5"/>
  <c r="N27" i="5" s="1"/>
  <c r="AU35" i="53"/>
  <c r="AT36" i="53"/>
  <c r="AA11" i="55"/>
  <c r="Z21" i="55"/>
  <c r="Z28" i="55" s="1"/>
  <c r="L38" i="5" s="1"/>
  <c r="AS40" i="53"/>
  <c r="AS49" i="53" s="1"/>
  <c r="AS50" i="53" s="1"/>
  <c r="M29" i="5"/>
  <c r="AD40" i="55"/>
  <c r="O52" i="5"/>
  <c r="AT39" i="53"/>
  <c r="N24" i="5"/>
  <c r="N28" i="5" s="1"/>
  <c r="AU38" i="53"/>
  <c r="AO66" i="53"/>
  <c r="AO79" i="53"/>
  <c r="AO23" i="53" s="1"/>
  <c r="AP15" i="53"/>
  <c r="AP20" i="53" s="1"/>
  <c r="AP22" i="53" s="1"/>
  <c r="AP53" i="53"/>
  <c r="AO56" i="53"/>
  <c r="AO76" i="53" s="1"/>
  <c r="AP88" i="53"/>
  <c r="AP89" i="53" s="1"/>
  <c r="AK16" i="55" l="1"/>
  <c r="AK26" i="55" s="1"/>
  <c r="U108" i="5"/>
  <c r="X79" i="5"/>
  <c r="X90" i="5"/>
  <c r="X53" i="5"/>
  <c r="J22" i="65"/>
  <c r="E23" i="65" s="1"/>
  <c r="AK13" i="55"/>
  <c r="AK23" i="55" s="1"/>
  <c r="AM106" i="38"/>
  <c r="U60" i="5"/>
  <c r="AN93" i="38"/>
  <c r="AN95" i="38" s="1"/>
  <c r="AN104" i="38" s="1"/>
  <c r="AN22" i="38"/>
  <c r="AN39" i="38"/>
  <c r="AO4" i="38"/>
  <c r="AP3" i="38"/>
  <c r="BC29" i="53"/>
  <c r="BC31" i="53" s="1"/>
  <c r="BC99" i="53" s="1"/>
  <c r="BG7" i="53"/>
  <c r="BF6" i="53"/>
  <c r="BF11" i="53" s="1"/>
  <c r="X68" i="5"/>
  <c r="X85" i="5"/>
  <c r="X5" i="5"/>
  <c r="Y4" i="5"/>
  <c r="X59" i="5"/>
  <c r="W69" i="5"/>
  <c r="W70" i="5"/>
  <c r="T25" i="6"/>
  <c r="U6" i="6"/>
  <c r="U12" i="6" s="1"/>
  <c r="T34" i="6"/>
  <c r="W91" i="5" s="1"/>
  <c r="T26" i="6"/>
  <c r="T14" i="6"/>
  <c r="T38" i="6"/>
  <c r="T16" i="6"/>
  <c r="T27" i="6"/>
  <c r="T28" i="6" s="1"/>
  <c r="T40" i="6"/>
  <c r="W92" i="5" s="1"/>
  <c r="T7" i="6"/>
  <c r="T24" i="6"/>
  <c r="T18" i="6"/>
  <c r="S29" i="6"/>
  <c r="T23" i="6" s="1"/>
  <c r="V87" i="5"/>
  <c r="S19" i="6"/>
  <c r="V86" i="5" s="1"/>
  <c r="V94" i="5"/>
  <c r="S41" i="6"/>
  <c r="V93" i="5" s="1"/>
  <c r="AF34" i="55"/>
  <c r="Q45" i="5"/>
  <c r="BF84" i="53"/>
  <c r="BG8" i="53"/>
  <c r="X8" i="6"/>
  <c r="AN3" i="55"/>
  <c r="AM41" i="55"/>
  <c r="AK17" i="55"/>
  <c r="AK27" i="55" s="1"/>
  <c r="AK12" i="55"/>
  <c r="AK22" i="55" s="1"/>
  <c r="AK14" i="55"/>
  <c r="AK24" i="55" s="1"/>
  <c r="BA44" i="53"/>
  <c r="BA47" i="53" s="1"/>
  <c r="AT40" i="53"/>
  <c r="AT49" i="53" s="1"/>
  <c r="AT50" i="53" s="1"/>
  <c r="AL16" i="55"/>
  <c r="AL26" i="55" s="1"/>
  <c r="AM15" i="55"/>
  <c r="AM25" i="55" s="1"/>
  <c r="AQ87" i="53"/>
  <c r="AO91" i="53"/>
  <c r="AN98" i="53"/>
  <c r="AN96" i="53"/>
  <c r="AP60" i="53"/>
  <c r="AE39" i="55"/>
  <c r="P51" i="5"/>
  <c r="AE35" i="55"/>
  <c r="P47" i="5"/>
  <c r="AO82" i="53"/>
  <c r="AO83" i="53" s="1"/>
  <c r="BA16" i="53" s="1"/>
  <c r="I12" i="5"/>
  <c r="I13" i="5" s="1"/>
  <c r="AO77" i="53"/>
  <c r="AB11" i="55"/>
  <c r="AA21" i="55"/>
  <c r="AA28" i="55" s="1"/>
  <c r="M38" i="5" s="1"/>
  <c r="M40" i="5" s="1"/>
  <c r="AE38" i="55"/>
  <c r="P50" i="5"/>
  <c r="P39" i="5" s="1"/>
  <c r="L40" i="5"/>
  <c r="AE40" i="55"/>
  <c r="P52" i="5"/>
  <c r="AE37" i="55"/>
  <c r="P49" i="5"/>
  <c r="AE36" i="55"/>
  <c r="P48" i="5"/>
  <c r="G33" i="5"/>
  <c r="G34" i="5"/>
  <c r="AU39" i="53"/>
  <c r="AV38" i="53"/>
  <c r="O24" i="5"/>
  <c r="O28" i="5" s="1"/>
  <c r="AU36" i="53"/>
  <c r="AV35" i="53"/>
  <c r="O23" i="5"/>
  <c r="O27" i="5" s="1"/>
  <c r="N29" i="5"/>
  <c r="V108" i="5" l="1"/>
  <c r="H30" i="5"/>
  <c r="H31" i="5" s="1"/>
  <c r="Y79" i="5"/>
  <c r="Y90" i="5"/>
  <c r="F23" i="65"/>
  <c r="Y53" i="5"/>
  <c r="AL13" i="55"/>
  <c r="AL23" i="55" s="1"/>
  <c r="AO39" i="38"/>
  <c r="AN106" i="38"/>
  <c r="V60" i="5"/>
  <c r="AO93" i="38"/>
  <c r="AO95" i="38" s="1"/>
  <c r="AO104" i="38" s="1"/>
  <c r="AO22" i="38"/>
  <c r="AQ3" i="38"/>
  <c r="AP4" i="38"/>
  <c r="BD29" i="53"/>
  <c r="BD31" i="53" s="1"/>
  <c r="BD99" i="53" s="1"/>
  <c r="BH7" i="53"/>
  <c r="BG6" i="53"/>
  <c r="BG11" i="53" s="1"/>
  <c r="Y68" i="5"/>
  <c r="Y5" i="5"/>
  <c r="Z4" i="5"/>
  <c r="Y85" i="5"/>
  <c r="Y59" i="5"/>
  <c r="X70" i="5"/>
  <c r="X69" i="5"/>
  <c r="W87" i="5"/>
  <c r="T19" i="6"/>
  <c r="W86" i="5" s="1"/>
  <c r="W94" i="5"/>
  <c r="T41" i="6"/>
  <c r="W93" i="5" s="1"/>
  <c r="U38" i="6"/>
  <c r="U24" i="6"/>
  <c r="U26" i="6"/>
  <c r="U34" i="6"/>
  <c r="X91" i="5" s="1"/>
  <c r="U25" i="6"/>
  <c r="U18" i="6"/>
  <c r="U14" i="6"/>
  <c r="U40" i="6"/>
  <c r="X92" i="5" s="1"/>
  <c r="U16" i="6"/>
  <c r="V6" i="6"/>
  <c r="V12" i="6" s="1"/>
  <c r="U27" i="6"/>
  <c r="U28" i="6" s="1"/>
  <c r="U7" i="6"/>
  <c r="T29" i="6"/>
  <c r="U23" i="6" s="1"/>
  <c r="AG34" i="55"/>
  <c r="R45" i="5"/>
  <c r="BG84" i="53"/>
  <c r="BH8" i="53"/>
  <c r="Y8" i="6"/>
  <c r="AN41" i="55"/>
  <c r="AO3" i="55"/>
  <c r="AL17" i="55"/>
  <c r="AL27" i="55" s="1"/>
  <c r="AL14" i="55"/>
  <c r="AL24" i="55" s="1"/>
  <c r="AL12" i="55"/>
  <c r="AL22" i="55" s="1"/>
  <c r="BB44" i="53"/>
  <c r="BB47" i="53" s="1"/>
  <c r="AM16" i="55"/>
  <c r="AM26" i="55" s="1"/>
  <c r="AN15" i="55"/>
  <c r="AN25" i="55" s="1"/>
  <c r="AU40" i="53"/>
  <c r="AU49" i="53" s="1"/>
  <c r="AU50" i="53" s="1"/>
  <c r="AF39" i="55"/>
  <c r="Q51" i="5"/>
  <c r="AF36" i="55"/>
  <c r="Q48" i="5"/>
  <c r="AF38" i="55"/>
  <c r="Q50" i="5"/>
  <c r="Q39" i="5" s="1"/>
  <c r="AP72" i="53"/>
  <c r="AO78" i="53"/>
  <c r="AB21" i="55"/>
  <c r="AB28" i="55" s="1"/>
  <c r="N38" i="5" s="1"/>
  <c r="N40" i="5" s="1"/>
  <c r="AC11" i="55"/>
  <c r="J10" i="5"/>
  <c r="I14" i="5"/>
  <c r="J9" i="5" s="1"/>
  <c r="BA73" i="53"/>
  <c r="BA17" i="53"/>
  <c r="BA74" i="53" s="1"/>
  <c r="BA81" i="53" s="1"/>
  <c r="AP57" i="53"/>
  <c r="AP67" i="53"/>
  <c r="AP59" i="53"/>
  <c r="AP65" i="53" s="1"/>
  <c r="AW38" i="53"/>
  <c r="AV39" i="53"/>
  <c r="P24" i="5"/>
  <c r="P28" i="5" s="1"/>
  <c r="AF37" i="55"/>
  <c r="Q49" i="5"/>
  <c r="AF40" i="55"/>
  <c r="Q52" i="5"/>
  <c r="AF35" i="55"/>
  <c r="Q47" i="5"/>
  <c r="O29" i="5"/>
  <c r="AV36" i="53"/>
  <c r="AW35" i="53"/>
  <c r="P23" i="5"/>
  <c r="P27" i="5" s="1"/>
  <c r="G35" i="5"/>
  <c r="AQ88" i="53"/>
  <c r="AQ89" i="53" s="1"/>
  <c r="W108" i="5" l="1"/>
  <c r="Z79" i="5"/>
  <c r="Z90" i="5"/>
  <c r="J23" i="65"/>
  <c r="E24" i="65" s="1"/>
  <c r="Z53" i="5"/>
  <c r="AM13" i="55"/>
  <c r="AM23" i="55" s="1"/>
  <c r="AP93" i="38"/>
  <c r="AP95" i="38" s="1"/>
  <c r="AP104" i="38" s="1"/>
  <c r="AP39" i="38"/>
  <c r="U29" i="6"/>
  <c r="V23" i="6" s="1"/>
  <c r="AO106" i="38"/>
  <c r="W60" i="5"/>
  <c r="AP22" i="38"/>
  <c r="AR3" i="38"/>
  <c r="AQ4" i="38"/>
  <c r="AO100" i="53"/>
  <c r="BE29" i="53"/>
  <c r="BE31" i="53" s="1"/>
  <c r="BE99" i="53" s="1"/>
  <c r="BI7" i="53"/>
  <c r="BH6" i="53"/>
  <c r="BH11" i="53" s="1"/>
  <c r="Z85" i="5"/>
  <c r="Z68" i="5"/>
  <c r="AA4" i="5"/>
  <c r="Z5" i="5"/>
  <c r="Z59" i="5"/>
  <c r="Y70" i="5"/>
  <c r="Y69" i="5"/>
  <c r="X94" i="5"/>
  <c r="U41" i="6"/>
  <c r="X93" i="5" s="1"/>
  <c r="V38" i="6"/>
  <c r="V24" i="6"/>
  <c r="V26" i="6"/>
  <c r="V14" i="6"/>
  <c r="V34" i="6"/>
  <c r="Y91" i="5" s="1"/>
  <c r="V25" i="6"/>
  <c r="V7" i="6"/>
  <c r="V18" i="6"/>
  <c r="V40" i="6"/>
  <c r="Y92" i="5" s="1"/>
  <c r="W6" i="6"/>
  <c r="W12" i="6" s="1"/>
  <c r="V27" i="6"/>
  <c r="V28" i="6" s="1"/>
  <c r="V16" i="6"/>
  <c r="X87" i="5"/>
  <c r="U19" i="6"/>
  <c r="X86" i="5" s="1"/>
  <c r="AH34" i="55"/>
  <c r="S45" i="5"/>
  <c r="Z8" i="6"/>
  <c r="AO41" i="55"/>
  <c r="AA53" i="5" s="1"/>
  <c r="AP3" i="55"/>
  <c r="BH84" i="53"/>
  <c r="BI8" i="53"/>
  <c r="AM17" i="55"/>
  <c r="AM27" i="55" s="1"/>
  <c r="AM12" i="55"/>
  <c r="AM22" i="55" s="1"/>
  <c r="AM14" i="55"/>
  <c r="AM24" i="55" s="1"/>
  <c r="BC44" i="53"/>
  <c r="BC47" i="53" s="1"/>
  <c r="AN16" i="55"/>
  <c r="AN26" i="55" s="1"/>
  <c r="AO15" i="55"/>
  <c r="AO25" i="55" s="1"/>
  <c r="AV40" i="53"/>
  <c r="AV49" i="53" s="1"/>
  <c r="AV50" i="53" s="1"/>
  <c r="BA18" i="53"/>
  <c r="BA54" i="53" s="1"/>
  <c r="Q24" i="5"/>
  <c r="Q28" i="5" s="1"/>
  <c r="AX38" i="53"/>
  <c r="AY38" i="53" s="1"/>
  <c r="AY39" i="53" s="1"/>
  <c r="AW39" i="53"/>
  <c r="AG38" i="55"/>
  <c r="R50" i="5"/>
  <c r="R39" i="5" s="1"/>
  <c r="AC21" i="55"/>
  <c r="AC28" i="55" s="1"/>
  <c r="O38" i="5" s="1"/>
  <c r="O40" i="5" s="1"/>
  <c r="AD11" i="55"/>
  <c r="AR87" i="53"/>
  <c r="AG35" i="55"/>
  <c r="R47" i="5"/>
  <c r="AG36" i="55"/>
  <c r="R48" i="5"/>
  <c r="AG37" i="55"/>
  <c r="R49" i="5"/>
  <c r="G42" i="5"/>
  <c r="P29" i="5"/>
  <c r="H33" i="5"/>
  <c r="H34" i="5"/>
  <c r="AG39" i="55"/>
  <c r="R51" i="5"/>
  <c r="AG40" i="55"/>
  <c r="R52" i="5"/>
  <c r="AX35" i="53"/>
  <c r="Q23" i="5"/>
  <c r="Q27" i="5" s="1"/>
  <c r="AW36" i="53"/>
  <c r="AP71" i="53"/>
  <c r="AO92" i="53"/>
  <c r="AO93" i="53" s="1"/>
  <c r="AO95" i="53"/>
  <c r="AP79" i="53"/>
  <c r="AP23" i="53" s="1"/>
  <c r="AP66" i="53"/>
  <c r="J32" i="5"/>
  <c r="AQ53" i="53"/>
  <c r="AQ15" i="53"/>
  <c r="AQ20" i="53" s="1"/>
  <c r="AQ22" i="53" s="1"/>
  <c r="AP56" i="53"/>
  <c r="AP76" i="53" s="1"/>
  <c r="BA75" i="53"/>
  <c r="AP77" i="53" l="1"/>
  <c r="AQ72" i="53" s="1"/>
  <c r="X108" i="5"/>
  <c r="AA79" i="5"/>
  <c r="AA90" i="5"/>
  <c r="F24" i="65"/>
  <c r="AN13" i="55"/>
  <c r="AN23" i="55" s="1"/>
  <c r="AP106" i="38"/>
  <c r="X60" i="5"/>
  <c r="AQ93" i="38"/>
  <c r="AQ95" i="38" s="1"/>
  <c r="AQ104" i="38" s="1"/>
  <c r="AQ22" i="38"/>
  <c r="AQ39" i="38"/>
  <c r="AR4" i="38"/>
  <c r="AS3" i="38"/>
  <c r="BF29" i="53"/>
  <c r="BF31" i="53" s="1"/>
  <c r="BF99" i="53" s="1"/>
  <c r="BI6" i="53"/>
  <c r="BI11" i="53" s="1"/>
  <c r="BJ7" i="53"/>
  <c r="AA85" i="5"/>
  <c r="AB4" i="5"/>
  <c r="AA5" i="5"/>
  <c r="AA68" i="5"/>
  <c r="AA59" i="5"/>
  <c r="Z69" i="5"/>
  <c r="Z70" i="5"/>
  <c r="W27" i="6"/>
  <c r="W28" i="6" s="1"/>
  <c r="W7" i="6"/>
  <c r="W38" i="6"/>
  <c r="W26" i="6"/>
  <c r="W25" i="6"/>
  <c r="W24" i="6"/>
  <c r="W16" i="6"/>
  <c r="W40" i="6"/>
  <c r="Z92" i="5" s="1"/>
  <c r="W14" i="6"/>
  <c r="W34" i="6"/>
  <c r="Z91" i="5" s="1"/>
  <c r="X6" i="6"/>
  <c r="X12" i="6" s="1"/>
  <c r="W18" i="6"/>
  <c r="V29" i="6"/>
  <c r="W23" i="6" s="1"/>
  <c r="V41" i="6"/>
  <c r="Y93" i="5" s="1"/>
  <c r="Y94" i="5"/>
  <c r="Y87" i="5"/>
  <c r="V19" i="6"/>
  <c r="Y86" i="5" s="1"/>
  <c r="T45" i="5"/>
  <c r="AI34" i="55"/>
  <c r="BI84" i="53"/>
  <c r="BJ8" i="53"/>
  <c r="AQ3" i="55"/>
  <c r="AP41" i="55"/>
  <c r="AA8" i="6"/>
  <c r="AN17" i="55"/>
  <c r="AN27" i="55" s="1"/>
  <c r="AN14" i="55"/>
  <c r="AN24" i="55" s="1"/>
  <c r="AN12" i="55"/>
  <c r="AN22" i="55" s="1"/>
  <c r="BD44" i="53"/>
  <c r="BD47" i="53" s="1"/>
  <c r="AO16" i="55"/>
  <c r="AO26" i="55" s="1"/>
  <c r="H35" i="5"/>
  <c r="AP15" i="55"/>
  <c r="AP25" i="55" s="1"/>
  <c r="AW40" i="53"/>
  <c r="AW49" i="53" s="1"/>
  <c r="AW50" i="53" s="1"/>
  <c r="AO96" i="53"/>
  <c r="I30" i="5" s="1"/>
  <c r="AO98" i="53"/>
  <c r="AP91" i="53"/>
  <c r="Q29" i="5"/>
  <c r="G46" i="5"/>
  <c r="G62" i="5"/>
  <c r="AD21" i="55"/>
  <c r="AD28" i="55" s="1"/>
  <c r="P38" i="5" s="1"/>
  <c r="P40" i="5" s="1"/>
  <c r="AE11" i="55"/>
  <c r="AR88" i="53"/>
  <c r="AR89" i="53" s="1"/>
  <c r="AQ60" i="53"/>
  <c r="AQ59" i="53" s="1"/>
  <c r="AX36" i="53"/>
  <c r="R23" i="5"/>
  <c r="R27" i="5" s="1"/>
  <c r="AY35" i="53"/>
  <c r="AH40" i="55"/>
  <c r="S52" i="5"/>
  <c r="AH39" i="55"/>
  <c r="S51" i="5"/>
  <c r="AH37" i="55"/>
  <c r="S49" i="5"/>
  <c r="AH38" i="55"/>
  <c r="S50" i="5"/>
  <c r="AH35" i="55"/>
  <c r="S47" i="5"/>
  <c r="R24" i="5"/>
  <c r="R28" i="5" s="1"/>
  <c r="AX39" i="53"/>
  <c r="AH36" i="55"/>
  <c r="S48" i="5"/>
  <c r="AP82" i="53"/>
  <c r="AP83" i="53" s="1"/>
  <c r="BB16" i="53" s="1"/>
  <c r="J12" i="5"/>
  <c r="J13" i="5" s="1"/>
  <c r="U11" i="5"/>
  <c r="AP78" i="53" l="1"/>
  <c r="AP100" i="53" s="1"/>
  <c r="H42" i="5"/>
  <c r="H62" i="5" s="1"/>
  <c r="H63" i="5" s="1"/>
  <c r="Y108" i="5"/>
  <c r="AB79" i="5"/>
  <c r="AB90" i="5"/>
  <c r="J24" i="65"/>
  <c r="E25" i="65" s="1"/>
  <c r="F25" i="65" s="1"/>
  <c r="AB53" i="5"/>
  <c r="AO13" i="55"/>
  <c r="AO23" i="55" s="1"/>
  <c r="AQ106" i="38"/>
  <c r="Y60" i="5"/>
  <c r="AR93" i="38"/>
  <c r="AR95" i="38" s="1"/>
  <c r="AR104" i="38" s="1"/>
  <c r="AR22" i="38"/>
  <c r="AR39" i="38"/>
  <c r="AS4" i="38"/>
  <c r="AT3" i="38"/>
  <c r="BG29" i="53"/>
  <c r="BG31" i="53" s="1"/>
  <c r="BG99" i="53" s="1"/>
  <c r="BJ6" i="53"/>
  <c r="BJ11" i="53" s="1"/>
  <c r="BK7" i="53"/>
  <c r="AA69" i="5"/>
  <c r="AA70" i="5"/>
  <c r="AC4" i="5"/>
  <c r="AB85" i="5"/>
  <c r="AB5" i="5"/>
  <c r="AB68" i="5"/>
  <c r="AB59" i="5"/>
  <c r="Y6" i="6"/>
  <c r="Y12" i="6" s="1"/>
  <c r="X14" i="6"/>
  <c r="X7" i="6"/>
  <c r="X38" i="6"/>
  <c r="X26" i="6"/>
  <c r="X25" i="6"/>
  <c r="X16" i="6"/>
  <c r="X24" i="6"/>
  <c r="X40" i="6"/>
  <c r="AA92" i="5" s="1"/>
  <c r="X18" i="6"/>
  <c r="X27" i="6"/>
  <c r="X28" i="6" s="1"/>
  <c r="X34" i="6"/>
  <c r="AA91" i="5" s="1"/>
  <c r="Z87" i="5"/>
  <c r="W19" i="6"/>
  <c r="Z86" i="5" s="1"/>
  <c r="W29" i="6"/>
  <c r="X23" i="6" s="1"/>
  <c r="Z94" i="5"/>
  <c r="W41" i="6"/>
  <c r="Z93" i="5" s="1"/>
  <c r="AJ34" i="55"/>
  <c r="U45" i="5"/>
  <c r="AB8" i="6"/>
  <c r="BJ84" i="53"/>
  <c r="BK8" i="53"/>
  <c r="AR3" i="55"/>
  <c r="AQ41" i="55"/>
  <c r="AO17" i="55"/>
  <c r="AO27" i="55" s="1"/>
  <c r="AO12" i="55"/>
  <c r="AO22" i="55" s="1"/>
  <c r="AO14" i="55"/>
  <c r="AO24" i="55" s="1"/>
  <c r="BE44" i="53"/>
  <c r="BE47" i="53" s="1"/>
  <c r="AP16" i="55"/>
  <c r="AP26" i="55" s="1"/>
  <c r="AQ15" i="55"/>
  <c r="AQ25" i="55" s="1"/>
  <c r="AX40" i="53"/>
  <c r="AX49" i="53" s="1"/>
  <c r="AX50" i="53" s="1"/>
  <c r="AS87" i="53"/>
  <c r="S23" i="5"/>
  <c r="S27" i="5" s="1"/>
  <c r="AY36" i="53"/>
  <c r="AY40" i="53" s="1"/>
  <c r="AZ35" i="53"/>
  <c r="G63" i="5"/>
  <c r="S39" i="5"/>
  <c r="AQ67" i="53"/>
  <c r="AQ57" i="53"/>
  <c r="AQ65" i="53"/>
  <c r="S24" i="5"/>
  <c r="S28" i="5" s="1"/>
  <c r="AZ38" i="53"/>
  <c r="AI37" i="55"/>
  <c r="T49" i="5"/>
  <c r="I31" i="5"/>
  <c r="G54" i="5"/>
  <c r="AI39" i="55"/>
  <c r="T51" i="5"/>
  <c r="AE21" i="55"/>
  <c r="AE28" i="55" s="1"/>
  <c r="Q38" i="5" s="1"/>
  <c r="Q40" i="5" s="1"/>
  <c r="AF11" i="55"/>
  <c r="AI40" i="55"/>
  <c r="T52" i="5"/>
  <c r="AI38" i="55"/>
  <c r="T50" i="5"/>
  <c r="T39" i="5" s="1"/>
  <c r="K10" i="5"/>
  <c r="J14" i="5"/>
  <c r="K9" i="5" s="1"/>
  <c r="AI36" i="55"/>
  <c r="T48" i="5"/>
  <c r="AI35" i="55"/>
  <c r="T47" i="5"/>
  <c r="BB73" i="53"/>
  <c r="BB17" i="53"/>
  <c r="BB74" i="53" s="1"/>
  <c r="BB81" i="53" s="1"/>
  <c r="R29" i="5"/>
  <c r="H46" i="5" l="1"/>
  <c r="H54" i="5" s="1"/>
  <c r="H56" i="5" s="1"/>
  <c r="AP95" i="53"/>
  <c r="AP92" i="53"/>
  <c r="AP93" i="53" s="1"/>
  <c r="AP96" i="53" s="1"/>
  <c r="AQ71" i="53"/>
  <c r="Z108" i="5"/>
  <c r="AC79" i="5"/>
  <c r="AC90" i="5"/>
  <c r="J25" i="65"/>
  <c r="E26" i="65" s="1"/>
  <c r="F26" i="65" s="1"/>
  <c r="AC53" i="5"/>
  <c r="AP13" i="55"/>
  <c r="AP23" i="55" s="1"/>
  <c r="AR106" i="38"/>
  <c r="Z60" i="5"/>
  <c r="AS93" i="38"/>
  <c r="AS22" i="38"/>
  <c r="AS95" i="38"/>
  <c r="AS104" i="38" s="1"/>
  <c r="AS39" i="38"/>
  <c r="AT4" i="38"/>
  <c r="AU3" i="38"/>
  <c r="BH29" i="53"/>
  <c r="BH31" i="53" s="1"/>
  <c r="BH99" i="53" s="1"/>
  <c r="BL7" i="53"/>
  <c r="BK6" i="53"/>
  <c r="BK11" i="53" s="1"/>
  <c r="AB70" i="5"/>
  <c r="AB69" i="5"/>
  <c r="AC68" i="5"/>
  <c r="AC85" i="5"/>
  <c r="AD4" i="5"/>
  <c r="AC5" i="5"/>
  <c r="AC59" i="5"/>
  <c r="X19" i="6"/>
  <c r="AA86" i="5" s="1"/>
  <c r="AA87" i="5"/>
  <c r="X29" i="6"/>
  <c r="Y23" i="6" s="1"/>
  <c r="X41" i="6"/>
  <c r="AA93" i="5" s="1"/>
  <c r="AA94" i="5"/>
  <c r="Y24" i="6"/>
  <c r="Y26" i="6"/>
  <c r="Y14" i="6"/>
  <c r="Y27" i="6"/>
  <c r="Y28" i="6" s="1"/>
  <c r="Y18" i="6"/>
  <c r="Y40" i="6"/>
  <c r="AB92" i="5" s="1"/>
  <c r="Y7" i="6"/>
  <c r="Y34" i="6"/>
  <c r="AB91" i="5" s="1"/>
  <c r="Y25" i="6"/>
  <c r="Y16" i="6"/>
  <c r="Y38" i="6"/>
  <c r="Z6" i="6"/>
  <c r="Z12" i="6" s="1"/>
  <c r="AK34" i="55"/>
  <c r="V45" i="5"/>
  <c r="AR41" i="55"/>
  <c r="AD53" i="5" s="1"/>
  <c r="AS3" i="55"/>
  <c r="BK84" i="53"/>
  <c r="BL8" i="53"/>
  <c r="AC8" i="6"/>
  <c r="AP17" i="55"/>
  <c r="AP27" i="55" s="1"/>
  <c r="AP14" i="55"/>
  <c r="AP24" i="55" s="1"/>
  <c r="AP12" i="55"/>
  <c r="AP22" i="55" s="1"/>
  <c r="BF44" i="53"/>
  <c r="BF47" i="53" s="1"/>
  <c r="AQ16" i="55"/>
  <c r="AQ26" i="55" s="1"/>
  <c r="AR15" i="55"/>
  <c r="AR25" i="55" s="1"/>
  <c r="I34" i="5"/>
  <c r="I33" i="5"/>
  <c r="G56" i="5"/>
  <c r="AF21" i="55"/>
  <c r="AF28" i="55" s="1"/>
  <c r="R38" i="5" s="1"/>
  <c r="R40" i="5" s="1"/>
  <c r="AG11" i="55"/>
  <c r="T23" i="5"/>
  <c r="T27" i="5" s="1"/>
  <c r="AZ36" i="53"/>
  <c r="BA35" i="53"/>
  <c r="AJ39" i="55"/>
  <c r="U51" i="5"/>
  <c r="AJ35" i="55"/>
  <c r="U47" i="5"/>
  <c r="AJ36" i="55"/>
  <c r="U48" i="5"/>
  <c r="T24" i="5"/>
  <c r="T28" i="5" s="1"/>
  <c r="BA38" i="53"/>
  <c r="AZ39" i="53"/>
  <c r="AJ40" i="55"/>
  <c r="U52" i="5"/>
  <c r="AJ37" i="55"/>
  <c r="U49" i="5"/>
  <c r="BB18" i="53"/>
  <c r="BB54" i="53" s="1"/>
  <c r="S29" i="5"/>
  <c r="BB75" i="53"/>
  <c r="AQ66" i="53"/>
  <c r="AQ79" i="53"/>
  <c r="AQ23" i="53" s="1"/>
  <c r="K32" i="5"/>
  <c r="AJ38" i="55"/>
  <c r="U50" i="5"/>
  <c r="AR15" i="53"/>
  <c r="AR20" i="53" s="1"/>
  <c r="AR22" i="53" s="1"/>
  <c r="AR53" i="53"/>
  <c r="AR60" i="53" s="1"/>
  <c r="AQ56" i="53"/>
  <c r="AQ76" i="53" s="1"/>
  <c r="AS88" i="53"/>
  <c r="AS89" i="53" s="1"/>
  <c r="AA108" i="5" l="1"/>
  <c r="J30" i="5"/>
  <c r="J31" i="5" s="1"/>
  <c r="AQ91" i="53"/>
  <c r="AP98" i="53"/>
  <c r="AD79" i="5"/>
  <c r="AD90" i="5"/>
  <c r="J26" i="65"/>
  <c r="E27" i="65" s="1"/>
  <c r="AQ13" i="55"/>
  <c r="AS106" i="38"/>
  <c r="AA60" i="5"/>
  <c r="AT93" i="38"/>
  <c r="AT95" i="38" s="1"/>
  <c r="AT104" i="38" s="1"/>
  <c r="AT22" i="38"/>
  <c r="AT39" i="38"/>
  <c r="AV3" i="38"/>
  <c r="AU4" i="38"/>
  <c r="BI29" i="53"/>
  <c r="BI31" i="53" s="1"/>
  <c r="BI99" i="53" s="1"/>
  <c r="BL6" i="53"/>
  <c r="BL11" i="53" s="1"/>
  <c r="BM7" i="53"/>
  <c r="AD68" i="5"/>
  <c r="AD85" i="5"/>
  <c r="AD5" i="5"/>
  <c r="AE4" i="5"/>
  <c r="AD59" i="5"/>
  <c r="AC70" i="5"/>
  <c r="AC69" i="5"/>
  <c r="Z24" i="6"/>
  <c r="Z25" i="6"/>
  <c r="Z26" i="6"/>
  <c r="Z14" i="6"/>
  <c r="Z34" i="6"/>
  <c r="AC91" i="5" s="1"/>
  <c r="AA6" i="6"/>
  <c r="AA12" i="6" s="1"/>
  <c r="Z40" i="6"/>
  <c r="AC92" i="5" s="1"/>
  <c r="Z27" i="6"/>
  <c r="Z28" i="6" s="1"/>
  <c r="Z16" i="6"/>
  <c r="Z7" i="6"/>
  <c r="Z18" i="6"/>
  <c r="Z38" i="6"/>
  <c r="Y41" i="6"/>
  <c r="AB93" i="5" s="1"/>
  <c r="AB94" i="5"/>
  <c r="AB87" i="5"/>
  <c r="Y19" i="6"/>
  <c r="AB86" i="5" s="1"/>
  <c r="Y29" i="6"/>
  <c r="Z23" i="6" s="1"/>
  <c r="AL34" i="55"/>
  <c r="W45" i="5"/>
  <c r="AD8" i="6"/>
  <c r="BL84" i="53"/>
  <c r="BM8" i="53"/>
  <c r="AS41" i="55"/>
  <c r="AT3" i="55"/>
  <c r="AQ17" i="55"/>
  <c r="AQ27" i="55" s="1"/>
  <c r="AQ12" i="55"/>
  <c r="AQ22" i="55" s="1"/>
  <c r="AQ14" i="55"/>
  <c r="AQ24" i="55" s="1"/>
  <c r="AY49" i="53"/>
  <c r="AY50" i="53" s="1"/>
  <c r="BG44" i="53"/>
  <c r="BG47" i="53" s="1"/>
  <c r="AR16" i="55"/>
  <c r="AR26" i="55" s="1"/>
  <c r="AS15" i="55"/>
  <c r="AS25" i="55" s="1"/>
  <c r="I35" i="5"/>
  <c r="AT87" i="53"/>
  <c r="AT88" i="53" s="1"/>
  <c r="BB38" i="53"/>
  <c r="U24" i="5"/>
  <c r="U28" i="5" s="1"/>
  <c r="BA39" i="53"/>
  <c r="G71" i="5"/>
  <c r="AK36" i="55"/>
  <c r="V48" i="5"/>
  <c r="AK35" i="55"/>
  <c r="V47" i="5"/>
  <c r="U39" i="5"/>
  <c r="AK38" i="55"/>
  <c r="V50" i="5"/>
  <c r="AK39" i="55"/>
  <c r="V51" i="5"/>
  <c r="AH11" i="55"/>
  <c r="AG21" i="55"/>
  <c r="AG28" i="55" s="1"/>
  <c r="S38" i="5" s="1"/>
  <c r="V11" i="5"/>
  <c r="AK37" i="55"/>
  <c r="V49" i="5"/>
  <c r="U23" i="5"/>
  <c r="U27" i="5" s="1"/>
  <c r="BB35" i="53"/>
  <c r="BA36" i="53"/>
  <c r="H71" i="5"/>
  <c r="K12" i="5"/>
  <c r="K13" i="5" s="1"/>
  <c r="AQ82" i="53"/>
  <c r="AQ83" i="53" s="1"/>
  <c r="BC16" i="53" s="1"/>
  <c r="AQ77" i="53"/>
  <c r="AZ40" i="53"/>
  <c r="AZ49" i="53" s="1"/>
  <c r="AZ50" i="53" s="1"/>
  <c r="AK40" i="55"/>
  <c r="V52" i="5"/>
  <c r="T29" i="5"/>
  <c r="I42" i="5" l="1"/>
  <c r="I62" i="5" s="1"/>
  <c r="AB108" i="5"/>
  <c r="AE79" i="5"/>
  <c r="AE90" i="5"/>
  <c r="F27" i="65"/>
  <c r="AQ23" i="55"/>
  <c r="AR13" i="55"/>
  <c r="AT106" i="38"/>
  <c r="AB60" i="5"/>
  <c r="AU93" i="38"/>
  <c r="AU95" i="38" s="1"/>
  <c r="AU104" i="38" s="1"/>
  <c r="AU22" i="38"/>
  <c r="AU39" i="38"/>
  <c r="AV4" i="38"/>
  <c r="AW3" i="38"/>
  <c r="BJ29" i="53"/>
  <c r="BJ31" i="53" s="1"/>
  <c r="BJ99" i="53" s="1"/>
  <c r="BM6" i="53"/>
  <c r="BM11" i="53" s="1"/>
  <c r="BN7" i="53"/>
  <c r="AE68" i="5"/>
  <c r="AF4" i="5"/>
  <c r="AE85" i="5"/>
  <c r="AE5" i="5"/>
  <c r="AE59" i="5"/>
  <c r="AE53" i="5"/>
  <c r="AD70" i="5"/>
  <c r="AD69" i="5"/>
  <c r="Z41" i="6"/>
  <c r="AC93" i="5" s="1"/>
  <c r="AC94" i="5"/>
  <c r="Z19" i="6"/>
  <c r="AC86" i="5" s="1"/>
  <c r="AC87" i="5"/>
  <c r="AA7" i="6"/>
  <c r="AA38" i="6"/>
  <c r="AA24" i="6"/>
  <c r="AA25" i="6"/>
  <c r="AA26" i="6"/>
  <c r="AA14" i="6"/>
  <c r="AB6" i="6"/>
  <c r="AB12" i="6" s="1"/>
  <c r="AA18" i="6"/>
  <c r="Z29" i="6"/>
  <c r="AA23" i="6" s="1"/>
  <c r="AA27" i="6" s="1"/>
  <c r="AA28" i="6" s="1"/>
  <c r="AM34" i="55"/>
  <c r="X45" i="5"/>
  <c r="AU3" i="55"/>
  <c r="AT41" i="55"/>
  <c r="BM84" i="53"/>
  <c r="BN8" i="53"/>
  <c r="AE8" i="6"/>
  <c r="AR17" i="55"/>
  <c r="AR27" i="55" s="1"/>
  <c r="AR14" i="55"/>
  <c r="AR24" i="55" s="1"/>
  <c r="AR12" i="55"/>
  <c r="AR22" i="55" s="1"/>
  <c r="BH44" i="53"/>
  <c r="BH47" i="53" s="1"/>
  <c r="BA40" i="53"/>
  <c r="BA49" i="53" s="1"/>
  <c r="BA50" i="53" s="1"/>
  <c r="AS16" i="55"/>
  <c r="AS26" i="55" s="1"/>
  <c r="AT15" i="55"/>
  <c r="AT25" i="55" s="1"/>
  <c r="AL40" i="55"/>
  <c r="W52" i="5"/>
  <c r="V39" i="5"/>
  <c r="AL38" i="55"/>
  <c r="W50" i="5"/>
  <c r="W39" i="5" s="1"/>
  <c r="AL36" i="55"/>
  <c r="W48" i="5"/>
  <c r="AR72" i="53"/>
  <c r="AQ78" i="53"/>
  <c r="U29" i="5"/>
  <c r="V24" i="5"/>
  <c r="V28" i="5" s="1"/>
  <c r="BC38" i="53"/>
  <c r="BB39" i="53"/>
  <c r="AL35" i="55"/>
  <c r="W47" i="5"/>
  <c r="L10" i="5"/>
  <c r="K14" i="5"/>
  <c r="L9" i="5" s="1"/>
  <c r="AL37" i="55"/>
  <c r="W49" i="5"/>
  <c r="AL39" i="55"/>
  <c r="W51" i="5"/>
  <c r="BC73" i="53"/>
  <c r="BC17" i="53"/>
  <c r="BC74" i="53" s="1"/>
  <c r="BC81" i="53" s="1"/>
  <c r="S40" i="5"/>
  <c r="AH21" i="55"/>
  <c r="AH28" i="55" s="1"/>
  <c r="T38" i="5" s="1"/>
  <c r="T40" i="5" s="1"/>
  <c r="AI11" i="55"/>
  <c r="AR59" i="53"/>
  <c r="AR65" i="53" s="1"/>
  <c r="AR67" i="53"/>
  <c r="AR57" i="53"/>
  <c r="BB36" i="53"/>
  <c r="V23" i="5"/>
  <c r="V27" i="5" s="1"/>
  <c r="BC35" i="53"/>
  <c r="AT89" i="53"/>
  <c r="J34" i="5"/>
  <c r="J33" i="5"/>
  <c r="I46" i="5" l="1"/>
  <c r="I54" i="5" s="1"/>
  <c r="AC108" i="5"/>
  <c r="AF79" i="5"/>
  <c r="AF90" i="5"/>
  <c r="J27" i="65"/>
  <c r="E28" i="65" s="1"/>
  <c r="AF53" i="5"/>
  <c r="AR23" i="55"/>
  <c r="AS13" i="55"/>
  <c r="AA29" i="6"/>
  <c r="AB23" i="6" s="1"/>
  <c r="AU106" i="38"/>
  <c r="AC60" i="5"/>
  <c r="AV93" i="38"/>
  <c r="AV95" i="38" s="1"/>
  <c r="AV104" i="38" s="1"/>
  <c r="AV22" i="38"/>
  <c r="AV39" i="38"/>
  <c r="AX3" i="38"/>
  <c r="AW4" i="38"/>
  <c r="AQ100" i="53"/>
  <c r="BK29" i="53"/>
  <c r="BK31" i="53" s="1"/>
  <c r="BK99" i="53" s="1"/>
  <c r="BN6" i="53"/>
  <c r="BN11" i="53" s="1"/>
  <c r="BO7" i="53"/>
  <c r="AF68" i="5"/>
  <c r="AG4" i="5"/>
  <c r="AF85" i="5"/>
  <c r="AF5" i="5"/>
  <c r="AF59" i="5"/>
  <c r="AE70" i="5"/>
  <c r="AE69" i="5"/>
  <c r="AB7" i="6"/>
  <c r="AB38" i="6"/>
  <c r="AB16" i="6"/>
  <c r="AB27" i="6"/>
  <c r="AB28" i="6" s="1"/>
  <c r="AB24" i="6"/>
  <c r="AB26" i="6"/>
  <c r="AC6" i="6"/>
  <c r="AC12" i="6" s="1"/>
  <c r="AB25" i="6"/>
  <c r="AB34" i="6"/>
  <c r="AE91" i="5" s="1"/>
  <c r="AB18" i="6"/>
  <c r="AB40" i="6"/>
  <c r="AE92" i="5" s="1"/>
  <c r="AD94" i="5"/>
  <c r="AA41" i="6"/>
  <c r="AD93" i="5" s="1"/>
  <c r="AN34" i="55"/>
  <c r="Y45" i="5"/>
  <c r="AF8" i="6"/>
  <c r="BN84" i="53"/>
  <c r="BO8" i="53"/>
  <c r="AU41" i="55"/>
  <c r="AV3" i="55"/>
  <c r="AS17" i="55"/>
  <c r="AS27" i="55" s="1"/>
  <c r="AS12" i="55"/>
  <c r="AS22" i="55" s="1"/>
  <c r="AS14" i="55"/>
  <c r="AS24" i="55" s="1"/>
  <c r="BI44" i="53"/>
  <c r="BI47" i="53" s="1"/>
  <c r="J35" i="5"/>
  <c r="AT16" i="55"/>
  <c r="AT26" i="55" s="1"/>
  <c r="AU15" i="55"/>
  <c r="AU25" i="55" s="1"/>
  <c r="BB40" i="53"/>
  <c r="BB49" i="53" s="1"/>
  <c r="BB50" i="53" s="1"/>
  <c r="AU87" i="53"/>
  <c r="BC75" i="53"/>
  <c r="BC39" i="53"/>
  <c r="BD38" i="53"/>
  <c r="W24" i="5"/>
  <c r="W28" i="5" s="1"/>
  <c r="I63" i="5"/>
  <c r="BC18" i="53"/>
  <c r="BC54" i="53" s="1"/>
  <c r="AM39" i="55"/>
  <c r="X51" i="5"/>
  <c r="AM38" i="55"/>
  <c r="X50" i="5"/>
  <c r="X39" i="5" s="1"/>
  <c r="AJ11" i="55"/>
  <c r="AI21" i="55"/>
  <c r="AI28" i="55" s="1"/>
  <c r="U38" i="5" s="1"/>
  <c r="AM37" i="55"/>
  <c r="X49" i="5"/>
  <c r="AR71" i="53"/>
  <c r="AQ92" i="53"/>
  <c r="AQ93" i="53" s="1"/>
  <c r="AQ95" i="53"/>
  <c r="AM40" i="55"/>
  <c r="X52" i="5"/>
  <c r="W23" i="5"/>
  <c r="W27" i="5" s="1"/>
  <c r="BC36" i="53"/>
  <c r="BD35" i="53"/>
  <c r="V29" i="5"/>
  <c r="AM36" i="55"/>
  <c r="X48" i="5"/>
  <c r="AR66" i="53"/>
  <c r="AR79" i="53"/>
  <c r="AR23" i="53" s="1"/>
  <c r="L32" i="5"/>
  <c r="AM35" i="55"/>
  <c r="X47" i="5"/>
  <c r="AS53" i="53"/>
  <c r="AS15" i="53"/>
  <c r="AS20" i="53" s="1"/>
  <c r="AS22" i="53" s="1"/>
  <c r="AR56" i="53"/>
  <c r="AR76" i="53" s="1"/>
  <c r="J42" i="5" l="1"/>
  <c r="J46" i="5" s="1"/>
  <c r="AR77" i="53"/>
  <c r="AS72" i="53" s="1"/>
  <c r="AG79" i="5"/>
  <c r="AG90" i="5"/>
  <c r="AG53" i="5"/>
  <c r="F28" i="65"/>
  <c r="AB29" i="6"/>
  <c r="AC23" i="6" s="1"/>
  <c r="AS23" i="55"/>
  <c r="AT13" i="55"/>
  <c r="AV106" i="38"/>
  <c r="AD60" i="5"/>
  <c r="AW93" i="38"/>
  <c r="AW95" i="38"/>
  <c r="AW104" i="38" s="1"/>
  <c r="AW22" i="38"/>
  <c r="AW39" i="38"/>
  <c r="AY3" i="38"/>
  <c r="AX4" i="38"/>
  <c r="BL29" i="53"/>
  <c r="BL31" i="53" s="1"/>
  <c r="BL99" i="53" s="1"/>
  <c r="BO6" i="53"/>
  <c r="BO11" i="53" s="1"/>
  <c r="BP7" i="53"/>
  <c r="AG68" i="5"/>
  <c r="AH4" i="5"/>
  <c r="AG85" i="5"/>
  <c r="AG5" i="5"/>
  <c r="AG59" i="5"/>
  <c r="AF70" i="5"/>
  <c r="AF69" i="5"/>
  <c r="AC27" i="6"/>
  <c r="AC28" i="6" s="1"/>
  <c r="AC40" i="6"/>
  <c r="AF92" i="5" s="1"/>
  <c r="AC18" i="6"/>
  <c r="AC38" i="6"/>
  <c r="AC24" i="6"/>
  <c r="AC26" i="6"/>
  <c r="AC25" i="6"/>
  <c r="AC16" i="6"/>
  <c r="AD6" i="6"/>
  <c r="AD12" i="6" s="1"/>
  <c r="AC34" i="6"/>
  <c r="AF91" i="5" s="1"/>
  <c r="AC7" i="6"/>
  <c r="AE87" i="5"/>
  <c r="AB19" i="6"/>
  <c r="AE86" i="5" s="1"/>
  <c r="AE94" i="5"/>
  <c r="AB41" i="6"/>
  <c r="AE93" i="5" s="1"/>
  <c r="Z45" i="5"/>
  <c r="AO34" i="55"/>
  <c r="AW3" i="55"/>
  <c r="AV41" i="55"/>
  <c r="BO84" i="53"/>
  <c r="BP8" i="53"/>
  <c r="AG8" i="6"/>
  <c r="AT17" i="55"/>
  <c r="AT27" i="55" s="1"/>
  <c r="AT14" i="55"/>
  <c r="AT24" i="55" s="1"/>
  <c r="AT12" i="55"/>
  <c r="AT22" i="55" s="1"/>
  <c r="BJ44" i="53"/>
  <c r="BJ47" i="53" s="1"/>
  <c r="BC40" i="53"/>
  <c r="BC49" i="53" s="1"/>
  <c r="BC50" i="53" s="1"/>
  <c r="AU16" i="55"/>
  <c r="AU26" i="55" s="1"/>
  <c r="AV15" i="55"/>
  <c r="AV25" i="55" s="1"/>
  <c r="U40" i="5"/>
  <c r="W11" i="5"/>
  <c r="AN35" i="55"/>
  <c r="Y47" i="5"/>
  <c r="BE35" i="53"/>
  <c r="X23" i="5"/>
  <c r="X27" i="5" s="1"/>
  <c r="BD36" i="53"/>
  <c r="AN37" i="55"/>
  <c r="Y49" i="5"/>
  <c r="AN36" i="55"/>
  <c r="Y48" i="5"/>
  <c r="AJ21" i="55"/>
  <c r="AJ28" i="55" s="1"/>
  <c r="V38" i="5" s="1"/>
  <c r="V40" i="5" s="1"/>
  <c r="AK11" i="55"/>
  <c r="AR82" i="53"/>
  <c r="AR83" i="53" s="1"/>
  <c r="BD16" i="53" s="1"/>
  <c r="L12" i="5"/>
  <c r="L13" i="5" s="1"/>
  <c r="AN39" i="55"/>
  <c r="Y51" i="5"/>
  <c r="AS60" i="53"/>
  <c r="AN38" i="55"/>
  <c r="Y50" i="5"/>
  <c r="Y39" i="5" s="1"/>
  <c r="W29" i="5"/>
  <c r="AN40" i="55"/>
  <c r="Y52" i="5"/>
  <c r="AR91" i="53"/>
  <c r="AQ98" i="53"/>
  <c r="AQ96" i="53"/>
  <c r="K30" i="5" s="1"/>
  <c r="AU88" i="53"/>
  <c r="AU89" i="53" s="1"/>
  <c r="I56" i="5"/>
  <c r="BD39" i="53"/>
  <c r="BE38" i="53"/>
  <c r="X24" i="5"/>
  <c r="X28" i="5" s="1"/>
  <c r="J62" i="5" l="1"/>
  <c r="J63" i="5" s="1"/>
  <c r="AR78" i="53"/>
  <c r="AS71" i="53" s="1"/>
  <c r="AE108" i="5"/>
  <c r="AH79" i="5"/>
  <c r="AH90" i="5"/>
  <c r="J28" i="65"/>
  <c r="E29" i="65" s="1"/>
  <c r="AH53" i="5"/>
  <c r="AT23" i="55"/>
  <c r="AU13" i="55"/>
  <c r="AC29" i="6"/>
  <c r="AD23" i="6" s="1"/>
  <c r="AW106" i="38"/>
  <c r="AE60" i="5"/>
  <c r="AX93" i="38"/>
  <c r="AX39" i="38"/>
  <c r="AX95" i="38"/>
  <c r="AX104" i="38" s="1"/>
  <c r="AX22" i="38"/>
  <c r="AZ3" i="38"/>
  <c r="AY4" i="38"/>
  <c r="BM29" i="53"/>
  <c r="BM31" i="53" s="1"/>
  <c r="BM99" i="53" s="1"/>
  <c r="BQ7" i="53"/>
  <c r="BP6" i="53"/>
  <c r="BP11" i="53" s="1"/>
  <c r="AH85" i="5"/>
  <c r="AI4" i="5"/>
  <c r="AH5" i="5"/>
  <c r="AH68" i="5"/>
  <c r="AH59" i="5"/>
  <c r="AG69" i="5"/>
  <c r="AG70" i="5"/>
  <c r="AE6" i="6"/>
  <c r="AE12" i="6" s="1"/>
  <c r="AD18" i="6"/>
  <c r="AD24" i="6"/>
  <c r="AD16" i="6"/>
  <c r="AD26" i="6"/>
  <c r="AD27" i="6"/>
  <c r="AD28" i="6" s="1"/>
  <c r="AD25" i="6"/>
  <c r="AD7" i="6"/>
  <c r="AD40" i="6"/>
  <c r="AG92" i="5" s="1"/>
  <c r="AD34" i="6"/>
  <c r="AG91" i="5" s="1"/>
  <c r="AD38" i="6"/>
  <c r="AF87" i="5"/>
  <c r="AC19" i="6"/>
  <c r="AF86" i="5" s="1"/>
  <c r="AC41" i="6"/>
  <c r="AF93" i="5" s="1"/>
  <c r="AF94" i="5"/>
  <c r="AP34" i="55"/>
  <c r="AA45" i="5"/>
  <c r="AH8" i="6"/>
  <c r="BP84" i="53"/>
  <c r="BQ8" i="53"/>
  <c r="AX3" i="55"/>
  <c r="AW41" i="55"/>
  <c r="AU17" i="55"/>
  <c r="AU27" i="55" s="1"/>
  <c r="AU12" i="55"/>
  <c r="AU22" i="55" s="1"/>
  <c r="AU14" i="55"/>
  <c r="AU24" i="55" s="1"/>
  <c r="BK44" i="53"/>
  <c r="BK47" i="53" s="1"/>
  <c r="AV16" i="55"/>
  <c r="AV26" i="55" s="1"/>
  <c r="AW15" i="55"/>
  <c r="AW25" i="55" s="1"/>
  <c r="AV87" i="53"/>
  <c r="K31" i="5"/>
  <c r="I71" i="5"/>
  <c r="AO37" i="55"/>
  <c r="Z49" i="5"/>
  <c r="AO35" i="55"/>
  <c r="Z47" i="5"/>
  <c r="AO40" i="55"/>
  <c r="Z52" i="5"/>
  <c r="M10" i="5"/>
  <c r="L14" i="5"/>
  <c r="M9" i="5" s="1"/>
  <c r="BD73" i="53"/>
  <c r="BD17" i="53"/>
  <c r="BD74" i="53" s="1"/>
  <c r="BD81" i="53" s="1"/>
  <c r="AO39" i="55"/>
  <c r="Z51" i="5"/>
  <c r="J54" i="5"/>
  <c r="AL11" i="55"/>
  <c r="AK21" i="55"/>
  <c r="AK28" i="55" s="1"/>
  <c r="W38" i="5" s="1"/>
  <c r="W40" i="5" s="1"/>
  <c r="Y23" i="5"/>
  <c r="Y27" i="5" s="1"/>
  <c r="BF35" i="53"/>
  <c r="BE36" i="53"/>
  <c r="AO38" i="55"/>
  <c r="Z50" i="5"/>
  <c r="Z39" i="5" s="1"/>
  <c r="AS67" i="53"/>
  <c r="AS59" i="53"/>
  <c r="AS65" i="53" s="1"/>
  <c r="AS57" i="53"/>
  <c r="AO36" i="55"/>
  <c r="Z48" i="5"/>
  <c r="BF38" i="53"/>
  <c r="BE39" i="53"/>
  <c r="Y24" i="5"/>
  <c r="Y28" i="5" s="1"/>
  <c r="BD40" i="53"/>
  <c r="BD49" i="53" s="1"/>
  <c r="BD50" i="53" s="1"/>
  <c r="X29" i="5"/>
  <c r="AF108" i="5" l="1"/>
  <c r="AR95" i="53"/>
  <c r="AR92" i="53"/>
  <c r="AR93" i="53" s="1"/>
  <c r="AR98" i="53" s="1"/>
  <c r="AR100" i="53"/>
  <c r="AI79" i="5"/>
  <c r="AI90" i="5"/>
  <c r="AD29" i="6"/>
  <c r="AE23" i="6" s="1"/>
  <c r="F29" i="65"/>
  <c r="AI53" i="5"/>
  <c r="AU23" i="55"/>
  <c r="AV13" i="55"/>
  <c r="AX106" i="38"/>
  <c r="AF60" i="5"/>
  <c r="AY93" i="38"/>
  <c r="AY95" i="38"/>
  <c r="AY104" i="38" s="1"/>
  <c r="AY22" i="38"/>
  <c r="AY39" i="38"/>
  <c r="BA3" i="38"/>
  <c r="AZ4" i="38"/>
  <c r="BN29" i="53"/>
  <c r="BN31" i="53" s="1"/>
  <c r="BN99" i="53" s="1"/>
  <c r="BQ6" i="53"/>
  <c r="BQ11" i="53" s="1"/>
  <c r="BR7" i="53"/>
  <c r="AH70" i="5"/>
  <c r="AH69" i="5"/>
  <c r="AI68" i="5"/>
  <c r="AI85" i="5"/>
  <c r="AJ4" i="5"/>
  <c r="AI5" i="5"/>
  <c r="AI59" i="5"/>
  <c r="AG94" i="5"/>
  <c r="AD41" i="6"/>
  <c r="AG93" i="5" s="1"/>
  <c r="AG87" i="5"/>
  <c r="AD19" i="6"/>
  <c r="AG86" i="5" s="1"/>
  <c r="AE24" i="6"/>
  <c r="AE7" i="6"/>
  <c r="AE27" i="6"/>
  <c r="AE28" i="6" s="1"/>
  <c r="AF6" i="6"/>
  <c r="AF12" i="6" s="1"/>
  <c r="AE40" i="6"/>
  <c r="AH92" i="5" s="1"/>
  <c r="AE18" i="6"/>
  <c r="AE16" i="6"/>
  <c r="AE25" i="6"/>
  <c r="AE34" i="6"/>
  <c r="AH91" i="5" s="1"/>
  <c r="AE38" i="6"/>
  <c r="AE26" i="6"/>
  <c r="AB45" i="5"/>
  <c r="AQ34" i="55"/>
  <c r="AX41" i="55"/>
  <c r="AJ53" i="5" s="1"/>
  <c r="AY3" i="55"/>
  <c r="BQ84" i="53"/>
  <c r="BR8" i="53"/>
  <c r="AI8" i="6"/>
  <c r="AV17" i="55"/>
  <c r="AV27" i="55" s="1"/>
  <c r="AV14" i="55"/>
  <c r="AV24" i="55" s="1"/>
  <c r="AV12" i="55"/>
  <c r="AV22" i="55" s="1"/>
  <c r="BL44" i="53"/>
  <c r="BL47" i="53" s="1"/>
  <c r="AW16" i="55"/>
  <c r="AW26" i="55" s="1"/>
  <c r="AX15" i="55"/>
  <c r="AX25" i="55" s="1"/>
  <c r="BD75" i="53"/>
  <c r="X11" i="5" s="1"/>
  <c r="BD18" i="53"/>
  <c r="BD54" i="53" s="1"/>
  <c r="AP35" i="55"/>
  <c r="AA47" i="5"/>
  <c r="AP38" i="55"/>
  <c r="AA50" i="5"/>
  <c r="AA39" i="5" s="1"/>
  <c r="AP37" i="55"/>
  <c r="AA49" i="5"/>
  <c r="AL21" i="55"/>
  <c r="AL28" i="55" s="1"/>
  <c r="X38" i="5" s="1"/>
  <c r="X40" i="5" s="1"/>
  <c r="AM11" i="55"/>
  <c r="BG35" i="53"/>
  <c r="BF36" i="53"/>
  <c r="Z23" i="5"/>
  <c r="Z27" i="5" s="1"/>
  <c r="J56" i="5"/>
  <c r="AP40" i="55"/>
  <c r="AA52" i="5"/>
  <c r="K33" i="5"/>
  <c r="K34" i="5"/>
  <c r="BE40" i="53"/>
  <c r="BE49" i="53" s="1"/>
  <c r="BE50" i="53" s="1"/>
  <c r="AT53" i="53"/>
  <c r="AT15" i="53"/>
  <c r="AT20" i="53" s="1"/>
  <c r="AT22" i="53" s="1"/>
  <c r="AS56" i="53"/>
  <c r="AS76" i="53" s="1"/>
  <c r="AP39" i="55"/>
  <c r="AA51" i="5"/>
  <c r="BF39" i="53"/>
  <c r="BG38" i="53"/>
  <c r="Z24" i="5"/>
  <c r="Z28" i="5" s="1"/>
  <c r="AP36" i="55"/>
  <c r="AA48" i="5"/>
  <c r="Y29" i="5"/>
  <c r="AS79" i="53"/>
  <c r="AS23" i="53" s="1"/>
  <c r="AS66" i="53"/>
  <c r="M32" i="5"/>
  <c r="AV88" i="53"/>
  <c r="AV89" i="53" s="1"/>
  <c r="AR96" i="53" l="1"/>
  <c r="L30" i="5" s="1"/>
  <c r="L31" i="5" s="1"/>
  <c r="AS91" i="53"/>
  <c r="AG108" i="5"/>
  <c r="AJ79" i="5"/>
  <c r="AJ90" i="5"/>
  <c r="J29" i="65"/>
  <c r="E30" i="65" s="1"/>
  <c r="AV23" i="55"/>
  <c r="AW13" i="55"/>
  <c r="AY106" i="38"/>
  <c r="AG60" i="5"/>
  <c r="AZ93" i="38"/>
  <c r="AZ95" i="38" s="1"/>
  <c r="AZ104" i="38" s="1"/>
  <c r="AZ22" i="38"/>
  <c r="AZ39" i="38"/>
  <c r="BB3" i="38"/>
  <c r="BA4" i="38"/>
  <c r="BO29" i="53"/>
  <c r="BO31" i="53" s="1"/>
  <c r="BO99" i="53" s="1"/>
  <c r="BR6" i="53"/>
  <c r="BR11" i="53" s="1"/>
  <c r="BS7" i="53"/>
  <c r="AJ68" i="5"/>
  <c r="AK4" i="5"/>
  <c r="AJ85" i="5"/>
  <c r="AJ5" i="5"/>
  <c r="AJ59" i="5"/>
  <c r="AI70" i="5"/>
  <c r="AI69" i="5"/>
  <c r="AE19" i="6"/>
  <c r="AH86" i="5" s="1"/>
  <c r="AH87" i="5"/>
  <c r="AF26" i="6"/>
  <c r="AF18" i="6"/>
  <c r="AF34" i="6"/>
  <c r="AI91" i="5" s="1"/>
  <c r="AF24" i="6"/>
  <c r="AG6" i="6"/>
  <c r="AG12" i="6" s="1"/>
  <c r="AF25" i="6"/>
  <c r="AF16" i="6"/>
  <c r="AF27" i="6"/>
  <c r="AF28" i="6" s="1"/>
  <c r="AF38" i="6"/>
  <c r="AF40" i="6"/>
  <c r="AI92" i="5" s="1"/>
  <c r="AF7" i="6"/>
  <c r="AH94" i="5"/>
  <c r="AE41" i="6"/>
  <c r="AH93" i="5" s="1"/>
  <c r="AE29" i="6"/>
  <c r="AF23" i="6" s="1"/>
  <c r="AC45" i="5"/>
  <c r="AR34" i="55"/>
  <c r="AJ8" i="6"/>
  <c r="BR84" i="53"/>
  <c r="BS8" i="53"/>
  <c r="AY41" i="55"/>
  <c r="AZ3" i="55"/>
  <c r="AW17" i="55"/>
  <c r="AW27" i="55" s="1"/>
  <c r="AW12" i="55"/>
  <c r="AW22" i="55" s="1"/>
  <c r="AW14" i="55"/>
  <c r="AW24" i="55" s="1"/>
  <c r="BM44" i="53"/>
  <c r="BM47" i="53" s="1"/>
  <c r="AX16" i="55"/>
  <c r="AX26" i="55" s="1"/>
  <c r="AY15" i="55"/>
  <c r="AY25" i="55" s="1"/>
  <c r="BF40" i="53"/>
  <c r="BF49" i="53" s="1"/>
  <c r="BF50" i="53" s="1"/>
  <c r="K35" i="5"/>
  <c r="K42" i="5" s="1"/>
  <c r="AW87" i="53"/>
  <c r="AQ36" i="55"/>
  <c r="AB48" i="5"/>
  <c r="AQ40" i="55"/>
  <c r="AB52" i="5"/>
  <c r="AN11" i="55"/>
  <c r="AM21" i="55"/>
  <c r="AM28" i="55" s="1"/>
  <c r="Y38" i="5" s="1"/>
  <c r="AQ37" i="55"/>
  <c r="AB49" i="5"/>
  <c r="AQ35" i="55"/>
  <c r="AB47" i="5"/>
  <c r="AQ39" i="55"/>
  <c r="AB51" i="5"/>
  <c r="J71" i="5"/>
  <c r="AQ38" i="55"/>
  <c r="AB50" i="5"/>
  <c r="AB39" i="5" s="1"/>
  <c r="BH38" i="53"/>
  <c r="BG39" i="53"/>
  <c r="AA24" i="5"/>
  <c r="AA28" i="5" s="1"/>
  <c r="M12" i="5"/>
  <c r="M13" i="5" s="1"/>
  <c r="AS82" i="53"/>
  <c r="AS83" i="53" s="1"/>
  <c r="BE16" i="53" s="1"/>
  <c r="AS77" i="53"/>
  <c r="Z29" i="5"/>
  <c r="AT60" i="53"/>
  <c r="BH35" i="53"/>
  <c r="BG36" i="53"/>
  <c r="AA23" i="5"/>
  <c r="AA27" i="5" s="1"/>
  <c r="AH108" i="5" l="1"/>
  <c r="AK79" i="5"/>
  <c r="AK90" i="5"/>
  <c r="F30" i="65"/>
  <c r="AK53" i="5"/>
  <c r="AW23" i="55"/>
  <c r="AX13" i="55"/>
  <c r="BA93" i="38"/>
  <c r="BA95" i="38" s="1"/>
  <c r="BA104" i="38" s="1"/>
  <c r="BA39" i="38"/>
  <c r="AZ106" i="38"/>
  <c r="AH60" i="5"/>
  <c r="BA22" i="38"/>
  <c r="BB4" i="38"/>
  <c r="BC3" i="38"/>
  <c r="BP29" i="53"/>
  <c r="BP31" i="53" s="1"/>
  <c r="BP99" i="53" s="1"/>
  <c r="BT7" i="53"/>
  <c r="BS6" i="53"/>
  <c r="BS11" i="53" s="1"/>
  <c r="AK68" i="5"/>
  <c r="AL4" i="5"/>
  <c r="AK85" i="5"/>
  <c r="AK5" i="5"/>
  <c r="AK59" i="5"/>
  <c r="AJ70" i="5"/>
  <c r="AJ69" i="5"/>
  <c r="AI94" i="5"/>
  <c r="AF41" i="6"/>
  <c r="AI93" i="5" s="1"/>
  <c r="AF19" i="6"/>
  <c r="AI86" i="5" s="1"/>
  <c r="AI87" i="5"/>
  <c r="AF29" i="6"/>
  <c r="AG23" i="6" s="1"/>
  <c r="AG7" i="6"/>
  <c r="AG25" i="6"/>
  <c r="AG24" i="6"/>
  <c r="AG18" i="6"/>
  <c r="AG26" i="6"/>
  <c r="AH6" i="6"/>
  <c r="AH12" i="6" s="1"/>
  <c r="AG16" i="6"/>
  <c r="AG34" i="6"/>
  <c r="AJ91" i="5" s="1"/>
  <c r="AG40" i="6"/>
  <c r="AJ92" i="5" s="1"/>
  <c r="AG38" i="6"/>
  <c r="AG27" i="6"/>
  <c r="AG28" i="6" s="1"/>
  <c r="AD45" i="5"/>
  <c r="AS34" i="55"/>
  <c r="BA3" i="55"/>
  <c r="AZ41" i="55"/>
  <c r="BS84" i="53"/>
  <c r="BT8" i="53"/>
  <c r="AK8" i="6"/>
  <c r="AX17" i="55"/>
  <c r="AX27" i="55" s="1"/>
  <c r="AX14" i="55"/>
  <c r="AX24" i="55" s="1"/>
  <c r="AX12" i="55"/>
  <c r="AX22" i="55" s="1"/>
  <c r="BN44" i="53"/>
  <c r="BN47" i="53" s="1"/>
  <c r="AY16" i="55"/>
  <c r="AY26" i="55" s="1"/>
  <c r="AZ15" i="55"/>
  <c r="AZ25" i="55" s="1"/>
  <c r="AT67" i="53"/>
  <c r="AT59" i="53"/>
  <c r="AT65" i="53" s="1"/>
  <c r="AT57" i="53"/>
  <c r="L34" i="5"/>
  <c r="L33" i="5"/>
  <c r="AR38" i="55"/>
  <c r="AC50" i="5"/>
  <c r="AC39" i="5" s="1"/>
  <c r="BE17" i="53"/>
  <c r="BE74" i="53" s="1"/>
  <c r="BE81" i="53" s="1"/>
  <c r="BE73" i="53"/>
  <c r="AT72" i="53"/>
  <c r="AS78" i="53"/>
  <c r="N10" i="5"/>
  <c r="M14" i="5"/>
  <c r="N9" i="5" s="1"/>
  <c r="AR35" i="55"/>
  <c r="AC47" i="5"/>
  <c r="AR36" i="55"/>
  <c r="AC48" i="5"/>
  <c r="AB24" i="5"/>
  <c r="AB28" i="5" s="1"/>
  <c r="BH39" i="53"/>
  <c r="BI38" i="53"/>
  <c r="Y40" i="5"/>
  <c r="AA29" i="5"/>
  <c r="K62" i="5"/>
  <c r="K46" i="5"/>
  <c r="BG40" i="53"/>
  <c r="BG49" i="53" s="1"/>
  <c r="BG50" i="53" s="1"/>
  <c r="AR40" i="55"/>
  <c r="AC52" i="5"/>
  <c r="AR37" i="55"/>
  <c r="AC49" i="5"/>
  <c r="AR39" i="55"/>
  <c r="AC51" i="5"/>
  <c r="AN21" i="55"/>
  <c r="AN28" i="55" s="1"/>
  <c r="Z38" i="5" s="1"/>
  <c r="Z40" i="5" s="1"/>
  <c r="AO11" i="55"/>
  <c r="BI35" i="53"/>
  <c r="BH36" i="53"/>
  <c r="AB23" i="5"/>
  <c r="AB27" i="5" s="1"/>
  <c r="AW88" i="53"/>
  <c r="AW89" i="53" s="1"/>
  <c r="AI108" i="5" l="1"/>
  <c r="AG29" i="6"/>
  <c r="AH23" i="6" s="1"/>
  <c r="AL79" i="5"/>
  <c r="AL90" i="5"/>
  <c r="J30" i="65"/>
  <c r="E31" i="65" s="1"/>
  <c r="AL53" i="5"/>
  <c r="AX23" i="55"/>
  <c r="AY13" i="55"/>
  <c r="BB93" i="38"/>
  <c r="BB95" i="38" s="1"/>
  <c r="BB104" i="38" s="1"/>
  <c r="BA106" i="38"/>
  <c r="AI60" i="5"/>
  <c r="BB22" i="38"/>
  <c r="BB39" i="38"/>
  <c r="BD3" i="38"/>
  <c r="BC4" i="38"/>
  <c r="BQ29" i="53"/>
  <c r="BQ31" i="53" s="1"/>
  <c r="BQ99" i="53" s="1"/>
  <c r="AS100" i="53"/>
  <c r="BT6" i="53"/>
  <c r="BT11" i="53" s="1"/>
  <c r="BU7" i="53"/>
  <c r="AL68" i="5"/>
  <c r="AM4" i="5"/>
  <c r="AL85" i="5"/>
  <c r="AL5" i="5"/>
  <c r="AL59" i="5"/>
  <c r="AK70" i="5"/>
  <c r="AK69" i="5"/>
  <c r="AJ87" i="5"/>
  <c r="AG19" i="6"/>
  <c r="AJ86" i="5" s="1"/>
  <c r="AH25" i="6"/>
  <c r="AH24" i="6"/>
  <c r="AH38" i="6"/>
  <c r="AI6" i="6"/>
  <c r="AI12" i="6" s="1"/>
  <c r="AH40" i="6"/>
  <c r="AK92" i="5" s="1"/>
  <c r="AH18" i="6"/>
  <c r="AH27" i="6"/>
  <c r="AH28" i="6" s="1"/>
  <c r="AH34" i="6"/>
  <c r="AK91" i="5" s="1"/>
  <c r="AH7" i="6"/>
  <c r="AH16" i="6"/>
  <c r="AH26" i="6"/>
  <c r="AG41" i="6"/>
  <c r="AJ93" i="5" s="1"/>
  <c r="AJ94" i="5"/>
  <c r="AT34" i="55"/>
  <c r="AE45" i="5"/>
  <c r="AL8" i="6"/>
  <c r="BT84" i="53"/>
  <c r="BU8" i="53"/>
  <c r="BB3" i="55"/>
  <c r="BA41" i="55"/>
  <c r="AY17" i="55"/>
  <c r="AY27" i="55" s="1"/>
  <c r="AY12" i="55"/>
  <c r="AY22" i="55" s="1"/>
  <c r="AY14" i="55"/>
  <c r="AY24" i="55" s="1"/>
  <c r="BO44" i="53"/>
  <c r="BO47" i="53" s="1"/>
  <c r="L35" i="5"/>
  <c r="L42" i="5" s="1"/>
  <c r="L62" i="5" s="1"/>
  <c r="L63" i="5" s="1"/>
  <c r="AZ16" i="55"/>
  <c r="AZ26" i="55" s="1"/>
  <c r="BA15" i="55"/>
  <c r="BA25" i="55" s="1"/>
  <c r="BE18" i="53"/>
  <c r="BE54" i="53" s="1"/>
  <c r="BH40" i="53"/>
  <c r="BH49" i="53" s="1"/>
  <c r="BH50" i="53" s="1"/>
  <c r="AX87" i="53"/>
  <c r="BI39" i="53"/>
  <c r="BJ38" i="53"/>
  <c r="AC24" i="5"/>
  <c r="AC28" i="5" s="1"/>
  <c r="AT71" i="53"/>
  <c r="AS92" i="53"/>
  <c r="AS93" i="53" s="1"/>
  <c r="AS95" i="53"/>
  <c r="AS38" i="55"/>
  <c r="AD50" i="5"/>
  <c r="AD39" i="5" s="1"/>
  <c r="AB29" i="5"/>
  <c r="BJ35" i="53"/>
  <c r="AC23" i="5"/>
  <c r="AC27" i="5" s="1"/>
  <c r="BI36" i="53"/>
  <c r="BE75" i="53"/>
  <c r="AU53" i="53"/>
  <c r="AU15" i="53"/>
  <c r="AU20" i="53" s="1"/>
  <c r="AU22" i="53" s="1"/>
  <c r="AT56" i="53"/>
  <c r="AT76" i="53" s="1"/>
  <c r="K54" i="5"/>
  <c r="AS36" i="55"/>
  <c r="AD48" i="5"/>
  <c r="AS37" i="55"/>
  <c r="AD49" i="5"/>
  <c r="K63" i="5"/>
  <c r="AT66" i="53"/>
  <c r="AT79" i="53"/>
  <c r="AT23" i="53" s="1"/>
  <c r="N32" i="5"/>
  <c r="AO21" i="55"/>
  <c r="AO28" i="55" s="1"/>
  <c r="AA38" i="5" s="1"/>
  <c r="AA40" i="5" s="1"/>
  <c r="AP11" i="55"/>
  <c r="AS39" i="55"/>
  <c r="AD51" i="5"/>
  <c r="AS35" i="55"/>
  <c r="AD47" i="5"/>
  <c r="AS40" i="55"/>
  <c r="AD52" i="5"/>
  <c r="AJ108" i="5" l="1"/>
  <c r="AT77" i="53"/>
  <c r="AT78" i="53" s="1"/>
  <c r="AM79" i="5"/>
  <c r="AM90" i="5"/>
  <c r="AM53" i="5"/>
  <c r="F31" i="65"/>
  <c r="AY23" i="55"/>
  <c r="AZ13" i="55"/>
  <c r="BB106" i="38"/>
  <c r="AJ60" i="5"/>
  <c r="BC93" i="38"/>
  <c r="BC95" i="38"/>
  <c r="BC104" i="38" s="1"/>
  <c r="BC22" i="38"/>
  <c r="BC39" i="38"/>
  <c r="BD4" i="38"/>
  <c r="BE3" i="38"/>
  <c r="BR29" i="53"/>
  <c r="BR31" i="53" s="1"/>
  <c r="BR99" i="53" s="1"/>
  <c r="BU6" i="53"/>
  <c r="BU11" i="53" s="1"/>
  <c r="BV7" i="53"/>
  <c r="AM68" i="5"/>
  <c r="AN4" i="5"/>
  <c r="AM5" i="5"/>
  <c r="AM85" i="5"/>
  <c r="AM59" i="5"/>
  <c r="AL70" i="5"/>
  <c r="AL69" i="5"/>
  <c r="AK87" i="5"/>
  <c r="AH19" i="6"/>
  <c r="AK86" i="5" s="1"/>
  <c r="AI25" i="6"/>
  <c r="AI16" i="6"/>
  <c r="AJ6" i="6"/>
  <c r="AJ12" i="6" s="1"/>
  <c r="AI24" i="6"/>
  <c r="AI7" i="6"/>
  <c r="AI38" i="6"/>
  <c r="AI34" i="6"/>
  <c r="AL91" i="5" s="1"/>
  <c r="AI27" i="6"/>
  <c r="AI28" i="6" s="1"/>
  <c r="AI40" i="6"/>
  <c r="AL92" i="5" s="1"/>
  <c r="AI26" i="6"/>
  <c r="AI18" i="6"/>
  <c r="AH41" i="6"/>
  <c r="AK93" i="5" s="1"/>
  <c r="AK94" i="5"/>
  <c r="AH29" i="6"/>
  <c r="AI23" i="6" s="1"/>
  <c r="AF45" i="5"/>
  <c r="AU34" i="55"/>
  <c r="BB41" i="55"/>
  <c r="BC3" i="55"/>
  <c r="BU84" i="53"/>
  <c r="BV8" i="53"/>
  <c r="AM8" i="6"/>
  <c r="AZ17" i="55"/>
  <c r="AZ27" i="55" s="1"/>
  <c r="AZ14" i="55"/>
  <c r="AZ24" i="55" s="1"/>
  <c r="AZ12" i="55"/>
  <c r="AZ22" i="55" s="1"/>
  <c r="BP44" i="53"/>
  <c r="BP47" i="53" s="1"/>
  <c r="L46" i="5"/>
  <c r="L54" i="5" s="1"/>
  <c r="BI40" i="53"/>
  <c r="BI49" i="53" s="1"/>
  <c r="BI50" i="53" s="1"/>
  <c r="BA16" i="55"/>
  <c r="BA26" i="55" s="1"/>
  <c r="BB15" i="55"/>
  <c r="BB25" i="55" s="1"/>
  <c r="AT35" i="55"/>
  <c r="AE47" i="5"/>
  <c r="AT37" i="55"/>
  <c r="AE49" i="5"/>
  <c r="AC29" i="5"/>
  <c r="AD24" i="5"/>
  <c r="AD28" i="5" s="1"/>
  <c r="BK38" i="53"/>
  <c r="BJ39" i="53"/>
  <c r="BJ36" i="53"/>
  <c r="BK35" i="53"/>
  <c r="AD23" i="5"/>
  <c r="AD27" i="5" s="1"/>
  <c r="AT39" i="55"/>
  <c r="AE51" i="5"/>
  <c r="AT36" i="55"/>
  <c r="AE48" i="5"/>
  <c r="AU60" i="53"/>
  <c r="AS98" i="53"/>
  <c r="AS96" i="53"/>
  <c r="M30" i="5" s="1"/>
  <c r="AT91" i="53"/>
  <c r="AQ11" i="55"/>
  <c r="AP21" i="55"/>
  <c r="AP28" i="55" s="1"/>
  <c r="AB38" i="5" s="1"/>
  <c r="AB40" i="5" s="1"/>
  <c r="K56" i="5"/>
  <c r="Y11" i="5"/>
  <c r="AT40" i="55"/>
  <c r="AE52" i="5"/>
  <c r="AT82" i="53"/>
  <c r="AT83" i="53" s="1"/>
  <c r="BF16" i="53" s="1"/>
  <c r="N12" i="5"/>
  <c r="N13" i="5" s="1"/>
  <c r="AT38" i="55"/>
  <c r="AE50" i="5"/>
  <c r="AX88" i="53"/>
  <c r="AX89" i="53" s="1"/>
  <c r="AK108" i="5" l="1"/>
  <c r="AU72" i="53"/>
  <c r="AN79" i="5"/>
  <c r="AN90" i="5"/>
  <c r="L56" i="5"/>
  <c r="J31" i="65"/>
  <c r="E32" i="65" s="1"/>
  <c r="AN53" i="5"/>
  <c r="AZ23" i="55"/>
  <c r="BA13" i="55"/>
  <c r="BC106" i="38"/>
  <c r="AK60" i="5"/>
  <c r="BD93" i="38"/>
  <c r="BD95" i="38"/>
  <c r="BD104" i="38" s="1"/>
  <c r="BD22" i="38"/>
  <c r="BD39" i="38"/>
  <c r="BF3" i="38"/>
  <c r="BE4" i="38"/>
  <c r="BS29" i="53"/>
  <c r="BS31" i="53" s="1"/>
  <c r="BS99" i="53" s="1"/>
  <c r="AT100" i="53"/>
  <c r="BV6" i="53"/>
  <c r="BV11" i="53" s="1"/>
  <c r="BW7" i="53"/>
  <c r="AN85" i="5"/>
  <c r="AN5" i="5"/>
  <c r="AO4" i="5"/>
  <c r="AN68" i="5"/>
  <c r="AN59" i="5"/>
  <c r="AM70" i="5"/>
  <c r="AM69" i="5"/>
  <c r="AL94" i="5"/>
  <c r="AI41" i="6"/>
  <c r="AL93" i="5" s="1"/>
  <c r="AJ38" i="6"/>
  <c r="AJ16" i="6"/>
  <c r="AJ26" i="6"/>
  <c r="AJ18" i="6"/>
  <c r="AJ7" i="6"/>
  <c r="AJ25" i="6"/>
  <c r="AK6" i="6"/>
  <c r="AK12" i="6" s="1"/>
  <c r="AJ24" i="6"/>
  <c r="AJ40" i="6"/>
  <c r="AM92" i="5" s="1"/>
  <c r="AJ34" i="6"/>
  <c r="AM91" i="5" s="1"/>
  <c r="AJ27" i="6"/>
  <c r="AJ28" i="6" s="1"/>
  <c r="AL87" i="5"/>
  <c r="AI19" i="6"/>
  <c r="AL86" i="5" s="1"/>
  <c r="AI29" i="6"/>
  <c r="AJ23" i="6" s="1"/>
  <c r="AG45" i="5"/>
  <c r="AV34" i="55"/>
  <c r="AN8" i="6"/>
  <c r="BV84" i="53"/>
  <c r="BW8" i="53"/>
  <c r="BD3" i="55"/>
  <c r="BC41" i="55"/>
  <c r="BA17" i="55"/>
  <c r="BA27" i="55" s="1"/>
  <c r="BA12" i="55"/>
  <c r="BA22" i="55" s="1"/>
  <c r="BA14" i="55"/>
  <c r="BA24" i="55" s="1"/>
  <c r="BQ44" i="53"/>
  <c r="BQ47" i="53" s="1"/>
  <c r="BJ40" i="53"/>
  <c r="BJ49" i="53" s="1"/>
  <c r="BJ50" i="53" s="1"/>
  <c r="BB16" i="55"/>
  <c r="BB26" i="55" s="1"/>
  <c r="BC15" i="55"/>
  <c r="BC25" i="55" s="1"/>
  <c r="AY87" i="53"/>
  <c r="M31" i="5"/>
  <c r="AU40" i="55"/>
  <c r="AF52" i="5"/>
  <c r="AD29" i="5"/>
  <c r="AE23" i="5"/>
  <c r="AE27" i="5" s="1"/>
  <c r="BK36" i="53"/>
  <c r="BL35" i="53"/>
  <c r="AU39" i="55"/>
  <c r="AF51" i="5"/>
  <c r="K71" i="5"/>
  <c r="BL38" i="53"/>
  <c r="BK39" i="53"/>
  <c r="AE24" i="5"/>
  <c r="AE28" i="5" s="1"/>
  <c r="AQ21" i="55"/>
  <c r="AQ28" i="55" s="1"/>
  <c r="AC38" i="5" s="1"/>
  <c r="AC40" i="5" s="1"/>
  <c r="AR11" i="55"/>
  <c r="AU35" i="55"/>
  <c r="AF47" i="5"/>
  <c r="AE39" i="5"/>
  <c r="AU59" i="53"/>
  <c r="AU65" i="53" s="1"/>
  <c r="AU67" i="53"/>
  <c r="AU57" i="53"/>
  <c r="AU38" i="55"/>
  <c r="AF50" i="5"/>
  <c r="AF39" i="5" s="1"/>
  <c r="O10" i="5"/>
  <c r="N14" i="5"/>
  <c r="O9" i="5" s="1"/>
  <c r="AU37" i="55"/>
  <c r="AF49" i="5"/>
  <c r="AT92" i="53"/>
  <c r="AT93" i="53" s="1"/>
  <c r="AU71" i="53"/>
  <c r="AT95" i="53"/>
  <c r="BF73" i="53"/>
  <c r="BF17" i="53"/>
  <c r="BF74" i="53" s="1"/>
  <c r="BF81" i="53" s="1"/>
  <c r="AU36" i="55"/>
  <c r="AF48" i="5"/>
  <c r="AL108" i="5" l="1"/>
  <c r="L71" i="5"/>
  <c r="AO79" i="5"/>
  <c r="AO90" i="5"/>
  <c r="F32" i="65"/>
  <c r="AO53" i="5"/>
  <c r="BA23" i="55"/>
  <c r="BB13" i="55"/>
  <c r="BE93" i="38"/>
  <c r="BD106" i="38"/>
  <c r="AL60" i="5"/>
  <c r="BE22" i="38"/>
  <c r="BE95" i="38"/>
  <c r="BE104" i="38" s="1"/>
  <c r="BE39" i="38"/>
  <c r="BG3" i="38"/>
  <c r="BF4" i="38"/>
  <c r="BT29" i="53"/>
  <c r="BT31" i="53" s="1"/>
  <c r="BT99" i="53" s="1"/>
  <c r="BX7" i="53"/>
  <c r="BW6" i="53"/>
  <c r="BW11" i="53" s="1"/>
  <c r="AN69" i="5"/>
  <c r="AN70" i="5"/>
  <c r="AO68" i="5"/>
  <c r="AO85" i="5"/>
  <c r="AO5" i="5"/>
  <c r="AP4" i="5"/>
  <c r="AO59" i="5"/>
  <c r="AK7" i="6"/>
  <c r="AK26" i="6"/>
  <c r="AK40" i="6"/>
  <c r="AN92" i="5" s="1"/>
  <c r="AK18" i="6"/>
  <c r="AK24" i="6"/>
  <c r="AK27" i="6"/>
  <c r="AK28" i="6" s="1"/>
  <c r="AK34" i="6"/>
  <c r="AN91" i="5" s="1"/>
  <c r="AK16" i="6"/>
  <c r="AK38" i="6"/>
  <c r="AK25" i="6"/>
  <c r="AL6" i="6"/>
  <c r="AL12" i="6" s="1"/>
  <c r="AJ29" i="6"/>
  <c r="AK23" i="6" s="1"/>
  <c r="AM87" i="5"/>
  <c r="AJ19" i="6"/>
  <c r="AM86" i="5" s="1"/>
  <c r="AM94" i="5"/>
  <c r="AJ41" i="6"/>
  <c r="AM93" i="5" s="1"/>
  <c r="AH45" i="5"/>
  <c r="AW34" i="55"/>
  <c r="BE3" i="55"/>
  <c r="BD41" i="55"/>
  <c r="AP53" i="5" s="1"/>
  <c r="BW84" i="53"/>
  <c r="BX8" i="53"/>
  <c r="AO8" i="6"/>
  <c r="BB17" i="55"/>
  <c r="BB27" i="55" s="1"/>
  <c r="BB14" i="55"/>
  <c r="BB24" i="55" s="1"/>
  <c r="BB12" i="55"/>
  <c r="BB22" i="55" s="1"/>
  <c r="BR44" i="53"/>
  <c r="BR47" i="53" s="1"/>
  <c r="BC16" i="55"/>
  <c r="BC26" i="55" s="1"/>
  <c r="BK40" i="53"/>
  <c r="BK49" i="53" s="1"/>
  <c r="BK50" i="53" s="1"/>
  <c r="BD15" i="55"/>
  <c r="BD25" i="55" s="1"/>
  <c r="AT98" i="53"/>
  <c r="AU91" i="53"/>
  <c r="AT96" i="53"/>
  <c r="N30" i="5" s="1"/>
  <c r="AE29" i="5"/>
  <c r="BF18" i="53"/>
  <c r="AV38" i="55"/>
  <c r="AG50" i="5"/>
  <c r="AG39" i="5" s="1"/>
  <c r="BF75" i="53"/>
  <c r="AV35" i="55"/>
  <c r="AG47" i="5"/>
  <c r="AR21" i="55"/>
  <c r="AR28" i="55" s="1"/>
  <c r="AD38" i="5" s="1"/>
  <c r="AD40" i="5" s="1"/>
  <c r="AS11" i="55"/>
  <c r="BL36" i="53"/>
  <c r="AF23" i="5"/>
  <c r="AF27" i="5" s="1"/>
  <c r="BM35" i="53"/>
  <c r="BM38" i="53"/>
  <c r="BL39" i="53"/>
  <c r="AF24" i="5"/>
  <c r="AF28" i="5" s="1"/>
  <c r="AV36" i="55"/>
  <c r="AG48" i="5"/>
  <c r="AV37" i="55"/>
  <c r="AG49" i="5"/>
  <c r="AV40" i="55"/>
  <c r="AG52" i="5"/>
  <c r="AV39" i="55"/>
  <c r="AG51" i="5"/>
  <c r="M33" i="5"/>
  <c r="M34" i="5"/>
  <c r="AV53" i="53"/>
  <c r="AV15" i="53"/>
  <c r="AV20" i="53" s="1"/>
  <c r="AV22" i="53" s="1"/>
  <c r="AU56" i="53"/>
  <c r="AU76" i="53" s="1"/>
  <c r="AY88" i="53"/>
  <c r="AY89" i="53" s="1"/>
  <c r="AU79" i="53"/>
  <c r="AU23" i="53" s="1"/>
  <c r="AU66" i="53"/>
  <c r="O32" i="5"/>
  <c r="AM108" i="5" l="1"/>
  <c r="AP79" i="5"/>
  <c r="AK29" i="6"/>
  <c r="AL23" i="6" s="1"/>
  <c r="J32" i="65"/>
  <c r="E33" i="65" s="1"/>
  <c r="F33" i="65" s="1"/>
  <c r="BB23" i="55"/>
  <c r="BC13" i="55"/>
  <c r="BE106" i="38"/>
  <c r="AM60" i="5"/>
  <c r="BF93" i="38"/>
  <c r="BF22" i="38"/>
  <c r="BF39" i="38"/>
  <c r="BF95" i="38" s="1"/>
  <c r="BF104" i="38" s="1"/>
  <c r="BH3" i="38"/>
  <c r="BG4" i="38"/>
  <c r="BU29" i="53"/>
  <c r="BU31" i="53" s="1"/>
  <c r="BU99" i="53" s="1"/>
  <c r="BY7" i="53"/>
  <c r="BX6" i="53"/>
  <c r="BX11" i="53" s="1"/>
  <c r="AP68" i="5"/>
  <c r="AP85" i="5"/>
  <c r="AQ4" i="5"/>
  <c r="AP5" i="5"/>
  <c r="AP59" i="5"/>
  <c r="AO69" i="5"/>
  <c r="AO70" i="5"/>
  <c r="AL24" i="6"/>
  <c r="AL7" i="6"/>
  <c r="AL26" i="6"/>
  <c r="AL38" i="6"/>
  <c r="AL40" i="6"/>
  <c r="AO92" i="5" s="1"/>
  <c r="AL34" i="6"/>
  <c r="AO91" i="5" s="1"/>
  <c r="AL16" i="6"/>
  <c r="AL27" i="6"/>
  <c r="AL28" i="6" s="1"/>
  <c r="AM6" i="6"/>
  <c r="AM12" i="6" s="1"/>
  <c r="AL18" i="6"/>
  <c r="AL25" i="6"/>
  <c r="AK41" i="6"/>
  <c r="AN93" i="5" s="1"/>
  <c r="AN94" i="5"/>
  <c r="AN87" i="5"/>
  <c r="AK19" i="6"/>
  <c r="AN86" i="5" s="1"/>
  <c r="AI45" i="5"/>
  <c r="AX34" i="55"/>
  <c r="AP8" i="6"/>
  <c r="BX84" i="53"/>
  <c r="BY8" i="53"/>
  <c r="BE41" i="55"/>
  <c r="BF3" i="55"/>
  <c r="BC17" i="55"/>
  <c r="BC27" i="55" s="1"/>
  <c r="BC12" i="55"/>
  <c r="BC22" i="55" s="1"/>
  <c r="BC14" i="55"/>
  <c r="BC24" i="55" s="1"/>
  <c r="BS44" i="53"/>
  <c r="BS47" i="53" s="1"/>
  <c r="BD16" i="55"/>
  <c r="BD26" i="55" s="1"/>
  <c r="BE15" i="55"/>
  <c r="BE25" i="55" s="1"/>
  <c r="AZ87" i="53"/>
  <c r="AW38" i="55"/>
  <c r="AH50" i="5"/>
  <c r="AW35" i="55"/>
  <c r="AH47" i="5"/>
  <c r="AG23" i="5"/>
  <c r="AG27" i="5" s="1"/>
  <c r="BM36" i="53"/>
  <c r="BN35" i="53"/>
  <c r="AF29" i="5"/>
  <c r="AG24" i="5"/>
  <c r="AG28" i="5" s="1"/>
  <c r="BM39" i="53"/>
  <c r="BN38" i="53"/>
  <c r="BF54" i="53"/>
  <c r="BL40" i="53"/>
  <c r="BL49" i="53" s="1"/>
  <c r="BL50" i="53" s="1"/>
  <c r="AW39" i="55"/>
  <c r="AH51" i="5"/>
  <c r="AU82" i="53"/>
  <c r="AU83" i="53" s="1"/>
  <c r="BG16" i="53" s="1"/>
  <c r="O12" i="5"/>
  <c r="O13" i="5" s="1"/>
  <c r="AU77" i="53"/>
  <c r="AW40" i="55"/>
  <c r="AH52" i="5"/>
  <c r="AW37" i="55"/>
  <c r="AH49" i="5"/>
  <c r="AW36" i="55"/>
  <c r="AH48" i="5"/>
  <c r="Z11" i="5"/>
  <c r="N31" i="5"/>
  <c r="AT11" i="55"/>
  <c r="AS21" i="55"/>
  <c r="AS28" i="55" s="1"/>
  <c r="AE38" i="5" s="1"/>
  <c r="AV60" i="53"/>
  <c r="M35" i="5"/>
  <c r="M42" i="5" s="1"/>
  <c r="AN108" i="5" l="1"/>
  <c r="AQ79" i="5"/>
  <c r="AQ90" i="5"/>
  <c r="J33" i="65"/>
  <c r="E34" i="65" s="1"/>
  <c r="AQ53" i="5"/>
  <c r="AL29" i="6"/>
  <c r="AM23" i="6" s="1"/>
  <c r="BC23" i="55"/>
  <c r="BD13" i="55"/>
  <c r="BG93" i="38"/>
  <c r="BG95" i="38" s="1"/>
  <c r="BG104" i="38" s="1"/>
  <c r="BF106" i="38"/>
  <c r="AN60" i="5"/>
  <c r="BG22" i="38"/>
  <c r="BG39" i="38"/>
  <c r="BH4" i="38"/>
  <c r="BI3" i="38"/>
  <c r="BV29" i="53"/>
  <c r="BV31" i="53" s="1"/>
  <c r="BV99" i="53" s="1"/>
  <c r="BY6" i="53"/>
  <c r="BY11" i="53" s="1"/>
  <c r="BZ7" i="53"/>
  <c r="AQ68" i="5"/>
  <c r="AQ5" i="5"/>
  <c r="AQ85" i="5"/>
  <c r="AR4" i="5"/>
  <c r="AQ59" i="5"/>
  <c r="AP70" i="5"/>
  <c r="AP69" i="5"/>
  <c r="AM18" i="6"/>
  <c r="AM26" i="6"/>
  <c r="AN6" i="6"/>
  <c r="AN12" i="6" s="1"/>
  <c r="AM7" i="6"/>
  <c r="AM38" i="6"/>
  <c r="AM24" i="6"/>
  <c r="AM25" i="6"/>
  <c r="AO87" i="5"/>
  <c r="AL19" i="6"/>
  <c r="AO86" i="5" s="1"/>
  <c r="AL41" i="6"/>
  <c r="AO93" i="5" s="1"/>
  <c r="AO94" i="5"/>
  <c r="AY34" i="55"/>
  <c r="AJ45" i="5"/>
  <c r="BG3" i="55"/>
  <c r="BF41" i="55"/>
  <c r="AR53" i="5" s="1"/>
  <c r="BY84" i="53"/>
  <c r="BZ8" i="53"/>
  <c r="AQ8" i="6"/>
  <c r="BD17" i="55"/>
  <c r="BD27" i="55" s="1"/>
  <c r="BD14" i="55"/>
  <c r="BD24" i="55" s="1"/>
  <c r="BD12" i="55"/>
  <c r="BD22" i="55" s="1"/>
  <c r="BT44" i="53"/>
  <c r="BT47" i="53" s="1"/>
  <c r="BE16" i="55"/>
  <c r="BE26" i="55" s="1"/>
  <c r="BF15" i="55"/>
  <c r="BF25" i="55" s="1"/>
  <c r="AX36" i="55"/>
  <c r="AI48" i="5"/>
  <c r="AX39" i="55"/>
  <c r="AI51" i="5"/>
  <c r="BG17" i="53"/>
  <c r="BG74" i="53" s="1"/>
  <c r="BG81" i="53" s="1"/>
  <c r="BG73" i="53"/>
  <c r="AX37" i="55"/>
  <c r="AI49" i="5"/>
  <c r="AX40" i="55"/>
  <c r="AI52" i="5"/>
  <c r="AE40" i="5"/>
  <c r="AH23" i="5"/>
  <c r="AH27" i="5" s="1"/>
  <c r="BN36" i="53"/>
  <c r="BO35" i="53"/>
  <c r="AT21" i="55"/>
  <c r="AT28" i="55" s="1"/>
  <c r="AF38" i="5" s="1"/>
  <c r="AF40" i="5" s="1"/>
  <c r="AU11" i="55"/>
  <c r="BM40" i="53"/>
  <c r="BM49" i="53" s="1"/>
  <c r="BM50" i="53" s="1"/>
  <c r="AX35" i="55"/>
  <c r="AI47" i="5"/>
  <c r="AG29" i="5"/>
  <c r="AH39" i="5"/>
  <c r="AX38" i="55"/>
  <c r="AI50" i="5"/>
  <c r="AI39" i="5" s="1"/>
  <c r="N33" i="5"/>
  <c r="N34" i="5"/>
  <c r="AV72" i="53"/>
  <c r="AU78" i="53"/>
  <c r="M46" i="5"/>
  <c r="M62" i="5"/>
  <c r="M63" i="5" s="1"/>
  <c r="AV59" i="53"/>
  <c r="AV65" i="53" s="1"/>
  <c r="AV67" i="53"/>
  <c r="AV57" i="53"/>
  <c r="P10" i="5"/>
  <c r="O14" i="5"/>
  <c r="P9" i="5" s="1"/>
  <c r="BN39" i="53"/>
  <c r="AH24" i="5"/>
  <c r="AH28" i="5" s="1"/>
  <c r="BO38" i="53"/>
  <c r="AZ88" i="53"/>
  <c r="AZ89" i="53" s="1"/>
  <c r="AO108" i="5" l="1"/>
  <c r="AM27" i="6"/>
  <c r="AM28" i="6" s="1"/>
  <c r="AR79" i="5"/>
  <c r="AR90" i="5"/>
  <c r="F34" i="65"/>
  <c r="BD23" i="55"/>
  <c r="BE13" i="55"/>
  <c r="BH39" i="38"/>
  <c r="BG106" i="38"/>
  <c r="AO60" i="5"/>
  <c r="BH93" i="38"/>
  <c r="BH95" i="38" s="1"/>
  <c r="BH104" i="38" s="1"/>
  <c r="BH22" i="38"/>
  <c r="BI4" i="38"/>
  <c r="BJ3" i="38"/>
  <c r="BW29" i="53"/>
  <c r="BW31" i="53" s="1"/>
  <c r="BW99" i="53" s="1"/>
  <c r="AU100" i="53"/>
  <c r="CA7" i="53"/>
  <c r="BZ6" i="53"/>
  <c r="BZ11" i="53" s="1"/>
  <c r="AR68" i="5"/>
  <c r="AS4" i="5"/>
  <c r="AR85" i="5"/>
  <c r="AR5" i="5"/>
  <c r="AR59" i="5"/>
  <c r="AQ69" i="5"/>
  <c r="AQ70" i="5"/>
  <c r="AP94" i="5"/>
  <c r="AM41" i="6"/>
  <c r="AP93" i="5" s="1"/>
  <c r="AN40" i="6"/>
  <c r="AQ92" i="5" s="1"/>
  <c r="AN24" i="6"/>
  <c r="AN27" i="6"/>
  <c r="AN28" i="6" s="1"/>
  <c r="AN16" i="6"/>
  <c r="AO6" i="6"/>
  <c r="AO12" i="6" s="1"/>
  <c r="AN18" i="6"/>
  <c r="AN38" i="6"/>
  <c r="AN34" i="6"/>
  <c r="AQ91" i="5" s="1"/>
  <c r="AN7" i="6"/>
  <c r="AN26" i="6"/>
  <c r="AN25" i="6"/>
  <c r="AK45" i="5"/>
  <c r="AZ34" i="55"/>
  <c r="AR8" i="6"/>
  <c r="BZ84" i="53"/>
  <c r="CA8" i="53"/>
  <c r="BG41" i="55"/>
  <c r="AS53" i="5" s="1"/>
  <c r="BH3" i="55"/>
  <c r="BE17" i="55"/>
  <c r="BE27" i="55" s="1"/>
  <c r="BE12" i="55"/>
  <c r="BE22" i="55" s="1"/>
  <c r="BE14" i="55"/>
  <c r="BE24" i="55" s="1"/>
  <c r="BU44" i="53"/>
  <c r="BU47" i="53" s="1"/>
  <c r="N35" i="5"/>
  <c r="N42" i="5" s="1"/>
  <c r="N46" i="5" s="1"/>
  <c r="N54" i="5" s="1"/>
  <c r="N56" i="5" s="1"/>
  <c r="BF16" i="55"/>
  <c r="BF26" i="55" s="1"/>
  <c r="BG15" i="55"/>
  <c r="BG25" i="55" s="1"/>
  <c r="BA87" i="53"/>
  <c r="M54" i="5"/>
  <c r="AY35" i="55"/>
  <c r="AJ47" i="5"/>
  <c r="AY37" i="55"/>
  <c r="AJ49" i="5"/>
  <c r="BG75" i="53"/>
  <c r="BG18" i="53"/>
  <c r="BG54" i="53" s="1"/>
  <c r="AV11" i="55"/>
  <c r="AU21" i="55"/>
  <c r="AU28" i="55" s="1"/>
  <c r="AG38" i="5" s="1"/>
  <c r="AY39" i="55"/>
  <c r="AJ51" i="5"/>
  <c r="AY36" i="55"/>
  <c r="AJ48" i="5"/>
  <c r="AY40" i="55"/>
  <c r="AJ52" i="5"/>
  <c r="AH29" i="5"/>
  <c r="AI24" i="5"/>
  <c r="AI28" i="5" s="1"/>
  <c r="BO39" i="53"/>
  <c r="BP38" i="53"/>
  <c r="AY38" i="55"/>
  <c r="AJ50" i="5"/>
  <c r="AW53" i="53"/>
  <c r="AW15" i="53"/>
  <c r="AW20" i="53" s="1"/>
  <c r="AW22" i="53" s="1"/>
  <c r="AV56" i="53"/>
  <c r="AV76" i="53" s="1"/>
  <c r="AU92" i="53"/>
  <c r="AU93" i="53" s="1"/>
  <c r="AV71" i="53"/>
  <c r="AU95" i="53"/>
  <c r="BO36" i="53"/>
  <c r="BP35" i="53"/>
  <c r="AI23" i="5"/>
  <c r="AI27" i="5" s="1"/>
  <c r="AV79" i="53"/>
  <c r="AV23" i="53" s="1"/>
  <c r="AV66" i="53"/>
  <c r="P32" i="5"/>
  <c r="BN40" i="53"/>
  <c r="BN49" i="53" s="1"/>
  <c r="BN50" i="53" s="1"/>
  <c r="AM29" i="6" l="1"/>
  <c r="AN23" i="6" s="1"/>
  <c r="AN29" i="6" s="1"/>
  <c r="AO23" i="6" s="1"/>
  <c r="AV77" i="53"/>
  <c r="AW72" i="53" s="1"/>
  <c r="AS79" i="5"/>
  <c r="AS90" i="5"/>
  <c r="J34" i="65"/>
  <c r="E35" i="65" s="1"/>
  <c r="F35" i="65" s="1"/>
  <c r="BE23" i="55"/>
  <c r="BF13" i="55"/>
  <c r="BH106" i="38"/>
  <c r="AP60" i="5"/>
  <c r="BI93" i="38"/>
  <c r="BI22" i="38"/>
  <c r="BI39" i="38"/>
  <c r="BI95" i="38" s="1"/>
  <c r="BI104" i="38" s="1"/>
  <c r="BK3" i="38"/>
  <c r="BJ4" i="38"/>
  <c r="BX29" i="53"/>
  <c r="BX31" i="53" s="1"/>
  <c r="BX99" i="53" s="1"/>
  <c r="CB7" i="53"/>
  <c r="CA6" i="53"/>
  <c r="CA11" i="53" s="1"/>
  <c r="AS68" i="5"/>
  <c r="AS5" i="5"/>
  <c r="AS85" i="5"/>
  <c r="AT4" i="5"/>
  <c r="AS59" i="5"/>
  <c r="AR69" i="5"/>
  <c r="AR70" i="5"/>
  <c r="AQ94" i="5"/>
  <c r="AN41" i="6"/>
  <c r="AQ93" i="5" s="1"/>
  <c r="AO24" i="6"/>
  <c r="AO18" i="6"/>
  <c r="AO34" i="6"/>
  <c r="AR91" i="5" s="1"/>
  <c r="AO40" i="6"/>
  <c r="AR92" i="5" s="1"/>
  <c r="AO25" i="6"/>
  <c r="AP6" i="6"/>
  <c r="AP12" i="6" s="1"/>
  <c r="AO27" i="6"/>
  <c r="AO28" i="6" s="1"/>
  <c r="AO16" i="6"/>
  <c r="AO26" i="6"/>
  <c r="AO38" i="6"/>
  <c r="AO7" i="6"/>
  <c r="AN19" i="6"/>
  <c r="AQ86" i="5" s="1"/>
  <c r="AQ87" i="5"/>
  <c r="AL45" i="5"/>
  <c r="BA34" i="55"/>
  <c r="BH41" i="55"/>
  <c r="AT53" i="5" s="1"/>
  <c r="BI3" i="55"/>
  <c r="CA84" i="53"/>
  <c r="CB8" i="53"/>
  <c r="AS8" i="6"/>
  <c r="BF17" i="55"/>
  <c r="BF27" i="55" s="1"/>
  <c r="BF14" i="55"/>
  <c r="BF24" i="55" s="1"/>
  <c r="BF12" i="55"/>
  <c r="BF22" i="55" s="1"/>
  <c r="BV44" i="53"/>
  <c r="BV47" i="53" s="1"/>
  <c r="N62" i="5"/>
  <c r="N63" i="5" s="1"/>
  <c r="BG16" i="55"/>
  <c r="BG26" i="55" s="1"/>
  <c r="BH15" i="55"/>
  <c r="BH25" i="55" s="1"/>
  <c r="AJ24" i="5"/>
  <c r="AJ28" i="5" s="1"/>
  <c r="BP39" i="53"/>
  <c r="BQ38" i="53"/>
  <c r="AW11" i="55"/>
  <c r="AV21" i="55"/>
  <c r="AV28" i="55" s="1"/>
  <c r="AH38" i="5" s="1"/>
  <c r="AH40" i="5" s="1"/>
  <c r="M56" i="5"/>
  <c r="AZ38" i="55"/>
  <c r="AK50" i="5"/>
  <c r="AK39" i="5" s="1"/>
  <c r="AV91" i="53"/>
  <c r="AU96" i="53"/>
  <c r="O30" i="5" s="1"/>
  <c r="AU98" i="53"/>
  <c r="AZ39" i="55"/>
  <c r="AK51" i="5"/>
  <c r="AI29" i="5"/>
  <c r="BP36" i="53"/>
  <c r="BQ35" i="53"/>
  <c r="AJ23" i="5"/>
  <c r="AJ27" i="5" s="1"/>
  <c r="P12" i="5"/>
  <c r="P13" i="5" s="1"/>
  <c r="AV82" i="53"/>
  <c r="AV83" i="53" s="1"/>
  <c r="BH16" i="53" s="1"/>
  <c r="BA88" i="53"/>
  <c r="BA89" i="53" s="1"/>
  <c r="BO40" i="53"/>
  <c r="BO49" i="53" s="1"/>
  <c r="BO50" i="53" s="1"/>
  <c r="AW60" i="53"/>
  <c r="AZ40" i="55"/>
  <c r="AK52" i="5"/>
  <c r="AG40" i="5"/>
  <c r="AA11" i="5"/>
  <c r="AZ36" i="55"/>
  <c r="AK48" i="5"/>
  <c r="AZ37" i="55"/>
  <c r="AK49" i="5"/>
  <c r="AJ39" i="5"/>
  <c r="AZ35" i="55"/>
  <c r="AK47" i="5"/>
  <c r="AV78" i="53" l="1"/>
  <c r="AV100" i="53" s="1"/>
  <c r="AQ108" i="5"/>
  <c r="AT79" i="5"/>
  <c r="AT90" i="5"/>
  <c r="J35" i="65"/>
  <c r="E36" i="65" s="1"/>
  <c r="BF23" i="55"/>
  <c r="BG13" i="55"/>
  <c r="BI106" i="38"/>
  <c r="AQ60" i="5"/>
  <c r="BJ93" i="38"/>
  <c r="BJ95" i="38" s="1"/>
  <c r="BJ104" i="38" s="1"/>
  <c r="BJ22" i="38"/>
  <c r="BJ39" i="38"/>
  <c r="BK4" i="38"/>
  <c r="BL3" i="38"/>
  <c r="BY29" i="53"/>
  <c r="BY31" i="53" s="1"/>
  <c r="BY99" i="53" s="1"/>
  <c r="CB6" i="53"/>
  <c r="CB11" i="53" s="1"/>
  <c r="CC7" i="53"/>
  <c r="AT5" i="5"/>
  <c r="AT68" i="5"/>
  <c r="AT85" i="5"/>
  <c r="AU4" i="5"/>
  <c r="AT59" i="5"/>
  <c r="AS70" i="5"/>
  <c r="AS69" i="5"/>
  <c r="AO41" i="6"/>
  <c r="AR93" i="5" s="1"/>
  <c r="AR94" i="5"/>
  <c r="AO19" i="6"/>
  <c r="AR86" i="5" s="1"/>
  <c r="AR87" i="5"/>
  <c r="AQ6" i="6"/>
  <c r="AQ12" i="6" s="1"/>
  <c r="AP18" i="6"/>
  <c r="AP40" i="6"/>
  <c r="AS92" i="5" s="1"/>
  <c r="AP25" i="6"/>
  <c r="AP34" i="6"/>
  <c r="AS91" i="5" s="1"/>
  <c r="AP27" i="6"/>
  <c r="AP28" i="6" s="1"/>
  <c r="AP16" i="6"/>
  <c r="AP24" i="6"/>
  <c r="AP7" i="6"/>
  <c r="AP26" i="6"/>
  <c r="AP38" i="6"/>
  <c r="AO29" i="6"/>
  <c r="AP23" i="6" s="1"/>
  <c r="AM45" i="5"/>
  <c r="BB34" i="55"/>
  <c r="AT8" i="6"/>
  <c r="CC8" i="53"/>
  <c r="CB84" i="53"/>
  <c r="BJ3" i="55"/>
  <c r="BI41" i="55"/>
  <c r="BG17" i="55"/>
  <c r="BG27" i="55" s="1"/>
  <c r="BG12" i="55"/>
  <c r="BG22" i="55" s="1"/>
  <c r="BG14" i="55"/>
  <c r="BG24" i="55" s="1"/>
  <c r="BW44" i="53"/>
  <c r="BW47" i="53" s="1"/>
  <c r="N71" i="5"/>
  <c r="BH16" i="55"/>
  <c r="BH26" i="55" s="1"/>
  <c r="BI15" i="55"/>
  <c r="BI25" i="55" s="1"/>
  <c r="BP40" i="53"/>
  <c r="BP49" i="53" s="1"/>
  <c r="BP50" i="53" s="1"/>
  <c r="BB87" i="53"/>
  <c r="BA39" i="55"/>
  <c r="AL51" i="5"/>
  <c r="O31" i="5"/>
  <c r="BH73" i="53"/>
  <c r="BH17" i="53"/>
  <c r="BH74" i="53" s="1"/>
  <c r="BH81" i="53" s="1"/>
  <c r="M71" i="5"/>
  <c r="BA40" i="55"/>
  <c r="AL52" i="5"/>
  <c r="Q10" i="5"/>
  <c r="P14" i="5"/>
  <c r="Q9" i="5" s="1"/>
  <c r="BA38" i="55"/>
  <c r="AL50" i="5"/>
  <c r="AW67" i="53"/>
  <c r="AW59" i="53"/>
  <c r="AW65" i="53" s="1"/>
  <c r="AW57" i="53"/>
  <c r="AJ29" i="5"/>
  <c r="AW21" i="55"/>
  <c r="AW28" i="55" s="1"/>
  <c r="AI38" i="5" s="1"/>
  <c r="AX11" i="55"/>
  <c r="AK23" i="5"/>
  <c r="AK27" i="5" s="1"/>
  <c r="BQ36" i="53"/>
  <c r="BR35" i="53"/>
  <c r="AK24" i="5"/>
  <c r="AK28" i="5" s="1"/>
  <c r="BQ39" i="53"/>
  <c r="BR38" i="53"/>
  <c r="BA35" i="55"/>
  <c r="AL47" i="5"/>
  <c r="BA37" i="55"/>
  <c r="AL49" i="5"/>
  <c r="BA36" i="55"/>
  <c r="AL48" i="5"/>
  <c r="AV95" i="53" l="1"/>
  <c r="AV92" i="53"/>
  <c r="AV93" i="53" s="1"/>
  <c r="AV96" i="53" s="1"/>
  <c r="AW71" i="53"/>
  <c r="AR108" i="5"/>
  <c r="AU79" i="5"/>
  <c r="AU90" i="5"/>
  <c r="F36" i="65"/>
  <c r="AU53" i="5"/>
  <c r="BG23" i="55"/>
  <c r="BH13" i="55"/>
  <c r="AP29" i="6"/>
  <c r="AQ23" i="6" s="1"/>
  <c r="BJ106" i="38"/>
  <c r="AR60" i="5"/>
  <c r="BK93" i="38"/>
  <c r="BK95" i="38" s="1"/>
  <c r="BK104" i="38" s="1"/>
  <c r="BK22" i="38"/>
  <c r="BK39" i="38"/>
  <c r="BM3" i="38"/>
  <c r="BL4" i="38"/>
  <c r="BZ29" i="53"/>
  <c r="BZ31" i="53" s="1"/>
  <c r="BZ99" i="53" s="1"/>
  <c r="CC6" i="53"/>
  <c r="CC11" i="53" s="1"/>
  <c r="CD7" i="53"/>
  <c r="AU68" i="5"/>
  <c r="AV4" i="5"/>
  <c r="AU85" i="5"/>
  <c r="AU5" i="5"/>
  <c r="AU59" i="5"/>
  <c r="AT69" i="5"/>
  <c r="AT70" i="5"/>
  <c r="AP19" i="6"/>
  <c r="AS86" i="5" s="1"/>
  <c r="AS87" i="5"/>
  <c r="AQ18" i="6"/>
  <c r="AQ40" i="6"/>
  <c r="AT92" i="5" s="1"/>
  <c r="AQ25" i="6"/>
  <c r="AR6" i="6"/>
  <c r="AR12" i="6" s="1"/>
  <c r="AQ34" i="6"/>
  <c r="AT91" i="5" s="1"/>
  <c r="AQ24" i="6"/>
  <c r="AQ27" i="6"/>
  <c r="AQ28" i="6" s="1"/>
  <c r="AQ16" i="6"/>
  <c r="AQ38" i="6"/>
  <c r="AQ7" i="6"/>
  <c r="AQ26" i="6"/>
  <c r="AS94" i="5"/>
  <c r="AP41" i="6"/>
  <c r="AS93" i="5" s="1"/>
  <c r="BC34" i="55"/>
  <c r="AN45" i="5"/>
  <c r="BK3" i="55"/>
  <c r="BJ41" i="55"/>
  <c r="CC84" i="53"/>
  <c r="CD8" i="53"/>
  <c r="AU8" i="6"/>
  <c r="BH17" i="55"/>
  <c r="BH27" i="55" s="1"/>
  <c r="BH14" i="55"/>
  <c r="BH24" i="55" s="1"/>
  <c r="BH12" i="55"/>
  <c r="BH22" i="55" s="1"/>
  <c r="BX44" i="53"/>
  <c r="BX47" i="53" s="1"/>
  <c r="BI16" i="55"/>
  <c r="BI26" i="55" s="1"/>
  <c r="BJ15" i="55"/>
  <c r="BJ25" i="55" s="1"/>
  <c r="BQ40" i="53"/>
  <c r="AW79" i="53"/>
  <c r="AW23" i="53" s="1"/>
  <c r="AW66" i="53"/>
  <c r="Q32" i="5"/>
  <c r="BB36" i="55"/>
  <c r="AM48" i="5"/>
  <c r="AL39" i="5"/>
  <c r="BB38" i="55"/>
  <c r="AM50" i="5"/>
  <c r="AM39" i="5" s="1"/>
  <c r="AY11" i="55"/>
  <c r="AX21" i="55"/>
  <c r="AX28" i="55" s="1"/>
  <c r="AJ38" i="5" s="1"/>
  <c r="AJ40" i="5" s="1"/>
  <c r="AK29" i="5"/>
  <c r="BB37" i="55"/>
  <c r="AM49" i="5"/>
  <c r="AI40" i="5"/>
  <c r="BB39" i="55"/>
  <c r="AM51" i="5"/>
  <c r="BS38" i="53"/>
  <c r="BR39" i="53"/>
  <c r="AL24" i="5"/>
  <c r="AL28" i="5" s="1"/>
  <c r="BB40" i="55"/>
  <c r="AM52" i="5"/>
  <c r="BH18" i="53"/>
  <c r="BH54" i="53" s="1"/>
  <c r="AX15" i="53"/>
  <c r="AX20" i="53" s="1"/>
  <c r="AX22" i="53" s="1"/>
  <c r="AX53" i="53"/>
  <c r="AW56" i="53"/>
  <c r="AW76" i="53" s="1"/>
  <c r="BH75" i="53"/>
  <c r="BB35" i="55"/>
  <c r="AM47" i="5"/>
  <c r="BS35" i="53"/>
  <c r="AL23" i="5"/>
  <c r="AL27" i="5" s="1"/>
  <c r="BR36" i="53"/>
  <c r="O34" i="5"/>
  <c r="O33" i="5"/>
  <c r="BB88" i="53"/>
  <c r="BB89" i="53" s="1"/>
  <c r="AS108" i="5" l="1"/>
  <c r="P30" i="5"/>
  <c r="P31" i="5" s="1"/>
  <c r="AV98" i="53"/>
  <c r="AW91" i="53"/>
  <c r="AV79" i="5"/>
  <c r="AV90" i="5"/>
  <c r="J36" i="65"/>
  <c r="E37" i="65" s="1"/>
  <c r="AV53" i="5"/>
  <c r="BH23" i="55"/>
  <c r="BI13" i="55"/>
  <c r="BK106" i="38"/>
  <c r="AS60" i="5"/>
  <c r="BL93" i="38"/>
  <c r="BL95" i="38" s="1"/>
  <c r="BL104" i="38" s="1"/>
  <c r="BL22" i="38"/>
  <c r="BL39" i="38"/>
  <c r="BN3" i="38"/>
  <c r="BM4" i="38"/>
  <c r="CA29" i="53"/>
  <c r="CA31" i="53" s="1"/>
  <c r="CA99" i="53" s="1"/>
  <c r="CD6" i="53"/>
  <c r="CD11" i="53" s="1"/>
  <c r="CE7" i="53"/>
  <c r="AU70" i="5"/>
  <c r="AU69" i="5"/>
  <c r="AV85" i="5"/>
  <c r="AV5" i="5"/>
  <c r="AW4" i="5"/>
  <c r="AV68" i="5"/>
  <c r="AV59" i="5"/>
  <c r="AQ41" i="6"/>
  <c r="AT93" i="5" s="1"/>
  <c r="AT94" i="5"/>
  <c r="AT87" i="5"/>
  <c r="AQ19" i="6"/>
  <c r="AT86" i="5" s="1"/>
  <c r="AR24" i="6"/>
  <c r="AR40" i="6"/>
  <c r="AU92" i="5" s="1"/>
  <c r="AR7" i="6"/>
  <c r="AS6" i="6"/>
  <c r="AS12" i="6" s="1"/>
  <c r="AR18" i="6"/>
  <c r="AR25" i="6"/>
  <c r="AR34" i="6"/>
  <c r="AU91" i="5" s="1"/>
  <c r="AR26" i="6"/>
  <c r="AR16" i="6"/>
  <c r="AR38" i="6"/>
  <c r="AR27" i="6"/>
  <c r="AR28" i="6" s="1"/>
  <c r="AQ29" i="6"/>
  <c r="AR23" i="6" s="1"/>
  <c r="AO45" i="5"/>
  <c r="BD34" i="55"/>
  <c r="AV8" i="6"/>
  <c r="CD84" i="53"/>
  <c r="CE8" i="53"/>
  <c r="BK41" i="55"/>
  <c r="BL3" i="55"/>
  <c r="BI17" i="55"/>
  <c r="BI27" i="55" s="1"/>
  <c r="BI12" i="55"/>
  <c r="BI22" i="55" s="1"/>
  <c r="BI14" i="55"/>
  <c r="BI24" i="55" s="1"/>
  <c r="BY44" i="53"/>
  <c r="BY47" i="53" s="1"/>
  <c r="BQ49" i="53"/>
  <c r="BQ50" i="53" s="1"/>
  <c r="O35" i="5"/>
  <c r="O42" i="5" s="1"/>
  <c r="O62" i="5" s="1"/>
  <c r="O63" i="5" s="1"/>
  <c r="BJ16" i="55"/>
  <c r="BJ26" i="55" s="1"/>
  <c r="BK15" i="55"/>
  <c r="BK25" i="55" s="1"/>
  <c r="BC87" i="53"/>
  <c r="BS39" i="53"/>
  <c r="AM24" i="5"/>
  <c r="AM28" i="5" s="1"/>
  <c r="BT38" i="53"/>
  <c r="AZ11" i="55"/>
  <c r="AY21" i="55"/>
  <c r="AY28" i="55" s="1"/>
  <c r="AK38" i="5" s="1"/>
  <c r="BC36" i="55"/>
  <c r="AN48" i="5"/>
  <c r="BR40" i="53"/>
  <c r="BR49" i="53" s="1"/>
  <c r="BR50" i="53" s="1"/>
  <c r="AB11" i="5"/>
  <c r="AL29" i="5"/>
  <c r="AW82" i="53"/>
  <c r="AW83" i="53" s="1"/>
  <c r="BI16" i="53" s="1"/>
  <c r="Q12" i="5"/>
  <c r="Q13" i="5" s="1"/>
  <c r="AW77" i="53"/>
  <c r="BC40" i="55"/>
  <c r="AN52" i="5"/>
  <c r="BC39" i="55"/>
  <c r="AN51" i="5"/>
  <c r="BC35" i="55"/>
  <c r="AN47" i="5"/>
  <c r="AM23" i="5"/>
  <c r="AM27" i="5" s="1"/>
  <c r="BT35" i="53"/>
  <c r="BS36" i="53"/>
  <c r="AX60" i="53"/>
  <c r="BC38" i="55"/>
  <c r="AN50" i="5"/>
  <c r="AN39" i="5" s="1"/>
  <c r="BC37" i="55"/>
  <c r="AN49" i="5"/>
  <c r="AT108" i="5" l="1"/>
  <c r="AW79" i="5"/>
  <c r="AW90" i="5"/>
  <c r="F37" i="65"/>
  <c r="BI23" i="55"/>
  <c r="BJ13" i="55"/>
  <c r="BM93" i="38"/>
  <c r="BM95" i="38" s="1"/>
  <c r="BM104" i="38" s="1"/>
  <c r="AR29" i="6"/>
  <c r="AS23" i="6" s="1"/>
  <c r="BL106" i="38"/>
  <c r="AT60" i="5"/>
  <c r="BM22" i="38"/>
  <c r="BM39" i="38"/>
  <c r="BN4" i="38"/>
  <c r="BO3" i="38"/>
  <c r="CB29" i="53"/>
  <c r="CB31" i="53" s="1"/>
  <c r="CB99" i="53" s="1"/>
  <c r="CE6" i="53"/>
  <c r="CE11" i="53" s="1"/>
  <c r="CF7" i="53"/>
  <c r="AW68" i="5"/>
  <c r="AW5" i="5"/>
  <c r="AW85" i="5"/>
  <c r="AX4" i="5"/>
  <c r="AW59" i="5"/>
  <c r="AV70" i="5"/>
  <c r="AV69" i="5"/>
  <c r="AW53" i="5"/>
  <c r="AU94" i="5"/>
  <c r="AR41" i="6"/>
  <c r="AU93" i="5" s="1"/>
  <c r="AS24" i="6"/>
  <c r="AS38" i="6"/>
  <c r="AS26" i="6"/>
  <c r="AT6" i="6"/>
  <c r="AT12" i="6" s="1"/>
  <c r="AS25" i="6"/>
  <c r="AS16" i="6"/>
  <c r="AS40" i="6"/>
  <c r="AV92" i="5" s="1"/>
  <c r="AS34" i="6"/>
  <c r="AV91" i="5" s="1"/>
  <c r="AS18" i="6"/>
  <c r="AS27" i="6"/>
  <c r="AS28" i="6" s="1"/>
  <c r="AS7" i="6"/>
  <c r="AU87" i="5"/>
  <c r="AR19" i="6"/>
  <c r="AU86" i="5" s="1"/>
  <c r="AP45" i="5"/>
  <c r="BE34" i="55"/>
  <c r="BM3" i="55"/>
  <c r="BL41" i="55"/>
  <c r="AX53" i="5" s="1"/>
  <c r="CE84" i="53"/>
  <c r="CF8" i="53"/>
  <c r="AW8" i="6"/>
  <c r="BJ17" i="55"/>
  <c r="BJ27" i="55" s="1"/>
  <c r="BJ14" i="55"/>
  <c r="BJ24" i="55" s="1"/>
  <c r="BJ12" i="55"/>
  <c r="BJ22" i="55" s="1"/>
  <c r="BZ44" i="53"/>
  <c r="BZ47" i="53" s="1"/>
  <c r="O46" i="5"/>
  <c r="O54" i="5" s="1"/>
  <c r="BK16" i="55"/>
  <c r="BK26" i="55" s="1"/>
  <c r="BL15" i="55"/>
  <c r="BL25" i="55" s="1"/>
  <c r="BS40" i="53"/>
  <c r="BS49" i="53" s="1"/>
  <c r="BS50" i="53" s="1"/>
  <c r="BD37" i="55"/>
  <c r="AO49" i="5"/>
  <c r="BD35" i="55"/>
  <c r="AO47" i="5"/>
  <c r="AN24" i="5"/>
  <c r="AN28" i="5" s="1"/>
  <c r="BU38" i="53"/>
  <c r="BT39" i="53"/>
  <c r="BD39" i="55"/>
  <c r="AO51" i="5"/>
  <c r="BD36" i="55"/>
  <c r="AO48" i="5"/>
  <c r="BD40" i="55"/>
  <c r="AO52" i="5"/>
  <c r="BD38" i="55"/>
  <c r="AO50" i="5"/>
  <c r="AO39" i="5" s="1"/>
  <c r="AX72" i="53"/>
  <c r="AW78" i="53"/>
  <c r="P34" i="5"/>
  <c r="P33" i="5"/>
  <c r="R10" i="5"/>
  <c r="Q14" i="5"/>
  <c r="R9" i="5" s="1"/>
  <c r="AK40" i="5"/>
  <c r="BI73" i="53"/>
  <c r="BI17" i="53"/>
  <c r="BI74" i="53" s="1"/>
  <c r="BI81" i="53" s="1"/>
  <c r="AZ21" i="55"/>
  <c r="AZ28" i="55" s="1"/>
  <c r="AL38" i="5" s="1"/>
  <c r="BA11" i="55"/>
  <c r="BC88" i="53"/>
  <c r="BC89" i="53" s="1"/>
  <c r="BU35" i="53"/>
  <c r="BT36" i="53"/>
  <c r="AN23" i="5"/>
  <c r="AN27" i="5" s="1"/>
  <c r="AM29" i="5"/>
  <c r="AX67" i="53"/>
  <c r="AX59" i="53"/>
  <c r="AX65" i="53" s="1"/>
  <c r="AX57" i="53"/>
  <c r="AU108" i="5" l="1"/>
  <c r="AX79" i="5"/>
  <c r="AX90" i="5"/>
  <c r="O56" i="5"/>
  <c r="J37" i="65"/>
  <c r="E38" i="65" s="1"/>
  <c r="BJ23" i="55"/>
  <c r="BK13" i="55"/>
  <c r="BN93" i="38"/>
  <c r="BN95" i="38" s="1"/>
  <c r="BN104" i="38" s="1"/>
  <c r="BM106" i="38"/>
  <c r="AU60" i="5"/>
  <c r="BN22" i="38"/>
  <c r="BN39" i="38"/>
  <c r="BP3" i="38"/>
  <c r="BO4" i="38"/>
  <c r="CC29" i="53"/>
  <c r="CC31" i="53" s="1"/>
  <c r="CC99" i="53" s="1"/>
  <c r="AW100" i="53"/>
  <c r="CF6" i="53"/>
  <c r="CF11" i="53" s="1"/>
  <c r="CG7" i="53"/>
  <c r="AX68" i="5"/>
  <c r="AY4" i="5"/>
  <c r="AX85" i="5"/>
  <c r="AX5" i="5"/>
  <c r="AX59" i="5"/>
  <c r="AW69" i="5"/>
  <c r="AW70" i="5"/>
  <c r="AV87" i="5"/>
  <c r="AS19" i="6"/>
  <c r="AV86" i="5" s="1"/>
  <c r="AS29" i="6"/>
  <c r="AT23" i="6" s="1"/>
  <c r="AT26" i="6"/>
  <c r="AT24" i="6"/>
  <c r="AT18" i="6"/>
  <c r="AT27" i="6"/>
  <c r="AT28" i="6" s="1"/>
  <c r="AT40" i="6"/>
  <c r="AW92" i="5" s="1"/>
  <c r="AT34" i="6"/>
  <c r="AW91" i="5" s="1"/>
  <c r="AT16" i="6"/>
  <c r="AU6" i="6"/>
  <c r="AU12" i="6" s="1"/>
  <c r="AT38" i="6"/>
  <c r="AT25" i="6"/>
  <c r="AT7" i="6"/>
  <c r="AV94" i="5"/>
  <c r="AS41" i="6"/>
  <c r="AV93" i="5" s="1"/>
  <c r="BF34" i="55"/>
  <c r="AQ45" i="5"/>
  <c r="AX8" i="6"/>
  <c r="CF84" i="53"/>
  <c r="CG8" i="53"/>
  <c r="BN3" i="55"/>
  <c r="BM41" i="55"/>
  <c r="BK17" i="55"/>
  <c r="BK27" i="55" s="1"/>
  <c r="BK12" i="55"/>
  <c r="BK22" i="55" s="1"/>
  <c r="BK14" i="55"/>
  <c r="BK24" i="55" s="1"/>
  <c r="CA44" i="53"/>
  <c r="CA47" i="53" s="1"/>
  <c r="P35" i="5"/>
  <c r="P42" i="5" s="1"/>
  <c r="P46" i="5" s="1"/>
  <c r="P54" i="5" s="1"/>
  <c r="P56" i="5" s="1"/>
  <c r="BL16" i="55"/>
  <c r="BL26" i="55" s="1"/>
  <c r="BM15" i="55"/>
  <c r="BM25" i="55" s="1"/>
  <c r="BD87" i="53"/>
  <c r="BV38" i="53"/>
  <c r="BU39" i="53"/>
  <c r="AO24" i="5"/>
  <c r="AO28" i="5" s="1"/>
  <c r="BV35" i="53"/>
  <c r="BU36" i="53"/>
  <c r="AO23" i="5"/>
  <c r="AO27" i="5" s="1"/>
  <c r="BA21" i="55"/>
  <c r="BA28" i="55" s="1"/>
  <c r="AM38" i="5" s="1"/>
  <c r="BB11" i="55"/>
  <c r="BE40" i="55"/>
  <c r="AP52" i="5"/>
  <c r="AL40" i="5"/>
  <c r="BI75" i="53"/>
  <c r="BE35" i="55"/>
  <c r="AP47" i="5"/>
  <c r="BI18" i="53"/>
  <c r="BI54" i="53" s="1"/>
  <c r="BE37" i="55"/>
  <c r="AP49" i="5"/>
  <c r="BE38" i="55"/>
  <c r="AP50" i="5"/>
  <c r="AP39" i="5" s="1"/>
  <c r="BE36" i="55"/>
  <c r="AP48" i="5"/>
  <c r="BT40" i="53"/>
  <c r="BT49" i="53" s="1"/>
  <c r="BT50" i="53" s="1"/>
  <c r="AY15" i="53"/>
  <c r="AY20" i="53" s="1"/>
  <c r="AY22" i="53" s="1"/>
  <c r="AY53" i="53"/>
  <c r="AX56" i="53"/>
  <c r="AX76" i="53" s="1"/>
  <c r="BE39" i="55"/>
  <c r="AP51" i="5"/>
  <c r="AN29" i="5"/>
  <c r="AX79" i="53"/>
  <c r="AX23" i="53" s="1"/>
  <c r="AX66" i="53"/>
  <c r="R32" i="5"/>
  <c r="AW92" i="53"/>
  <c r="AW93" i="53" s="1"/>
  <c r="AX71" i="53"/>
  <c r="AW95" i="53"/>
  <c r="AV108" i="5" l="1"/>
  <c r="O71" i="5"/>
  <c r="AY79" i="5"/>
  <c r="AY90" i="5"/>
  <c r="F38" i="65"/>
  <c r="BK23" i="55"/>
  <c r="BL13" i="55"/>
  <c r="AT29" i="6"/>
  <c r="AU23" i="6" s="1"/>
  <c r="BN106" i="38"/>
  <c r="AV60" i="5"/>
  <c r="BO93" i="38"/>
  <c r="BO95" i="38" s="1"/>
  <c r="BO104" i="38" s="1"/>
  <c r="AW60" i="5" s="1"/>
  <c r="BO22" i="38"/>
  <c r="BO39" i="38"/>
  <c r="BQ3" i="38"/>
  <c r="BP4" i="38"/>
  <c r="CD29" i="53"/>
  <c r="CD31" i="53" s="1"/>
  <c r="CD99" i="53" s="1"/>
  <c r="CG6" i="53"/>
  <c r="CG11" i="53" s="1"/>
  <c r="CH7" i="53"/>
  <c r="AX70" i="5"/>
  <c r="AX69" i="5"/>
  <c r="AY53" i="5"/>
  <c r="AY68" i="5"/>
  <c r="AY85" i="5"/>
  <c r="AY5" i="5"/>
  <c r="AZ4" i="5"/>
  <c r="AY59" i="5"/>
  <c r="AW94" i="5"/>
  <c r="AT41" i="6"/>
  <c r="AW93" i="5" s="1"/>
  <c r="AU26" i="6"/>
  <c r="AU24" i="6"/>
  <c r="AU38" i="6"/>
  <c r="AU34" i="6"/>
  <c r="AX91" i="5" s="1"/>
  <c r="AU16" i="6"/>
  <c r="AU27" i="6"/>
  <c r="AU28" i="6" s="1"/>
  <c r="AU7" i="6"/>
  <c r="AU25" i="6"/>
  <c r="AV6" i="6"/>
  <c r="AV12" i="6" s="1"/>
  <c r="AU40" i="6"/>
  <c r="AX92" i="5" s="1"/>
  <c r="AU18" i="6"/>
  <c r="AW87" i="5"/>
  <c r="AT19" i="6"/>
  <c r="AW86" i="5" s="1"/>
  <c r="BG34" i="55"/>
  <c r="AR45" i="5"/>
  <c r="BN41" i="55"/>
  <c r="AZ53" i="5" s="1"/>
  <c r="BO3" i="55"/>
  <c r="CG84" i="53"/>
  <c r="CH8" i="53"/>
  <c r="AY8" i="6"/>
  <c r="BL17" i="55"/>
  <c r="BL27" i="55" s="1"/>
  <c r="BL14" i="55"/>
  <c r="BL24" i="55" s="1"/>
  <c r="BL12" i="55"/>
  <c r="BL22" i="55" s="1"/>
  <c r="CB44" i="53"/>
  <c r="CB47" i="53" s="1"/>
  <c r="BU40" i="53"/>
  <c r="BU49" i="53" s="1"/>
  <c r="BU50" i="53" s="1"/>
  <c r="P62" i="5"/>
  <c r="P63" i="5" s="1"/>
  <c r="P71" i="5" s="1"/>
  <c r="BM16" i="55"/>
  <c r="BM26" i="55" s="1"/>
  <c r="BN15" i="55"/>
  <c r="BN25" i="55" s="1"/>
  <c r="AX82" i="53"/>
  <c r="AX83" i="53" s="1"/>
  <c r="BJ16" i="53" s="1"/>
  <c r="R12" i="5"/>
  <c r="R13" i="5" s="1"/>
  <c r="BW35" i="53"/>
  <c r="AP23" i="5"/>
  <c r="AP27" i="5" s="1"/>
  <c r="BV36" i="53"/>
  <c r="BV39" i="53"/>
  <c r="AP24" i="5"/>
  <c r="AP28" i="5" s="1"/>
  <c r="BW38" i="53"/>
  <c r="BF37" i="55"/>
  <c r="AQ49" i="5"/>
  <c r="BF36" i="55"/>
  <c r="AQ48" i="5"/>
  <c r="BF40" i="55"/>
  <c r="AQ52" i="5"/>
  <c r="AX77" i="53"/>
  <c r="AC11" i="5"/>
  <c r="BD88" i="53"/>
  <c r="BD89" i="53" s="1"/>
  <c r="AY60" i="53"/>
  <c r="BF38" i="55"/>
  <c r="AQ50" i="5"/>
  <c r="BB21" i="55"/>
  <c r="BB28" i="55" s="1"/>
  <c r="AN38" i="5" s="1"/>
  <c r="AN40" i="5" s="1"/>
  <c r="BC11" i="55"/>
  <c r="BF35" i="55"/>
  <c r="AQ47" i="5"/>
  <c r="AM40" i="5"/>
  <c r="AX91" i="53"/>
  <c r="AW98" i="53"/>
  <c r="AW96" i="53"/>
  <c r="Q30" i="5" s="1"/>
  <c r="BF39" i="55"/>
  <c r="AQ51" i="5"/>
  <c r="AO29" i="5"/>
  <c r="AW108" i="5" l="1"/>
  <c r="AZ79" i="5"/>
  <c r="AZ90" i="5"/>
  <c r="J38" i="65"/>
  <c r="E39" i="65" s="1"/>
  <c r="BL23" i="55"/>
  <c r="BM13" i="55"/>
  <c r="AU29" i="6"/>
  <c r="AV23" i="6" s="1"/>
  <c r="BP39" i="38"/>
  <c r="BP93" i="38"/>
  <c r="BO106" i="38"/>
  <c r="BP95" i="38"/>
  <c r="BP104" i="38" s="1"/>
  <c r="BP22" i="38"/>
  <c r="BR3" i="38"/>
  <c r="BQ4" i="38"/>
  <c r="CE29" i="53"/>
  <c r="CE31" i="53" s="1"/>
  <c r="CE99" i="53" s="1"/>
  <c r="CH6" i="53"/>
  <c r="CH11" i="53" s="1"/>
  <c r="CI7" i="53"/>
  <c r="AZ68" i="5"/>
  <c r="AZ5" i="5"/>
  <c r="AZ85" i="5"/>
  <c r="BA4" i="5"/>
  <c r="AZ59" i="5"/>
  <c r="AY70" i="5"/>
  <c r="AY69" i="5"/>
  <c r="AV16" i="6"/>
  <c r="AV34" i="6"/>
  <c r="AY91" i="5" s="1"/>
  <c r="AV18" i="6"/>
  <c r="AV27" i="6"/>
  <c r="AV28" i="6" s="1"/>
  <c r="AV7" i="6"/>
  <c r="AW6" i="6"/>
  <c r="AW12" i="6" s="1"/>
  <c r="AV40" i="6"/>
  <c r="AY92" i="5" s="1"/>
  <c r="AV25" i="6"/>
  <c r="AV38" i="6"/>
  <c r="AV26" i="6"/>
  <c r="AV24" i="6"/>
  <c r="AX87" i="5"/>
  <c r="AU19" i="6"/>
  <c r="AX86" i="5" s="1"/>
  <c r="AX94" i="5"/>
  <c r="AU41" i="6"/>
  <c r="AX93" i="5" s="1"/>
  <c r="AX108" i="5" s="1"/>
  <c r="BH34" i="55"/>
  <c r="AS45" i="5"/>
  <c r="AZ8" i="6"/>
  <c r="CH84" i="53"/>
  <c r="CI8" i="53"/>
  <c r="BP3" i="55"/>
  <c r="BO41" i="55"/>
  <c r="BM17" i="55"/>
  <c r="BM27" i="55" s="1"/>
  <c r="BM12" i="55"/>
  <c r="BM22" i="55" s="1"/>
  <c r="BM14" i="55"/>
  <c r="BM24" i="55" s="1"/>
  <c r="CC44" i="53"/>
  <c r="CC47" i="53" s="1"/>
  <c r="BN16" i="55"/>
  <c r="BN26" i="55" s="1"/>
  <c r="BO15" i="55"/>
  <c r="BO25" i="55" s="1"/>
  <c r="BE87" i="53"/>
  <c r="Q31" i="5"/>
  <c r="BV40" i="53"/>
  <c r="BV49" i="53" s="1"/>
  <c r="BV50" i="53" s="1"/>
  <c r="AP29" i="5"/>
  <c r="BG36" i="55"/>
  <c r="AR48" i="5"/>
  <c r="BX35" i="53"/>
  <c r="BW36" i="53"/>
  <c r="AQ23" i="5"/>
  <c r="AQ27" i="5" s="1"/>
  <c r="BG39" i="55"/>
  <c r="AR51" i="5"/>
  <c r="AY72" i="53"/>
  <c r="AX78" i="53"/>
  <c r="AY67" i="53"/>
  <c r="AY59" i="53"/>
  <c r="AY65" i="53" s="1"/>
  <c r="AY57" i="53"/>
  <c r="BG35" i="55"/>
  <c r="AR47" i="5"/>
  <c r="BC21" i="55"/>
  <c r="BC28" i="55" s="1"/>
  <c r="AO38" i="5" s="1"/>
  <c r="AO40" i="5" s="1"/>
  <c r="BD11" i="55"/>
  <c r="S10" i="5"/>
  <c r="R14" i="5"/>
  <c r="S9" i="5" s="1"/>
  <c r="BJ73" i="53"/>
  <c r="BJ17" i="53"/>
  <c r="BJ74" i="53" s="1"/>
  <c r="BJ81" i="53" s="1"/>
  <c r="BG37" i="55"/>
  <c r="AR49" i="5"/>
  <c r="AQ39" i="5"/>
  <c r="BG38" i="55"/>
  <c r="AR50" i="5"/>
  <c r="AR39" i="5" s="1"/>
  <c r="BG40" i="55"/>
  <c r="AR52" i="5"/>
  <c r="AQ24" i="5"/>
  <c r="AQ28" i="5" s="1"/>
  <c r="BW39" i="53"/>
  <c r="BX38" i="53"/>
  <c r="BA79" i="5" l="1"/>
  <c r="BA90" i="5"/>
  <c r="F39" i="65"/>
  <c r="BM23" i="55"/>
  <c r="BN13" i="55"/>
  <c r="BQ39" i="38"/>
  <c r="AV29" i="6"/>
  <c r="AW23" i="6" s="1"/>
  <c r="BP106" i="38"/>
  <c r="AX60" i="5"/>
  <c r="BQ93" i="38"/>
  <c r="BQ95" i="38" s="1"/>
  <c r="BQ104" i="38" s="1"/>
  <c r="BQ22" i="38"/>
  <c r="BR4" i="38"/>
  <c r="BS3" i="38"/>
  <c r="CF29" i="53"/>
  <c r="CF31" i="53" s="1"/>
  <c r="CF99" i="53" s="1"/>
  <c r="AX100" i="53"/>
  <c r="CJ7" i="53"/>
  <c r="CI6" i="53"/>
  <c r="CI11" i="53" s="1"/>
  <c r="BA68" i="5"/>
  <c r="BB4" i="5"/>
  <c r="BA85" i="5"/>
  <c r="BA5" i="5"/>
  <c r="BA59" i="5"/>
  <c r="BA53" i="5"/>
  <c r="AZ70" i="5"/>
  <c r="AZ69" i="5"/>
  <c r="AW24" i="6"/>
  <c r="AW27" i="6"/>
  <c r="AW28" i="6" s="1"/>
  <c r="AX6" i="6"/>
  <c r="AX12" i="6" s="1"/>
  <c r="AW18" i="6"/>
  <c r="AW7" i="6"/>
  <c r="AW34" i="6"/>
  <c r="AZ91" i="5" s="1"/>
  <c r="AW40" i="6"/>
  <c r="AZ92" i="5" s="1"/>
  <c r="AW38" i="6"/>
  <c r="AW25" i="6"/>
  <c r="AW16" i="6"/>
  <c r="AW26" i="6"/>
  <c r="AV41" i="6"/>
  <c r="AY93" i="5" s="1"/>
  <c r="AY94" i="5"/>
  <c r="AY87" i="5"/>
  <c r="AV19" i="6"/>
  <c r="AY86" i="5" s="1"/>
  <c r="AT45" i="5"/>
  <c r="BI34" i="55"/>
  <c r="BP41" i="55"/>
  <c r="BB53" i="5" s="1"/>
  <c r="BQ3" i="55"/>
  <c r="CI84" i="53"/>
  <c r="CJ8" i="53"/>
  <c r="BA8" i="6"/>
  <c r="BN17" i="55"/>
  <c r="BN27" i="55" s="1"/>
  <c r="BN14" i="55"/>
  <c r="BN24" i="55" s="1"/>
  <c r="BN12" i="55"/>
  <c r="BN22" i="55" s="1"/>
  <c r="CD44" i="53"/>
  <c r="CD47" i="53" s="1"/>
  <c r="BO16" i="55"/>
  <c r="BO26" i="55" s="1"/>
  <c r="BP15" i="55"/>
  <c r="BP25" i="55" s="1"/>
  <c r="BH35" i="55"/>
  <c r="AS47" i="5"/>
  <c r="BH37" i="55"/>
  <c r="AS49" i="5"/>
  <c r="BJ75" i="53"/>
  <c r="BH40" i="55"/>
  <c r="AS52" i="5"/>
  <c r="BH39" i="55"/>
  <c r="AS51" i="5"/>
  <c r="AZ15" i="53"/>
  <c r="AZ20" i="53" s="1"/>
  <c r="AZ22" i="53" s="1"/>
  <c r="AZ53" i="53"/>
  <c r="AY56" i="53"/>
  <c r="AY76" i="53" s="1"/>
  <c r="BW40" i="53"/>
  <c r="BW49" i="53" s="1"/>
  <c r="BW50" i="53" s="1"/>
  <c r="Q34" i="5"/>
  <c r="Q33" i="5"/>
  <c r="BD21" i="55"/>
  <c r="BD28" i="55" s="1"/>
  <c r="AP38" i="5" s="1"/>
  <c r="AP40" i="5" s="1"/>
  <c r="BE11" i="55"/>
  <c r="AY66" i="53"/>
  <c r="AY79" i="53"/>
  <c r="AY23" i="53" s="1"/>
  <c r="S32" i="5"/>
  <c r="BY35" i="53"/>
  <c r="BX36" i="53"/>
  <c r="AR23" i="5"/>
  <c r="AR27" i="5" s="1"/>
  <c r="AR24" i="5"/>
  <c r="AR28" i="5" s="1"/>
  <c r="BY38" i="53"/>
  <c r="BX39" i="53"/>
  <c r="BJ18" i="53"/>
  <c r="BJ54" i="53" s="1"/>
  <c r="AQ29" i="5"/>
  <c r="BE88" i="53"/>
  <c r="BE89" i="53" s="1"/>
  <c r="BH36" i="55"/>
  <c r="AS48" i="5"/>
  <c r="BH38" i="55"/>
  <c r="AS50" i="5"/>
  <c r="AX92" i="53"/>
  <c r="AX93" i="53" s="1"/>
  <c r="AY71" i="53"/>
  <c r="AX95" i="53"/>
  <c r="AY77" i="53" l="1"/>
  <c r="AY78" i="53" s="1"/>
  <c r="AY108" i="5"/>
  <c r="BB79" i="5"/>
  <c r="BB90" i="5"/>
  <c r="J39" i="65"/>
  <c r="E40" i="65" s="1"/>
  <c r="BN23" i="55"/>
  <c r="BO13" i="55"/>
  <c r="BR93" i="38"/>
  <c r="BR95" i="38" s="1"/>
  <c r="BR104" i="38" s="1"/>
  <c r="AW29" i="6"/>
  <c r="AX23" i="6" s="1"/>
  <c r="BQ106" i="38"/>
  <c r="AY60" i="5"/>
  <c r="BR22" i="38"/>
  <c r="BR39" i="38"/>
  <c r="BS4" i="38"/>
  <c r="BT3" i="38"/>
  <c r="CG29" i="53"/>
  <c r="CG31" i="53" s="1"/>
  <c r="CG99" i="53" s="1"/>
  <c r="CJ6" i="53"/>
  <c r="CJ11" i="53" s="1"/>
  <c r="CK7" i="53"/>
  <c r="BB68" i="5"/>
  <c r="BC4" i="5"/>
  <c r="BB5" i="5"/>
  <c r="BB85" i="5"/>
  <c r="BB59" i="5"/>
  <c r="BA70" i="5"/>
  <c r="BA69" i="5"/>
  <c r="AW19" i="6"/>
  <c r="AZ86" i="5" s="1"/>
  <c r="AZ87" i="5"/>
  <c r="AZ94" i="5"/>
  <c r="AW41" i="6"/>
  <c r="AZ93" i="5" s="1"/>
  <c r="AX34" i="6"/>
  <c r="BA91" i="5" s="1"/>
  <c r="AX16" i="6"/>
  <c r="AX24" i="6"/>
  <c r="AX7" i="6"/>
  <c r="AX40" i="6"/>
  <c r="BA92" i="5" s="1"/>
  <c r="AY6" i="6"/>
  <c r="AY12" i="6" s="1"/>
  <c r="AX18" i="6"/>
  <c r="AX25" i="6"/>
  <c r="AX27" i="6"/>
  <c r="AX28" i="6" s="1"/>
  <c r="AX26" i="6"/>
  <c r="AX38" i="6"/>
  <c r="AU45" i="5"/>
  <c r="BJ34" i="55"/>
  <c r="BB8" i="6"/>
  <c r="CJ84" i="53"/>
  <c r="CK8" i="53"/>
  <c r="BQ41" i="55"/>
  <c r="BR3" i="55"/>
  <c r="BO17" i="55"/>
  <c r="BO27" i="55" s="1"/>
  <c r="BO12" i="55"/>
  <c r="BO22" i="55" s="1"/>
  <c r="BO14" i="55"/>
  <c r="BO24" i="55" s="1"/>
  <c r="CE44" i="53"/>
  <c r="CE47" i="53" s="1"/>
  <c r="Q35" i="5"/>
  <c r="Q42" i="5" s="1"/>
  <c r="Q62" i="5" s="1"/>
  <c r="Q63" i="5" s="1"/>
  <c r="BP16" i="55"/>
  <c r="BP26" i="55" s="1"/>
  <c r="BQ15" i="55"/>
  <c r="BQ25" i="55" s="1"/>
  <c r="BX40" i="53"/>
  <c r="BX49" i="53" s="1"/>
  <c r="BX50" i="53" s="1"/>
  <c r="BF87" i="53"/>
  <c r="BF11" i="55"/>
  <c r="BE21" i="55"/>
  <c r="BE28" i="55" s="1"/>
  <c r="AQ38" i="5" s="1"/>
  <c r="BI39" i="55"/>
  <c r="AT51" i="5"/>
  <c r="AR29" i="5"/>
  <c r="AY91" i="53"/>
  <c r="AX98" i="53"/>
  <c r="AX96" i="53"/>
  <c r="R30" i="5" s="1"/>
  <c r="BI40" i="55"/>
  <c r="AT52" i="5"/>
  <c r="AS23" i="5"/>
  <c r="AS27" i="5" s="1"/>
  <c r="BZ35" i="53"/>
  <c r="BY36" i="53"/>
  <c r="AZ60" i="53"/>
  <c r="AD11" i="5"/>
  <c r="BI37" i="55"/>
  <c r="AT49" i="5"/>
  <c r="BI36" i="55"/>
  <c r="AT48" i="5"/>
  <c r="S12" i="5"/>
  <c r="S13" i="5" s="1"/>
  <c r="AY82" i="53"/>
  <c r="AY83" i="53" s="1"/>
  <c r="BK16" i="53" s="1"/>
  <c r="AS39" i="5"/>
  <c r="BI38" i="55"/>
  <c r="AT50" i="5"/>
  <c r="AT39" i="5" s="1"/>
  <c r="BZ38" i="53"/>
  <c r="BY39" i="53"/>
  <c r="AS24" i="5"/>
  <c r="AS28" i="5" s="1"/>
  <c r="BI35" i="55"/>
  <c r="AT47" i="5"/>
  <c r="AZ72" i="53" l="1"/>
  <c r="AZ108" i="5"/>
  <c r="BC79" i="5"/>
  <c r="BC90" i="5"/>
  <c r="F40" i="65"/>
  <c r="BC53" i="5"/>
  <c r="AX29" i="6"/>
  <c r="AY23" i="6" s="1"/>
  <c r="BO23" i="55"/>
  <c r="BP13" i="55"/>
  <c r="BS93" i="38"/>
  <c r="BS95" i="38" s="1"/>
  <c r="BS104" i="38" s="1"/>
  <c r="BA60" i="5" s="1"/>
  <c r="BR106" i="38"/>
  <c r="AZ60" i="5"/>
  <c r="BS22" i="38"/>
  <c r="BS39" i="38"/>
  <c r="BT4" i="38"/>
  <c r="BU3" i="38"/>
  <c r="CH29" i="53"/>
  <c r="CH31" i="53" s="1"/>
  <c r="CH99" i="53" s="1"/>
  <c r="AY100" i="53"/>
  <c r="CK6" i="53"/>
  <c r="CK11" i="53" s="1"/>
  <c r="CL7" i="53"/>
  <c r="BC68" i="5"/>
  <c r="BC5" i="5"/>
  <c r="BC85" i="5"/>
  <c r="BD4" i="5"/>
  <c r="BC59" i="5"/>
  <c r="BB70" i="5"/>
  <c r="BB69" i="5"/>
  <c r="AY38" i="6"/>
  <c r="AY18" i="6"/>
  <c r="AY24" i="6"/>
  <c r="AZ6" i="6"/>
  <c r="AZ12" i="6" s="1"/>
  <c r="AY7" i="6"/>
  <c r="AY25" i="6"/>
  <c r="AY27" i="6" s="1"/>
  <c r="AY28" i="6" s="1"/>
  <c r="AY26" i="6"/>
  <c r="AX19" i="6"/>
  <c r="BA86" i="5" s="1"/>
  <c r="BA87" i="5"/>
  <c r="AX41" i="6"/>
  <c r="BA93" i="5" s="1"/>
  <c r="BA94" i="5"/>
  <c r="BK34" i="55"/>
  <c r="AV45" i="5"/>
  <c r="BR41" i="55"/>
  <c r="BS3" i="55"/>
  <c r="CK84" i="53"/>
  <c r="CL8" i="53"/>
  <c r="BC8" i="6"/>
  <c r="BP17" i="55"/>
  <c r="BP27" i="55" s="1"/>
  <c r="BP14" i="55"/>
  <c r="BP24" i="55" s="1"/>
  <c r="BP12" i="55"/>
  <c r="BP22" i="55" s="1"/>
  <c r="CF44" i="53"/>
  <c r="CF47" i="53" s="1"/>
  <c r="Q46" i="5"/>
  <c r="Q54" i="5" s="1"/>
  <c r="BQ16" i="55"/>
  <c r="BQ26" i="55" s="1"/>
  <c r="BR15" i="55"/>
  <c r="BR25" i="55" s="1"/>
  <c r="T10" i="5"/>
  <c r="S14" i="5"/>
  <c r="T9" i="5" s="1"/>
  <c r="BJ36" i="55"/>
  <c r="AU48" i="5"/>
  <c r="AT23" i="5"/>
  <c r="AT27" i="5" s="1"/>
  <c r="BZ36" i="53"/>
  <c r="CA35" i="53"/>
  <c r="BY40" i="53"/>
  <c r="BY49" i="53" s="1"/>
  <c r="BY50" i="53" s="1"/>
  <c r="AT24" i="5"/>
  <c r="AT28" i="5" s="1"/>
  <c r="BZ39" i="53"/>
  <c r="CA38" i="53"/>
  <c r="AS29" i="5"/>
  <c r="BK73" i="53"/>
  <c r="BK17" i="53"/>
  <c r="BK74" i="53" s="1"/>
  <c r="BK81" i="53" s="1"/>
  <c r="BJ37" i="55"/>
  <c r="AU49" i="5"/>
  <c r="BJ39" i="55"/>
  <c r="AU51" i="5"/>
  <c r="AZ67" i="53"/>
  <c r="AZ59" i="53"/>
  <c r="AZ65" i="53" s="1"/>
  <c r="AZ57" i="53"/>
  <c r="BJ40" i="55"/>
  <c r="AU52" i="5"/>
  <c r="AY92" i="53"/>
  <c r="AY93" i="53" s="1"/>
  <c r="AZ71" i="53"/>
  <c r="AY95" i="53"/>
  <c r="R31" i="5"/>
  <c r="BJ38" i="55"/>
  <c r="AU50" i="5"/>
  <c r="AU39" i="5" s="1"/>
  <c r="BJ35" i="55"/>
  <c r="AU47" i="5"/>
  <c r="AQ40" i="5"/>
  <c r="BF88" i="53"/>
  <c r="BF89" i="53" s="1"/>
  <c r="BG11" i="55"/>
  <c r="BF21" i="55"/>
  <c r="BF28" i="55" s="1"/>
  <c r="AR38" i="5" s="1"/>
  <c r="AR40" i="5" s="1"/>
  <c r="BA108" i="5" l="1"/>
  <c r="BD79" i="5"/>
  <c r="BD90" i="5"/>
  <c r="Q56" i="5"/>
  <c r="J40" i="65"/>
  <c r="E41" i="65" s="1"/>
  <c r="BD53" i="5"/>
  <c r="BP23" i="55"/>
  <c r="BQ13" i="55"/>
  <c r="BS106" i="38"/>
  <c r="BT93" i="38"/>
  <c r="BT95" i="38"/>
  <c r="BT104" i="38" s="1"/>
  <c r="BT22" i="38"/>
  <c r="BT39" i="38"/>
  <c r="BU4" i="38"/>
  <c r="BV3" i="38"/>
  <c r="CI29" i="53"/>
  <c r="CI31" i="53" s="1"/>
  <c r="CI99" i="53" s="1"/>
  <c r="CM7" i="53"/>
  <c r="CL6" i="53"/>
  <c r="CL11" i="53" s="1"/>
  <c r="BD68" i="5"/>
  <c r="BD5" i="5"/>
  <c r="BD85" i="5"/>
  <c r="BE4" i="5"/>
  <c r="BD59" i="5"/>
  <c r="BC70" i="5"/>
  <c r="BC69" i="5"/>
  <c r="AY29" i="6"/>
  <c r="AZ23" i="6" s="1"/>
  <c r="AZ34" i="6"/>
  <c r="BC91" i="5" s="1"/>
  <c r="AZ26" i="6"/>
  <c r="AZ25" i="6"/>
  <c r="BA6" i="6"/>
  <c r="BA12" i="6" s="1"/>
  <c r="AZ40" i="6"/>
  <c r="BC92" i="5" s="1"/>
  <c r="AZ27" i="6"/>
  <c r="AZ28" i="6" s="1"/>
  <c r="AZ18" i="6"/>
  <c r="AZ38" i="6"/>
  <c r="AZ7" i="6"/>
  <c r="AZ24" i="6"/>
  <c r="AZ16" i="6"/>
  <c r="AY41" i="6"/>
  <c r="BB93" i="5" s="1"/>
  <c r="BB94" i="5"/>
  <c r="AW45" i="5"/>
  <c r="BL34" i="55"/>
  <c r="BD8" i="6"/>
  <c r="CL84" i="53"/>
  <c r="CM8" i="53"/>
  <c r="BS41" i="55"/>
  <c r="BE53" i="5" s="1"/>
  <c r="BT3" i="55"/>
  <c r="BQ17" i="55"/>
  <c r="BQ27" i="55" s="1"/>
  <c r="BQ12" i="55"/>
  <c r="BQ22" i="55" s="1"/>
  <c r="BQ14" i="55"/>
  <c r="BQ24" i="55" s="1"/>
  <c r="CG44" i="53"/>
  <c r="CG47" i="53" s="1"/>
  <c r="BR16" i="55"/>
  <c r="BR26" i="55" s="1"/>
  <c r="BS15" i="55"/>
  <c r="BS25" i="55" s="1"/>
  <c r="BZ40" i="53"/>
  <c r="BZ49" i="53" s="1"/>
  <c r="BZ50" i="53" s="1"/>
  <c r="BG87" i="53"/>
  <c r="BK38" i="55"/>
  <c r="AV50" i="5"/>
  <c r="BK18" i="53"/>
  <c r="BK54" i="53" s="1"/>
  <c r="R34" i="5"/>
  <c r="R33" i="5"/>
  <c r="BK75" i="53"/>
  <c r="AU23" i="5"/>
  <c r="AU27" i="5" s="1"/>
  <c r="CA36" i="53"/>
  <c r="CB35" i="53"/>
  <c r="BK40" i="55"/>
  <c r="AV52" i="5"/>
  <c r="AT29" i="5"/>
  <c r="BK35" i="55"/>
  <c r="AV47" i="5"/>
  <c r="BH11" i="55"/>
  <c r="BG21" i="55"/>
  <c r="BG28" i="55" s="1"/>
  <c r="AS38" i="5" s="1"/>
  <c r="AZ79" i="53"/>
  <c r="AZ23" i="53" s="1"/>
  <c r="AZ66" i="53"/>
  <c r="T32" i="5"/>
  <c r="BK36" i="55"/>
  <c r="AV48" i="5"/>
  <c r="BA53" i="53"/>
  <c r="BA15" i="53"/>
  <c r="BA20" i="53" s="1"/>
  <c r="BA22" i="53" s="1"/>
  <c r="AZ56" i="53"/>
  <c r="AZ76" i="53" s="1"/>
  <c r="AU24" i="5"/>
  <c r="AU28" i="5" s="1"/>
  <c r="CB38" i="53"/>
  <c r="CB39" i="53" s="1"/>
  <c r="CA39" i="53"/>
  <c r="BK39" i="55"/>
  <c r="AV51" i="5"/>
  <c r="BK37" i="55"/>
  <c r="AV49" i="5"/>
  <c r="AZ91" i="53"/>
  <c r="AY98" i="53"/>
  <c r="AY96" i="53"/>
  <c r="S30" i="5" s="1"/>
  <c r="Q71" i="5" l="1"/>
  <c r="BE79" i="5"/>
  <c r="BE90" i="5"/>
  <c r="F41" i="65"/>
  <c r="BQ23" i="55"/>
  <c r="BR13" i="55"/>
  <c r="BT106" i="38"/>
  <c r="BB60" i="5"/>
  <c r="BU93" i="38"/>
  <c r="BU95" i="38"/>
  <c r="BU104" i="38" s="1"/>
  <c r="BU22" i="38"/>
  <c r="BU39" i="38"/>
  <c r="BW3" i="38"/>
  <c r="BV4" i="38"/>
  <c r="CJ29" i="53"/>
  <c r="CJ31" i="53" s="1"/>
  <c r="CJ99" i="53" s="1"/>
  <c r="CN7" i="53"/>
  <c r="CM6" i="53"/>
  <c r="CM11" i="53" s="1"/>
  <c r="BE68" i="5"/>
  <c r="BE5" i="5"/>
  <c r="BE85" i="5"/>
  <c r="BF4" i="5"/>
  <c r="BE59" i="5"/>
  <c r="BD70" i="5"/>
  <c r="BD69" i="5"/>
  <c r="BC87" i="5"/>
  <c r="AZ19" i="6"/>
  <c r="BC86" i="5" s="1"/>
  <c r="AZ41" i="6"/>
  <c r="BC93" i="5" s="1"/>
  <c r="BC94" i="5"/>
  <c r="BA34" i="6"/>
  <c r="BD91" i="5" s="1"/>
  <c r="BA7" i="6"/>
  <c r="BA25" i="6"/>
  <c r="BA26" i="6"/>
  <c r="BA27" i="6"/>
  <c r="BA28" i="6" s="1"/>
  <c r="BA18" i="6"/>
  <c r="BA16" i="6"/>
  <c r="BB6" i="6"/>
  <c r="BB12" i="6" s="1"/>
  <c r="BA40" i="6"/>
  <c r="BD92" i="5" s="1"/>
  <c r="BA24" i="6"/>
  <c r="BA38" i="6"/>
  <c r="AZ29" i="6"/>
  <c r="BA23" i="6" s="1"/>
  <c r="AX45" i="5"/>
  <c r="BM34" i="55"/>
  <c r="BA60" i="53"/>
  <c r="BU3" i="55"/>
  <c r="BT41" i="55"/>
  <c r="BF53" i="5" s="1"/>
  <c r="CM84" i="53"/>
  <c r="CN8" i="53"/>
  <c r="BE8" i="6"/>
  <c r="BR17" i="55"/>
  <c r="BR27" i="55" s="1"/>
  <c r="BR14" i="55"/>
  <c r="BR24" i="55" s="1"/>
  <c r="BR12" i="55"/>
  <c r="BR22" i="55" s="1"/>
  <c r="CH44" i="53"/>
  <c r="CH47" i="53" s="1"/>
  <c r="R35" i="5"/>
  <c r="R42" i="5" s="1"/>
  <c r="R62" i="5" s="1"/>
  <c r="R63" i="5" s="1"/>
  <c r="BS16" i="55"/>
  <c r="BS26" i="55" s="1"/>
  <c r="BT15" i="55"/>
  <c r="BT25" i="55" s="1"/>
  <c r="S31" i="5"/>
  <c r="AS40" i="5"/>
  <c r="BL37" i="55"/>
  <c r="AW49" i="5"/>
  <c r="BH21" i="55"/>
  <c r="BH28" i="55" s="1"/>
  <c r="AT38" i="5" s="1"/>
  <c r="AT40" i="5" s="1"/>
  <c r="BI11" i="55"/>
  <c r="AV24" i="5"/>
  <c r="AV28" i="5" s="1"/>
  <c r="CC38" i="53"/>
  <c r="BL40" i="55"/>
  <c r="AW52" i="5"/>
  <c r="CC35" i="53"/>
  <c r="AV23" i="5"/>
  <c r="AV27" i="5" s="1"/>
  <c r="CB36" i="53"/>
  <c r="CB40" i="53" s="1"/>
  <c r="BL35" i="55"/>
  <c r="AW47" i="5"/>
  <c r="CA40" i="53"/>
  <c r="CA49" i="53" s="1"/>
  <c r="CA50" i="53" s="1"/>
  <c r="AU29" i="5"/>
  <c r="AE11" i="5"/>
  <c r="AV39" i="5"/>
  <c r="BL38" i="55"/>
  <c r="AW50" i="5"/>
  <c r="AW39" i="5" s="1"/>
  <c r="BL39" i="55"/>
  <c r="AW51" i="5"/>
  <c r="T12" i="5"/>
  <c r="T13" i="5" s="1"/>
  <c r="AZ82" i="53"/>
  <c r="AZ83" i="53" s="1"/>
  <c r="BL16" i="53" s="1"/>
  <c r="AZ77" i="53"/>
  <c r="BL36" i="55"/>
  <c r="AW48" i="5"/>
  <c r="BG88" i="53"/>
  <c r="BG89" i="53" s="1"/>
  <c r="BC108" i="5" l="1"/>
  <c r="BF79" i="5"/>
  <c r="BF90" i="5"/>
  <c r="J41" i="65"/>
  <c r="E42" i="65" s="1"/>
  <c r="BR23" i="55"/>
  <c r="BS13" i="55"/>
  <c r="BU106" i="38"/>
  <c r="BC60" i="5"/>
  <c r="BV93" i="38"/>
  <c r="BV22" i="38"/>
  <c r="BV95" i="38"/>
  <c r="BV104" i="38" s="1"/>
  <c r="BV39" i="38"/>
  <c r="BX3" i="38"/>
  <c r="BW4" i="38"/>
  <c r="CK29" i="53"/>
  <c r="CK31" i="53" s="1"/>
  <c r="CK99" i="53" s="1"/>
  <c r="CO7" i="53"/>
  <c r="CN6" i="53"/>
  <c r="CN11" i="53" s="1"/>
  <c r="BF68" i="5"/>
  <c r="BF85" i="5"/>
  <c r="BG4" i="5"/>
  <c r="BF5" i="5"/>
  <c r="BF59" i="5"/>
  <c r="BE70" i="5"/>
  <c r="BE69" i="5"/>
  <c r="BD87" i="5"/>
  <c r="BA19" i="6"/>
  <c r="BD86" i="5" s="1"/>
  <c r="BB7" i="6"/>
  <c r="BB27" i="6"/>
  <c r="BB28" i="6" s="1"/>
  <c r="BC6" i="6"/>
  <c r="BC12" i="6" s="1"/>
  <c r="BB40" i="6"/>
  <c r="BE92" i="5" s="1"/>
  <c r="BB18" i="6"/>
  <c r="BB38" i="6"/>
  <c r="BB16" i="6"/>
  <c r="BB26" i="6"/>
  <c r="BB25" i="6"/>
  <c r="BB34" i="6"/>
  <c r="BE91" i="5" s="1"/>
  <c r="BB24" i="6"/>
  <c r="BA29" i="6"/>
  <c r="BB23" i="6" s="1"/>
  <c r="BA41" i="6"/>
  <c r="BD93" i="5" s="1"/>
  <c r="BD94" i="5"/>
  <c r="BN34" i="55"/>
  <c r="AY45" i="5"/>
  <c r="BA57" i="53"/>
  <c r="BA67" i="53"/>
  <c r="BA59" i="53"/>
  <c r="BA65" i="53" s="1"/>
  <c r="BF8" i="6"/>
  <c r="CN84" i="53"/>
  <c r="CO8" i="53"/>
  <c r="BU41" i="55"/>
  <c r="BV3" i="55"/>
  <c r="BS17" i="55"/>
  <c r="BS27" i="55" s="1"/>
  <c r="BS12" i="55"/>
  <c r="BS22" i="55" s="1"/>
  <c r="BS14" i="55"/>
  <c r="BS24" i="55" s="1"/>
  <c r="CI44" i="53"/>
  <c r="CI47" i="53" s="1"/>
  <c r="R46" i="5"/>
  <c r="R54" i="5" s="1"/>
  <c r="BT16" i="55"/>
  <c r="BT26" i="55" s="1"/>
  <c r="BU15" i="55"/>
  <c r="BU25" i="55" s="1"/>
  <c r="CB49" i="53"/>
  <c r="CB50" i="53" s="1"/>
  <c r="BH87" i="53"/>
  <c r="BM37" i="55"/>
  <c r="AX49" i="5"/>
  <c r="BM36" i="55"/>
  <c r="AX48" i="5"/>
  <c r="BM38" i="55"/>
  <c r="AX50" i="5"/>
  <c r="BM40" i="55"/>
  <c r="AX52" i="5"/>
  <c r="BA72" i="53"/>
  <c r="AZ78" i="53"/>
  <c r="AW24" i="5"/>
  <c r="AW28" i="5" s="1"/>
  <c r="CC39" i="53"/>
  <c r="CD38" i="53"/>
  <c r="BL17" i="53"/>
  <c r="BL74" i="53" s="1"/>
  <c r="BL81" i="53" s="1"/>
  <c r="BL73" i="53"/>
  <c r="AV29" i="5"/>
  <c r="CC36" i="53"/>
  <c r="AW23" i="5"/>
  <c r="AW27" i="5" s="1"/>
  <c r="CD35" i="53"/>
  <c r="BM39" i="55"/>
  <c r="AX51" i="5"/>
  <c r="U10" i="5"/>
  <c r="T14" i="5"/>
  <c r="U9" i="5" s="1"/>
  <c r="BM35" i="55"/>
  <c r="AX47" i="5"/>
  <c r="S34" i="5"/>
  <c r="S33" i="5"/>
  <c r="BJ11" i="55"/>
  <c r="BI21" i="55"/>
  <c r="BI28" i="55" s="1"/>
  <c r="AU38" i="5" s="1"/>
  <c r="AU40" i="5" s="1"/>
  <c r="BD108" i="5" l="1"/>
  <c r="BG79" i="5"/>
  <c r="BG90" i="5"/>
  <c r="R56" i="5"/>
  <c r="F42" i="65"/>
  <c r="BG53" i="5"/>
  <c r="BS23" i="55"/>
  <c r="BT13" i="55"/>
  <c r="BB29" i="6"/>
  <c r="BC23" i="6" s="1"/>
  <c r="BV106" i="38"/>
  <c r="BD60" i="5"/>
  <c r="BW93" i="38"/>
  <c r="BW22" i="38"/>
  <c r="BW95" i="38"/>
  <c r="BW104" i="38" s="1"/>
  <c r="BW39" i="38"/>
  <c r="BX4" i="38"/>
  <c r="BY3" i="38"/>
  <c r="CL29" i="53"/>
  <c r="CL31" i="53" s="1"/>
  <c r="CL99" i="53" s="1"/>
  <c r="AZ100" i="53"/>
  <c r="CO6" i="53"/>
  <c r="CO11" i="53" s="1"/>
  <c r="CP7" i="53"/>
  <c r="BG68" i="5"/>
  <c r="BG85" i="5"/>
  <c r="BG5" i="5"/>
  <c r="BH4" i="5"/>
  <c r="BG59" i="5"/>
  <c r="BF70" i="5"/>
  <c r="BF69" i="5"/>
  <c r="BE87" i="5"/>
  <c r="BB19" i="6"/>
  <c r="BE86" i="5" s="1"/>
  <c r="BE94" i="5"/>
  <c r="BB41" i="6"/>
  <c r="BE93" i="5" s="1"/>
  <c r="BC7" i="6"/>
  <c r="BC26" i="6"/>
  <c r="BC16" i="6"/>
  <c r="BC24" i="6"/>
  <c r="BC18" i="6"/>
  <c r="BC40" i="6"/>
  <c r="BF92" i="5" s="1"/>
  <c r="BC27" i="6"/>
  <c r="BC28" i="6" s="1"/>
  <c r="BD6" i="6"/>
  <c r="BD12" i="6" s="1"/>
  <c r="BC25" i="6"/>
  <c r="BC38" i="6"/>
  <c r="BC34" i="6"/>
  <c r="BF91" i="5" s="1"/>
  <c r="BO34" i="55"/>
  <c r="AZ45" i="5"/>
  <c r="BA66" i="53"/>
  <c r="BA79" i="53"/>
  <c r="BA23" i="53" s="1"/>
  <c r="U32" i="5"/>
  <c r="BB53" i="53"/>
  <c r="BB15" i="53"/>
  <c r="BB20" i="53" s="1"/>
  <c r="BB22" i="53" s="1"/>
  <c r="BA56" i="53"/>
  <c r="BA76" i="53" s="1"/>
  <c r="BW3" i="55"/>
  <c r="BV41" i="55"/>
  <c r="CO84" i="53"/>
  <c r="CP8" i="53"/>
  <c r="BG8" i="6"/>
  <c r="BT17" i="55"/>
  <c r="BT27" i="55" s="1"/>
  <c r="BT14" i="55"/>
  <c r="BT24" i="55" s="1"/>
  <c r="BT12" i="55"/>
  <c r="BT22" i="55" s="1"/>
  <c r="CJ44" i="53"/>
  <c r="CJ47" i="53" s="1"/>
  <c r="BU16" i="55"/>
  <c r="BU26" i="55" s="1"/>
  <c r="BV15" i="55"/>
  <c r="BV25" i="55" s="1"/>
  <c r="CD36" i="53"/>
  <c r="AX23" i="5"/>
  <c r="AX27" i="5" s="1"/>
  <c r="CE35" i="53"/>
  <c r="BA71" i="53"/>
  <c r="AZ92" i="53"/>
  <c r="AZ93" i="53" s="1"/>
  <c r="AZ95" i="53"/>
  <c r="AW29" i="5"/>
  <c r="AX39" i="5"/>
  <c r="BN37" i="55"/>
  <c r="AY49" i="5"/>
  <c r="BN38" i="55"/>
  <c r="AY50" i="5"/>
  <c r="AY39" i="5" s="1"/>
  <c r="BN39" i="55"/>
  <c r="AY51" i="5"/>
  <c r="BL75" i="53"/>
  <c r="BN35" i="55"/>
  <c r="AY47" i="5"/>
  <c r="BL18" i="53"/>
  <c r="BL54" i="53" s="1"/>
  <c r="BN36" i="55"/>
  <c r="AY48" i="5"/>
  <c r="BN40" i="55"/>
  <c r="AY52" i="5"/>
  <c r="BK11" i="55"/>
  <c r="BJ21" i="55"/>
  <c r="BJ28" i="55" s="1"/>
  <c r="AV38" i="5" s="1"/>
  <c r="BH88" i="53"/>
  <c r="BH89" i="53" s="1"/>
  <c r="CC40" i="53"/>
  <c r="CC49" i="53" s="1"/>
  <c r="CC50" i="53" s="1"/>
  <c r="S35" i="5"/>
  <c r="CE38" i="53"/>
  <c r="CD39" i="53"/>
  <c r="AX24" i="5"/>
  <c r="AX28" i="5" s="1"/>
  <c r="BE108" i="5" l="1"/>
  <c r="R71" i="5"/>
  <c r="BH79" i="5"/>
  <c r="BH90" i="5"/>
  <c r="J42" i="65"/>
  <c r="E43" i="65" s="1"/>
  <c r="BH53" i="5"/>
  <c r="BT23" i="55"/>
  <c r="BU13" i="55"/>
  <c r="BC29" i="6"/>
  <c r="BD23" i="6" s="1"/>
  <c r="BW106" i="38"/>
  <c r="BE60" i="5"/>
  <c r="BX93" i="38"/>
  <c r="BX22" i="38"/>
  <c r="BX95" i="38"/>
  <c r="BX104" i="38" s="1"/>
  <c r="BX39" i="38"/>
  <c r="BY4" i="38"/>
  <c r="BZ3" i="38"/>
  <c r="CM29" i="53"/>
  <c r="CM31" i="53" s="1"/>
  <c r="CM99" i="53" s="1"/>
  <c r="CP6" i="53"/>
  <c r="CP11" i="53" s="1"/>
  <c r="CQ7" i="53"/>
  <c r="BH68" i="5"/>
  <c r="BH5" i="5"/>
  <c r="BH85" i="5"/>
  <c r="BI4" i="5"/>
  <c r="BH59" i="5"/>
  <c r="BG70" i="5"/>
  <c r="BG69" i="5"/>
  <c r="BD27" i="6"/>
  <c r="BD28" i="6" s="1"/>
  <c r="BD24" i="6"/>
  <c r="BD40" i="6"/>
  <c r="BG92" i="5" s="1"/>
  <c r="BD34" i="6"/>
  <c r="BG91" i="5" s="1"/>
  <c r="BE6" i="6"/>
  <c r="BE12" i="6" s="1"/>
  <c r="BD18" i="6"/>
  <c r="BD25" i="6"/>
  <c r="BD16" i="6"/>
  <c r="BD38" i="6"/>
  <c r="BD7" i="6"/>
  <c r="BD26" i="6"/>
  <c r="BF87" i="5"/>
  <c r="BC19" i="6"/>
  <c r="BF86" i="5" s="1"/>
  <c r="BC41" i="6"/>
  <c r="BF93" i="5" s="1"/>
  <c r="BF94" i="5"/>
  <c r="BA45" i="5"/>
  <c r="BP34" i="55"/>
  <c r="BA82" i="53"/>
  <c r="BA83" i="53" s="1"/>
  <c r="BM16" i="53" s="1"/>
  <c r="U12" i="5"/>
  <c r="U13" i="5" s="1"/>
  <c r="BB60" i="53"/>
  <c r="BA77" i="53"/>
  <c r="BH8" i="6"/>
  <c r="CP84" i="53"/>
  <c r="CQ8" i="53"/>
  <c r="BX3" i="55"/>
  <c r="BW41" i="55"/>
  <c r="BU17" i="55"/>
  <c r="BU27" i="55" s="1"/>
  <c r="BU12" i="55"/>
  <c r="BU22" i="55" s="1"/>
  <c r="BU14" i="55"/>
  <c r="BU24" i="55" s="1"/>
  <c r="CK44" i="53"/>
  <c r="CK47" i="53" s="1"/>
  <c r="BV16" i="55"/>
  <c r="BV26" i="55" s="1"/>
  <c r="BW15" i="55"/>
  <c r="BW25" i="55" s="1"/>
  <c r="BI87" i="53"/>
  <c r="S42" i="5"/>
  <c r="BO39" i="55"/>
  <c r="AZ51" i="5"/>
  <c r="AZ98" i="53"/>
  <c r="AZ96" i="53"/>
  <c r="T30" i="5" s="1"/>
  <c r="BA91" i="53"/>
  <c r="BO38" i="55"/>
  <c r="AZ50" i="5"/>
  <c r="AZ39" i="5" s="1"/>
  <c r="AY23" i="5"/>
  <c r="AY27" i="5" s="1"/>
  <c r="CE36" i="53"/>
  <c r="CF35" i="53"/>
  <c r="AV40" i="5"/>
  <c r="AX29" i="5"/>
  <c r="BO36" i="55"/>
  <c r="AZ48" i="5"/>
  <c r="BL11" i="55"/>
  <c r="BK21" i="55"/>
  <c r="BK28" i="55" s="1"/>
  <c r="AW38" i="5" s="1"/>
  <c r="AW40" i="5" s="1"/>
  <c r="AF11" i="5"/>
  <c r="CD40" i="53"/>
  <c r="CD49" i="53" s="1"/>
  <c r="CD50" i="53" s="1"/>
  <c r="CF38" i="53"/>
  <c r="CE39" i="53"/>
  <c r="AY24" i="5"/>
  <c r="AY28" i="5" s="1"/>
  <c r="BO37" i="55"/>
  <c r="AZ49" i="5"/>
  <c r="BO40" i="55"/>
  <c r="AZ52" i="5"/>
  <c r="BO35" i="55"/>
  <c r="AZ47" i="5"/>
  <c r="BF108" i="5" l="1"/>
  <c r="BI79" i="5"/>
  <c r="BI90" i="5"/>
  <c r="F43" i="65"/>
  <c r="BI53" i="5"/>
  <c r="BU23" i="55"/>
  <c r="BV13" i="55"/>
  <c r="BY93" i="38"/>
  <c r="BY95" i="38" s="1"/>
  <c r="BY104" i="38" s="1"/>
  <c r="BD29" i="6"/>
  <c r="BE23" i="6" s="1"/>
  <c r="BX106" i="38"/>
  <c r="BF60" i="5"/>
  <c r="BY22" i="38"/>
  <c r="BY39" i="38"/>
  <c r="CA3" i="38"/>
  <c r="BZ4" i="38"/>
  <c r="CN29" i="53"/>
  <c r="CN31" i="53" s="1"/>
  <c r="CN99" i="53" s="1"/>
  <c r="CR7" i="53"/>
  <c r="CQ6" i="53"/>
  <c r="CQ11" i="53" s="1"/>
  <c r="BI68" i="5"/>
  <c r="BI85" i="5"/>
  <c r="BI5" i="5"/>
  <c r="BJ4" i="5"/>
  <c r="BI59" i="5"/>
  <c r="BH69" i="5"/>
  <c r="BH70" i="5"/>
  <c r="BD41" i="6"/>
  <c r="BG93" i="5" s="1"/>
  <c r="BG94" i="5"/>
  <c r="BG87" i="5"/>
  <c r="BD19" i="6"/>
  <c r="BG86" i="5" s="1"/>
  <c r="BE40" i="6"/>
  <c r="BH92" i="5" s="1"/>
  <c r="BE38" i="6"/>
  <c r="BE24" i="6"/>
  <c r="BE27" i="6"/>
  <c r="BE28" i="6" s="1"/>
  <c r="BE16" i="6"/>
  <c r="BE18" i="6"/>
  <c r="BE7" i="6"/>
  <c r="BF6" i="6"/>
  <c r="BF12" i="6" s="1"/>
  <c r="BE34" i="6"/>
  <c r="BH91" i="5" s="1"/>
  <c r="BE26" i="6"/>
  <c r="BE25" i="6"/>
  <c r="BQ34" i="55"/>
  <c r="BB45" i="5"/>
  <c r="BB72" i="53"/>
  <c r="BA78" i="53"/>
  <c r="BB59" i="53"/>
  <c r="BB65" i="53" s="1"/>
  <c r="BB57" i="53"/>
  <c r="BB67" i="53"/>
  <c r="V10" i="5"/>
  <c r="U14" i="5"/>
  <c r="V9" i="5" s="1"/>
  <c r="BM17" i="53"/>
  <c r="BM74" i="53" s="1"/>
  <c r="BM81" i="53" s="1"/>
  <c r="BM73" i="53"/>
  <c r="BX41" i="55"/>
  <c r="BY3" i="55"/>
  <c r="CQ84" i="53"/>
  <c r="CR8" i="53"/>
  <c r="BI8" i="6"/>
  <c r="BV17" i="55"/>
  <c r="BV27" i="55" s="1"/>
  <c r="BV14" i="55"/>
  <c r="BV24" i="55" s="1"/>
  <c r="BV12" i="55"/>
  <c r="BV22" i="55" s="1"/>
  <c r="CL44" i="53"/>
  <c r="CL47" i="53" s="1"/>
  <c r="BW16" i="55"/>
  <c r="BW26" i="55" s="1"/>
  <c r="BX15" i="55"/>
  <c r="BX25" i="55" s="1"/>
  <c r="BP39" i="55"/>
  <c r="BA51" i="5"/>
  <c r="BP38" i="55"/>
  <c r="BA50" i="5"/>
  <c r="BA39" i="5" s="1"/>
  <c r="CF36" i="53"/>
  <c r="AZ23" i="5"/>
  <c r="AZ27" i="5" s="1"/>
  <c r="CG35" i="53"/>
  <c r="S62" i="5"/>
  <c r="S46" i="5"/>
  <c r="AY29" i="5"/>
  <c r="BP37" i="55"/>
  <c r="BA49" i="5"/>
  <c r="CF39" i="53"/>
  <c r="CG38" i="53"/>
  <c r="AZ24" i="5"/>
  <c r="AZ28" i="5" s="1"/>
  <c r="T31" i="5"/>
  <c r="BI88" i="53"/>
  <c r="BI89" i="53" s="1"/>
  <c r="BP40" i="55"/>
  <c r="BA52" i="5"/>
  <c r="BP36" i="55"/>
  <c r="BA48" i="5"/>
  <c r="CE40" i="53"/>
  <c r="CE49" i="53" s="1"/>
  <c r="CE50" i="53" s="1"/>
  <c r="BP35" i="55"/>
  <c r="BA47" i="5"/>
  <c r="BL21" i="55"/>
  <c r="BL28" i="55" s="1"/>
  <c r="AX38" i="5" s="1"/>
  <c r="BM11" i="55"/>
  <c r="BG108" i="5" l="1"/>
  <c r="BJ79" i="5"/>
  <c r="BJ90" i="5"/>
  <c r="J43" i="65"/>
  <c r="E44" i="65" s="1"/>
  <c r="BJ53" i="5"/>
  <c r="BV23" i="55"/>
  <c r="BW13" i="55"/>
  <c r="BY106" i="38"/>
  <c r="BG60" i="5"/>
  <c r="BZ93" i="38"/>
  <c r="BZ95" i="38" s="1"/>
  <c r="BZ104" i="38" s="1"/>
  <c r="BZ22" i="38"/>
  <c r="BZ39" i="38"/>
  <c r="CA4" i="38"/>
  <c r="CB3" i="38"/>
  <c r="CO29" i="53"/>
  <c r="CO31" i="53" s="1"/>
  <c r="CO99" i="53" s="1"/>
  <c r="BA100" i="53"/>
  <c r="CS7" i="53"/>
  <c r="CR6" i="53"/>
  <c r="CR11" i="53" s="1"/>
  <c r="BJ68" i="5"/>
  <c r="BJ5" i="5"/>
  <c r="BJ85" i="5"/>
  <c r="BK4" i="5"/>
  <c r="BJ59" i="5"/>
  <c r="BI69" i="5"/>
  <c r="BI70" i="5"/>
  <c r="BH87" i="5"/>
  <c r="BE19" i="6"/>
  <c r="BH86" i="5" s="1"/>
  <c r="BF38" i="6"/>
  <c r="BF18" i="6"/>
  <c r="BF40" i="6"/>
  <c r="BI92" i="5" s="1"/>
  <c r="BF25" i="6"/>
  <c r="BF16" i="6"/>
  <c r="BF7" i="6"/>
  <c r="BF27" i="6"/>
  <c r="BF28" i="6" s="1"/>
  <c r="BG6" i="6"/>
  <c r="BG12" i="6" s="1"/>
  <c r="BF26" i="6"/>
  <c r="BF34" i="6"/>
  <c r="BI91" i="5" s="1"/>
  <c r="BF24" i="6"/>
  <c r="BH94" i="5"/>
  <c r="BE41" i="6"/>
  <c r="BH93" i="5" s="1"/>
  <c r="BE29" i="6"/>
  <c r="BF23" i="6" s="1"/>
  <c r="BC45" i="5"/>
  <c r="BR34" i="55"/>
  <c r="BM75" i="53"/>
  <c r="AG11" i="5" s="1"/>
  <c r="BM18" i="53"/>
  <c r="BM54" i="53" s="1"/>
  <c r="BC53" i="53"/>
  <c r="BC60" i="53" s="1"/>
  <c r="BC15" i="53"/>
  <c r="BC20" i="53" s="1"/>
  <c r="BC22" i="53" s="1"/>
  <c r="BB56" i="53"/>
  <c r="BB76" i="53" s="1"/>
  <c r="BB66" i="53"/>
  <c r="BB79" i="53"/>
  <c r="BB23" i="53" s="1"/>
  <c r="V32" i="5"/>
  <c r="BB71" i="53"/>
  <c r="BA95" i="53"/>
  <c r="BA92" i="53"/>
  <c r="BA93" i="53" s="1"/>
  <c r="BB91" i="53" s="1"/>
  <c r="BJ8" i="6"/>
  <c r="CR84" i="53"/>
  <c r="CS8" i="53"/>
  <c r="BZ3" i="55"/>
  <c r="BY41" i="55"/>
  <c r="BK53" i="5" s="1"/>
  <c r="BW17" i="55"/>
  <c r="BW27" i="55" s="1"/>
  <c r="BW12" i="55"/>
  <c r="BW22" i="55" s="1"/>
  <c r="BW14" i="55"/>
  <c r="BW24" i="55" s="1"/>
  <c r="CM44" i="53"/>
  <c r="CM47" i="53" s="1"/>
  <c r="CF40" i="53"/>
  <c r="CF49" i="53" s="1"/>
  <c r="CF50" i="53" s="1"/>
  <c r="BX16" i="55"/>
  <c r="BX26" i="55" s="1"/>
  <c r="BY15" i="55"/>
  <c r="BY25" i="55" s="1"/>
  <c r="BJ87" i="53"/>
  <c r="AZ29" i="5"/>
  <c r="BQ38" i="55"/>
  <c r="BB50" i="5"/>
  <c r="BB39" i="5" s="1"/>
  <c r="BQ36" i="55"/>
  <c r="BB48" i="5"/>
  <c r="T34" i="5"/>
  <c r="T33" i="5"/>
  <c r="BQ40" i="55"/>
  <c r="BB52" i="5"/>
  <c r="S54" i="5"/>
  <c r="BQ39" i="55"/>
  <c r="BB51" i="5"/>
  <c r="BN11" i="55"/>
  <c r="BM21" i="55"/>
  <c r="BM28" i="55" s="1"/>
  <c r="AY38" i="5" s="1"/>
  <c r="AY40" i="5" s="1"/>
  <c r="BQ35" i="55"/>
  <c r="BB47" i="5"/>
  <c r="S63" i="5"/>
  <c r="AX40" i="5"/>
  <c r="CG39" i="53"/>
  <c r="CH38" i="53"/>
  <c r="BA24" i="5"/>
  <c r="BA28" i="5" s="1"/>
  <c r="BQ37" i="55"/>
  <c r="BB49" i="5"/>
  <c r="CG36" i="53"/>
  <c r="BA23" i="5"/>
  <c r="BA27" i="5" s="1"/>
  <c r="CH35" i="53"/>
  <c r="BH108" i="5" l="1"/>
  <c r="BB77" i="53"/>
  <c r="BC72" i="53" s="1"/>
  <c r="BK79" i="5"/>
  <c r="BK90" i="5"/>
  <c r="F44" i="65"/>
  <c r="BW23" i="55"/>
  <c r="BX13" i="55"/>
  <c r="BZ106" i="38"/>
  <c r="BH60" i="5"/>
  <c r="CA93" i="38"/>
  <c r="CA95" i="38"/>
  <c r="CA104" i="38" s="1"/>
  <c r="CA22" i="38"/>
  <c r="CA39" i="38"/>
  <c r="CB4" i="38"/>
  <c r="CC3" i="38"/>
  <c r="CP29" i="53"/>
  <c r="CP31" i="53" s="1"/>
  <c r="CP99" i="53" s="1"/>
  <c r="CT7" i="53"/>
  <c r="CS6" i="53"/>
  <c r="CS11" i="53" s="1"/>
  <c r="BJ70" i="5"/>
  <c r="BJ69" i="5"/>
  <c r="BK68" i="5"/>
  <c r="BK85" i="5"/>
  <c r="BK5" i="5"/>
  <c r="BL4" i="5"/>
  <c r="BK59" i="5"/>
  <c r="BG7" i="6"/>
  <c r="BG18" i="6"/>
  <c r="BG40" i="6"/>
  <c r="BJ92" i="5" s="1"/>
  <c r="BG25" i="6"/>
  <c r="BG34" i="6"/>
  <c r="BJ91" i="5" s="1"/>
  <c r="BH6" i="6"/>
  <c r="BH12" i="6" s="1"/>
  <c r="BG24" i="6"/>
  <c r="BG27" i="6"/>
  <c r="BG28" i="6" s="1"/>
  <c r="BG38" i="6"/>
  <c r="BG16" i="6"/>
  <c r="BG26" i="6"/>
  <c r="BI87" i="5"/>
  <c r="BF19" i="6"/>
  <c r="BI86" i="5" s="1"/>
  <c r="BF29" i="6"/>
  <c r="BG23" i="6" s="1"/>
  <c r="BF41" i="6"/>
  <c r="BI93" i="5" s="1"/>
  <c r="BI94" i="5"/>
  <c r="BD45" i="5"/>
  <c r="BS34" i="55"/>
  <c r="BA96" i="53"/>
  <c r="U30" i="5" s="1"/>
  <c r="BA98" i="53"/>
  <c r="V12" i="5"/>
  <c r="V13" i="5" s="1"/>
  <c r="BB82" i="53"/>
  <c r="BB83" i="53" s="1"/>
  <c r="BN16" i="53" s="1"/>
  <c r="BC57" i="53"/>
  <c r="BC59" i="53"/>
  <c r="BC65" i="53" s="1"/>
  <c r="BC67" i="53"/>
  <c r="BZ41" i="55"/>
  <c r="CA3" i="55"/>
  <c r="CS84" i="53"/>
  <c r="CT8" i="53"/>
  <c r="BK8" i="6"/>
  <c r="BX17" i="55"/>
  <c r="BX27" i="55" s="1"/>
  <c r="BX12" i="55"/>
  <c r="BX22" i="55" s="1"/>
  <c r="BX14" i="55"/>
  <c r="BX24" i="55" s="1"/>
  <c r="CN44" i="53"/>
  <c r="CN47" i="53" s="1"/>
  <c r="T35" i="5"/>
  <c r="BY16" i="55"/>
  <c r="BY26" i="55" s="1"/>
  <c r="BZ15" i="55"/>
  <c r="BZ25" i="55" s="1"/>
  <c r="BR40" i="55"/>
  <c r="BC52" i="5"/>
  <c r="BA29" i="5"/>
  <c r="BN21" i="55"/>
  <c r="BN28" i="55" s="1"/>
  <c r="AZ38" i="5" s="1"/>
  <c r="AZ40" i="5" s="1"/>
  <c r="BO11" i="55"/>
  <c r="BR37" i="55"/>
  <c r="BC49" i="5"/>
  <c r="BR39" i="55"/>
  <c r="BC51" i="5"/>
  <c r="BR36" i="55"/>
  <c r="BC48" i="5"/>
  <c r="CH36" i="53"/>
  <c r="CI35" i="53"/>
  <c r="BB23" i="5"/>
  <c r="BB27" i="5" s="1"/>
  <c r="CG40" i="53"/>
  <c r="CG49" i="53" s="1"/>
  <c r="CG50" i="53" s="1"/>
  <c r="BR35" i="55"/>
  <c r="BC47" i="5"/>
  <c r="S56" i="5"/>
  <c r="BB24" i="5"/>
  <c r="BB28" i="5" s="1"/>
  <c r="CH39" i="53"/>
  <c r="CI38" i="53"/>
  <c r="BR38" i="55"/>
  <c r="BC50" i="5"/>
  <c r="BJ88" i="53"/>
  <c r="BJ89" i="53" s="1"/>
  <c r="BB78" i="53" l="1"/>
  <c r="BB100" i="53" s="1"/>
  <c r="T42" i="5"/>
  <c r="T62" i="5" s="1"/>
  <c r="BI108" i="5"/>
  <c r="BL79" i="5"/>
  <c r="BL90" i="5"/>
  <c r="U31" i="5"/>
  <c r="G57" i="5"/>
  <c r="J44" i="65"/>
  <c r="E45" i="65" s="1"/>
  <c r="BL53" i="5"/>
  <c r="BX23" i="55"/>
  <c r="BY13" i="55"/>
  <c r="CA106" i="38"/>
  <c r="BI60" i="5"/>
  <c r="CB93" i="38"/>
  <c r="CB95" i="38"/>
  <c r="CB104" i="38" s="1"/>
  <c r="CB22" i="38"/>
  <c r="CB39" i="38"/>
  <c r="CC4" i="38"/>
  <c r="CD3" i="38"/>
  <c r="CQ29" i="53"/>
  <c r="CQ31" i="53" s="1"/>
  <c r="CQ99" i="53" s="1"/>
  <c r="CT6" i="53"/>
  <c r="CT11" i="53" s="1"/>
  <c r="CU7" i="53"/>
  <c r="BL68" i="5"/>
  <c r="BM4" i="5"/>
  <c r="BL5" i="5"/>
  <c r="BL85" i="5"/>
  <c r="BL59" i="5"/>
  <c r="BK70" i="5"/>
  <c r="BK69" i="5"/>
  <c r="BJ87" i="5"/>
  <c r="BG19" i="6"/>
  <c r="BJ86" i="5" s="1"/>
  <c r="BG41" i="6"/>
  <c r="BJ93" i="5" s="1"/>
  <c r="BJ94" i="5"/>
  <c r="BH24" i="6"/>
  <c r="BH34" i="6"/>
  <c r="BK91" i="5" s="1"/>
  <c r="BH7" i="6"/>
  <c r="BH25" i="6"/>
  <c r="BH16" i="6"/>
  <c r="BH27" i="6"/>
  <c r="BH28" i="6" s="1"/>
  <c r="BH18" i="6"/>
  <c r="BH38" i="6"/>
  <c r="BH40" i="6"/>
  <c r="BK92" i="5" s="1"/>
  <c r="BI6" i="6"/>
  <c r="BI12" i="6" s="1"/>
  <c r="BH26" i="6"/>
  <c r="BG29" i="6"/>
  <c r="BH23" i="6" s="1"/>
  <c r="BT34" i="55"/>
  <c r="BE45" i="5"/>
  <c r="W32" i="5"/>
  <c r="BC79" i="53"/>
  <c r="BC23" i="53" s="1"/>
  <c r="BC66" i="53"/>
  <c r="BC56" i="53"/>
  <c r="BC76" i="53" s="1"/>
  <c r="BD53" i="53"/>
  <c r="BD15" i="53"/>
  <c r="BD20" i="53" s="1"/>
  <c r="BD22" i="53" s="1"/>
  <c r="BN73" i="53"/>
  <c r="BN17" i="53"/>
  <c r="BN74" i="53" s="1"/>
  <c r="BN81" i="53" s="1"/>
  <c r="V14" i="5"/>
  <c r="W9" i="5" s="1"/>
  <c r="W10" i="5"/>
  <c r="BL8" i="6"/>
  <c r="CT84" i="53"/>
  <c r="CU8" i="53"/>
  <c r="CA41" i="55"/>
  <c r="BM53" i="5" s="1"/>
  <c r="CB3" i="55"/>
  <c r="BY17" i="55"/>
  <c r="BY27" i="55" s="1"/>
  <c r="BY14" i="55"/>
  <c r="BY24" i="55" s="1"/>
  <c r="BY12" i="55"/>
  <c r="BY22" i="55" s="1"/>
  <c r="CO44" i="53"/>
  <c r="CO47" i="53" s="1"/>
  <c r="BZ16" i="55"/>
  <c r="BZ26" i="55" s="1"/>
  <c r="CA15" i="55"/>
  <c r="CA25" i="55" s="1"/>
  <c r="CH40" i="53"/>
  <c r="CH49" i="53" s="1"/>
  <c r="CH50" i="53" s="1"/>
  <c r="BK87" i="53"/>
  <c r="BS37" i="55"/>
  <c r="BD49" i="5"/>
  <c r="BS35" i="55"/>
  <c r="BD47" i="5"/>
  <c r="BB29" i="5"/>
  <c r="BP11" i="55"/>
  <c r="BO21" i="55"/>
  <c r="BO28" i="55" s="1"/>
  <c r="BA38" i="5" s="1"/>
  <c r="BA40" i="5" s="1"/>
  <c r="BC39" i="5"/>
  <c r="BS38" i="55"/>
  <c r="BD50" i="5"/>
  <c r="BD39" i="5" s="1"/>
  <c r="BS36" i="55"/>
  <c r="BD48" i="5"/>
  <c r="CJ35" i="53"/>
  <c r="CI36" i="53"/>
  <c r="BC23" i="5"/>
  <c r="BC27" i="5" s="1"/>
  <c r="BS39" i="55"/>
  <c r="BD51" i="5"/>
  <c r="S71" i="5"/>
  <c r="CI39" i="53"/>
  <c r="CJ38" i="53"/>
  <c r="BC24" i="5"/>
  <c r="BC28" i="5" s="1"/>
  <c r="BS40" i="55"/>
  <c r="BD52" i="5"/>
  <c r="BC71" i="53" l="1"/>
  <c r="BB92" i="53"/>
  <c r="BB93" i="53" s="1"/>
  <c r="BB98" i="53" s="1"/>
  <c r="T46" i="5"/>
  <c r="T54" i="5" s="1"/>
  <c r="BB95" i="53"/>
  <c r="U33" i="5"/>
  <c r="BC77" i="53"/>
  <c r="BD72" i="53" s="1"/>
  <c r="BJ108" i="5"/>
  <c r="U34" i="5"/>
  <c r="BM79" i="5"/>
  <c r="BM90" i="5"/>
  <c r="F45" i="65"/>
  <c r="BY23" i="55"/>
  <c r="BZ13" i="55"/>
  <c r="CC93" i="38"/>
  <c r="CB106" i="38"/>
  <c r="BJ60" i="5"/>
  <c r="CC39" i="38"/>
  <c r="CC95" i="38"/>
  <c r="CC104" i="38" s="1"/>
  <c r="BK60" i="5" s="1"/>
  <c r="CC22" i="38"/>
  <c r="CE3" i="38"/>
  <c r="CD4" i="38"/>
  <c r="CR29" i="53"/>
  <c r="CR31" i="53" s="1"/>
  <c r="CR99" i="53" s="1"/>
  <c r="CU6" i="53"/>
  <c r="CU11" i="53" s="1"/>
  <c r="CV7" i="53"/>
  <c r="BM68" i="5"/>
  <c r="BM5" i="5"/>
  <c r="BM85" i="5"/>
  <c r="BN4" i="5"/>
  <c r="BM59" i="5"/>
  <c r="BL70" i="5"/>
  <c r="BL69" i="5"/>
  <c r="BK94" i="5"/>
  <c r="BH41" i="6"/>
  <c r="BK93" i="5" s="1"/>
  <c r="BK87" i="5"/>
  <c r="BH19" i="6"/>
  <c r="BK86" i="5" s="1"/>
  <c r="BH29" i="6"/>
  <c r="BI23" i="6" s="1"/>
  <c r="BI38" i="6"/>
  <c r="BI24" i="6"/>
  <c r="BI27" i="6"/>
  <c r="BI28" i="6" s="1"/>
  <c r="BI26" i="6"/>
  <c r="BI16" i="6"/>
  <c r="BJ6" i="6"/>
  <c r="BJ12" i="6" s="1"/>
  <c r="BI7" i="6"/>
  <c r="BI40" i="6"/>
  <c r="BL92" i="5" s="1"/>
  <c r="BI18" i="6"/>
  <c r="BI34" i="6"/>
  <c r="BL91" i="5" s="1"/>
  <c r="BI25" i="6"/>
  <c r="BU34" i="55"/>
  <c r="BF45" i="5"/>
  <c r="BN18" i="53"/>
  <c r="BN54" i="53" s="1"/>
  <c r="BN75" i="53"/>
  <c r="AH11" i="5" s="1"/>
  <c r="BD60" i="53"/>
  <c r="BC82" i="53"/>
  <c r="BC83" i="53" s="1"/>
  <c r="BO16" i="53" s="1"/>
  <c r="W12" i="5"/>
  <c r="W13" i="5" s="1"/>
  <c r="CC3" i="55"/>
  <c r="CB41" i="55"/>
  <c r="CU84" i="53"/>
  <c r="CV8" i="53"/>
  <c r="BM8" i="6"/>
  <c r="BZ17" i="55"/>
  <c r="BZ27" i="55" s="1"/>
  <c r="BZ12" i="55"/>
  <c r="BZ22" i="55" s="1"/>
  <c r="BZ14" i="55"/>
  <c r="BZ24" i="55" s="1"/>
  <c r="CP44" i="53"/>
  <c r="CP47" i="53" s="1"/>
  <c r="CA16" i="55"/>
  <c r="CA26" i="55" s="1"/>
  <c r="CB15" i="55"/>
  <c r="CB25" i="55" s="1"/>
  <c r="CJ39" i="53"/>
  <c r="BD24" i="5"/>
  <c r="BD28" i="5" s="1"/>
  <c r="CK38" i="53"/>
  <c r="BC29" i="5"/>
  <c r="CI40" i="53"/>
  <c r="CI49" i="53" s="1"/>
  <c r="CI50" i="53" s="1"/>
  <c r="CJ36" i="53"/>
  <c r="CK35" i="53"/>
  <c r="BD23" i="5"/>
  <c r="BD27" i="5" s="1"/>
  <c r="BP21" i="55"/>
  <c r="BP28" i="55" s="1"/>
  <c r="BB38" i="5" s="1"/>
  <c r="BB40" i="5" s="1"/>
  <c r="BQ11" i="55"/>
  <c r="BT36" i="55"/>
  <c r="BE48" i="5"/>
  <c r="BT38" i="55"/>
  <c r="BE50" i="5"/>
  <c r="BT37" i="55"/>
  <c r="BE49" i="5"/>
  <c r="BT40" i="55"/>
  <c r="BE52" i="5"/>
  <c r="BT39" i="55"/>
  <c r="BE51" i="5"/>
  <c r="BT35" i="55"/>
  <c r="BE47" i="5"/>
  <c r="BK88" i="53"/>
  <c r="BK89" i="53" s="1"/>
  <c r="T63" i="5"/>
  <c r="BB96" i="53" l="1"/>
  <c r="V30" i="5" s="1"/>
  <c r="V31" i="5" s="1"/>
  <c r="V33" i="5" s="1"/>
  <c r="BC91" i="53"/>
  <c r="BC78" i="53"/>
  <c r="BD71" i="53" s="1"/>
  <c r="U35" i="5"/>
  <c r="BK108" i="5"/>
  <c r="BN79" i="5"/>
  <c r="BN90" i="5"/>
  <c r="J45" i="65"/>
  <c r="E46" i="65" s="1"/>
  <c r="BN53" i="5"/>
  <c r="BZ23" i="55"/>
  <c r="CA13" i="55"/>
  <c r="CC106" i="38"/>
  <c r="CD93" i="38"/>
  <c r="CD95" i="38"/>
  <c r="CD104" i="38" s="1"/>
  <c r="CD22" i="38"/>
  <c r="CD39" i="38"/>
  <c r="CF3" i="38"/>
  <c r="CE4" i="38"/>
  <c r="CS29" i="53"/>
  <c r="CS31" i="53" s="1"/>
  <c r="CS99" i="53" s="1"/>
  <c r="CW7" i="53"/>
  <c r="CV6" i="53"/>
  <c r="CV11" i="53" s="1"/>
  <c r="BN85" i="5"/>
  <c r="BN5" i="5"/>
  <c r="BO4" i="5"/>
  <c r="BN59" i="5"/>
  <c r="BM69" i="5"/>
  <c r="BM70" i="5"/>
  <c r="BL87" i="5"/>
  <c r="BI19" i="6"/>
  <c r="BL86" i="5" s="1"/>
  <c r="BJ7" i="6"/>
  <c r="BJ18" i="6"/>
  <c r="BJ27" i="6"/>
  <c r="BJ28" i="6" s="1"/>
  <c r="BJ38" i="6"/>
  <c r="BK6" i="6"/>
  <c r="BK12" i="6" s="1"/>
  <c r="BJ25" i="6"/>
  <c r="BJ40" i="6"/>
  <c r="BM92" i="5" s="1"/>
  <c r="BJ34" i="6"/>
  <c r="BM91" i="5" s="1"/>
  <c r="BJ16" i="6"/>
  <c r="BJ24" i="6"/>
  <c r="BJ26" i="6"/>
  <c r="BI41" i="6"/>
  <c r="BL93" i="5" s="1"/>
  <c r="BL94" i="5"/>
  <c r="BI29" i="6"/>
  <c r="BJ23" i="6" s="1"/>
  <c r="BV34" i="55"/>
  <c r="BG45" i="5"/>
  <c r="X10" i="5"/>
  <c r="W14" i="5"/>
  <c r="X9" i="5" s="1"/>
  <c r="BO17" i="53"/>
  <c r="BO74" i="53" s="1"/>
  <c r="BO81" i="53" s="1"/>
  <c r="BO73" i="53"/>
  <c r="BD57" i="53"/>
  <c r="BD59" i="53"/>
  <c r="BD65" i="53" s="1"/>
  <c r="BD67" i="53"/>
  <c r="BN8" i="6"/>
  <c r="CV84" i="53"/>
  <c r="CW8" i="53"/>
  <c r="CC41" i="55"/>
  <c r="BO53" i="5" s="1"/>
  <c r="CD3" i="55"/>
  <c r="CA17" i="55"/>
  <c r="CA27" i="55" s="1"/>
  <c r="CA14" i="55"/>
  <c r="CA24" i="55" s="1"/>
  <c r="CA12" i="55"/>
  <c r="CA22" i="55" s="1"/>
  <c r="CJ40" i="53"/>
  <c r="CJ49" i="53" s="1"/>
  <c r="CJ50" i="53" s="1"/>
  <c r="CQ44" i="53"/>
  <c r="CQ47" i="53" s="1"/>
  <c r="CB16" i="55"/>
  <c r="CB26" i="55" s="1"/>
  <c r="CC15" i="55"/>
  <c r="CC25" i="55" s="1"/>
  <c r="BL87" i="53"/>
  <c r="BR11" i="55"/>
  <c r="BQ21" i="55"/>
  <c r="BQ28" i="55" s="1"/>
  <c r="BC38" i="5" s="1"/>
  <c r="BU40" i="55"/>
  <c r="BF52" i="5"/>
  <c r="BE24" i="5"/>
  <c r="BE28" i="5" s="1"/>
  <c r="CL38" i="53"/>
  <c r="CK39" i="53"/>
  <c r="BU39" i="55"/>
  <c r="BF51" i="5"/>
  <c r="T56" i="5"/>
  <c r="BU37" i="55"/>
  <c r="BF49" i="5"/>
  <c r="BD29" i="5"/>
  <c r="BE39" i="5"/>
  <c r="CL35" i="53"/>
  <c r="CK36" i="53"/>
  <c r="BE23" i="5"/>
  <c r="BE27" i="5" s="1"/>
  <c r="BU36" i="55"/>
  <c r="BF48" i="5"/>
  <c r="BU35" i="55"/>
  <c r="BF47" i="5"/>
  <c r="BU38" i="55"/>
  <c r="BF50" i="5"/>
  <c r="BF39" i="5" s="1"/>
  <c r="BC95" i="53" l="1"/>
  <c r="BC92" i="53"/>
  <c r="BC93" i="53" s="1"/>
  <c r="BC98" i="53" s="1"/>
  <c r="BC100" i="53"/>
  <c r="U42" i="5"/>
  <c r="U62" i="5" s="1"/>
  <c r="BL108" i="5"/>
  <c r="V34" i="5"/>
  <c r="V35" i="5" s="1"/>
  <c r="V42" i="5" s="1"/>
  <c r="BO79" i="5"/>
  <c r="BO101" i="5"/>
  <c r="BO90" i="5"/>
  <c r="BO100" i="5"/>
  <c r="F46" i="65"/>
  <c r="CA23" i="55"/>
  <c r="CB13" i="55"/>
  <c r="BJ29" i="6"/>
  <c r="BK23" i="6" s="1"/>
  <c r="CD106" i="38"/>
  <c r="BL60" i="5"/>
  <c r="CE93" i="38"/>
  <c r="CE39" i="38"/>
  <c r="CE95" i="38"/>
  <c r="CE104" i="38" s="1"/>
  <c r="CE22" i="38"/>
  <c r="CF4" i="38"/>
  <c r="CG3" i="38"/>
  <c r="CT29" i="53"/>
  <c r="CT31" i="53" s="1"/>
  <c r="CT99" i="53" s="1"/>
  <c r="CW6" i="53"/>
  <c r="CW11" i="53" s="1"/>
  <c r="CX7" i="53"/>
  <c r="BO57" i="5"/>
  <c r="BO68" i="5"/>
  <c r="BO59" i="5"/>
  <c r="BO71" i="5"/>
  <c r="BP4" i="5"/>
  <c r="BO85" i="5"/>
  <c r="BO5" i="5"/>
  <c r="BO62" i="5"/>
  <c r="BM87" i="5"/>
  <c r="BJ19" i="6"/>
  <c r="BM86" i="5" s="1"/>
  <c r="BK26" i="6"/>
  <c r="BK25" i="6"/>
  <c r="BK7" i="6"/>
  <c r="BK40" i="6"/>
  <c r="BN92" i="5" s="1"/>
  <c r="BK18" i="6"/>
  <c r="BK34" i="6"/>
  <c r="BN91" i="5" s="1"/>
  <c r="BK24" i="6"/>
  <c r="BL6" i="6"/>
  <c r="BL12" i="6" s="1"/>
  <c r="BM94" i="5"/>
  <c r="BJ41" i="6"/>
  <c r="BM93" i="5" s="1"/>
  <c r="BH45" i="5"/>
  <c r="BW34" i="55"/>
  <c r="BO18" i="53"/>
  <c r="BO54" i="53" s="1"/>
  <c r="BO75" i="53"/>
  <c r="AI11" i="5" s="1"/>
  <c r="X32" i="5"/>
  <c r="BD66" i="53"/>
  <c r="BD79" i="53"/>
  <c r="BD23" i="53" s="1"/>
  <c r="BE53" i="53"/>
  <c r="BE15" i="53"/>
  <c r="BE20" i="53" s="1"/>
  <c r="BE22" i="53" s="1"/>
  <c r="BD56" i="53"/>
  <c r="BD76" i="53" s="1"/>
  <c r="CD41" i="55"/>
  <c r="CE3" i="55"/>
  <c r="CX8" i="53"/>
  <c r="CW84" i="53"/>
  <c r="BO8" i="6"/>
  <c r="CB17" i="55"/>
  <c r="CB27" i="55" s="1"/>
  <c r="CB12" i="55"/>
  <c r="CB22" i="55" s="1"/>
  <c r="CB14" i="55"/>
  <c r="CB24" i="55" s="1"/>
  <c r="CR44" i="53"/>
  <c r="CR47" i="53" s="1"/>
  <c r="CC16" i="55"/>
  <c r="CC26" i="55" s="1"/>
  <c r="CD15" i="55"/>
  <c r="CD25" i="55" s="1"/>
  <c r="CL39" i="53"/>
  <c r="CM38" i="53"/>
  <c r="BF24" i="5"/>
  <c r="BF28" i="5" s="1"/>
  <c r="BV40" i="55"/>
  <c r="BG52" i="5"/>
  <c r="BV39" i="55"/>
  <c r="BG51" i="5"/>
  <c r="BC40" i="5"/>
  <c r="BS11" i="55"/>
  <c r="BR21" i="55"/>
  <c r="BR28" i="55" s="1"/>
  <c r="BD38" i="5" s="1"/>
  <c r="BD40" i="5" s="1"/>
  <c r="BV35" i="55"/>
  <c r="BG47" i="5"/>
  <c r="BV36" i="55"/>
  <c r="BG48" i="5"/>
  <c r="BV37" i="55"/>
  <c r="BG49" i="5"/>
  <c r="BV38" i="55"/>
  <c r="BG50" i="5"/>
  <c r="T71" i="5"/>
  <c r="H57" i="5"/>
  <c r="BE29" i="5"/>
  <c r="BL88" i="53"/>
  <c r="BL89" i="53" s="1"/>
  <c r="CK40" i="53"/>
  <c r="CK49" i="53" s="1"/>
  <c r="CK50" i="53" s="1"/>
  <c r="CM35" i="53"/>
  <c r="CL36" i="53"/>
  <c r="BF23" i="5"/>
  <c r="BF27" i="5" s="1"/>
  <c r="BD91" i="53" l="1"/>
  <c r="BC96" i="53"/>
  <c r="W30" i="5" s="1"/>
  <c r="W31" i="5" s="1"/>
  <c r="W34" i="5" s="1"/>
  <c r="U46" i="5"/>
  <c r="U63" i="5"/>
  <c r="BM108" i="5"/>
  <c r="BP79" i="5"/>
  <c r="BP101" i="5"/>
  <c r="BP90" i="5"/>
  <c r="BP100" i="5"/>
  <c r="J46" i="65"/>
  <c r="E47" i="65" s="1"/>
  <c r="BK27" i="6"/>
  <c r="BK28" i="6" s="1"/>
  <c r="BP53" i="5"/>
  <c r="CB23" i="55"/>
  <c r="CC13" i="55"/>
  <c r="CE106" i="38"/>
  <c r="BM60" i="5"/>
  <c r="CF93" i="38"/>
  <c r="CF95" i="38"/>
  <c r="CF104" i="38" s="1"/>
  <c r="CF22" i="38"/>
  <c r="CF39" i="38"/>
  <c r="CH3" i="38"/>
  <c r="CG4" i="38"/>
  <c r="CU29" i="53"/>
  <c r="CU31" i="53" s="1"/>
  <c r="CU99" i="53" s="1"/>
  <c r="CX6" i="53"/>
  <c r="CX11" i="53" s="1"/>
  <c r="CY7" i="53"/>
  <c r="BP57" i="5"/>
  <c r="BP68" i="5"/>
  <c r="BP59" i="5"/>
  <c r="BP62" i="5"/>
  <c r="BP71" i="5"/>
  <c r="BQ4" i="5"/>
  <c r="BP85" i="5"/>
  <c r="BP5" i="5"/>
  <c r="BO70" i="5"/>
  <c r="BO69" i="5"/>
  <c r="BL16" i="6"/>
  <c r="BM6" i="6"/>
  <c r="BM12" i="6" s="1"/>
  <c r="BL27" i="6"/>
  <c r="BL28" i="6" s="1"/>
  <c r="BL38" i="6"/>
  <c r="BL7" i="6"/>
  <c r="BL26" i="6"/>
  <c r="BL40" i="6"/>
  <c r="BO92" i="5" s="1"/>
  <c r="BL15" i="6"/>
  <c r="BO78" i="5" s="1"/>
  <c r="BL18" i="6"/>
  <c r="BL36" i="6"/>
  <c r="BL14" i="6"/>
  <c r="BL24" i="6"/>
  <c r="BL13" i="6"/>
  <c r="BL37" i="6"/>
  <c r="BO80" i="5" s="1"/>
  <c r="BL34" i="6"/>
  <c r="BO91" i="5" s="1"/>
  <c r="BL35" i="6"/>
  <c r="BL25" i="6"/>
  <c r="BX34" i="55"/>
  <c r="BI45" i="5"/>
  <c r="X12" i="5"/>
  <c r="X13" i="5" s="1"/>
  <c r="BD82" i="53"/>
  <c r="BD83" i="53" s="1"/>
  <c r="BP16" i="53" s="1"/>
  <c r="BD77" i="53"/>
  <c r="BE60" i="53"/>
  <c r="BP8" i="6"/>
  <c r="CX84" i="53"/>
  <c r="CY8" i="53"/>
  <c r="CF3" i="55"/>
  <c r="CE41" i="55"/>
  <c r="CC17" i="55"/>
  <c r="CC27" i="55" s="1"/>
  <c r="CC14" i="55"/>
  <c r="CC24" i="55" s="1"/>
  <c r="CC12" i="55"/>
  <c r="CC22" i="55" s="1"/>
  <c r="CS44" i="53"/>
  <c r="CS47" i="53" s="1"/>
  <c r="CD16" i="55"/>
  <c r="CD26" i="55" s="1"/>
  <c r="CE15" i="55"/>
  <c r="CE25" i="55" s="1"/>
  <c r="CL40" i="53"/>
  <c r="CL49" i="53" s="1"/>
  <c r="CL50" i="53" s="1"/>
  <c r="BM87" i="53"/>
  <c r="BF29" i="5"/>
  <c r="BW36" i="55"/>
  <c r="BH48" i="5"/>
  <c r="CN35" i="53"/>
  <c r="CM36" i="53"/>
  <c r="BG23" i="5"/>
  <c r="BG27" i="5" s="1"/>
  <c r="BW40" i="55"/>
  <c r="BH52" i="5"/>
  <c r="BW39" i="55"/>
  <c r="BH51" i="5"/>
  <c r="BG39" i="5"/>
  <c r="BW35" i="55"/>
  <c r="BH47" i="5"/>
  <c r="CM39" i="53"/>
  <c r="CN38" i="53"/>
  <c r="BG24" i="5"/>
  <c r="BG28" i="5" s="1"/>
  <c r="BW38" i="55"/>
  <c r="BH50" i="5"/>
  <c r="BH39" i="5" s="1"/>
  <c r="BS21" i="55"/>
  <c r="BS28" i="55" s="1"/>
  <c r="BE38" i="5" s="1"/>
  <c r="BT11" i="55"/>
  <c r="BW37" i="55"/>
  <c r="BH49" i="5"/>
  <c r="V46" i="5"/>
  <c r="V62" i="5"/>
  <c r="U54" i="5" l="1"/>
  <c r="W33" i="5"/>
  <c r="W35" i="5" s="1"/>
  <c r="W42" i="5" s="1"/>
  <c r="BQ79" i="5"/>
  <c r="BQ101" i="5"/>
  <c r="BQ90" i="5"/>
  <c r="BQ100" i="5"/>
  <c r="BK29" i="6"/>
  <c r="BL23" i="6" s="1"/>
  <c r="BL29" i="6" s="1"/>
  <c r="BM23" i="6" s="1"/>
  <c r="F47" i="65"/>
  <c r="BQ53" i="5"/>
  <c r="BO81" i="5"/>
  <c r="CC23" i="55"/>
  <c r="CD13" i="55"/>
  <c r="CF106" i="38"/>
  <c r="BN60" i="5"/>
  <c r="CG93" i="38"/>
  <c r="CG95" i="38"/>
  <c r="CG104" i="38" s="1"/>
  <c r="CG22" i="38"/>
  <c r="CG39" i="38"/>
  <c r="CI3" i="38"/>
  <c r="CH4" i="38"/>
  <c r="CV29" i="53"/>
  <c r="CV31" i="53" s="1"/>
  <c r="CV99" i="53" s="1"/>
  <c r="CZ7" i="53"/>
  <c r="CY6" i="53"/>
  <c r="CY11" i="53" s="1"/>
  <c r="BQ57" i="5"/>
  <c r="BQ68" i="5"/>
  <c r="BQ59" i="5"/>
  <c r="BQ71" i="5"/>
  <c r="BQ5" i="5"/>
  <c r="BQ85" i="5"/>
  <c r="BR4" i="5"/>
  <c r="BQ62" i="5"/>
  <c r="BP70" i="5"/>
  <c r="BP69" i="5"/>
  <c r="BO94" i="5"/>
  <c r="BL41" i="6"/>
  <c r="BO93" i="5" s="1"/>
  <c r="BM35" i="6"/>
  <c r="BM34" i="6"/>
  <c r="BP91" i="5" s="1"/>
  <c r="BM16" i="6"/>
  <c r="BN6" i="6"/>
  <c r="BN12" i="6" s="1"/>
  <c r="BM26" i="6"/>
  <c r="BM24" i="6"/>
  <c r="BM7" i="6"/>
  <c r="BM40" i="6"/>
  <c r="BP92" i="5" s="1"/>
  <c r="BM27" i="6"/>
  <c r="BM28" i="6" s="1"/>
  <c r="BM36" i="6"/>
  <c r="BM18" i="6"/>
  <c r="BM38" i="6"/>
  <c r="BM15" i="6"/>
  <c r="BP78" i="5" s="1"/>
  <c r="BM14" i="6"/>
  <c r="BM37" i="6"/>
  <c r="BP80" i="5" s="1"/>
  <c r="BM25" i="6"/>
  <c r="BM13" i="6"/>
  <c r="BO87" i="5"/>
  <c r="BL19" i="6"/>
  <c r="BO86" i="5" s="1"/>
  <c r="BY34" i="55"/>
  <c r="BJ45" i="5"/>
  <c r="BE57" i="53"/>
  <c r="BE59" i="53"/>
  <c r="BE65" i="53" s="1"/>
  <c r="BE67" i="53"/>
  <c r="BD78" i="53"/>
  <c r="BE72" i="53"/>
  <c r="BP17" i="53"/>
  <c r="BP74" i="53" s="1"/>
  <c r="BP81" i="53" s="1"/>
  <c r="BP73" i="53"/>
  <c r="Y10" i="5"/>
  <c r="X14" i="5"/>
  <c r="Y9" i="5" s="1"/>
  <c r="CF41" i="55"/>
  <c r="CG3" i="55"/>
  <c r="CY84" i="53"/>
  <c r="CZ8" i="53"/>
  <c r="BQ8" i="6"/>
  <c r="CD17" i="55"/>
  <c r="CD27" i="55" s="1"/>
  <c r="CD12" i="55"/>
  <c r="CD22" i="55" s="1"/>
  <c r="CD14" i="55"/>
  <c r="CD24" i="55" s="1"/>
  <c r="CT44" i="53"/>
  <c r="CT47" i="53" s="1"/>
  <c r="CE16" i="55"/>
  <c r="CE26" i="55" s="1"/>
  <c r="CF15" i="55"/>
  <c r="CF25" i="55" s="1"/>
  <c r="BX39" i="55"/>
  <c r="BI51" i="5"/>
  <c r="BT21" i="55"/>
  <c r="BT28" i="55" s="1"/>
  <c r="BF38" i="5" s="1"/>
  <c r="BF40" i="5" s="1"/>
  <c r="BU11" i="55"/>
  <c r="V63" i="5"/>
  <c r="CN39" i="53"/>
  <c r="BH24" i="5"/>
  <c r="BH28" i="5" s="1"/>
  <c r="CO38" i="53"/>
  <c r="BX38" i="55"/>
  <c r="BI50" i="5"/>
  <c r="BI39" i="5" s="1"/>
  <c r="V54" i="5"/>
  <c r="BX40" i="55"/>
  <c r="BI52" i="5"/>
  <c r="BX37" i="55"/>
  <c r="BI49" i="5"/>
  <c r="BE40" i="5"/>
  <c r="BX35" i="55"/>
  <c r="BI47" i="5"/>
  <c r="BG29" i="5"/>
  <c r="CM40" i="53"/>
  <c r="CM49" i="53" s="1"/>
  <c r="CM50" i="53" s="1"/>
  <c r="BX36" i="55"/>
  <c r="BI48" i="5"/>
  <c r="BH23" i="5"/>
  <c r="BH27" i="5" s="1"/>
  <c r="CO35" i="53"/>
  <c r="CN36" i="53"/>
  <c r="BM88" i="53"/>
  <c r="BM89" i="53" s="1"/>
  <c r="U56" i="5" l="1"/>
  <c r="BO108" i="5"/>
  <c r="BR79" i="5"/>
  <c r="BR101" i="5"/>
  <c r="BR90" i="5"/>
  <c r="BR100" i="5"/>
  <c r="J47" i="65"/>
  <c r="E48" i="65" s="1"/>
  <c r="CD23" i="55"/>
  <c r="CE13" i="55"/>
  <c r="CG106" i="38"/>
  <c r="BO60" i="5"/>
  <c r="CH93" i="38"/>
  <c r="CH95" i="38" s="1"/>
  <c r="CH104" i="38" s="1"/>
  <c r="CH22" i="38"/>
  <c r="CH39" i="38"/>
  <c r="CI4" i="38"/>
  <c r="CJ3" i="38"/>
  <c r="CW29" i="53"/>
  <c r="CW31" i="53" s="1"/>
  <c r="CW99" i="53" s="1"/>
  <c r="BD100" i="53"/>
  <c r="CZ6" i="53"/>
  <c r="CZ11" i="53" s="1"/>
  <c r="DA7" i="53"/>
  <c r="BR57" i="5"/>
  <c r="BR68" i="5"/>
  <c r="BR59" i="5"/>
  <c r="BR71" i="5"/>
  <c r="BS4" i="5"/>
  <c r="BR85" i="5"/>
  <c r="BR5" i="5"/>
  <c r="BR62" i="5"/>
  <c r="BR53" i="5"/>
  <c r="BQ70" i="5"/>
  <c r="BQ69" i="5"/>
  <c r="BN16" i="6"/>
  <c r="BN27" i="6"/>
  <c r="BN28" i="6" s="1"/>
  <c r="BN24" i="6"/>
  <c r="BN25" i="6"/>
  <c r="BO6" i="6"/>
  <c r="BO12" i="6" s="1"/>
  <c r="BN7" i="6"/>
  <c r="BN18" i="6"/>
  <c r="BN37" i="6"/>
  <c r="BQ80" i="5" s="1"/>
  <c r="BN26" i="6"/>
  <c r="BN35" i="6"/>
  <c r="BN14" i="6"/>
  <c r="BN13" i="6"/>
  <c r="BN38" i="6"/>
  <c r="BN15" i="6"/>
  <c r="BQ78" i="5" s="1"/>
  <c r="BN34" i="6"/>
  <c r="BQ91" i="5" s="1"/>
  <c r="BN40" i="6"/>
  <c r="BQ92" i="5" s="1"/>
  <c r="BN36" i="6"/>
  <c r="BM19" i="6"/>
  <c r="BP86" i="5" s="1"/>
  <c r="BP87" i="5"/>
  <c r="BM29" i="6"/>
  <c r="BN23" i="6" s="1"/>
  <c r="BP81" i="5"/>
  <c r="BP94" i="5"/>
  <c r="BM41" i="6"/>
  <c r="BP93" i="5" s="1"/>
  <c r="BK45" i="5"/>
  <c r="BZ34" i="55"/>
  <c r="BP18" i="53"/>
  <c r="BP54" i="53" s="1"/>
  <c r="BP75" i="53"/>
  <c r="AJ11" i="5" s="1"/>
  <c r="BE71" i="53"/>
  <c r="BD95" i="53"/>
  <c r="BD92" i="53"/>
  <c r="BD93" i="53" s="1"/>
  <c r="BE66" i="53"/>
  <c r="Y32" i="5"/>
  <c r="BE79" i="53"/>
  <c r="BE23" i="53" s="1"/>
  <c r="BF53" i="53"/>
  <c r="BF15" i="53"/>
  <c r="BF20" i="53" s="1"/>
  <c r="BF22" i="53" s="1"/>
  <c r="BE56" i="53"/>
  <c r="BE76" i="53" s="1"/>
  <c r="BR8" i="6"/>
  <c r="CZ84" i="53"/>
  <c r="DA8" i="53"/>
  <c r="CH3" i="55"/>
  <c r="CG41" i="55"/>
  <c r="CE17" i="55"/>
  <c r="CE27" i="55" s="1"/>
  <c r="CE14" i="55"/>
  <c r="CE24" i="55" s="1"/>
  <c r="CE12" i="55"/>
  <c r="CE22" i="55" s="1"/>
  <c r="CN40" i="53"/>
  <c r="CN49" i="53" s="1"/>
  <c r="CN50" i="53" s="1"/>
  <c r="CU44" i="53"/>
  <c r="CU47" i="53" s="1"/>
  <c r="CF16" i="55"/>
  <c r="CF26" i="55" s="1"/>
  <c r="CG15" i="55"/>
  <c r="CG25" i="55" s="1"/>
  <c r="BN87" i="53"/>
  <c r="BU21" i="55"/>
  <c r="BU28" i="55" s="1"/>
  <c r="BG38" i="5" s="1"/>
  <c r="BV11" i="55"/>
  <c r="BH29" i="5"/>
  <c r="BY37" i="55"/>
  <c r="BJ49" i="5"/>
  <c r="CO36" i="53"/>
  <c r="BI23" i="5"/>
  <c r="BI27" i="5" s="1"/>
  <c r="CP35" i="53"/>
  <c r="BY35" i="55"/>
  <c r="BJ47" i="5"/>
  <c r="V56" i="5"/>
  <c r="BY39" i="55"/>
  <c r="BJ51" i="5"/>
  <c r="BY38" i="55"/>
  <c r="BJ50" i="5"/>
  <c r="BY40" i="55"/>
  <c r="BJ52" i="5"/>
  <c r="BY36" i="55"/>
  <c r="BJ48" i="5"/>
  <c r="CO39" i="53"/>
  <c r="BI24" i="5"/>
  <c r="BI28" i="5" s="1"/>
  <c r="CP38" i="53"/>
  <c r="W46" i="5"/>
  <c r="W62" i="5"/>
  <c r="I57" i="5" l="1"/>
  <c r="U71" i="5"/>
  <c r="BP108" i="5"/>
  <c r="BS79" i="5"/>
  <c r="BS101" i="5"/>
  <c r="BS90" i="5"/>
  <c r="BS100" i="5"/>
  <c r="BS53" i="5"/>
  <c r="F48" i="65"/>
  <c r="CE23" i="55"/>
  <c r="CF13" i="55"/>
  <c r="CH106" i="38"/>
  <c r="BP60" i="5"/>
  <c r="CI93" i="38"/>
  <c r="CI95" i="38"/>
  <c r="CI104" i="38" s="1"/>
  <c r="CI22" i="38"/>
  <c r="CI39" i="38"/>
  <c r="CK3" i="38"/>
  <c r="CJ4" i="38"/>
  <c r="BO63" i="5"/>
  <c r="CX29" i="53"/>
  <c r="CX31" i="53" s="1"/>
  <c r="CX99" i="53" s="1"/>
  <c r="DA6" i="53"/>
  <c r="DA11" i="53" s="1"/>
  <c r="DB7" i="53"/>
  <c r="BS57" i="5"/>
  <c r="BS68" i="5"/>
  <c r="BS59" i="5"/>
  <c r="BS71" i="5"/>
  <c r="BT4" i="5"/>
  <c r="BS85" i="5"/>
  <c r="BS5" i="5"/>
  <c r="BS62" i="5"/>
  <c r="BR70" i="5"/>
  <c r="BR69" i="5"/>
  <c r="BO7" i="6"/>
  <c r="BO36" i="6"/>
  <c r="BO26" i="6"/>
  <c r="BO25" i="6"/>
  <c r="BP6" i="6"/>
  <c r="BP12" i="6" s="1"/>
  <c r="BO27" i="6"/>
  <c r="BO28" i="6" s="1"/>
  <c r="BO40" i="6"/>
  <c r="BR92" i="5" s="1"/>
  <c r="BO18" i="6"/>
  <c r="BO37" i="6"/>
  <c r="BR80" i="5" s="1"/>
  <c r="BO35" i="6"/>
  <c r="BO15" i="6"/>
  <c r="BR78" i="5" s="1"/>
  <c r="BO24" i="6"/>
  <c r="BO38" i="6"/>
  <c r="BO34" i="6"/>
  <c r="BR91" i="5" s="1"/>
  <c r="BO16" i="6"/>
  <c r="BO14" i="6"/>
  <c r="BO13" i="6"/>
  <c r="BN29" i="6"/>
  <c r="BO23" i="6" s="1"/>
  <c r="BQ81" i="5"/>
  <c r="BN19" i="6"/>
  <c r="BQ86" i="5" s="1"/>
  <c r="BQ87" i="5"/>
  <c r="BN41" i="6"/>
  <c r="BQ93" i="5" s="1"/>
  <c r="BQ94" i="5"/>
  <c r="CA34" i="55"/>
  <c r="BL45" i="5"/>
  <c r="Y12" i="5"/>
  <c r="Y13" i="5" s="1"/>
  <c r="BE82" i="53"/>
  <c r="BE83" i="53" s="1"/>
  <c r="BQ16" i="53" s="1"/>
  <c r="BF60" i="53"/>
  <c r="BD96" i="53"/>
  <c r="X30" i="5" s="1"/>
  <c r="BE91" i="53"/>
  <c r="BD98" i="53"/>
  <c r="BE77" i="53"/>
  <c r="CH41" i="55"/>
  <c r="CI3" i="55"/>
  <c r="DA84" i="53"/>
  <c r="DB8" i="53"/>
  <c r="BS8" i="6"/>
  <c r="CF17" i="55"/>
  <c r="CF27" i="55" s="1"/>
  <c r="CF12" i="55"/>
  <c r="CF22" i="55" s="1"/>
  <c r="CF14" i="55"/>
  <c r="CF24" i="55" s="1"/>
  <c r="CV44" i="53"/>
  <c r="CV47" i="53" s="1"/>
  <c r="CO40" i="53"/>
  <c r="CO49" i="53" s="1"/>
  <c r="CO50" i="53" s="1"/>
  <c r="CG16" i="55"/>
  <c r="CG26" i="55" s="1"/>
  <c r="CH15" i="55"/>
  <c r="CH25" i="55" s="1"/>
  <c r="BZ37" i="55"/>
  <c r="BK49" i="5"/>
  <c r="BJ39" i="5"/>
  <c r="BZ36" i="55"/>
  <c r="BK48" i="5"/>
  <c r="BJ23" i="5"/>
  <c r="BJ27" i="5" s="1"/>
  <c r="CQ35" i="53"/>
  <c r="CP36" i="53"/>
  <c r="BZ39" i="55"/>
  <c r="BK51" i="5"/>
  <c r="BV21" i="55"/>
  <c r="BV28" i="55" s="1"/>
  <c r="BH38" i="5" s="1"/>
  <c r="BH40" i="5" s="1"/>
  <c r="BW11" i="55"/>
  <c r="BI29" i="5"/>
  <c r="BZ40" i="55"/>
  <c r="BK52" i="5"/>
  <c r="BG40" i="5"/>
  <c r="BZ38" i="55"/>
  <c r="BK50" i="5"/>
  <c r="BK39" i="5" s="1"/>
  <c r="W54" i="5"/>
  <c r="CQ38" i="53"/>
  <c r="CP39" i="53"/>
  <c r="BJ24" i="5"/>
  <c r="BJ28" i="5" s="1"/>
  <c r="V71" i="5"/>
  <c r="J57" i="5"/>
  <c r="W63" i="5"/>
  <c r="BN88" i="53"/>
  <c r="BN89" i="53" s="1"/>
  <c r="BO87" i="53" s="1"/>
  <c r="BO88" i="53" s="1"/>
  <c r="BZ35" i="55"/>
  <c r="BK47" i="5"/>
  <c r="BQ108" i="5" l="1"/>
  <c r="BT79" i="5"/>
  <c r="BT101" i="5"/>
  <c r="BT90" i="5"/>
  <c r="X31" i="5"/>
  <c r="X33" i="5" s="1"/>
  <c r="BT100" i="5"/>
  <c r="I48" i="65"/>
  <c r="BT53" i="5"/>
  <c r="CF23" i="55"/>
  <c r="CG13" i="55"/>
  <c r="CI106" i="38"/>
  <c r="BQ60" i="5"/>
  <c r="CJ93" i="38"/>
  <c r="CJ95" i="38" s="1"/>
  <c r="CJ104" i="38" s="1"/>
  <c r="CJ22" i="38"/>
  <c r="BP63" i="5"/>
  <c r="CJ39" i="38"/>
  <c r="CK4" i="38"/>
  <c r="CL3" i="38"/>
  <c r="CY29" i="53"/>
  <c r="CY31" i="53" s="1"/>
  <c r="CY99" i="53" s="1"/>
  <c r="DB6" i="53"/>
  <c r="DB11" i="53" s="1"/>
  <c r="DC7" i="53"/>
  <c r="BT68" i="5"/>
  <c r="BT57" i="5"/>
  <c r="BT59" i="5"/>
  <c r="BT71" i="5"/>
  <c r="BU4" i="5"/>
  <c r="BT85" i="5"/>
  <c r="BT5" i="5"/>
  <c r="BT62" i="5"/>
  <c r="BS70" i="5"/>
  <c r="BS69" i="5"/>
  <c r="BP36" i="6"/>
  <c r="BP35" i="6"/>
  <c r="BP27" i="6"/>
  <c r="BP28" i="6" s="1"/>
  <c r="BP34" i="6"/>
  <c r="BS91" i="5" s="1"/>
  <c r="BP7" i="6"/>
  <c r="BP15" i="6"/>
  <c r="BS78" i="5" s="1"/>
  <c r="BP25" i="6"/>
  <c r="BP37" i="6"/>
  <c r="BS80" i="5" s="1"/>
  <c r="BP16" i="6"/>
  <c r="BP38" i="6"/>
  <c r="BQ6" i="6"/>
  <c r="BQ12" i="6" s="1"/>
  <c r="BP24" i="6"/>
  <c r="BP40" i="6"/>
  <c r="BS92" i="5" s="1"/>
  <c r="BP13" i="6"/>
  <c r="BP18" i="6"/>
  <c r="BP14" i="6"/>
  <c r="BP26" i="6"/>
  <c r="BO29" i="6"/>
  <c r="BP23" i="6" s="1"/>
  <c r="BO19" i="6"/>
  <c r="BR86" i="5" s="1"/>
  <c r="BR87" i="5"/>
  <c r="BR94" i="5"/>
  <c r="BO41" i="6"/>
  <c r="BR93" i="5" s="1"/>
  <c r="BR81" i="5"/>
  <c r="BM45" i="5"/>
  <c r="CB34" i="55"/>
  <c r="BF72" i="53"/>
  <c r="BE78" i="53"/>
  <c r="BF67" i="53"/>
  <c r="BF57" i="53"/>
  <c r="BF59" i="53"/>
  <c r="BF65" i="53" s="1"/>
  <c r="BQ17" i="53"/>
  <c r="BQ74" i="53" s="1"/>
  <c r="BQ81" i="53" s="1"/>
  <c r="BQ73" i="53"/>
  <c r="Z10" i="5"/>
  <c r="Y14" i="5"/>
  <c r="Z9" i="5" s="1"/>
  <c r="BT8" i="6"/>
  <c r="DB84" i="53"/>
  <c r="DC8" i="53"/>
  <c r="CJ3" i="55"/>
  <c r="CI41" i="55"/>
  <c r="CG17" i="55"/>
  <c r="CG27" i="55" s="1"/>
  <c r="CG14" i="55"/>
  <c r="CG24" i="55" s="1"/>
  <c r="CG12" i="55"/>
  <c r="CG22" i="55" s="1"/>
  <c r="CW44" i="53"/>
  <c r="CW47" i="53" s="1"/>
  <c r="CH16" i="55"/>
  <c r="CH26" i="55" s="1"/>
  <c r="CI15" i="55"/>
  <c r="CI25" i="55" s="1"/>
  <c r="W56" i="5"/>
  <c r="CA38" i="55"/>
  <c r="BL50" i="5"/>
  <c r="BL39" i="5" s="1"/>
  <c r="BX11" i="55"/>
  <c r="BW21" i="55"/>
  <c r="BW28" i="55" s="1"/>
  <c r="BI38" i="5" s="1"/>
  <c r="CA35" i="55"/>
  <c r="BL47" i="5"/>
  <c r="CA36" i="55"/>
  <c r="BL48" i="5"/>
  <c r="CA37" i="55"/>
  <c r="BL49" i="5"/>
  <c r="CA39" i="55"/>
  <c r="BL51" i="5"/>
  <c r="CP40" i="53"/>
  <c r="CP49" i="53" s="1"/>
  <c r="CP50" i="53" s="1"/>
  <c r="CR38" i="53"/>
  <c r="BK24" i="5"/>
  <c r="BK28" i="5" s="1"/>
  <c r="CQ39" i="53"/>
  <c r="BK23" i="5"/>
  <c r="BK27" i="5" s="1"/>
  <c r="CQ36" i="53"/>
  <c r="CR35" i="53"/>
  <c r="BJ29" i="5"/>
  <c r="CA40" i="55"/>
  <c r="BL52" i="5"/>
  <c r="BR108" i="5" l="1"/>
  <c r="X34" i="5"/>
  <c r="X35" i="5" s="1"/>
  <c r="X42" i="5" s="1"/>
  <c r="X46" i="5" s="1"/>
  <c r="X54" i="5" s="1"/>
  <c r="J48" i="65"/>
  <c r="E49" i="65" s="1"/>
  <c r="F49" i="65" s="1"/>
  <c r="AP90" i="5"/>
  <c r="BU79" i="5"/>
  <c r="BU101" i="5"/>
  <c r="BU90" i="5"/>
  <c r="BU100" i="5"/>
  <c r="BU53" i="5"/>
  <c r="CG23" i="55"/>
  <c r="CH13" i="55"/>
  <c r="BP29" i="6"/>
  <c r="BQ23" i="6" s="1"/>
  <c r="CK93" i="38"/>
  <c r="CK95" i="38" s="1"/>
  <c r="CK104" i="38" s="1"/>
  <c r="CK39" i="38"/>
  <c r="CJ106" i="38"/>
  <c r="BR60" i="5"/>
  <c r="CK22" i="38"/>
  <c r="BQ63" i="5"/>
  <c r="CM3" i="38"/>
  <c r="CL4" i="38"/>
  <c r="CZ29" i="53"/>
  <c r="CZ31" i="53" s="1"/>
  <c r="CZ99" i="53" s="1"/>
  <c r="BE100" i="53"/>
  <c r="DD7" i="53"/>
  <c r="DC6" i="53"/>
  <c r="DC11" i="53" s="1"/>
  <c r="BU68" i="5"/>
  <c r="BU57" i="5"/>
  <c r="BU59" i="5"/>
  <c r="BU71" i="5"/>
  <c r="BU5" i="5"/>
  <c r="BU85" i="5"/>
  <c r="BV4" i="5"/>
  <c r="BU62" i="5"/>
  <c r="BT69" i="5"/>
  <c r="BT70" i="5"/>
  <c r="BP41" i="6"/>
  <c r="BS93" i="5" s="1"/>
  <c r="BS94" i="5"/>
  <c r="BS87" i="5"/>
  <c r="BP19" i="6"/>
  <c r="BS86" i="5" s="1"/>
  <c r="BQ7" i="6"/>
  <c r="BQ40" i="6"/>
  <c r="BT92" i="5" s="1"/>
  <c r="BQ18" i="6"/>
  <c r="BQ38" i="6"/>
  <c r="BR6" i="6"/>
  <c r="BR12" i="6" s="1"/>
  <c r="BQ37" i="6"/>
  <c r="BT80" i="5" s="1"/>
  <c r="BQ13" i="6"/>
  <c r="BQ35" i="6"/>
  <c r="BQ15" i="6"/>
  <c r="BT78" i="5" s="1"/>
  <c r="BQ36" i="6"/>
  <c r="BQ34" i="6"/>
  <c r="BT91" i="5" s="1"/>
  <c r="BQ25" i="6"/>
  <c r="BQ24" i="6"/>
  <c r="BQ16" i="6"/>
  <c r="BQ14" i="6"/>
  <c r="BQ27" i="6"/>
  <c r="BQ28" i="6" s="1"/>
  <c r="BQ26" i="6"/>
  <c r="BS81" i="5"/>
  <c r="BN45" i="5"/>
  <c r="CC34" i="55"/>
  <c r="BQ18" i="53"/>
  <c r="BQ54" i="53" s="1"/>
  <c r="BQ75" i="53"/>
  <c r="AK11" i="5" s="1"/>
  <c r="BF79" i="53"/>
  <c r="BF23" i="53" s="1"/>
  <c r="BF66" i="53"/>
  <c r="Z32" i="5"/>
  <c r="BG15" i="53"/>
  <c r="BG20" i="53" s="1"/>
  <c r="BG22" i="53" s="1"/>
  <c r="BG53" i="53"/>
  <c r="BF56" i="53"/>
  <c r="BF76" i="53" s="1"/>
  <c r="BF71" i="53"/>
  <c r="BE95" i="53"/>
  <c r="BE92" i="53"/>
  <c r="BE93" i="53" s="1"/>
  <c r="CK3" i="55"/>
  <c r="CJ41" i="55"/>
  <c r="DC84" i="53"/>
  <c r="DD8" i="53"/>
  <c r="BU8" i="6"/>
  <c r="CH17" i="55"/>
  <c r="CH27" i="55" s="1"/>
  <c r="CH12" i="55"/>
  <c r="CH22" i="55" s="1"/>
  <c r="CH14" i="55"/>
  <c r="CH24" i="55" s="1"/>
  <c r="CX44" i="53"/>
  <c r="CX47" i="53" s="1"/>
  <c r="CI16" i="55"/>
  <c r="CI26" i="55" s="1"/>
  <c r="CJ15" i="55"/>
  <c r="CJ25" i="55" s="1"/>
  <c r="CQ40" i="53"/>
  <c r="CQ49" i="53" s="1"/>
  <c r="CQ50" i="53" s="1"/>
  <c r="BI40" i="5"/>
  <c r="BY11" i="55"/>
  <c r="BX21" i="55"/>
  <c r="BX28" i="55" s="1"/>
  <c r="BJ38" i="5" s="1"/>
  <c r="BJ40" i="5" s="1"/>
  <c r="CB38" i="55"/>
  <c r="BM50" i="5"/>
  <c r="BM39" i="5" s="1"/>
  <c r="CB36" i="55"/>
  <c r="BM48" i="5"/>
  <c r="CB39" i="55"/>
  <c r="BM51" i="5"/>
  <c r="W71" i="5"/>
  <c r="K57" i="5"/>
  <c r="CB40" i="55"/>
  <c r="BM52" i="5"/>
  <c r="BK29" i="5"/>
  <c r="CB37" i="55"/>
  <c r="BM49" i="5"/>
  <c r="BL24" i="5"/>
  <c r="BL28" i="5" s="1"/>
  <c r="CS38" i="53"/>
  <c r="CR39" i="53"/>
  <c r="CR36" i="53"/>
  <c r="BL23" i="5"/>
  <c r="BL27" i="5" s="1"/>
  <c r="CS35" i="53"/>
  <c r="CB35" i="55"/>
  <c r="BM47" i="5"/>
  <c r="BO89" i="53"/>
  <c r="BF77" i="53" l="1"/>
  <c r="BG72" i="53" s="1"/>
  <c r="BS108" i="5"/>
  <c r="BV79" i="5"/>
  <c r="BV101" i="5"/>
  <c r="BV90" i="5"/>
  <c r="BV100" i="5"/>
  <c r="J49" i="65"/>
  <c r="E50" i="65" s="1"/>
  <c r="BT81" i="5"/>
  <c r="BV53" i="5"/>
  <c r="CH23" i="55"/>
  <c r="CI13" i="55"/>
  <c r="CL93" i="38"/>
  <c r="CL95" i="38" s="1"/>
  <c r="CL104" i="38" s="1"/>
  <c r="CK106" i="38"/>
  <c r="BS60" i="5"/>
  <c r="CL39" i="38"/>
  <c r="CL22" i="38"/>
  <c r="BR63" i="5"/>
  <c r="CN3" i="38"/>
  <c r="CM4" i="38"/>
  <c r="DA29" i="53"/>
  <c r="DA31" i="53" s="1"/>
  <c r="DA99" i="53" s="1"/>
  <c r="DE7" i="53"/>
  <c r="DD6" i="53"/>
  <c r="DD11" i="53" s="1"/>
  <c r="BV68" i="5"/>
  <c r="BV57" i="5"/>
  <c r="BV59" i="5"/>
  <c r="BV71" i="5"/>
  <c r="BW4" i="5"/>
  <c r="BV62" i="5"/>
  <c r="BV85" i="5"/>
  <c r="BV5" i="5"/>
  <c r="BU70" i="5"/>
  <c r="BU69" i="5"/>
  <c r="BR38" i="6"/>
  <c r="BR27" i="6"/>
  <c r="BR28" i="6" s="1"/>
  <c r="BR7" i="6"/>
  <c r="BR24" i="6"/>
  <c r="BR18" i="6"/>
  <c r="BR14" i="6"/>
  <c r="BR26" i="6"/>
  <c r="BR13" i="6"/>
  <c r="BR37" i="6"/>
  <c r="BU80" i="5" s="1"/>
  <c r="BR15" i="6"/>
  <c r="BU78" i="5" s="1"/>
  <c r="BR35" i="6"/>
  <c r="BR36" i="6"/>
  <c r="BR34" i="6"/>
  <c r="BU91" i="5" s="1"/>
  <c r="BS6" i="6"/>
  <c r="BS12" i="6" s="1"/>
  <c r="BR25" i="6"/>
  <c r="BR16" i="6"/>
  <c r="BR40" i="6"/>
  <c r="BU92" i="5" s="1"/>
  <c r="BQ41" i="6"/>
  <c r="BT93" i="5" s="1"/>
  <c r="BT94" i="5"/>
  <c r="BT87" i="5"/>
  <c r="BQ19" i="6"/>
  <c r="BT86" i="5" s="1"/>
  <c r="BQ29" i="6"/>
  <c r="BR23" i="6" s="1"/>
  <c r="CD34" i="55"/>
  <c r="BO45" i="5"/>
  <c r="X62" i="5"/>
  <c r="X63" i="5" s="1"/>
  <c r="X56" i="5"/>
  <c r="BF91" i="53"/>
  <c r="BE96" i="53"/>
  <c r="Y30" i="5" s="1"/>
  <c r="BE98" i="53"/>
  <c r="Z12" i="5"/>
  <c r="Z13" i="5" s="1"/>
  <c r="BF82" i="53"/>
  <c r="BF83" i="53" s="1"/>
  <c r="BR16" i="53" s="1"/>
  <c r="BG60" i="53"/>
  <c r="BV8" i="6"/>
  <c r="DD84" i="53"/>
  <c r="DE8" i="53"/>
  <c r="CK41" i="55"/>
  <c r="CL3" i="55"/>
  <c r="CI17" i="55"/>
  <c r="CI27" i="55" s="1"/>
  <c r="CI14" i="55"/>
  <c r="CI24" i="55" s="1"/>
  <c r="CI12" i="55"/>
  <c r="CI22" i="55" s="1"/>
  <c r="CY44" i="53"/>
  <c r="CY47" i="53" s="1"/>
  <c r="CJ16" i="55"/>
  <c r="CJ26" i="55" s="1"/>
  <c r="CK15" i="55"/>
  <c r="CK25" i="55" s="1"/>
  <c r="CR40" i="53"/>
  <c r="CR49" i="53" s="1"/>
  <c r="CR50" i="53" s="1"/>
  <c r="BP87" i="53"/>
  <c r="BY21" i="55"/>
  <c r="BY28" i="55" s="1"/>
  <c r="BK38" i="5" s="1"/>
  <c r="BZ11" i="55"/>
  <c r="CC38" i="55"/>
  <c r="BN50" i="5"/>
  <c r="BN39" i="5" s="1"/>
  <c r="CC40" i="55"/>
  <c r="BN52" i="5"/>
  <c r="CC39" i="55"/>
  <c r="BN51" i="5"/>
  <c r="CC37" i="55"/>
  <c r="BN49" i="5"/>
  <c r="BL29" i="5"/>
  <c r="CC36" i="55"/>
  <c r="BN48" i="5"/>
  <c r="CT38" i="53"/>
  <c r="CS39" i="53"/>
  <c r="BM24" i="5"/>
  <c r="BM28" i="5" s="1"/>
  <c r="CC35" i="55"/>
  <c r="BN47" i="5"/>
  <c r="CS36" i="53"/>
  <c r="CT35" i="53"/>
  <c r="BM23" i="5"/>
  <c r="BM27" i="5" s="1"/>
  <c r="BF78" i="53" l="1"/>
  <c r="BF100" i="53" s="1"/>
  <c r="BT108" i="5"/>
  <c r="BW79" i="5"/>
  <c r="BW101" i="5"/>
  <c r="BW90" i="5"/>
  <c r="Y31" i="5"/>
  <c r="Y33" i="5" s="1"/>
  <c r="BW100" i="5"/>
  <c r="F50" i="65"/>
  <c r="BW53" i="5"/>
  <c r="BU81" i="5"/>
  <c r="CI23" i="55"/>
  <c r="CJ13" i="55"/>
  <c r="CM39" i="38"/>
  <c r="CL106" i="38"/>
  <c r="BT60" i="5"/>
  <c r="CM93" i="38"/>
  <c r="CM95" i="38" s="1"/>
  <c r="CM104" i="38" s="1"/>
  <c r="BU60" i="5" s="1"/>
  <c r="CM22" i="38"/>
  <c r="BS63" i="5"/>
  <c r="CN4" i="38"/>
  <c r="CO3" i="38"/>
  <c r="DB29" i="53"/>
  <c r="DB31" i="53" s="1"/>
  <c r="DB99" i="53" s="1"/>
  <c r="DE6" i="53"/>
  <c r="DE11" i="53" s="1"/>
  <c r="DF7" i="53"/>
  <c r="BW68" i="5"/>
  <c r="BW57" i="5"/>
  <c r="BW59" i="5"/>
  <c r="BW71" i="5"/>
  <c r="BX4" i="5"/>
  <c r="BW85" i="5"/>
  <c r="BW5" i="5"/>
  <c r="BW62" i="5"/>
  <c r="BV69" i="5"/>
  <c r="BV70" i="5"/>
  <c r="BU87" i="5"/>
  <c r="BR19" i="6"/>
  <c r="BU86" i="5" s="1"/>
  <c r="BR29" i="6"/>
  <c r="BS23" i="6" s="1"/>
  <c r="BU94" i="5"/>
  <c r="BR41" i="6"/>
  <c r="BU93" i="5" s="1"/>
  <c r="BS15" i="6"/>
  <c r="BV78" i="5" s="1"/>
  <c r="BS24" i="6"/>
  <c r="BS13" i="6"/>
  <c r="BS38" i="6"/>
  <c r="BT6" i="6"/>
  <c r="BT12" i="6" s="1"/>
  <c r="BS40" i="6"/>
  <c r="BV92" i="5" s="1"/>
  <c r="BS14" i="6"/>
  <c r="BS26" i="6"/>
  <c r="BS7" i="6"/>
  <c r="BS36" i="6"/>
  <c r="BS37" i="6"/>
  <c r="BV80" i="5" s="1"/>
  <c r="BS35" i="6"/>
  <c r="BS27" i="6"/>
  <c r="BS28" i="6" s="1"/>
  <c r="BS34" i="6"/>
  <c r="BV91" i="5" s="1"/>
  <c r="BS25" i="6"/>
  <c r="BS16" i="6"/>
  <c r="BS18" i="6"/>
  <c r="CE34" i="55"/>
  <c r="BP45" i="5"/>
  <c r="L57" i="5"/>
  <c r="X71" i="5"/>
  <c r="BG57" i="53"/>
  <c r="BG67" i="53"/>
  <c r="BG59" i="53"/>
  <c r="BG65" i="53" s="1"/>
  <c r="BR17" i="53"/>
  <c r="BR74" i="53" s="1"/>
  <c r="BR81" i="53" s="1"/>
  <c r="BR73" i="53"/>
  <c r="Z14" i="5"/>
  <c r="AA9" i="5" s="1"/>
  <c r="AA10" i="5"/>
  <c r="CL41" i="55"/>
  <c r="CM3" i="55"/>
  <c r="DE84" i="53"/>
  <c r="DF8" i="53"/>
  <c r="BW8" i="6"/>
  <c r="CJ17" i="55"/>
  <c r="CJ27" i="55" s="1"/>
  <c r="CJ12" i="55"/>
  <c r="CJ22" i="55" s="1"/>
  <c r="CJ14" i="55"/>
  <c r="CJ24" i="55" s="1"/>
  <c r="CZ44" i="53"/>
  <c r="CZ47" i="53" s="1"/>
  <c r="CK16" i="55"/>
  <c r="CK26" i="55" s="1"/>
  <c r="CL15" i="55"/>
  <c r="CL25" i="55" s="1"/>
  <c r="CD40" i="55"/>
  <c r="BO52" i="5"/>
  <c r="CD39" i="55"/>
  <c r="BO51" i="5"/>
  <c r="CD35" i="55"/>
  <c r="BO47" i="5"/>
  <c r="BM29" i="5"/>
  <c r="BN24" i="5"/>
  <c r="BN28" i="5" s="1"/>
  <c r="CT39" i="53"/>
  <c r="CU38" i="53"/>
  <c r="CD38" i="55"/>
  <c r="BO50" i="5"/>
  <c r="CT36" i="53"/>
  <c r="BN23" i="5"/>
  <c r="BN27" i="5" s="1"/>
  <c r="CU35" i="53"/>
  <c r="CD37" i="55"/>
  <c r="BO49" i="5"/>
  <c r="CA11" i="55"/>
  <c r="BZ21" i="55"/>
  <c r="BZ28" i="55" s="1"/>
  <c r="BL38" i="5" s="1"/>
  <c r="BL40" i="5" s="1"/>
  <c r="CD36" i="55"/>
  <c r="BO48" i="5"/>
  <c r="BK40" i="5"/>
  <c r="CS40" i="53"/>
  <c r="CS49" i="53" s="1"/>
  <c r="CS50" i="53" s="1"/>
  <c r="BP88" i="53"/>
  <c r="BP89" i="53" s="1"/>
  <c r="BF95" i="53" l="1"/>
  <c r="BG71" i="53"/>
  <c r="BF92" i="53"/>
  <c r="BF93" i="53" s="1"/>
  <c r="BG91" i="53" s="1"/>
  <c r="BU108" i="5"/>
  <c r="Y34" i="5"/>
  <c r="Y35" i="5" s="1"/>
  <c r="Y42" i="5" s="1"/>
  <c r="Y46" i="5" s="1"/>
  <c r="Y54" i="5" s="1"/>
  <c r="BX79" i="5"/>
  <c r="BX101" i="5"/>
  <c r="BX90" i="5"/>
  <c r="BX100" i="5"/>
  <c r="J50" i="65"/>
  <c r="E51" i="65" s="1"/>
  <c r="BX53" i="5"/>
  <c r="CJ23" i="55"/>
  <c r="CK13" i="55"/>
  <c r="BS29" i="6"/>
  <c r="BT23" i="6" s="1"/>
  <c r="CM106" i="38"/>
  <c r="CN93" i="38"/>
  <c r="CN95" i="38" s="1"/>
  <c r="CN104" i="38" s="1"/>
  <c r="CN22" i="38"/>
  <c r="CN39" i="38"/>
  <c r="BU63" i="5"/>
  <c r="CP3" i="38"/>
  <c r="CO4" i="38"/>
  <c r="BT63" i="5"/>
  <c r="DC29" i="53"/>
  <c r="DC31" i="53" s="1"/>
  <c r="DC99" i="53" s="1"/>
  <c r="DG7" i="53"/>
  <c r="DF6" i="53"/>
  <c r="DF11" i="53" s="1"/>
  <c r="BX68" i="5"/>
  <c r="BX57" i="5"/>
  <c r="BX59" i="5"/>
  <c r="BX71" i="5"/>
  <c r="BX5" i="5"/>
  <c r="BX85" i="5"/>
  <c r="BY4" i="5"/>
  <c r="BX62" i="5"/>
  <c r="BW70" i="5"/>
  <c r="BW69" i="5"/>
  <c r="BT16" i="6"/>
  <c r="BT36" i="6"/>
  <c r="BT34" i="6"/>
  <c r="BW91" i="5" s="1"/>
  <c r="BT13" i="6"/>
  <c r="BT26" i="6"/>
  <c r="BT15" i="6"/>
  <c r="BW78" i="5" s="1"/>
  <c r="BT24" i="6"/>
  <c r="BT38" i="6"/>
  <c r="BT14" i="6"/>
  <c r="BT27" i="6"/>
  <c r="BT28" i="6" s="1"/>
  <c r="BT18" i="6"/>
  <c r="BU6" i="6"/>
  <c r="BU12" i="6" s="1"/>
  <c r="BT35" i="6"/>
  <c r="BT7" i="6"/>
  <c r="BT25" i="6"/>
  <c r="BT40" i="6"/>
  <c r="BW92" i="5" s="1"/>
  <c r="BT37" i="6"/>
  <c r="BW80" i="5" s="1"/>
  <c r="BS19" i="6"/>
  <c r="BV86" i="5" s="1"/>
  <c r="BV87" i="5"/>
  <c r="BS41" i="6"/>
  <c r="BV93" i="5" s="1"/>
  <c r="BV108" i="5" s="1"/>
  <c r="BV94" i="5"/>
  <c r="BV81" i="5"/>
  <c r="BQ45" i="5"/>
  <c r="CF34" i="55"/>
  <c r="BR18" i="53"/>
  <c r="BR54" i="53" s="1"/>
  <c r="BR75" i="53"/>
  <c r="AL11" i="5" s="1"/>
  <c r="BG79" i="53"/>
  <c r="BG23" i="53" s="1"/>
  <c r="BG66" i="53"/>
  <c r="AA32" i="5"/>
  <c r="BH53" i="53"/>
  <c r="BH15" i="53"/>
  <c r="BH20" i="53" s="1"/>
  <c r="BH22" i="53" s="1"/>
  <c r="BG56" i="53"/>
  <c r="BG76" i="53" s="1"/>
  <c r="BX8" i="6"/>
  <c r="DF84" i="53"/>
  <c r="DG8" i="53"/>
  <c r="CN3" i="55"/>
  <c r="CM41" i="55"/>
  <c r="CK17" i="55"/>
  <c r="CK27" i="55" s="1"/>
  <c r="CK14" i="55"/>
  <c r="CK24" i="55" s="1"/>
  <c r="CK12" i="55"/>
  <c r="CK22" i="55" s="1"/>
  <c r="DA44" i="53"/>
  <c r="DA47" i="53" s="1"/>
  <c r="CL16" i="55"/>
  <c r="CL26" i="55" s="1"/>
  <c r="CM15" i="55"/>
  <c r="CM25" i="55" s="1"/>
  <c r="CT40" i="53"/>
  <c r="CT49" i="53" s="1"/>
  <c r="CT50" i="53" s="1"/>
  <c r="BQ87" i="53"/>
  <c r="CV35" i="53"/>
  <c r="CU36" i="53"/>
  <c r="BO23" i="5"/>
  <c r="BO27" i="5" s="1"/>
  <c r="BN29" i="5"/>
  <c r="CE35" i="55"/>
  <c r="BP47" i="5"/>
  <c r="CE38" i="55"/>
  <c r="BP50" i="5"/>
  <c r="BP39" i="5" s="1"/>
  <c r="CE36" i="55"/>
  <c r="BP48" i="5"/>
  <c r="CU39" i="53"/>
  <c r="BO24" i="5"/>
  <c r="BO28" i="5" s="1"/>
  <c r="CV38" i="53"/>
  <c r="CE40" i="55"/>
  <c r="BP52" i="5"/>
  <c r="BO39" i="5"/>
  <c r="CE37" i="55"/>
  <c r="BP49" i="5"/>
  <c r="CB11" i="55"/>
  <c r="CA21" i="55"/>
  <c r="CA28" i="55" s="1"/>
  <c r="BM38" i="5" s="1"/>
  <c r="BM40" i="5" s="1"/>
  <c r="CE39" i="55"/>
  <c r="BP51" i="5"/>
  <c r="BF98" i="53" l="1"/>
  <c r="BF96" i="53"/>
  <c r="Z30" i="5" s="1"/>
  <c r="Z31" i="5" s="1"/>
  <c r="Z33" i="5" s="1"/>
  <c r="BY79" i="5"/>
  <c r="BY101" i="5"/>
  <c r="BY90" i="5"/>
  <c r="BY100" i="5"/>
  <c r="F51" i="65"/>
  <c r="BY53" i="5"/>
  <c r="CK23" i="55"/>
  <c r="CL13" i="55"/>
  <c r="CN106" i="38"/>
  <c r="BV60" i="5"/>
  <c r="CO93" i="38"/>
  <c r="CO22" i="38"/>
  <c r="CO95" i="38"/>
  <c r="CO104" i="38" s="1"/>
  <c r="CO39" i="38"/>
  <c r="CP4" i="38"/>
  <c r="CQ3" i="38"/>
  <c r="DD29" i="53"/>
  <c r="DD31" i="53" s="1"/>
  <c r="DD99" i="53" s="1"/>
  <c r="DG6" i="53"/>
  <c r="DG11" i="53" s="1"/>
  <c r="DH7" i="53"/>
  <c r="BY68" i="5"/>
  <c r="BY57" i="5"/>
  <c r="BY59" i="5"/>
  <c r="BY71" i="5"/>
  <c r="BY5" i="5"/>
  <c r="BY85" i="5"/>
  <c r="BZ4" i="5"/>
  <c r="BY62" i="5"/>
  <c r="BX70" i="5"/>
  <c r="BX69" i="5"/>
  <c r="BU37" i="6"/>
  <c r="BX80" i="5" s="1"/>
  <c r="BU35" i="6"/>
  <c r="BU25" i="6"/>
  <c r="BU38" i="6"/>
  <c r="BU34" i="6"/>
  <c r="BX91" i="5" s="1"/>
  <c r="BU36" i="6"/>
  <c r="BU26" i="6"/>
  <c r="BU24" i="6"/>
  <c r="BU16" i="6"/>
  <c r="BU13" i="6"/>
  <c r="BU27" i="6"/>
  <c r="BU28" i="6" s="1"/>
  <c r="BU7" i="6"/>
  <c r="BV6" i="6"/>
  <c r="BV12" i="6" s="1"/>
  <c r="BU40" i="6"/>
  <c r="BX92" i="5" s="1"/>
  <c r="BU18" i="6"/>
  <c r="BU15" i="6"/>
  <c r="BX78" i="5" s="1"/>
  <c r="BU14" i="6"/>
  <c r="BT41" i="6"/>
  <c r="BW93" i="5" s="1"/>
  <c r="BW94" i="5"/>
  <c r="BW81" i="5"/>
  <c r="BW87" i="5"/>
  <c r="BT19" i="6"/>
  <c r="BW86" i="5" s="1"/>
  <c r="BT29" i="6"/>
  <c r="BU23" i="6" s="1"/>
  <c r="CG34" i="55"/>
  <c r="BR45" i="5"/>
  <c r="Y62" i="5"/>
  <c r="Y63" i="5" s="1"/>
  <c r="AA12" i="5"/>
  <c r="AA13" i="5" s="1"/>
  <c r="BG82" i="53"/>
  <c r="BG83" i="53" s="1"/>
  <c r="BS16" i="53" s="1"/>
  <c r="BG77" i="53"/>
  <c r="BH60" i="53"/>
  <c r="Y56" i="5"/>
  <c r="CN41" i="55"/>
  <c r="CO3" i="55"/>
  <c r="DG84" i="53"/>
  <c r="DH8" i="53"/>
  <c r="BY8" i="6"/>
  <c r="CL17" i="55"/>
  <c r="CL27" i="55" s="1"/>
  <c r="CL12" i="55"/>
  <c r="CL22" i="55" s="1"/>
  <c r="CL14" i="55"/>
  <c r="CL24" i="55" s="1"/>
  <c r="DB44" i="53"/>
  <c r="DB47" i="53" s="1"/>
  <c r="CM16" i="55"/>
  <c r="CM26" i="55" s="1"/>
  <c r="CN15" i="55"/>
  <c r="CN25" i="55" s="1"/>
  <c r="CF39" i="55"/>
  <c r="BQ51" i="5"/>
  <c r="CF38" i="55"/>
  <c r="BQ50" i="5"/>
  <c r="CF40" i="55"/>
  <c r="BQ52" i="5"/>
  <c r="CF37" i="55"/>
  <c r="BQ49" i="5"/>
  <c r="CC11" i="55"/>
  <c r="CB21" i="55"/>
  <c r="CB28" i="55" s="1"/>
  <c r="BN38" i="5" s="1"/>
  <c r="BN40" i="5" s="1"/>
  <c r="BO29" i="5"/>
  <c r="CW38" i="53"/>
  <c r="CV39" i="53"/>
  <c r="BP24" i="5"/>
  <c r="BP28" i="5" s="1"/>
  <c r="CU40" i="53"/>
  <c r="CU49" i="53" s="1"/>
  <c r="CU50" i="53" s="1"/>
  <c r="CW35" i="53"/>
  <c r="CV36" i="53"/>
  <c r="BP23" i="5"/>
  <c r="BP27" i="5" s="1"/>
  <c r="CF35" i="55"/>
  <c r="BQ47" i="5"/>
  <c r="CF36" i="55"/>
  <c r="BQ48" i="5"/>
  <c r="BQ88" i="53"/>
  <c r="BQ89" i="53" s="1"/>
  <c r="BW108" i="5" l="1"/>
  <c r="Z34" i="5"/>
  <c r="Z35" i="5" s="1"/>
  <c r="Z42" i="5" s="1"/>
  <c r="Z62" i="5" s="1"/>
  <c r="Z63" i="5" s="1"/>
  <c r="BZ79" i="5"/>
  <c r="BZ101" i="5"/>
  <c r="BZ90" i="5"/>
  <c r="BZ100" i="5"/>
  <c r="M57" i="5"/>
  <c r="J51" i="65"/>
  <c r="E52" i="65" s="1"/>
  <c r="BZ53" i="5"/>
  <c r="BX81" i="5"/>
  <c r="CL23" i="55"/>
  <c r="CM13" i="55"/>
  <c r="CO106" i="38"/>
  <c r="BW60" i="5"/>
  <c r="CP93" i="38"/>
  <c r="CP95" i="38" s="1"/>
  <c r="CP104" i="38" s="1"/>
  <c r="CP22" i="38"/>
  <c r="CP39" i="38"/>
  <c r="BV63" i="5"/>
  <c r="CQ4" i="38"/>
  <c r="CR3" i="38"/>
  <c r="DE29" i="53"/>
  <c r="DE31" i="53" s="1"/>
  <c r="DE99" i="53" s="1"/>
  <c r="DH6" i="53"/>
  <c r="DH11" i="53" s="1"/>
  <c r="DI7" i="53"/>
  <c r="BZ68" i="5"/>
  <c r="BZ57" i="5"/>
  <c r="BZ59" i="5"/>
  <c r="BZ71" i="5"/>
  <c r="CA4" i="5"/>
  <c r="BZ85" i="5"/>
  <c r="BZ5" i="5"/>
  <c r="BZ62" i="5"/>
  <c r="BY69" i="5"/>
  <c r="BY70" i="5"/>
  <c r="BX87" i="5"/>
  <c r="BU19" i="6"/>
  <c r="BX86" i="5" s="1"/>
  <c r="BX94" i="5"/>
  <c r="BU41" i="6"/>
  <c r="BX93" i="5" s="1"/>
  <c r="BU29" i="6"/>
  <c r="BV23" i="6" s="1"/>
  <c r="BV13" i="6"/>
  <c r="BV24" i="6"/>
  <c r="BV7" i="6"/>
  <c r="BV18" i="6"/>
  <c r="BV38" i="6"/>
  <c r="BV40" i="6"/>
  <c r="BY92" i="5" s="1"/>
  <c r="BV35" i="6"/>
  <c r="BV16" i="6"/>
  <c r="BV36" i="6"/>
  <c r="BV15" i="6"/>
  <c r="BY78" i="5" s="1"/>
  <c r="BV37" i="6"/>
  <c r="BY80" i="5" s="1"/>
  <c r="BV34" i="6"/>
  <c r="BY91" i="5" s="1"/>
  <c r="BV27" i="6"/>
  <c r="BV28" i="6" s="1"/>
  <c r="BW6" i="6"/>
  <c r="BW12" i="6" s="1"/>
  <c r="BV25" i="6"/>
  <c r="BV26" i="6"/>
  <c r="BV14" i="6"/>
  <c r="CH34" i="55"/>
  <c r="BS45" i="5"/>
  <c r="Y71" i="5"/>
  <c r="BH57" i="53"/>
  <c r="BH59" i="53"/>
  <c r="BH65" i="53" s="1"/>
  <c r="BH67" i="53"/>
  <c r="BG78" i="53"/>
  <c r="BH72" i="53"/>
  <c r="BS73" i="53"/>
  <c r="BS17" i="53"/>
  <c r="BS74" i="53" s="1"/>
  <c r="BS81" i="53" s="1"/>
  <c r="AB10" i="5"/>
  <c r="AA14" i="5"/>
  <c r="AB9" i="5" s="1"/>
  <c r="BZ8" i="6"/>
  <c r="DH84" i="53"/>
  <c r="DI8" i="53"/>
  <c r="CP3" i="55"/>
  <c r="CO41" i="55"/>
  <c r="CM17" i="55"/>
  <c r="CM27" i="55" s="1"/>
  <c r="CM14" i="55"/>
  <c r="CM24" i="55" s="1"/>
  <c r="CM12" i="55"/>
  <c r="CM22" i="55" s="1"/>
  <c r="DC44" i="53"/>
  <c r="DC47" i="53" s="1"/>
  <c r="CN16" i="55"/>
  <c r="CN26" i="55" s="1"/>
  <c r="CO15" i="55"/>
  <c r="CO25" i="55" s="1"/>
  <c r="BQ39" i="5"/>
  <c r="CD11" i="55"/>
  <c r="CC21" i="55"/>
  <c r="CC28" i="55" s="1"/>
  <c r="BO38" i="5" s="1"/>
  <c r="CG38" i="55"/>
  <c r="BR50" i="5"/>
  <c r="BR39" i="5" s="1"/>
  <c r="CX38" i="53"/>
  <c r="CW39" i="53"/>
  <c r="BQ24" i="5"/>
  <c r="BQ28" i="5" s="1"/>
  <c r="CG36" i="55"/>
  <c r="BR48" i="5"/>
  <c r="CG37" i="55"/>
  <c r="BR49" i="5"/>
  <c r="CG39" i="55"/>
  <c r="BR51" i="5"/>
  <c r="CG40" i="55"/>
  <c r="BR52" i="5"/>
  <c r="BP29" i="5"/>
  <c r="CG35" i="55"/>
  <c r="BR47" i="5"/>
  <c r="CV40" i="53"/>
  <c r="CV49" i="53" s="1"/>
  <c r="CV50" i="53" s="1"/>
  <c r="BR87" i="53"/>
  <c r="CW36" i="53"/>
  <c r="BQ23" i="5"/>
  <c r="BQ27" i="5" s="1"/>
  <c r="CX35" i="53"/>
  <c r="BX108" i="5" l="1"/>
  <c r="CA79" i="5"/>
  <c r="CA90" i="5"/>
  <c r="CA101" i="5"/>
  <c r="CA100" i="5"/>
  <c r="BV29" i="6"/>
  <c r="BW23" i="6" s="1"/>
  <c r="F52" i="65"/>
  <c r="CM23" i="55"/>
  <c r="CN13" i="55"/>
  <c r="CP106" i="38"/>
  <c r="BX60" i="5"/>
  <c r="CQ93" i="38"/>
  <c r="CQ95" i="38"/>
  <c r="CQ104" i="38" s="1"/>
  <c r="CQ22" i="38"/>
  <c r="CQ39" i="38"/>
  <c r="BW63" i="5"/>
  <c r="CS3" i="38"/>
  <c r="CR4" i="38"/>
  <c r="DF29" i="53"/>
  <c r="DF31" i="53" s="1"/>
  <c r="DF99" i="53" s="1"/>
  <c r="BG100" i="53"/>
  <c r="DJ7" i="53"/>
  <c r="DI6" i="53"/>
  <c r="DI11" i="53" s="1"/>
  <c r="CA49" i="5"/>
  <c r="CA50" i="5"/>
  <c r="CA39" i="5"/>
  <c r="CA52" i="5"/>
  <c r="CA38" i="5"/>
  <c r="CA47" i="5"/>
  <c r="CA31" i="5"/>
  <c r="CA27" i="5"/>
  <c r="CA57" i="5"/>
  <c r="CA32" i="5"/>
  <c r="CA68" i="5"/>
  <c r="CA28" i="5"/>
  <c r="CA59" i="5"/>
  <c r="CA5" i="5"/>
  <c r="CA71" i="5"/>
  <c r="CB4" i="5"/>
  <c r="CA85" i="5"/>
  <c r="CA46" i="5"/>
  <c r="CA48" i="5"/>
  <c r="CA45" i="5"/>
  <c r="CA51" i="5"/>
  <c r="CA53" i="5"/>
  <c r="CA35" i="5"/>
  <c r="CA62" i="5"/>
  <c r="CA42" i="5"/>
  <c r="CA54" i="5"/>
  <c r="CA40" i="5"/>
  <c r="BZ70" i="5"/>
  <c r="BZ69" i="5"/>
  <c r="BY94" i="5"/>
  <c r="BV41" i="6"/>
  <c r="BY93" i="5" s="1"/>
  <c r="BW15" i="6"/>
  <c r="BZ78" i="5" s="1"/>
  <c r="BW27" i="6"/>
  <c r="BW28" i="6" s="1"/>
  <c r="BW14" i="6"/>
  <c r="BX6" i="6"/>
  <c r="BX12" i="6" s="1"/>
  <c r="BW37" i="6"/>
  <c r="BZ80" i="5" s="1"/>
  <c r="BW25" i="6"/>
  <c r="BW13" i="6"/>
  <c r="BW7" i="6"/>
  <c r="BW18" i="6"/>
  <c r="BW40" i="6"/>
  <c r="BZ92" i="5" s="1"/>
  <c r="BW35" i="6"/>
  <c r="BW36" i="6"/>
  <c r="BW34" i="6"/>
  <c r="BZ91" i="5" s="1"/>
  <c r="BW26" i="6"/>
  <c r="BW24" i="6"/>
  <c r="BW38" i="6"/>
  <c r="BY81" i="5"/>
  <c r="BY87" i="5"/>
  <c r="BV19" i="6"/>
  <c r="BY86" i="5" s="1"/>
  <c r="BT45" i="5"/>
  <c r="CI34" i="55"/>
  <c r="Z46" i="5"/>
  <c r="Z54" i="5" s="1"/>
  <c r="BS18" i="53"/>
  <c r="BS54" i="53" s="1"/>
  <c r="BS75" i="53"/>
  <c r="AM11" i="5" s="1"/>
  <c r="BG95" i="53"/>
  <c r="BH71" i="53"/>
  <c r="BG92" i="53"/>
  <c r="BG93" i="53" s="1"/>
  <c r="BH66" i="53"/>
  <c r="AB32" i="5"/>
  <c r="BH79" i="53"/>
  <c r="BH23" i="53" s="1"/>
  <c r="BI15" i="53"/>
  <c r="BI20" i="53" s="1"/>
  <c r="BI22" i="53" s="1"/>
  <c r="BI53" i="53"/>
  <c r="BH56" i="53"/>
  <c r="BH76" i="53" s="1"/>
  <c r="CQ3" i="55"/>
  <c r="CP41" i="55"/>
  <c r="DI84" i="53"/>
  <c r="DJ8" i="53"/>
  <c r="CA8" i="6"/>
  <c r="CN17" i="55"/>
  <c r="CN27" i="55" s="1"/>
  <c r="CN12" i="55"/>
  <c r="CN22" i="55" s="1"/>
  <c r="CN14" i="55"/>
  <c r="CN24" i="55" s="1"/>
  <c r="DD44" i="53"/>
  <c r="DD47" i="53" s="1"/>
  <c r="CO16" i="55"/>
  <c r="CO26" i="55" s="1"/>
  <c r="CP15" i="55"/>
  <c r="CP25" i="55" s="1"/>
  <c r="CW40" i="53"/>
  <c r="CW49" i="53" s="1"/>
  <c r="CW50" i="53" s="1"/>
  <c r="BR24" i="5"/>
  <c r="BR28" i="5" s="1"/>
  <c r="CY38" i="53"/>
  <c r="CX39" i="53"/>
  <c r="CY35" i="53"/>
  <c r="CX36" i="53"/>
  <c r="BR23" i="5"/>
  <c r="BR27" i="5" s="1"/>
  <c r="BQ29" i="5"/>
  <c r="CH35" i="55"/>
  <c r="BS47" i="5"/>
  <c r="CH40" i="55"/>
  <c r="BS52" i="5"/>
  <c r="CH39" i="55"/>
  <c r="BS51" i="5"/>
  <c r="CH38" i="55"/>
  <c r="BS50" i="5"/>
  <c r="CH36" i="55"/>
  <c r="BS48" i="5"/>
  <c r="BO40" i="5"/>
  <c r="BR88" i="53"/>
  <c r="BR89" i="53" s="1"/>
  <c r="CH37" i="55"/>
  <c r="BS49" i="5"/>
  <c r="CD21" i="55"/>
  <c r="CD28" i="55" s="1"/>
  <c r="BP38" i="5" s="1"/>
  <c r="BP40" i="5" s="1"/>
  <c r="CE11" i="55"/>
  <c r="BY108" i="5" l="1"/>
  <c r="CB79" i="5"/>
  <c r="CB90" i="5"/>
  <c r="CB101" i="5"/>
  <c r="CB100" i="5"/>
  <c r="J52" i="65"/>
  <c r="E53" i="65" s="1"/>
  <c r="F53" i="65" s="1"/>
  <c r="CN23" i="55"/>
  <c r="CO13" i="55"/>
  <c r="CR93" i="38"/>
  <c r="CR95" i="38" s="1"/>
  <c r="CR104" i="38" s="1"/>
  <c r="CA29" i="5"/>
  <c r="BW29" i="6"/>
  <c r="BX23" i="6" s="1"/>
  <c r="CQ106" i="38"/>
  <c r="BY60" i="5"/>
  <c r="CR22" i="38"/>
  <c r="CR39" i="38"/>
  <c r="BX63" i="5"/>
  <c r="CT3" i="38"/>
  <c r="CS4" i="38"/>
  <c r="DG29" i="53"/>
  <c r="DG31" i="53" s="1"/>
  <c r="DG99" i="53" s="1"/>
  <c r="DJ6" i="53"/>
  <c r="DJ11" i="53" s="1"/>
  <c r="DK7" i="53"/>
  <c r="CA56" i="5"/>
  <c r="CA33" i="5"/>
  <c r="CA34" i="5"/>
  <c r="CB57" i="5"/>
  <c r="CB28" i="5"/>
  <c r="CB59" i="5"/>
  <c r="CC4" i="5"/>
  <c r="CB71" i="5"/>
  <c r="CB5" i="5"/>
  <c r="CB46" i="5"/>
  <c r="CB48" i="5"/>
  <c r="CB45" i="5"/>
  <c r="CB49" i="5"/>
  <c r="CB50" i="5"/>
  <c r="CB39" i="5"/>
  <c r="CB51" i="5"/>
  <c r="CB53" i="5"/>
  <c r="CB38" i="5"/>
  <c r="CB52" i="5"/>
  <c r="CB31" i="5"/>
  <c r="CB42" i="5"/>
  <c r="CB68" i="5"/>
  <c r="CB40" i="5"/>
  <c r="CB85" i="5"/>
  <c r="CB27" i="5"/>
  <c r="CB47" i="5"/>
  <c r="CB32" i="5"/>
  <c r="CB35" i="5"/>
  <c r="CB62" i="5"/>
  <c r="CB54" i="5"/>
  <c r="CA69" i="5"/>
  <c r="CA70" i="5"/>
  <c r="BX35" i="6"/>
  <c r="BX34" i="6"/>
  <c r="CA91" i="5" s="1"/>
  <c r="BX7" i="6"/>
  <c r="BX26" i="6"/>
  <c r="BX25" i="6"/>
  <c r="BX27" i="6"/>
  <c r="BX28" i="6" s="1"/>
  <c r="BX16" i="6"/>
  <c r="BX36" i="6"/>
  <c r="BX18" i="6"/>
  <c r="BY6" i="6"/>
  <c r="BY12" i="6" s="1"/>
  <c r="BX37" i="6"/>
  <c r="CA80" i="5" s="1"/>
  <c r="BX40" i="6"/>
  <c r="CA92" i="5" s="1"/>
  <c r="BX24" i="6"/>
  <c r="BX15" i="6"/>
  <c r="CA78" i="5" s="1"/>
  <c r="BX38" i="6"/>
  <c r="BX14" i="6"/>
  <c r="BX13" i="6"/>
  <c r="BZ94" i="5"/>
  <c r="BW41" i="6"/>
  <c r="BZ93" i="5" s="1"/>
  <c r="BZ81" i="5"/>
  <c r="BU45" i="5"/>
  <c r="CJ34" i="55"/>
  <c r="Z56" i="5"/>
  <c r="AB12" i="5"/>
  <c r="AB13" i="5" s="1"/>
  <c r="BH82" i="53"/>
  <c r="BH83" i="53" s="1"/>
  <c r="BT16" i="53" s="1"/>
  <c r="BI60" i="53"/>
  <c r="BG98" i="53"/>
  <c r="BH91" i="53"/>
  <c r="BG96" i="53"/>
  <c r="AA30" i="5" s="1"/>
  <c r="BH77" i="53"/>
  <c r="CB8" i="6"/>
  <c r="DJ84" i="53"/>
  <c r="DK8" i="53"/>
  <c r="CQ41" i="55"/>
  <c r="CR3" i="55"/>
  <c r="CO17" i="55"/>
  <c r="CO27" i="55" s="1"/>
  <c r="CO14" i="55"/>
  <c r="CO24" i="55" s="1"/>
  <c r="CO12" i="55"/>
  <c r="CO22" i="55" s="1"/>
  <c r="CX40" i="53"/>
  <c r="CX49" i="53" s="1"/>
  <c r="CX50" i="53" s="1"/>
  <c r="DE44" i="53"/>
  <c r="DE47" i="53" s="1"/>
  <c r="CP16" i="55"/>
  <c r="CP26" i="55" s="1"/>
  <c r="CQ15" i="55"/>
  <c r="CQ25" i="55" s="1"/>
  <c r="BS87" i="53"/>
  <c r="BR29" i="5"/>
  <c r="BS23" i="5"/>
  <c r="BS27" i="5" s="1"/>
  <c r="CZ35" i="53"/>
  <c r="CY36" i="53"/>
  <c r="BS39" i="5"/>
  <c r="CI38" i="55"/>
  <c r="BT50" i="5"/>
  <c r="BT39" i="5" s="1"/>
  <c r="CI39" i="55"/>
  <c r="BT51" i="5"/>
  <c r="CI35" i="55"/>
  <c r="BT47" i="5"/>
  <c r="CI36" i="55"/>
  <c r="BT48" i="5"/>
  <c r="CI40" i="55"/>
  <c r="BT52" i="5"/>
  <c r="CY39" i="53"/>
  <c r="CZ38" i="53"/>
  <c r="BS24" i="5"/>
  <c r="BS28" i="5" s="1"/>
  <c r="CF11" i="55"/>
  <c r="CE21" i="55"/>
  <c r="CE28" i="55" s="1"/>
  <c r="BQ38" i="5" s="1"/>
  <c r="CI37" i="55"/>
  <c r="BT49" i="5"/>
  <c r="CC79" i="5" l="1"/>
  <c r="CC90" i="5"/>
  <c r="CC101" i="5"/>
  <c r="CC100" i="5"/>
  <c r="CA81" i="5"/>
  <c r="J53" i="65"/>
  <c r="E54" i="65" s="1"/>
  <c r="F54" i="65"/>
  <c r="CO23" i="55"/>
  <c r="CP13" i="55"/>
  <c r="CR106" i="38"/>
  <c r="BZ60" i="5"/>
  <c r="CS93" i="38"/>
  <c r="CS95" i="38"/>
  <c r="CS104" i="38" s="1"/>
  <c r="CS22" i="38"/>
  <c r="BY63" i="5"/>
  <c r="CB29" i="5"/>
  <c r="CS39" i="38"/>
  <c r="CU3" i="38"/>
  <c r="CT4" i="38"/>
  <c r="DH29" i="53"/>
  <c r="DH31" i="53" s="1"/>
  <c r="DH99" i="53" s="1"/>
  <c r="DK6" i="53"/>
  <c r="DK11" i="53" s="1"/>
  <c r="DL7" i="53"/>
  <c r="CB70" i="5"/>
  <c r="CB69" i="5"/>
  <c r="CB34" i="5"/>
  <c r="CB33" i="5"/>
  <c r="CC49" i="5"/>
  <c r="CC39" i="5"/>
  <c r="CC50" i="5"/>
  <c r="CC27" i="5"/>
  <c r="CC57" i="5"/>
  <c r="CC32" i="5"/>
  <c r="CC68" i="5"/>
  <c r="CC28" i="5"/>
  <c r="CC59" i="5"/>
  <c r="CD4" i="5"/>
  <c r="CC71" i="5"/>
  <c r="CC5" i="5"/>
  <c r="CC85" i="5"/>
  <c r="CC52" i="5"/>
  <c r="CC47" i="5"/>
  <c r="CC46" i="5"/>
  <c r="CC48" i="5"/>
  <c r="CC45" i="5"/>
  <c r="CC51" i="5"/>
  <c r="CC38" i="5"/>
  <c r="CC35" i="5"/>
  <c r="CC53" i="5"/>
  <c r="CC31" i="5"/>
  <c r="CC40" i="5"/>
  <c r="CC42" i="5"/>
  <c r="CC62" i="5"/>
  <c r="CC54" i="5"/>
  <c r="CB56" i="5"/>
  <c r="CA87" i="5"/>
  <c r="BX19" i="6"/>
  <c r="CA86" i="5" s="1"/>
  <c r="BX29" i="6"/>
  <c r="BY23" i="6" s="1"/>
  <c r="CA94" i="5"/>
  <c r="BX41" i="6"/>
  <c r="CA93" i="5" s="1"/>
  <c r="BY37" i="6"/>
  <c r="CB80" i="5" s="1"/>
  <c r="BY15" i="6"/>
  <c r="CB78" i="5" s="1"/>
  <c r="BY35" i="6"/>
  <c r="BY36" i="6"/>
  <c r="BZ6" i="6"/>
  <c r="BZ12" i="6" s="1"/>
  <c r="BY34" i="6"/>
  <c r="CB91" i="5" s="1"/>
  <c r="BY7" i="6"/>
  <c r="BY14" i="6"/>
  <c r="BY25" i="6"/>
  <c r="BY24" i="6"/>
  <c r="BY27" i="6"/>
  <c r="BY28" i="6" s="1"/>
  <c r="BY38" i="6"/>
  <c r="BY16" i="6"/>
  <c r="BY26" i="6"/>
  <c r="BY40" i="6"/>
  <c r="CB92" i="5" s="1"/>
  <c r="BY18" i="6"/>
  <c r="BY13" i="6"/>
  <c r="CK34" i="55"/>
  <c r="BV45" i="5"/>
  <c r="N57" i="5"/>
  <c r="Z71" i="5"/>
  <c r="BI72" i="53"/>
  <c r="BH78" i="53"/>
  <c r="AA31" i="5"/>
  <c r="BI59" i="53"/>
  <c r="BI65" i="53" s="1"/>
  <c r="BI67" i="53"/>
  <c r="BI57" i="53"/>
  <c r="BT73" i="53"/>
  <c r="BT17" i="53"/>
  <c r="BT74" i="53" s="1"/>
  <c r="BT81" i="53" s="1"/>
  <c r="AC10" i="5"/>
  <c r="AB14" i="5"/>
  <c r="AC9" i="5" s="1"/>
  <c r="CS3" i="55"/>
  <c r="CR41" i="55"/>
  <c r="DK84" i="53"/>
  <c r="DL8" i="53"/>
  <c r="CC8" i="6"/>
  <c r="CP17" i="55"/>
  <c r="CP27" i="55" s="1"/>
  <c r="CP12" i="55"/>
  <c r="CP22" i="55" s="1"/>
  <c r="CP14" i="55"/>
  <c r="CP24" i="55" s="1"/>
  <c r="DF44" i="53"/>
  <c r="DF47" i="53" s="1"/>
  <c r="CQ16" i="55"/>
  <c r="CQ26" i="55" s="1"/>
  <c r="CR15" i="55"/>
  <c r="CR25" i="55" s="1"/>
  <c r="CJ36" i="55"/>
  <c r="BU48" i="5"/>
  <c r="CY40" i="53"/>
  <c r="CY49" i="53" s="1"/>
  <c r="CY50" i="53" s="1"/>
  <c r="BT23" i="5"/>
  <c r="BT27" i="5" s="1"/>
  <c r="CZ36" i="53"/>
  <c r="DA35" i="53"/>
  <c r="CJ37" i="55"/>
  <c r="BU49" i="5"/>
  <c r="BS29" i="5"/>
  <c r="BQ40" i="5"/>
  <c r="CJ38" i="55"/>
  <c r="BU50" i="5"/>
  <c r="CJ35" i="55"/>
  <c r="BU47" i="5"/>
  <c r="CJ39" i="55"/>
  <c r="BU51" i="5"/>
  <c r="BS88" i="53"/>
  <c r="BS89" i="53" s="1"/>
  <c r="CJ40" i="55"/>
  <c r="BU52" i="5"/>
  <c r="CF21" i="55"/>
  <c r="CF28" i="55" s="1"/>
  <c r="BR38" i="5" s="1"/>
  <c r="BR40" i="5" s="1"/>
  <c r="CG11" i="55"/>
  <c r="DA38" i="53"/>
  <c r="BT24" i="5"/>
  <c r="BT28" i="5" s="1"/>
  <c r="CZ39" i="53"/>
  <c r="CA108" i="5" l="1"/>
  <c r="CD79" i="5"/>
  <c r="CD90" i="5"/>
  <c r="CD101" i="5"/>
  <c r="CD100" i="5"/>
  <c r="J54" i="65"/>
  <c r="E55" i="65" s="1"/>
  <c r="CP23" i="55"/>
  <c r="CQ13" i="55"/>
  <c r="CS106" i="38"/>
  <c r="CA60" i="5"/>
  <c r="CT93" i="38"/>
  <c r="CT95" i="38"/>
  <c r="CT104" i="38" s="1"/>
  <c r="CT22" i="38"/>
  <c r="CT39" i="38"/>
  <c r="BZ63" i="5"/>
  <c r="CV3" i="38"/>
  <c r="CU4" i="38"/>
  <c r="CU93" i="38"/>
  <c r="DI29" i="53"/>
  <c r="DI31" i="53" s="1"/>
  <c r="DI99" i="53" s="1"/>
  <c r="BH100" i="53"/>
  <c r="DL6" i="53"/>
  <c r="DL11" i="53" s="1"/>
  <c r="DM7" i="53"/>
  <c r="CC69" i="5"/>
  <c r="CC70" i="5"/>
  <c r="CC29" i="5"/>
  <c r="CC56" i="5"/>
  <c r="CD71" i="5"/>
  <c r="CD5" i="5"/>
  <c r="CD85" i="5"/>
  <c r="CD52" i="5"/>
  <c r="CD48" i="5"/>
  <c r="CD45" i="5"/>
  <c r="CD39" i="5"/>
  <c r="CD49" i="5"/>
  <c r="CD50" i="5"/>
  <c r="CD51" i="5"/>
  <c r="CD38" i="5"/>
  <c r="CD53" i="5"/>
  <c r="CD31" i="5"/>
  <c r="CD27" i="5"/>
  <c r="CD57" i="5"/>
  <c r="CD32" i="5"/>
  <c r="CD68" i="5"/>
  <c r="CD59" i="5"/>
  <c r="CD47" i="5"/>
  <c r="CD28" i="5"/>
  <c r="CD46" i="5"/>
  <c r="CE4" i="5"/>
  <c r="CD62" i="5"/>
  <c r="CD42" i="5"/>
  <c r="CD54" i="5"/>
  <c r="CD40" i="5"/>
  <c r="CD35" i="5"/>
  <c r="CC33" i="5"/>
  <c r="CC34" i="5"/>
  <c r="CA6" i="6"/>
  <c r="CA12" i="6" s="1"/>
  <c r="BZ13" i="6"/>
  <c r="BZ26" i="6"/>
  <c r="BZ36" i="6"/>
  <c r="BZ15" i="6"/>
  <c r="CC78" i="5" s="1"/>
  <c r="BZ24" i="6"/>
  <c r="BZ14" i="6"/>
  <c r="BZ34" i="6"/>
  <c r="CC91" i="5" s="1"/>
  <c r="BZ16" i="6"/>
  <c r="BZ7" i="6"/>
  <c r="BZ25" i="6"/>
  <c r="BZ40" i="6"/>
  <c r="CC92" i="5" s="1"/>
  <c r="BZ18" i="6"/>
  <c r="BZ37" i="6"/>
  <c r="CC80" i="5" s="1"/>
  <c r="BZ35" i="6"/>
  <c r="BZ27" i="6"/>
  <c r="BZ28" i="6" s="1"/>
  <c r="BZ38" i="6"/>
  <c r="CB81" i="5"/>
  <c r="CB87" i="5"/>
  <c r="BY19" i="6"/>
  <c r="CB86" i="5" s="1"/>
  <c r="BY41" i="6"/>
  <c r="CB93" i="5" s="1"/>
  <c r="CB94" i="5"/>
  <c r="BY29" i="6"/>
  <c r="BZ23" i="6" s="1"/>
  <c r="CL34" i="55"/>
  <c r="BW45" i="5"/>
  <c r="BT18" i="53"/>
  <c r="BT54" i="53" s="1"/>
  <c r="BT75" i="53"/>
  <c r="AN11" i="5" s="1"/>
  <c r="BJ53" i="53"/>
  <c r="BJ15" i="53"/>
  <c r="BJ20" i="53" s="1"/>
  <c r="BJ22" i="53" s="1"/>
  <c r="BI56" i="53"/>
  <c r="BI76" i="53" s="1"/>
  <c r="AC32" i="5"/>
  <c r="BI66" i="53"/>
  <c r="BI79" i="53"/>
  <c r="BI23" i="53" s="1"/>
  <c r="AA34" i="5"/>
  <c r="AA33" i="5"/>
  <c r="BI71" i="53"/>
  <c r="BH95" i="53"/>
  <c r="BH92" i="53"/>
  <c r="BH93" i="53" s="1"/>
  <c r="CD8" i="6"/>
  <c r="DL84" i="53"/>
  <c r="DM8" i="53"/>
  <c r="CS41" i="55"/>
  <c r="CT3" i="55"/>
  <c r="CQ17" i="55"/>
  <c r="CQ27" i="55" s="1"/>
  <c r="CQ14" i="55"/>
  <c r="CQ24" i="55" s="1"/>
  <c r="CQ12" i="55"/>
  <c r="CQ22" i="55" s="1"/>
  <c r="DG44" i="53"/>
  <c r="DG47" i="53" s="1"/>
  <c r="CR16" i="55"/>
  <c r="CR26" i="55" s="1"/>
  <c r="CS15" i="55"/>
  <c r="CS25" i="55" s="1"/>
  <c r="BT87" i="53"/>
  <c r="CZ40" i="53"/>
  <c r="CZ49" i="53" s="1"/>
  <c r="CZ50" i="53" s="1"/>
  <c r="BU39" i="5"/>
  <c r="BT29" i="5"/>
  <c r="CK35" i="55"/>
  <c r="BV47" i="5"/>
  <c r="CK39" i="55"/>
  <c r="BV51" i="5"/>
  <c r="CK36" i="55"/>
  <c r="BV48" i="5"/>
  <c r="CK37" i="55"/>
  <c r="BV49" i="5"/>
  <c r="BU24" i="5"/>
  <c r="BU28" i="5" s="1"/>
  <c r="DB38" i="53"/>
  <c r="DA39" i="53"/>
  <c r="CH11" i="55"/>
  <c r="CG21" i="55"/>
  <c r="CG28" i="55" s="1"/>
  <c r="BS38" i="5" s="1"/>
  <c r="BS40" i="5" s="1"/>
  <c r="DA36" i="53"/>
  <c r="DB35" i="53"/>
  <c r="BU23" i="5"/>
  <c r="BU27" i="5" s="1"/>
  <c r="CK40" i="55"/>
  <c r="BV52" i="5"/>
  <c r="CK38" i="55"/>
  <c r="BV50" i="5"/>
  <c r="BV39" i="5" s="1"/>
  <c r="BI77" i="53" l="1"/>
  <c r="BI78" i="53" s="1"/>
  <c r="CB108" i="5"/>
  <c r="CE79" i="5"/>
  <c r="CE101" i="5"/>
  <c r="CE90" i="5"/>
  <c r="CE100" i="5"/>
  <c r="F55" i="65"/>
  <c r="CQ23" i="55"/>
  <c r="CR13" i="55"/>
  <c r="CT106" i="38"/>
  <c r="CB60" i="5"/>
  <c r="CU95" i="38"/>
  <c r="CU104" i="38" s="1"/>
  <c r="CU22" i="38"/>
  <c r="CA63" i="5"/>
  <c r="CD56" i="5"/>
  <c r="CU39" i="38"/>
  <c r="CV4" i="38"/>
  <c r="CW3" i="38"/>
  <c r="DJ29" i="53"/>
  <c r="DJ31" i="53" s="1"/>
  <c r="DJ99" i="53" s="1"/>
  <c r="DN7" i="53"/>
  <c r="DM6" i="53"/>
  <c r="DM11" i="53" s="1"/>
  <c r="CE49" i="5"/>
  <c r="CE50" i="5"/>
  <c r="CE38" i="5"/>
  <c r="CE51" i="5"/>
  <c r="CE28" i="5"/>
  <c r="CE68" i="5"/>
  <c r="CE32" i="5"/>
  <c r="CE59" i="5"/>
  <c r="CF4" i="5"/>
  <c r="CE71" i="5"/>
  <c r="CE5" i="5"/>
  <c r="CE85" i="5"/>
  <c r="CE53" i="5"/>
  <c r="CE52" i="5"/>
  <c r="CE47" i="5"/>
  <c r="CE46" i="5"/>
  <c r="CE48" i="5"/>
  <c r="CE57" i="5"/>
  <c r="CE39" i="5"/>
  <c r="CE31" i="5"/>
  <c r="CE45" i="5"/>
  <c r="CE27" i="5"/>
  <c r="CE35" i="5"/>
  <c r="CE62" i="5"/>
  <c r="CE54" i="5"/>
  <c r="CE42" i="5"/>
  <c r="CE40" i="5"/>
  <c r="CD69" i="5"/>
  <c r="CD70" i="5"/>
  <c r="CD29" i="5"/>
  <c r="CD34" i="5"/>
  <c r="CD33" i="5"/>
  <c r="BZ29" i="6"/>
  <c r="CA23" i="6" s="1"/>
  <c r="CC87" i="5"/>
  <c r="BZ19" i="6"/>
  <c r="CC86" i="5" s="1"/>
  <c r="CC81" i="5"/>
  <c r="BZ41" i="6"/>
  <c r="CC93" i="5" s="1"/>
  <c r="CC94" i="5"/>
  <c r="CA14" i="6"/>
  <c r="CA24" i="6"/>
  <c r="CA38" i="6"/>
  <c r="CA15" i="6"/>
  <c r="CD78" i="5" s="1"/>
  <c r="CA26" i="6"/>
  <c r="CA40" i="6"/>
  <c r="CD92" i="5" s="1"/>
  <c r="CA34" i="6"/>
  <c r="CD91" i="5" s="1"/>
  <c r="CA27" i="6"/>
  <c r="CA28" i="6" s="1"/>
  <c r="CA7" i="6"/>
  <c r="CA25" i="6"/>
  <c r="CB6" i="6"/>
  <c r="CB12" i="6" s="1"/>
  <c r="CA36" i="6"/>
  <c r="CA16" i="6"/>
  <c r="CA13" i="6"/>
  <c r="CA35" i="6"/>
  <c r="CA18" i="6"/>
  <c r="CA37" i="6"/>
  <c r="CD80" i="5" s="1"/>
  <c r="CM34" i="55"/>
  <c r="BX45" i="5"/>
  <c r="AA35" i="5"/>
  <c r="AA42" i="5" s="1"/>
  <c r="AA62" i="5" s="1"/>
  <c r="AA63" i="5" s="1"/>
  <c r="BH96" i="53"/>
  <c r="AB30" i="5" s="1"/>
  <c r="BH98" i="53"/>
  <c r="BI91" i="53"/>
  <c r="BI82" i="53"/>
  <c r="BI83" i="53" s="1"/>
  <c r="BU16" i="53" s="1"/>
  <c r="AC12" i="5"/>
  <c r="AC13" i="5" s="1"/>
  <c r="BJ60" i="53"/>
  <c r="CU3" i="55"/>
  <c r="CT41" i="55"/>
  <c r="DM84" i="53"/>
  <c r="DN8" i="53"/>
  <c r="CE8" i="6"/>
  <c r="CR17" i="55"/>
  <c r="CR27" i="55" s="1"/>
  <c r="CR12" i="55"/>
  <c r="CR22" i="55" s="1"/>
  <c r="CR14" i="55"/>
  <c r="CR24" i="55" s="1"/>
  <c r="DH44" i="53"/>
  <c r="DH47" i="53" s="1"/>
  <c r="CS16" i="55"/>
  <c r="CS26" i="55" s="1"/>
  <c r="CT15" i="55"/>
  <c r="CT25" i="55" s="1"/>
  <c r="DA40" i="53"/>
  <c r="DA49" i="53" s="1"/>
  <c r="DA50" i="53" s="1"/>
  <c r="DB39" i="53"/>
  <c r="DC38" i="53"/>
  <c r="BV24" i="5"/>
  <c r="BV28" i="5" s="1"/>
  <c r="CL36" i="55"/>
  <c r="BW48" i="5"/>
  <c r="BU29" i="5"/>
  <c r="BT88" i="53"/>
  <c r="BT89" i="53" s="1"/>
  <c r="CL37" i="55"/>
  <c r="BW49" i="5"/>
  <c r="BV23" i="5"/>
  <c r="BV27" i="5" s="1"/>
  <c r="DB36" i="53"/>
  <c r="DC35" i="53"/>
  <c r="CL38" i="55"/>
  <c r="BW50" i="5"/>
  <c r="CL39" i="55"/>
  <c r="BW51" i="5"/>
  <c r="CL35" i="55"/>
  <c r="BW47" i="5"/>
  <c r="CL40" i="55"/>
  <c r="BW52" i="5"/>
  <c r="CH21" i="55"/>
  <c r="CH28" i="55" s="1"/>
  <c r="BT38" i="5" s="1"/>
  <c r="CI11" i="55"/>
  <c r="BJ72" i="53" l="1"/>
  <c r="CC108" i="5"/>
  <c r="CE29" i="5"/>
  <c r="CF79" i="5"/>
  <c r="CF101" i="5"/>
  <c r="CF90" i="5"/>
  <c r="CF100" i="5"/>
  <c r="J55" i="65"/>
  <c r="E56" i="65" s="1"/>
  <c r="F56" i="65" s="1"/>
  <c r="CR23" i="55"/>
  <c r="CS13" i="55"/>
  <c r="CA29" i="6"/>
  <c r="CB23" i="6" s="1"/>
  <c r="CU106" i="38"/>
  <c r="CC60" i="5"/>
  <c r="CV93" i="38"/>
  <c r="CV95" i="38" s="1"/>
  <c r="CV104" i="38" s="1"/>
  <c r="CD60" i="5" s="1"/>
  <c r="CV22" i="38"/>
  <c r="CV39" i="38"/>
  <c r="CB63" i="5"/>
  <c r="CX3" i="38"/>
  <c r="CW4" i="38"/>
  <c r="DK29" i="53"/>
  <c r="DK31" i="53" s="1"/>
  <c r="DK99" i="53" s="1"/>
  <c r="BI100" i="53"/>
  <c r="CE56" i="5"/>
  <c r="DO7" i="53"/>
  <c r="DN6" i="53"/>
  <c r="DN11" i="53" s="1"/>
  <c r="CF51" i="5"/>
  <c r="CF53" i="5"/>
  <c r="CF52" i="5"/>
  <c r="CF39" i="5"/>
  <c r="CF48" i="5"/>
  <c r="CF45" i="5"/>
  <c r="CF49" i="5"/>
  <c r="CF38" i="5"/>
  <c r="CF50" i="5"/>
  <c r="CF28" i="5"/>
  <c r="CF31" i="5"/>
  <c r="CF57" i="5"/>
  <c r="CF27" i="5"/>
  <c r="CF68" i="5"/>
  <c r="CF32" i="5"/>
  <c r="CF59" i="5"/>
  <c r="CF5" i="5"/>
  <c r="CF46" i="5"/>
  <c r="CF42" i="5"/>
  <c r="CF85" i="5"/>
  <c r="CG4" i="5"/>
  <c r="CF47" i="5"/>
  <c r="CF54" i="5"/>
  <c r="CF35" i="5"/>
  <c r="CF40" i="5"/>
  <c r="CF62" i="5"/>
  <c r="CF71" i="5"/>
  <c r="CE34" i="5"/>
  <c r="CE33" i="5"/>
  <c r="CE70" i="5"/>
  <c r="CE69" i="5"/>
  <c r="CD81" i="5"/>
  <c r="CD94" i="5"/>
  <c r="CA41" i="6"/>
  <c r="CD93" i="5" s="1"/>
  <c r="CD87" i="5"/>
  <c r="CA19" i="6"/>
  <c r="CD86" i="5" s="1"/>
  <c r="CB14" i="6"/>
  <c r="CB26" i="6"/>
  <c r="CB7" i="6"/>
  <c r="CB13" i="6"/>
  <c r="CB24" i="6"/>
  <c r="CB37" i="6"/>
  <c r="CE80" i="5" s="1"/>
  <c r="CB35" i="6"/>
  <c r="CB15" i="6"/>
  <c r="CE78" i="5" s="1"/>
  <c r="CB36" i="6"/>
  <c r="CB34" i="6"/>
  <c r="CE91" i="5" s="1"/>
  <c r="CB27" i="6"/>
  <c r="CB28" i="6" s="1"/>
  <c r="CB38" i="6"/>
  <c r="CB25" i="6"/>
  <c r="CC6" i="6"/>
  <c r="CC12" i="6" s="1"/>
  <c r="CB16" i="6"/>
  <c r="CB18" i="6"/>
  <c r="CB40" i="6"/>
  <c r="CE92" i="5" s="1"/>
  <c r="BY45" i="5"/>
  <c r="CN34" i="55"/>
  <c r="AA46" i="5"/>
  <c r="AA54" i="5" s="1"/>
  <c r="BJ67" i="53"/>
  <c r="BJ59" i="53"/>
  <c r="BJ65" i="53" s="1"/>
  <c r="BJ57" i="53"/>
  <c r="AC14" i="5"/>
  <c r="AD9" i="5" s="1"/>
  <c r="AD10" i="5"/>
  <c r="BU17" i="53"/>
  <c r="BU74" i="53" s="1"/>
  <c r="BU81" i="53" s="1"/>
  <c r="BU73" i="53"/>
  <c r="AB31" i="5"/>
  <c r="BJ71" i="53"/>
  <c r="BI95" i="53"/>
  <c r="BI92" i="53"/>
  <c r="BI93" i="53" s="1"/>
  <c r="CF8" i="6"/>
  <c r="DN84" i="53"/>
  <c r="DO8" i="53"/>
  <c r="CV3" i="55"/>
  <c r="CU41" i="55"/>
  <c r="CS17" i="55"/>
  <c r="CS27" i="55" s="1"/>
  <c r="CS14" i="55"/>
  <c r="CS24" i="55" s="1"/>
  <c r="CS12" i="55"/>
  <c r="CS22" i="55" s="1"/>
  <c r="DI44" i="53"/>
  <c r="DI47" i="53" s="1"/>
  <c r="CT16" i="55"/>
  <c r="CT26" i="55" s="1"/>
  <c r="DB40" i="53"/>
  <c r="DB49" i="53" s="1"/>
  <c r="DB50" i="53" s="1"/>
  <c r="CU15" i="55"/>
  <c r="CU25" i="55" s="1"/>
  <c r="BU87" i="53"/>
  <c r="CM37" i="55"/>
  <c r="BX49" i="5"/>
  <c r="CM36" i="55"/>
  <c r="BX48" i="5"/>
  <c r="CM39" i="55"/>
  <c r="BX51" i="5"/>
  <c r="CJ11" i="55"/>
  <c r="CI21" i="55"/>
  <c r="CI28" i="55" s="1"/>
  <c r="BU38" i="5" s="1"/>
  <c r="BU40" i="5" s="1"/>
  <c r="BW39" i="5"/>
  <c r="BT40" i="5"/>
  <c r="CM38" i="55"/>
  <c r="BX50" i="5"/>
  <c r="BX39" i="5" s="1"/>
  <c r="CM35" i="55"/>
  <c r="BX47" i="5"/>
  <c r="DC36" i="53"/>
  <c r="DD35" i="53"/>
  <c r="BW23" i="5"/>
  <c r="BW27" i="5" s="1"/>
  <c r="BV29" i="5"/>
  <c r="CM40" i="55"/>
  <c r="BX52" i="5"/>
  <c r="DC39" i="53"/>
  <c r="DD38" i="53"/>
  <c r="BW24" i="5"/>
  <c r="BW28" i="5" s="1"/>
  <c r="CD108" i="5" l="1"/>
  <c r="CB29" i="6"/>
  <c r="CC23" i="6" s="1"/>
  <c r="CG79" i="5"/>
  <c r="CG101" i="5"/>
  <c r="CG90" i="5"/>
  <c r="AA56" i="5"/>
  <c r="CG100" i="5"/>
  <c r="J56" i="65"/>
  <c r="E57" i="65" s="1"/>
  <c r="CE81" i="5"/>
  <c r="CS23" i="55"/>
  <c r="CT13" i="55"/>
  <c r="CV106" i="38"/>
  <c r="CW93" i="38"/>
  <c r="CW95" i="38"/>
  <c r="CW104" i="38" s="1"/>
  <c r="CW22" i="38"/>
  <c r="CW39" i="38"/>
  <c r="CX4" i="38"/>
  <c r="CY3" i="38"/>
  <c r="CC63" i="5"/>
  <c r="DL29" i="53"/>
  <c r="DL31" i="53" s="1"/>
  <c r="DL99" i="53" s="1"/>
  <c r="DO6" i="53"/>
  <c r="DO11" i="53" s="1"/>
  <c r="DP7" i="53"/>
  <c r="CG50" i="5"/>
  <c r="CG28" i="5"/>
  <c r="CG31" i="5"/>
  <c r="CG57" i="5"/>
  <c r="CG27" i="5"/>
  <c r="CG71" i="5"/>
  <c r="CH4" i="5"/>
  <c r="CG85" i="5"/>
  <c r="CG51" i="5"/>
  <c r="CG53" i="5"/>
  <c r="CG52" i="5"/>
  <c r="CG39" i="5"/>
  <c r="CG47" i="5"/>
  <c r="CG46" i="5"/>
  <c r="CG48" i="5"/>
  <c r="CG68" i="5"/>
  <c r="CG59" i="5"/>
  <c r="CG45" i="5"/>
  <c r="CG38" i="5"/>
  <c r="CG42" i="5"/>
  <c r="CG49" i="5"/>
  <c r="CG32" i="5"/>
  <c r="CG5" i="5"/>
  <c r="CG54" i="5"/>
  <c r="CG35" i="5"/>
  <c r="CG62" i="5"/>
  <c r="CG40" i="5"/>
  <c r="CF70" i="5"/>
  <c r="CF69" i="5"/>
  <c r="CF29" i="5"/>
  <c r="CF33" i="5"/>
  <c r="CF34" i="5"/>
  <c r="CF56" i="5"/>
  <c r="CE87" i="5"/>
  <c r="CB19" i="6"/>
  <c r="CE86" i="5" s="1"/>
  <c r="CC38" i="6"/>
  <c r="CC15" i="6"/>
  <c r="CF78" i="5" s="1"/>
  <c r="CD6" i="6"/>
  <c r="CD12" i="6" s="1"/>
  <c r="CC7" i="6"/>
  <c r="CC14" i="6"/>
  <c r="CC26" i="6"/>
  <c r="CC13" i="6"/>
  <c r="CC24" i="6"/>
  <c r="CC40" i="6"/>
  <c r="CF92" i="5" s="1"/>
  <c r="CC25" i="6"/>
  <c r="CC18" i="6"/>
  <c r="CC27" i="6"/>
  <c r="CC28" i="6" s="1"/>
  <c r="CC37" i="6"/>
  <c r="CF80" i="5" s="1"/>
  <c r="CC35" i="6"/>
  <c r="CC36" i="6"/>
  <c r="CC34" i="6"/>
  <c r="CF91" i="5" s="1"/>
  <c r="CC16" i="6"/>
  <c r="CB41" i="6"/>
  <c r="CE93" i="5" s="1"/>
  <c r="CE94" i="5"/>
  <c r="BZ45" i="5"/>
  <c r="CO34" i="55"/>
  <c r="CP34" i="55" s="1"/>
  <c r="CQ34" i="55" s="1"/>
  <c r="CR34" i="55" s="1"/>
  <c r="CS34" i="55" s="1"/>
  <c r="CT34" i="55" s="1"/>
  <c r="CU34" i="55" s="1"/>
  <c r="CV34" i="55" s="1"/>
  <c r="CW34" i="55" s="1"/>
  <c r="CX34" i="55" s="1"/>
  <c r="CY34" i="55" s="1"/>
  <c r="CZ34" i="55" s="1"/>
  <c r="DA34" i="55" s="1"/>
  <c r="DB34" i="55" s="1"/>
  <c r="DC34" i="55" s="1"/>
  <c r="DD34" i="55" s="1"/>
  <c r="DE34" i="55" s="1"/>
  <c r="DF34" i="55" s="1"/>
  <c r="DG34" i="55" s="1"/>
  <c r="DH34" i="55" s="1"/>
  <c r="DI34" i="55" s="1"/>
  <c r="DJ34" i="55" s="1"/>
  <c r="DK34" i="55" s="1"/>
  <c r="DL34" i="55" s="1"/>
  <c r="DM34" i="55" s="1"/>
  <c r="DN34" i="55" s="1"/>
  <c r="DO34" i="55" s="1"/>
  <c r="DP34" i="55" s="1"/>
  <c r="DQ34" i="55" s="1"/>
  <c r="DR34" i="55" s="1"/>
  <c r="DS34" i="55" s="1"/>
  <c r="DT34" i="55" s="1"/>
  <c r="DU34" i="55" s="1"/>
  <c r="DV34" i="55" s="1"/>
  <c r="DW34" i="55" s="1"/>
  <c r="DX34" i="55" s="1"/>
  <c r="DY34" i="55" s="1"/>
  <c r="DZ34" i="55" s="1"/>
  <c r="EA34" i="55" s="1"/>
  <c r="EB34" i="55" s="1"/>
  <c r="EC34" i="55" s="1"/>
  <c r="ED34" i="55" s="1"/>
  <c r="EE34" i="55" s="1"/>
  <c r="EF34" i="55" s="1"/>
  <c r="EG34" i="55" s="1"/>
  <c r="EH34" i="55" s="1"/>
  <c r="EI34" i="55" s="1"/>
  <c r="EJ34" i="55" s="1"/>
  <c r="EK34" i="55" s="1"/>
  <c r="EL34" i="55" s="1"/>
  <c r="EM34" i="55" s="1"/>
  <c r="EN34" i="55" s="1"/>
  <c r="EO34" i="55" s="1"/>
  <c r="EP34" i="55" s="1"/>
  <c r="EQ34" i="55" s="1"/>
  <c r="ER34" i="55" s="1"/>
  <c r="ES34" i="55" s="1"/>
  <c r="ET34" i="55" s="1"/>
  <c r="EU34" i="55" s="1"/>
  <c r="EV34" i="55" s="1"/>
  <c r="BU18" i="53"/>
  <c r="BU54" i="53" s="1"/>
  <c r="BU75" i="53"/>
  <c r="AO11" i="5" s="1"/>
  <c r="AB34" i="5"/>
  <c r="AB33" i="5"/>
  <c r="BK15" i="53"/>
  <c r="BK20" i="53" s="1"/>
  <c r="BK22" i="53" s="1"/>
  <c r="BK53" i="53"/>
  <c r="BJ56" i="53"/>
  <c r="BJ76" i="53" s="1"/>
  <c r="AD32" i="5"/>
  <c r="BJ66" i="53"/>
  <c r="BJ79" i="53"/>
  <c r="BJ23" i="53" s="1"/>
  <c r="BI98" i="53"/>
  <c r="BI96" i="53"/>
  <c r="AC30" i="5" s="1"/>
  <c r="BJ91" i="53"/>
  <c r="CV41" i="55"/>
  <c r="CW3" i="55"/>
  <c r="DO84" i="53"/>
  <c r="DP8" i="53"/>
  <c r="CG8" i="6"/>
  <c r="CT17" i="55"/>
  <c r="CT27" i="55" s="1"/>
  <c r="CT12" i="55"/>
  <c r="CT22" i="55" s="1"/>
  <c r="CT14" i="55"/>
  <c r="CT24" i="55" s="1"/>
  <c r="DJ44" i="53"/>
  <c r="DJ47" i="53" s="1"/>
  <c r="CU16" i="55"/>
  <c r="CU26" i="55" s="1"/>
  <c r="CV15" i="55"/>
  <c r="CV25" i="55" s="1"/>
  <c r="DC40" i="53"/>
  <c r="DC49" i="53" s="1"/>
  <c r="DC50" i="53" s="1"/>
  <c r="CN36" i="55"/>
  <c r="BY48" i="5"/>
  <c r="CN35" i="55"/>
  <c r="BY47" i="5"/>
  <c r="CN37" i="55"/>
  <c r="BY49" i="5"/>
  <c r="CJ21" i="55"/>
  <c r="CJ28" i="55" s="1"/>
  <c r="BV38" i="5" s="1"/>
  <c r="CK11" i="55"/>
  <c r="CN40" i="55"/>
  <c r="BY52" i="5"/>
  <c r="CN38" i="55"/>
  <c r="BY50" i="5"/>
  <c r="BY39" i="5" s="1"/>
  <c r="BX24" i="5"/>
  <c r="BX28" i="5" s="1"/>
  <c r="DD39" i="53"/>
  <c r="DE38" i="53"/>
  <c r="BW29" i="5"/>
  <c r="CN39" i="55"/>
  <c r="BY51" i="5"/>
  <c r="DE35" i="53"/>
  <c r="DD36" i="53"/>
  <c r="BX23" i="5"/>
  <c r="BX27" i="5" s="1"/>
  <c r="CE108" i="5" l="1"/>
  <c r="AA71" i="5"/>
  <c r="O57" i="5"/>
  <c r="CH79" i="5"/>
  <c r="CH101" i="5"/>
  <c r="CH90" i="5"/>
  <c r="CH100" i="5"/>
  <c r="F57" i="65"/>
  <c r="CT23" i="55"/>
  <c r="CU13" i="55"/>
  <c r="CX93" i="38"/>
  <c r="CW106" i="38"/>
  <c r="CE60" i="5"/>
  <c r="CD63" i="5"/>
  <c r="CX39" i="38"/>
  <c r="CX22" i="38"/>
  <c r="CX95" i="38" s="1"/>
  <c r="CX104" i="38" s="1"/>
  <c r="CF60" i="5" s="1"/>
  <c r="CG29" i="5"/>
  <c r="CG56" i="5"/>
  <c r="DM29" i="53"/>
  <c r="DM31" i="53" s="1"/>
  <c r="DM99" i="53" s="1"/>
  <c r="CY4" i="38"/>
  <c r="CZ3" i="38"/>
  <c r="DP6" i="53"/>
  <c r="DP11" i="53" s="1"/>
  <c r="DQ7" i="53"/>
  <c r="CH39" i="5"/>
  <c r="CH52" i="5"/>
  <c r="CH47" i="5"/>
  <c r="CH45" i="5"/>
  <c r="CH49" i="5"/>
  <c r="CH38" i="5"/>
  <c r="CH50" i="5"/>
  <c r="CH28" i="5"/>
  <c r="CH32" i="5"/>
  <c r="CH57" i="5"/>
  <c r="CH31" i="5"/>
  <c r="CH68" i="5"/>
  <c r="CH27" i="5"/>
  <c r="CH59" i="5"/>
  <c r="CH5" i="5"/>
  <c r="CH71" i="5"/>
  <c r="CI4" i="5"/>
  <c r="CH85" i="5"/>
  <c r="CH51" i="5"/>
  <c r="CH53" i="5"/>
  <c r="CH46" i="5"/>
  <c r="CH48" i="5"/>
  <c r="CH54" i="5"/>
  <c r="CH35" i="5"/>
  <c r="CH42" i="5"/>
  <c r="CH40" i="5"/>
  <c r="CH62" i="5"/>
  <c r="CG33" i="5"/>
  <c r="CG34" i="5"/>
  <c r="CG70" i="5"/>
  <c r="CG69" i="5"/>
  <c r="CC19" i="6"/>
  <c r="CF86" i="5" s="1"/>
  <c r="CF87" i="5"/>
  <c r="CD13" i="6"/>
  <c r="CD37" i="6"/>
  <c r="CG80" i="5" s="1"/>
  <c r="CD36" i="6"/>
  <c r="CD15" i="6"/>
  <c r="CG78" i="5" s="1"/>
  <c r="CD24" i="6"/>
  <c r="CE6" i="6"/>
  <c r="CE12" i="6" s="1"/>
  <c r="CD40" i="6"/>
  <c r="CG92" i="5" s="1"/>
  <c r="CD34" i="6"/>
  <c r="CG91" i="5" s="1"/>
  <c r="CD7" i="6"/>
  <c r="CD27" i="6"/>
  <c r="CD28" i="6" s="1"/>
  <c r="CD16" i="6"/>
  <c r="CD18" i="6"/>
  <c r="CD26" i="6"/>
  <c r="CD14" i="6"/>
  <c r="CD25" i="6"/>
  <c r="CD35" i="6"/>
  <c r="CD38" i="6"/>
  <c r="CF81" i="5"/>
  <c r="CF94" i="5"/>
  <c r="CC41" i="6"/>
  <c r="CF93" i="5" s="1"/>
  <c r="CC29" i="6"/>
  <c r="CD23" i="6" s="1"/>
  <c r="BU88" i="53"/>
  <c r="BU89" i="53" s="1"/>
  <c r="BV87" i="53" s="1"/>
  <c r="AB35" i="5"/>
  <c r="AB42" i="5" s="1"/>
  <c r="AB62" i="5" s="1"/>
  <c r="AB63" i="5" s="1"/>
  <c r="AC31" i="5"/>
  <c r="BJ82" i="53"/>
  <c r="BJ83" i="53" s="1"/>
  <c r="BV16" i="53" s="1"/>
  <c r="AD12" i="5"/>
  <c r="AD13" i="5" s="1"/>
  <c r="BJ77" i="53"/>
  <c r="BK60" i="53"/>
  <c r="CH8" i="6"/>
  <c r="DP84" i="53"/>
  <c r="DQ8" i="53"/>
  <c r="CX3" i="55"/>
  <c r="CW41" i="55"/>
  <c r="CU17" i="55"/>
  <c r="CU27" i="55" s="1"/>
  <c r="CU14" i="55"/>
  <c r="CU24" i="55" s="1"/>
  <c r="CU12" i="55"/>
  <c r="CU22" i="55" s="1"/>
  <c r="DK44" i="53"/>
  <c r="DK47" i="53" s="1"/>
  <c r="CV16" i="55"/>
  <c r="CV26" i="55" s="1"/>
  <c r="CW15" i="55"/>
  <c r="CW25" i="55" s="1"/>
  <c r="DD40" i="53"/>
  <c r="DD49" i="53" s="1"/>
  <c r="DD50" i="53" s="1"/>
  <c r="BX29" i="5"/>
  <c r="BY24" i="5"/>
  <c r="BY28" i="5" s="1"/>
  <c r="DE39" i="53"/>
  <c r="DF38" i="53"/>
  <c r="CO35" i="55"/>
  <c r="CP35" i="55" s="1"/>
  <c r="CQ35" i="55" s="1"/>
  <c r="CR35" i="55" s="1"/>
  <c r="CS35" i="55" s="1"/>
  <c r="CT35" i="55" s="1"/>
  <c r="CU35" i="55" s="1"/>
  <c r="CV35" i="55" s="1"/>
  <c r="CW35" i="55" s="1"/>
  <c r="CX35" i="55" s="1"/>
  <c r="CY35" i="55" s="1"/>
  <c r="CZ35" i="55" s="1"/>
  <c r="DA35" i="55" s="1"/>
  <c r="DB35" i="55" s="1"/>
  <c r="DC35" i="55" s="1"/>
  <c r="DD35" i="55" s="1"/>
  <c r="DE35" i="55" s="1"/>
  <c r="DF35" i="55" s="1"/>
  <c r="DG35" i="55" s="1"/>
  <c r="DH35" i="55" s="1"/>
  <c r="DI35" i="55" s="1"/>
  <c r="DJ35" i="55" s="1"/>
  <c r="DK35" i="55" s="1"/>
  <c r="DL35" i="55" s="1"/>
  <c r="DM35" i="55" s="1"/>
  <c r="DN35" i="55" s="1"/>
  <c r="DO35" i="55" s="1"/>
  <c r="DP35" i="55" s="1"/>
  <c r="DQ35" i="55" s="1"/>
  <c r="DR35" i="55" s="1"/>
  <c r="DS35" i="55" s="1"/>
  <c r="DT35" i="55" s="1"/>
  <c r="DU35" i="55" s="1"/>
  <c r="DV35" i="55" s="1"/>
  <c r="DW35" i="55" s="1"/>
  <c r="DX35" i="55" s="1"/>
  <c r="DY35" i="55" s="1"/>
  <c r="DZ35" i="55" s="1"/>
  <c r="EA35" i="55" s="1"/>
  <c r="EB35" i="55" s="1"/>
  <c r="EC35" i="55" s="1"/>
  <c r="ED35" i="55" s="1"/>
  <c r="EE35" i="55" s="1"/>
  <c r="EF35" i="55" s="1"/>
  <c r="EG35" i="55" s="1"/>
  <c r="EH35" i="55" s="1"/>
  <c r="EI35" i="55" s="1"/>
  <c r="EJ35" i="55" s="1"/>
  <c r="EK35" i="55" s="1"/>
  <c r="EL35" i="55" s="1"/>
  <c r="EM35" i="55" s="1"/>
  <c r="EN35" i="55" s="1"/>
  <c r="EO35" i="55" s="1"/>
  <c r="EP35" i="55" s="1"/>
  <c r="EQ35" i="55" s="1"/>
  <c r="ER35" i="55" s="1"/>
  <c r="ES35" i="55" s="1"/>
  <c r="ET35" i="55" s="1"/>
  <c r="EU35" i="55" s="1"/>
  <c r="EV35" i="55" s="1"/>
  <c r="BZ47" i="5"/>
  <c r="DF35" i="53"/>
  <c r="DE36" i="53"/>
  <c r="BY23" i="5"/>
  <c r="BY27" i="5" s="1"/>
  <c r="CK21" i="55"/>
  <c r="CK28" i="55" s="1"/>
  <c r="BW38" i="5" s="1"/>
  <c r="BW40" i="5" s="1"/>
  <c r="CL11" i="55"/>
  <c r="BV40" i="5"/>
  <c r="CO36" i="55"/>
  <c r="CP36" i="55" s="1"/>
  <c r="CQ36" i="55" s="1"/>
  <c r="CR36" i="55" s="1"/>
  <c r="CS36" i="55" s="1"/>
  <c r="CT36" i="55" s="1"/>
  <c r="CU36" i="55" s="1"/>
  <c r="CV36" i="55" s="1"/>
  <c r="CW36" i="55" s="1"/>
  <c r="CX36" i="55" s="1"/>
  <c r="CY36" i="55" s="1"/>
  <c r="CZ36" i="55" s="1"/>
  <c r="DA36" i="55" s="1"/>
  <c r="DB36" i="55" s="1"/>
  <c r="DC36" i="55" s="1"/>
  <c r="DD36" i="55" s="1"/>
  <c r="DE36" i="55" s="1"/>
  <c r="DF36" i="55" s="1"/>
  <c r="DG36" i="55" s="1"/>
  <c r="DH36" i="55" s="1"/>
  <c r="DI36" i="55" s="1"/>
  <c r="DJ36" i="55" s="1"/>
  <c r="DK36" i="55" s="1"/>
  <c r="DL36" i="55" s="1"/>
  <c r="DM36" i="55" s="1"/>
  <c r="DN36" i="55" s="1"/>
  <c r="DO36" i="55" s="1"/>
  <c r="DP36" i="55" s="1"/>
  <c r="DQ36" i="55" s="1"/>
  <c r="DR36" i="55" s="1"/>
  <c r="DS36" i="55" s="1"/>
  <c r="DT36" i="55" s="1"/>
  <c r="DU36" i="55" s="1"/>
  <c r="DV36" i="55" s="1"/>
  <c r="DW36" i="55" s="1"/>
  <c r="DX36" i="55" s="1"/>
  <c r="DY36" i="55" s="1"/>
  <c r="DZ36" i="55" s="1"/>
  <c r="EA36" i="55" s="1"/>
  <c r="EB36" i="55" s="1"/>
  <c r="EC36" i="55" s="1"/>
  <c r="ED36" i="55" s="1"/>
  <c r="EE36" i="55" s="1"/>
  <c r="EF36" i="55" s="1"/>
  <c r="EG36" i="55" s="1"/>
  <c r="EH36" i="55" s="1"/>
  <c r="EI36" i="55" s="1"/>
  <c r="EJ36" i="55" s="1"/>
  <c r="EK36" i="55" s="1"/>
  <c r="EL36" i="55" s="1"/>
  <c r="EM36" i="55" s="1"/>
  <c r="EN36" i="55" s="1"/>
  <c r="EO36" i="55" s="1"/>
  <c r="EP36" i="55" s="1"/>
  <c r="EQ36" i="55" s="1"/>
  <c r="ER36" i="55" s="1"/>
  <c r="ES36" i="55" s="1"/>
  <c r="ET36" i="55" s="1"/>
  <c r="EU36" i="55" s="1"/>
  <c r="EV36" i="55" s="1"/>
  <c r="BZ48" i="5"/>
  <c r="CO39" i="55"/>
  <c r="CP39" i="55" s="1"/>
  <c r="CQ39" i="55" s="1"/>
  <c r="CR39" i="55" s="1"/>
  <c r="CS39" i="55" s="1"/>
  <c r="CT39" i="55" s="1"/>
  <c r="CU39" i="55" s="1"/>
  <c r="CV39" i="55" s="1"/>
  <c r="CW39" i="55" s="1"/>
  <c r="CX39" i="55" s="1"/>
  <c r="CY39" i="55" s="1"/>
  <c r="CZ39" i="55" s="1"/>
  <c r="DA39" i="55" s="1"/>
  <c r="DB39" i="55" s="1"/>
  <c r="DC39" i="55" s="1"/>
  <c r="DD39" i="55" s="1"/>
  <c r="DE39" i="55" s="1"/>
  <c r="DF39" i="55" s="1"/>
  <c r="DG39" i="55" s="1"/>
  <c r="DH39" i="55" s="1"/>
  <c r="DI39" i="55" s="1"/>
  <c r="DJ39" i="55" s="1"/>
  <c r="DK39" i="55" s="1"/>
  <c r="DL39" i="55" s="1"/>
  <c r="DM39" i="55" s="1"/>
  <c r="DN39" i="55" s="1"/>
  <c r="DO39" i="55" s="1"/>
  <c r="DP39" i="55" s="1"/>
  <c r="DQ39" i="55" s="1"/>
  <c r="DR39" i="55" s="1"/>
  <c r="DS39" i="55" s="1"/>
  <c r="DT39" i="55" s="1"/>
  <c r="DU39" i="55" s="1"/>
  <c r="DV39" i="55" s="1"/>
  <c r="DW39" i="55" s="1"/>
  <c r="DX39" i="55" s="1"/>
  <c r="DY39" i="55" s="1"/>
  <c r="DZ39" i="55" s="1"/>
  <c r="EA39" i="55" s="1"/>
  <c r="EB39" i="55" s="1"/>
  <c r="EC39" i="55" s="1"/>
  <c r="ED39" i="55" s="1"/>
  <c r="EE39" i="55" s="1"/>
  <c r="EF39" i="55" s="1"/>
  <c r="EG39" i="55" s="1"/>
  <c r="EH39" i="55" s="1"/>
  <c r="EI39" i="55" s="1"/>
  <c r="EJ39" i="55" s="1"/>
  <c r="EK39" i="55" s="1"/>
  <c r="EL39" i="55" s="1"/>
  <c r="EM39" i="55" s="1"/>
  <c r="EN39" i="55" s="1"/>
  <c r="EO39" i="55" s="1"/>
  <c r="EP39" i="55" s="1"/>
  <c r="EQ39" i="55" s="1"/>
  <c r="ER39" i="55" s="1"/>
  <c r="ES39" i="55" s="1"/>
  <c r="ET39" i="55" s="1"/>
  <c r="EU39" i="55" s="1"/>
  <c r="EV39" i="55" s="1"/>
  <c r="BZ51" i="5"/>
  <c r="CO38" i="55"/>
  <c r="CP38" i="55" s="1"/>
  <c r="CQ38" i="55" s="1"/>
  <c r="CR38" i="55" s="1"/>
  <c r="CS38" i="55" s="1"/>
  <c r="CT38" i="55" s="1"/>
  <c r="CU38" i="55" s="1"/>
  <c r="CV38" i="55" s="1"/>
  <c r="CW38" i="55" s="1"/>
  <c r="CX38" i="55" s="1"/>
  <c r="CY38" i="55" s="1"/>
  <c r="CZ38" i="55" s="1"/>
  <c r="DA38" i="55" s="1"/>
  <c r="DB38" i="55" s="1"/>
  <c r="DC38" i="55" s="1"/>
  <c r="DD38" i="55" s="1"/>
  <c r="DE38" i="55" s="1"/>
  <c r="DF38" i="55" s="1"/>
  <c r="DG38" i="55" s="1"/>
  <c r="DH38" i="55" s="1"/>
  <c r="DI38" i="55" s="1"/>
  <c r="DJ38" i="55" s="1"/>
  <c r="DK38" i="55" s="1"/>
  <c r="DL38" i="55" s="1"/>
  <c r="DM38" i="55" s="1"/>
  <c r="DN38" i="55" s="1"/>
  <c r="DO38" i="55" s="1"/>
  <c r="DP38" i="55" s="1"/>
  <c r="DQ38" i="55" s="1"/>
  <c r="DR38" i="55" s="1"/>
  <c r="DS38" i="55" s="1"/>
  <c r="DT38" i="55" s="1"/>
  <c r="DU38" i="55" s="1"/>
  <c r="DV38" i="55" s="1"/>
  <c r="DW38" i="55" s="1"/>
  <c r="DX38" i="55" s="1"/>
  <c r="DY38" i="55" s="1"/>
  <c r="DZ38" i="55" s="1"/>
  <c r="EA38" i="55" s="1"/>
  <c r="EB38" i="55" s="1"/>
  <c r="EC38" i="55" s="1"/>
  <c r="ED38" i="55" s="1"/>
  <c r="EE38" i="55" s="1"/>
  <c r="EF38" i="55" s="1"/>
  <c r="EG38" i="55" s="1"/>
  <c r="EH38" i="55" s="1"/>
  <c r="EI38" i="55" s="1"/>
  <c r="EJ38" i="55" s="1"/>
  <c r="EK38" i="55" s="1"/>
  <c r="EL38" i="55" s="1"/>
  <c r="EM38" i="55" s="1"/>
  <c r="EN38" i="55" s="1"/>
  <c r="EO38" i="55" s="1"/>
  <c r="EP38" i="55" s="1"/>
  <c r="EQ38" i="55" s="1"/>
  <c r="ER38" i="55" s="1"/>
  <c r="ES38" i="55" s="1"/>
  <c r="ET38" i="55" s="1"/>
  <c r="EU38" i="55" s="1"/>
  <c r="EV38" i="55" s="1"/>
  <c r="BZ50" i="5"/>
  <c r="CO40" i="55"/>
  <c r="CP40" i="55" s="1"/>
  <c r="CQ40" i="55" s="1"/>
  <c r="CR40" i="55" s="1"/>
  <c r="CS40" i="55" s="1"/>
  <c r="CT40" i="55" s="1"/>
  <c r="CU40" i="55" s="1"/>
  <c r="CV40" i="55" s="1"/>
  <c r="CW40" i="55" s="1"/>
  <c r="CX40" i="55" s="1"/>
  <c r="CY40" i="55" s="1"/>
  <c r="CZ40" i="55" s="1"/>
  <c r="DA40" i="55" s="1"/>
  <c r="DB40" i="55" s="1"/>
  <c r="DC40" i="55" s="1"/>
  <c r="DD40" i="55" s="1"/>
  <c r="DE40" i="55" s="1"/>
  <c r="DF40" i="55" s="1"/>
  <c r="DG40" i="55" s="1"/>
  <c r="DH40" i="55" s="1"/>
  <c r="DI40" i="55" s="1"/>
  <c r="DJ40" i="55" s="1"/>
  <c r="DK40" i="55" s="1"/>
  <c r="DL40" i="55" s="1"/>
  <c r="DM40" i="55" s="1"/>
  <c r="DN40" i="55" s="1"/>
  <c r="DO40" i="55" s="1"/>
  <c r="DP40" i="55" s="1"/>
  <c r="DQ40" i="55" s="1"/>
  <c r="DR40" i="55" s="1"/>
  <c r="DS40" i="55" s="1"/>
  <c r="DT40" i="55" s="1"/>
  <c r="DU40" i="55" s="1"/>
  <c r="DV40" i="55" s="1"/>
  <c r="DW40" i="55" s="1"/>
  <c r="DX40" i="55" s="1"/>
  <c r="DY40" i="55" s="1"/>
  <c r="DZ40" i="55" s="1"/>
  <c r="EA40" i="55" s="1"/>
  <c r="EB40" i="55" s="1"/>
  <c r="EC40" i="55" s="1"/>
  <c r="ED40" i="55" s="1"/>
  <c r="EE40" i="55" s="1"/>
  <c r="EF40" i="55" s="1"/>
  <c r="EG40" i="55" s="1"/>
  <c r="EH40" i="55" s="1"/>
  <c r="EI40" i="55" s="1"/>
  <c r="EJ40" i="55" s="1"/>
  <c r="EK40" i="55" s="1"/>
  <c r="EL40" i="55" s="1"/>
  <c r="EM40" i="55" s="1"/>
  <c r="EN40" i="55" s="1"/>
  <c r="EO40" i="55" s="1"/>
  <c r="EP40" i="55" s="1"/>
  <c r="EQ40" i="55" s="1"/>
  <c r="ER40" i="55" s="1"/>
  <c r="ES40" i="55" s="1"/>
  <c r="ET40" i="55" s="1"/>
  <c r="EU40" i="55" s="1"/>
  <c r="EV40" i="55" s="1"/>
  <c r="BZ52" i="5"/>
  <c r="CO37" i="55"/>
  <c r="CP37" i="55" s="1"/>
  <c r="CQ37" i="55" s="1"/>
  <c r="CR37" i="55" s="1"/>
  <c r="CS37" i="55" s="1"/>
  <c r="CT37" i="55" s="1"/>
  <c r="CU37" i="55" s="1"/>
  <c r="CV37" i="55" s="1"/>
  <c r="CW37" i="55" s="1"/>
  <c r="CX37" i="55" s="1"/>
  <c r="CY37" i="55" s="1"/>
  <c r="CZ37" i="55" s="1"/>
  <c r="DA37" i="55" s="1"/>
  <c r="DB37" i="55" s="1"/>
  <c r="DC37" i="55" s="1"/>
  <c r="DD37" i="55" s="1"/>
  <c r="DE37" i="55" s="1"/>
  <c r="DF37" i="55" s="1"/>
  <c r="DG37" i="55" s="1"/>
  <c r="DH37" i="55" s="1"/>
  <c r="DI37" i="55" s="1"/>
  <c r="DJ37" i="55" s="1"/>
  <c r="DK37" i="55" s="1"/>
  <c r="DL37" i="55" s="1"/>
  <c r="DM37" i="55" s="1"/>
  <c r="DN37" i="55" s="1"/>
  <c r="DO37" i="55" s="1"/>
  <c r="DP37" i="55" s="1"/>
  <c r="DQ37" i="55" s="1"/>
  <c r="DR37" i="55" s="1"/>
  <c r="DS37" i="55" s="1"/>
  <c r="DT37" i="55" s="1"/>
  <c r="DU37" i="55" s="1"/>
  <c r="DV37" i="55" s="1"/>
  <c r="DW37" i="55" s="1"/>
  <c r="DX37" i="55" s="1"/>
  <c r="DY37" i="55" s="1"/>
  <c r="DZ37" i="55" s="1"/>
  <c r="EA37" i="55" s="1"/>
  <c r="EB37" i="55" s="1"/>
  <c r="EC37" i="55" s="1"/>
  <c r="ED37" i="55" s="1"/>
  <c r="EE37" i="55" s="1"/>
  <c r="EF37" i="55" s="1"/>
  <c r="EG37" i="55" s="1"/>
  <c r="EH37" i="55" s="1"/>
  <c r="EI37" i="55" s="1"/>
  <c r="EJ37" i="55" s="1"/>
  <c r="EK37" i="55" s="1"/>
  <c r="EL37" i="55" s="1"/>
  <c r="EM37" i="55" s="1"/>
  <c r="EN37" i="55" s="1"/>
  <c r="EO37" i="55" s="1"/>
  <c r="EP37" i="55" s="1"/>
  <c r="EQ37" i="55" s="1"/>
  <c r="ER37" i="55" s="1"/>
  <c r="ES37" i="55" s="1"/>
  <c r="ET37" i="55" s="1"/>
  <c r="EU37" i="55" s="1"/>
  <c r="EV37" i="55" s="1"/>
  <c r="BZ49" i="5"/>
  <c r="CF108" i="5" l="1"/>
  <c r="CI79" i="5"/>
  <c r="CI101" i="5"/>
  <c r="CI90" i="5"/>
  <c r="CI100" i="5"/>
  <c r="J57" i="65"/>
  <c r="E58" i="65" s="1"/>
  <c r="F58" i="65" s="1"/>
  <c r="CU23" i="55"/>
  <c r="CV13" i="55"/>
  <c r="CX106" i="38"/>
  <c r="CY93" i="38"/>
  <c r="CY95" i="38" s="1"/>
  <c r="CY104" i="38" s="1"/>
  <c r="CY22" i="38"/>
  <c r="CY39" i="38"/>
  <c r="DN29" i="53"/>
  <c r="DN31" i="53" s="1"/>
  <c r="DN99" i="53" s="1"/>
  <c r="CE63" i="5"/>
  <c r="CF63" i="5"/>
  <c r="CZ4" i="38"/>
  <c r="DA3" i="38"/>
  <c r="CH29" i="5"/>
  <c r="DQ6" i="53"/>
  <c r="DQ11" i="53" s="1"/>
  <c r="DR7" i="53"/>
  <c r="CH56" i="5"/>
  <c r="CI57" i="5"/>
  <c r="CI31" i="5"/>
  <c r="CI68" i="5"/>
  <c r="CI27" i="5"/>
  <c r="CI59" i="5"/>
  <c r="CI5" i="5"/>
  <c r="CI50" i="5"/>
  <c r="CI39" i="5"/>
  <c r="CI51" i="5"/>
  <c r="CI53" i="5"/>
  <c r="CI52" i="5"/>
  <c r="CI47" i="5"/>
  <c r="CI46" i="5"/>
  <c r="CI48" i="5"/>
  <c r="CI45" i="5"/>
  <c r="CI38" i="5"/>
  <c r="CI71" i="5"/>
  <c r="CI35" i="5"/>
  <c r="CI85" i="5"/>
  <c r="CI32" i="5"/>
  <c r="CI49" i="5"/>
  <c r="CI28" i="5"/>
  <c r="CI42" i="5"/>
  <c r="CI40" i="5"/>
  <c r="CJ4" i="5"/>
  <c r="CI54" i="5"/>
  <c r="CI62" i="5"/>
  <c r="CH70" i="5"/>
  <c r="CH69" i="5"/>
  <c r="CH34" i="5"/>
  <c r="CH33" i="5"/>
  <c r="CE13" i="6"/>
  <c r="CE38" i="6"/>
  <c r="CE24" i="6"/>
  <c r="CE37" i="6"/>
  <c r="CH80" i="5" s="1"/>
  <c r="CE35" i="6"/>
  <c r="CE15" i="6"/>
  <c r="CH78" i="5" s="1"/>
  <c r="CE36" i="6"/>
  <c r="CF6" i="6"/>
  <c r="CF12" i="6" s="1"/>
  <c r="CE25" i="6"/>
  <c r="CE34" i="6"/>
  <c r="CH91" i="5" s="1"/>
  <c r="CE7" i="6"/>
  <c r="CE27" i="6"/>
  <c r="CE28" i="6" s="1"/>
  <c r="CE16" i="6"/>
  <c r="CE40" i="6"/>
  <c r="CH92" i="5" s="1"/>
  <c r="CE18" i="6"/>
  <c r="CE26" i="6"/>
  <c r="CE14" i="6"/>
  <c r="CD41" i="6"/>
  <c r="CG93" i="5" s="1"/>
  <c r="CG94" i="5"/>
  <c r="CG81" i="5"/>
  <c r="CD29" i="6"/>
  <c r="CE23" i="6" s="1"/>
  <c r="CG87" i="5"/>
  <c r="CD19" i="6"/>
  <c r="CG86" i="5" s="1"/>
  <c r="AB46" i="5"/>
  <c r="AB54" i="5" s="1"/>
  <c r="BK59" i="53"/>
  <c r="BK65" i="53" s="1"/>
  <c r="BK57" i="53"/>
  <c r="BK67" i="53"/>
  <c r="BJ78" i="53"/>
  <c r="BK72" i="53"/>
  <c r="AE10" i="5"/>
  <c r="AD14" i="5"/>
  <c r="AE9" i="5" s="1"/>
  <c r="BV17" i="53"/>
  <c r="BV74" i="53" s="1"/>
  <c r="BV81" i="53" s="1"/>
  <c r="BV73" i="53"/>
  <c r="AC33" i="5"/>
  <c r="AC34" i="5"/>
  <c r="CY3" i="55"/>
  <c r="CX41" i="55"/>
  <c r="DQ84" i="53"/>
  <c r="DR8" i="53"/>
  <c r="CI8" i="6"/>
  <c r="CV17" i="55"/>
  <c r="CV27" i="55" s="1"/>
  <c r="CV12" i="55"/>
  <c r="CV22" i="55" s="1"/>
  <c r="CV14" i="55"/>
  <c r="CV24" i="55" s="1"/>
  <c r="DL44" i="53"/>
  <c r="DL47" i="53" s="1"/>
  <c r="CW16" i="55"/>
  <c r="CW26" i="55" s="1"/>
  <c r="CX15" i="55"/>
  <c r="CX25" i="55" s="1"/>
  <c r="DE40" i="53"/>
  <c r="DE49" i="53" s="1"/>
  <c r="DE50" i="53" s="1"/>
  <c r="BZ39" i="5"/>
  <c r="CM11" i="55"/>
  <c r="CL21" i="55"/>
  <c r="CL28" i="55" s="1"/>
  <c r="BX38" i="5" s="1"/>
  <c r="BX40" i="5" s="1"/>
  <c r="BY29" i="5"/>
  <c r="BZ23" i="5"/>
  <c r="BZ27" i="5" s="1"/>
  <c r="DF36" i="53"/>
  <c r="DG35" i="53"/>
  <c r="DF39" i="53"/>
  <c r="BZ24" i="5"/>
  <c r="BZ28" i="5" s="1"/>
  <c r="DG38" i="53"/>
  <c r="CG108" i="5" l="1"/>
  <c r="CJ79" i="5"/>
  <c r="CJ101" i="5"/>
  <c r="CJ90" i="5"/>
  <c r="AB56" i="5"/>
  <c r="CJ100" i="5"/>
  <c r="J58" i="65"/>
  <c r="E59" i="65" s="1"/>
  <c r="CV23" i="55"/>
  <c r="CW13" i="55"/>
  <c r="CE29" i="6"/>
  <c r="CF23" i="6" s="1"/>
  <c r="CY106" i="38"/>
  <c r="CG60" i="5"/>
  <c r="CG63" i="5" s="1"/>
  <c r="CZ93" i="38"/>
  <c r="CZ22" i="38"/>
  <c r="CZ95" i="38"/>
  <c r="CZ104" i="38" s="1"/>
  <c r="CH60" i="5" s="1"/>
  <c r="CZ39" i="38"/>
  <c r="DO29" i="53"/>
  <c r="DO31" i="53" s="1"/>
  <c r="DO99" i="53" s="1"/>
  <c r="DA4" i="38"/>
  <c r="DB3" i="38"/>
  <c r="BJ100" i="53"/>
  <c r="DR6" i="53"/>
  <c r="DR11" i="53" s="1"/>
  <c r="DS7" i="53"/>
  <c r="CI56" i="5"/>
  <c r="CJ52" i="5"/>
  <c r="CJ47" i="5"/>
  <c r="CJ46" i="5"/>
  <c r="CJ49" i="5"/>
  <c r="CJ32" i="5"/>
  <c r="CJ28" i="5"/>
  <c r="CJ68" i="5"/>
  <c r="CJ27" i="5"/>
  <c r="CJ57" i="5"/>
  <c r="CJ31" i="5"/>
  <c r="CJ59" i="5"/>
  <c r="CJ5" i="5"/>
  <c r="CJ71" i="5"/>
  <c r="CK4" i="5"/>
  <c r="CJ85" i="5"/>
  <c r="CJ50" i="5"/>
  <c r="CJ39" i="5"/>
  <c r="CJ48" i="5"/>
  <c r="CJ38" i="5"/>
  <c r="CJ42" i="5"/>
  <c r="CJ54" i="5"/>
  <c r="CJ45" i="5"/>
  <c r="CJ35" i="5"/>
  <c r="CJ62" i="5"/>
  <c r="CJ40" i="5"/>
  <c r="CJ51" i="5"/>
  <c r="CJ53" i="5"/>
  <c r="CI29" i="5"/>
  <c r="CI70" i="5"/>
  <c r="CI69" i="5"/>
  <c r="CH81" i="5"/>
  <c r="CI34" i="5"/>
  <c r="CI33" i="5"/>
  <c r="CF14" i="6"/>
  <c r="CF24" i="6"/>
  <c r="CF15" i="6"/>
  <c r="CI78" i="5" s="1"/>
  <c r="CF38" i="6"/>
  <c r="CF13" i="6"/>
  <c r="CF7" i="6"/>
  <c r="CF18" i="6"/>
  <c r="CF36" i="6"/>
  <c r="CF40" i="6"/>
  <c r="CI92" i="5" s="1"/>
  <c r="CF37" i="6"/>
  <c r="CI80" i="5" s="1"/>
  <c r="CG6" i="6"/>
  <c r="CG12" i="6" s="1"/>
  <c r="CF35" i="6"/>
  <c r="CF34" i="6"/>
  <c r="CI91" i="5" s="1"/>
  <c r="CF16" i="6"/>
  <c r="CF25" i="6"/>
  <c r="CF27" i="6"/>
  <c r="CF28" i="6" s="1"/>
  <c r="CF26" i="6"/>
  <c r="CE41" i="6"/>
  <c r="CH93" i="5" s="1"/>
  <c r="CH94" i="5"/>
  <c r="CE19" i="6"/>
  <c r="CH86" i="5" s="1"/>
  <c r="CH87" i="5"/>
  <c r="AC35" i="5"/>
  <c r="AC42" i="5" s="1"/>
  <c r="AC46" i="5" s="1"/>
  <c r="AC54" i="5" s="1"/>
  <c r="AC56" i="5" s="1"/>
  <c r="BV75" i="53"/>
  <c r="AP11" i="5" s="1"/>
  <c r="BV18" i="53"/>
  <c r="BV54" i="53" s="1"/>
  <c r="BK71" i="53"/>
  <c r="BJ95" i="53"/>
  <c r="BJ92" i="53"/>
  <c r="BJ93" i="53" s="1"/>
  <c r="BL15" i="53"/>
  <c r="BL20" i="53" s="1"/>
  <c r="BL22" i="53" s="1"/>
  <c r="BL53" i="53"/>
  <c r="BK56" i="53"/>
  <c r="BK76" i="53" s="1"/>
  <c r="AE32" i="5"/>
  <c r="BK66" i="53"/>
  <c r="BK79" i="53"/>
  <c r="BK23" i="53" s="1"/>
  <c r="CJ8" i="6"/>
  <c r="DR84" i="53"/>
  <c r="DS8" i="53"/>
  <c r="CY41" i="55"/>
  <c r="CZ3" i="55"/>
  <c r="CW17" i="55"/>
  <c r="CW27" i="55" s="1"/>
  <c r="CW14" i="55"/>
  <c r="CW24" i="55" s="1"/>
  <c r="CW12" i="55"/>
  <c r="CW22" i="55" s="1"/>
  <c r="DM44" i="53"/>
  <c r="DM47" i="53" s="1"/>
  <c r="CX16" i="55"/>
  <c r="CX26" i="55" s="1"/>
  <c r="CY15" i="55"/>
  <c r="CY25" i="55" s="1"/>
  <c r="DG39" i="53"/>
  <c r="DH38" i="53"/>
  <c r="CA24" i="5"/>
  <c r="CN11" i="55"/>
  <c r="CM21" i="55"/>
  <c r="CM28" i="55" s="1"/>
  <c r="BY38" i="5" s="1"/>
  <c r="BY40" i="5" s="1"/>
  <c r="BZ29" i="5"/>
  <c r="DG36" i="53"/>
  <c r="CA23" i="5"/>
  <c r="DH35" i="53"/>
  <c r="DF40" i="53"/>
  <c r="DF49" i="53" s="1"/>
  <c r="DF50" i="53" s="1"/>
  <c r="CH108" i="5" l="1"/>
  <c r="AB71" i="5"/>
  <c r="P57" i="5"/>
  <c r="CK79" i="5"/>
  <c r="CK101" i="5"/>
  <c r="CK90" i="5"/>
  <c r="CK100" i="5"/>
  <c r="F59" i="65"/>
  <c r="CW23" i="55"/>
  <c r="CX13" i="55"/>
  <c r="CJ29" i="5"/>
  <c r="CF29" i="6"/>
  <c r="CG23" i="6" s="1"/>
  <c r="CZ106" i="38"/>
  <c r="DA93" i="38"/>
  <c r="DA22" i="38"/>
  <c r="DA95" i="38"/>
  <c r="DA104" i="38" s="1"/>
  <c r="CJ56" i="5"/>
  <c r="DA39" i="38"/>
  <c r="DP29" i="53"/>
  <c r="DP31" i="53" s="1"/>
  <c r="DP99" i="53" s="1"/>
  <c r="DC3" i="38"/>
  <c r="DB4" i="38"/>
  <c r="CH63" i="5"/>
  <c r="DT7" i="53"/>
  <c r="DS6" i="53"/>
  <c r="DS11" i="53" s="1"/>
  <c r="CK59" i="5"/>
  <c r="CK5" i="5"/>
  <c r="CK71" i="5"/>
  <c r="CL4" i="5"/>
  <c r="CK85" i="5"/>
  <c r="CK51" i="5"/>
  <c r="CK53" i="5"/>
  <c r="CK52" i="5"/>
  <c r="CK47" i="5"/>
  <c r="CK46" i="5"/>
  <c r="CK48" i="5"/>
  <c r="CK45" i="5"/>
  <c r="CK38" i="5"/>
  <c r="CK49" i="5"/>
  <c r="CK27" i="5"/>
  <c r="CK32" i="5"/>
  <c r="CK68" i="5"/>
  <c r="CK57" i="5"/>
  <c r="CK35" i="5"/>
  <c r="CK39" i="5"/>
  <c r="CK28" i="5"/>
  <c r="CK50" i="5"/>
  <c r="CK31" i="5"/>
  <c r="CK42" i="5"/>
  <c r="CK62" i="5"/>
  <c r="CK40" i="5"/>
  <c r="CK54" i="5"/>
  <c r="CJ34" i="5"/>
  <c r="CJ33" i="5"/>
  <c r="CJ69" i="5"/>
  <c r="CJ70" i="5"/>
  <c r="CG25" i="6"/>
  <c r="CG14" i="6"/>
  <c r="CG27" i="6"/>
  <c r="CG28" i="6" s="1"/>
  <c r="CG34" i="6"/>
  <c r="CJ91" i="5" s="1"/>
  <c r="CG26" i="6"/>
  <c r="CG7" i="6"/>
  <c r="CG15" i="6"/>
  <c r="CJ78" i="5" s="1"/>
  <c r="CG24" i="6"/>
  <c r="CG38" i="6"/>
  <c r="CG16" i="6"/>
  <c r="CG13" i="6"/>
  <c r="CG36" i="6"/>
  <c r="CH6" i="6"/>
  <c r="CH12" i="6" s="1"/>
  <c r="CG18" i="6"/>
  <c r="CG35" i="6"/>
  <c r="CG40" i="6"/>
  <c r="CJ92" i="5" s="1"/>
  <c r="CG37" i="6"/>
  <c r="CJ80" i="5" s="1"/>
  <c r="CI94" i="5"/>
  <c r="CF41" i="6"/>
  <c r="CI93" i="5" s="1"/>
  <c r="CI81" i="5"/>
  <c r="CF19" i="6"/>
  <c r="CI86" i="5" s="1"/>
  <c r="CI87" i="5"/>
  <c r="AC62" i="5"/>
  <c r="AC63" i="5" s="1"/>
  <c r="AC71" i="5" s="1"/>
  <c r="Q57" i="5"/>
  <c r="BV88" i="53"/>
  <c r="BV89" i="53" s="1"/>
  <c r="BW87" i="53" s="1"/>
  <c r="BK82" i="53"/>
  <c r="BK83" i="53" s="1"/>
  <c r="BW16" i="53" s="1"/>
  <c r="AE12" i="5"/>
  <c r="AE13" i="5" s="1"/>
  <c r="BL60" i="53"/>
  <c r="BJ96" i="53"/>
  <c r="AD30" i="5" s="1"/>
  <c r="BJ98" i="53"/>
  <c r="BK91" i="53"/>
  <c r="BK77" i="53"/>
  <c r="DG40" i="53"/>
  <c r="DG49" i="53" s="1"/>
  <c r="DG50" i="53" s="1"/>
  <c r="DA3" i="55"/>
  <c r="CZ41" i="55"/>
  <c r="DS84" i="53"/>
  <c r="DT8" i="53"/>
  <c r="CK8" i="6"/>
  <c r="CX17" i="55"/>
  <c r="CX27" i="55" s="1"/>
  <c r="CX12" i="55"/>
  <c r="CX22" i="55" s="1"/>
  <c r="CX14" i="55"/>
  <c r="CX24" i="55" s="1"/>
  <c r="DN44" i="53"/>
  <c r="DN47" i="53" s="1"/>
  <c r="CY16" i="55"/>
  <c r="CY26" i="55" s="1"/>
  <c r="CZ15" i="55"/>
  <c r="CZ25" i="55" s="1"/>
  <c r="CB24" i="5"/>
  <c r="DH39" i="53"/>
  <c r="DI38" i="53"/>
  <c r="CB23" i="5"/>
  <c r="DI35" i="53"/>
  <c r="DH36" i="53"/>
  <c r="CN21" i="55"/>
  <c r="CN28" i="55" s="1"/>
  <c r="BZ38" i="5" s="1"/>
  <c r="CO11" i="55"/>
  <c r="CI108" i="5" l="1"/>
  <c r="CL79" i="5"/>
  <c r="CL90" i="5"/>
  <c r="CL101" i="5"/>
  <c r="CL100" i="5"/>
  <c r="J59" i="65"/>
  <c r="E60" i="65" s="1"/>
  <c r="F60" i="65" s="1"/>
  <c r="CJ81" i="5"/>
  <c r="CX23" i="55"/>
  <c r="CY13" i="55"/>
  <c r="DA106" i="38"/>
  <c r="CI60" i="5"/>
  <c r="DB93" i="38"/>
  <c r="DB22" i="38"/>
  <c r="DB95" i="38"/>
  <c r="DB104" i="38" s="1"/>
  <c r="DB39" i="38"/>
  <c r="DQ29" i="53"/>
  <c r="DQ31" i="53" s="1"/>
  <c r="DQ99" i="53" s="1"/>
  <c r="DC4" i="38"/>
  <c r="DD3" i="38"/>
  <c r="CK56" i="5"/>
  <c r="DU7" i="53"/>
  <c r="DT6" i="53"/>
  <c r="DT11" i="53" s="1"/>
  <c r="CK34" i="5"/>
  <c r="CK33" i="5"/>
  <c r="CK70" i="5"/>
  <c r="CK69" i="5"/>
  <c r="CL47" i="5"/>
  <c r="CL46" i="5"/>
  <c r="CL48" i="5"/>
  <c r="CL38" i="5"/>
  <c r="CL68" i="5"/>
  <c r="CL32" i="5"/>
  <c r="CL57" i="5"/>
  <c r="CL28" i="5"/>
  <c r="CL59" i="5"/>
  <c r="CM4" i="5"/>
  <c r="CL71" i="5"/>
  <c r="CL5" i="5"/>
  <c r="CL85" i="5"/>
  <c r="CL39" i="5"/>
  <c r="CL49" i="5"/>
  <c r="CL50" i="5"/>
  <c r="CL51" i="5"/>
  <c r="CL53" i="5"/>
  <c r="CL52" i="5"/>
  <c r="CL31" i="5"/>
  <c r="CL45" i="5"/>
  <c r="CL27" i="5"/>
  <c r="CL62" i="5"/>
  <c r="CL35" i="5"/>
  <c r="CL54" i="5"/>
  <c r="CL42" i="5"/>
  <c r="CL40" i="5"/>
  <c r="CK29" i="5"/>
  <c r="CJ87" i="5"/>
  <c r="CG19" i="6"/>
  <c r="CJ86" i="5" s="1"/>
  <c r="CG41" i="6"/>
  <c r="CJ93" i="5" s="1"/>
  <c r="CJ94" i="5"/>
  <c r="CH14" i="6"/>
  <c r="CH24" i="6"/>
  <c r="CH13" i="6"/>
  <c r="CH26" i="6"/>
  <c r="CH18" i="6"/>
  <c r="CH36" i="6"/>
  <c r="CH37" i="6"/>
  <c r="CK80" i="5" s="1"/>
  <c r="CH35" i="6"/>
  <c r="CH34" i="6"/>
  <c r="CK91" i="5" s="1"/>
  <c r="CI6" i="6"/>
  <c r="CI12" i="6" s="1"/>
  <c r="CH15" i="6"/>
  <c r="CK78" i="5" s="1"/>
  <c r="CH25" i="6"/>
  <c r="CH27" i="6"/>
  <c r="CH28" i="6" s="1"/>
  <c r="CH16" i="6"/>
  <c r="CH38" i="6"/>
  <c r="CH7" i="6"/>
  <c r="CH40" i="6"/>
  <c r="CK92" i="5" s="1"/>
  <c r="CG29" i="6"/>
  <c r="CH23" i="6" s="1"/>
  <c r="BL72" i="53"/>
  <c r="BK78" i="53"/>
  <c r="AD31" i="5"/>
  <c r="BL67" i="53"/>
  <c r="BL59" i="53"/>
  <c r="BL65" i="53" s="1"/>
  <c r="BL57" i="53"/>
  <c r="AF10" i="5"/>
  <c r="AE14" i="5"/>
  <c r="AF9" i="5" s="1"/>
  <c r="BW17" i="53"/>
  <c r="BW74" i="53" s="1"/>
  <c r="BW81" i="53" s="1"/>
  <c r="BW73" i="53"/>
  <c r="CL8" i="6"/>
  <c r="DT84" i="53"/>
  <c r="DU8" i="53"/>
  <c r="DA41" i="55"/>
  <c r="DB3" i="55"/>
  <c r="CY17" i="55"/>
  <c r="CY27" i="55" s="1"/>
  <c r="CY14" i="55"/>
  <c r="CY24" i="55" s="1"/>
  <c r="CY12" i="55"/>
  <c r="CY22" i="55" s="1"/>
  <c r="DO44" i="53"/>
  <c r="DO47" i="53" s="1"/>
  <c r="CZ16" i="55"/>
  <c r="CZ26" i="55" s="1"/>
  <c r="DA15" i="55"/>
  <c r="DA25" i="55" s="1"/>
  <c r="DH40" i="53"/>
  <c r="DH49" i="53" s="1"/>
  <c r="DH50" i="53" s="1"/>
  <c r="BZ40" i="5"/>
  <c r="CC24" i="5"/>
  <c r="DI39" i="53"/>
  <c r="DJ38" i="53"/>
  <c r="CC23" i="5"/>
  <c r="DJ35" i="53"/>
  <c r="DI36" i="53"/>
  <c r="CP11" i="55"/>
  <c r="CO21" i="55"/>
  <c r="CO28" i="55" s="1"/>
  <c r="CJ108" i="5" l="1"/>
  <c r="CM79" i="5"/>
  <c r="CM101" i="5"/>
  <c r="CM90" i="5"/>
  <c r="CM100" i="5"/>
  <c r="J60" i="65"/>
  <c r="E61" i="65" s="1"/>
  <c r="F61" i="65" s="1"/>
  <c r="CY23" i="55"/>
  <c r="CZ13" i="55"/>
  <c r="DB106" i="38"/>
  <c r="CJ60" i="5"/>
  <c r="DC93" i="38"/>
  <c r="DC22" i="38"/>
  <c r="DC95" i="38"/>
  <c r="DC104" i="38" s="1"/>
  <c r="DR29" i="53"/>
  <c r="DR31" i="53" s="1"/>
  <c r="DR99" i="53" s="1"/>
  <c r="DC39" i="38"/>
  <c r="CI63" i="5"/>
  <c r="DD4" i="38"/>
  <c r="DE3" i="38"/>
  <c r="BK100" i="53"/>
  <c r="CL56" i="5"/>
  <c r="DU6" i="53"/>
  <c r="DU11" i="53" s="1"/>
  <c r="DV7" i="53"/>
  <c r="CL29" i="5"/>
  <c r="CM85" i="5"/>
  <c r="CM49" i="5"/>
  <c r="CM50" i="5"/>
  <c r="CM52" i="5"/>
  <c r="CM47" i="5"/>
  <c r="CM46" i="5"/>
  <c r="CM48" i="5"/>
  <c r="CM39" i="5"/>
  <c r="CM38" i="5"/>
  <c r="CM45" i="5"/>
  <c r="CM31" i="5"/>
  <c r="CM27" i="5"/>
  <c r="CM68" i="5"/>
  <c r="CM32" i="5"/>
  <c r="CM57" i="5"/>
  <c r="CM28" i="5"/>
  <c r="CM59" i="5"/>
  <c r="CM71" i="5"/>
  <c r="CM40" i="5"/>
  <c r="CM35" i="5"/>
  <c r="CM51" i="5"/>
  <c r="CN4" i="5"/>
  <c r="CM53" i="5"/>
  <c r="CM5" i="5"/>
  <c r="CM42" i="5"/>
  <c r="CM54" i="5"/>
  <c r="CM62" i="5"/>
  <c r="CL33" i="5"/>
  <c r="CL34" i="5"/>
  <c r="CL69" i="5"/>
  <c r="CL70" i="5"/>
  <c r="CK94" i="5"/>
  <c r="CH41" i="6"/>
  <c r="CK93" i="5" s="1"/>
  <c r="CK87" i="5"/>
  <c r="CH19" i="6"/>
  <c r="CK86" i="5" s="1"/>
  <c r="CH29" i="6"/>
  <c r="CI23" i="6" s="1"/>
  <c r="CK81" i="5"/>
  <c r="CI18" i="6"/>
  <c r="CI40" i="6"/>
  <c r="CL92" i="5" s="1"/>
  <c r="CI36" i="6"/>
  <c r="CI35" i="6"/>
  <c r="CI37" i="6"/>
  <c r="CL80" i="5" s="1"/>
  <c r="CI34" i="6"/>
  <c r="CL91" i="5" s="1"/>
  <c r="CI13" i="6"/>
  <c r="CI25" i="6"/>
  <c r="CI16" i="6"/>
  <c r="CI26" i="6"/>
  <c r="CJ6" i="6"/>
  <c r="CJ12" i="6" s="1"/>
  <c r="CI7" i="6"/>
  <c r="CI27" i="6"/>
  <c r="CI28" i="6" s="1"/>
  <c r="CI15" i="6"/>
  <c r="CL78" i="5" s="1"/>
  <c r="CI38" i="6"/>
  <c r="CI14" i="6"/>
  <c r="CI24" i="6"/>
  <c r="BW18" i="53"/>
  <c r="BW54" i="53" s="1"/>
  <c r="BW75" i="53"/>
  <c r="AQ11" i="5" s="1"/>
  <c r="BM15" i="53"/>
  <c r="BM20" i="53" s="1"/>
  <c r="BM22" i="53" s="1"/>
  <c r="BM53" i="53"/>
  <c r="BL56" i="53"/>
  <c r="BL76" i="53" s="1"/>
  <c r="AF32" i="5"/>
  <c r="BL79" i="53"/>
  <c r="BL23" i="53" s="1"/>
  <c r="BL66" i="53"/>
  <c r="AD33" i="5"/>
  <c r="AD34" i="5"/>
  <c r="BL71" i="53"/>
  <c r="BK95" i="53"/>
  <c r="BK92" i="53"/>
  <c r="BK93" i="53" s="1"/>
  <c r="DC3" i="55"/>
  <c r="DB41" i="55"/>
  <c r="DU84" i="53"/>
  <c r="DV8" i="53"/>
  <c r="CM8" i="6"/>
  <c r="CZ17" i="55"/>
  <c r="CZ27" i="55" s="1"/>
  <c r="CZ12" i="55"/>
  <c r="CZ22" i="55" s="1"/>
  <c r="CZ14" i="55"/>
  <c r="CZ24" i="55" s="1"/>
  <c r="DP44" i="53"/>
  <c r="DP47" i="53" s="1"/>
  <c r="DA16" i="55"/>
  <c r="DA26" i="55" s="1"/>
  <c r="DB15" i="55"/>
  <c r="DB25" i="55" s="1"/>
  <c r="CP21" i="55"/>
  <c r="CP28" i="55" s="1"/>
  <c r="CQ11" i="55"/>
  <c r="DI40" i="53"/>
  <c r="DI49" i="53" s="1"/>
  <c r="DI50" i="53" s="1"/>
  <c r="DK35" i="53"/>
  <c r="DJ36" i="53"/>
  <c r="CD23" i="5"/>
  <c r="CD24" i="5"/>
  <c r="DK38" i="53"/>
  <c r="DJ39" i="53"/>
  <c r="BL77" i="53" l="1"/>
  <c r="BM72" i="53" s="1"/>
  <c r="CK108" i="5"/>
  <c r="CN79" i="5"/>
  <c r="CN101" i="5"/>
  <c r="CN90" i="5"/>
  <c r="CN100" i="5"/>
  <c r="J61" i="65"/>
  <c r="E62" i="65" s="1"/>
  <c r="F62" i="65" s="1"/>
  <c r="CZ23" i="55"/>
  <c r="DA13" i="55"/>
  <c r="DD39" i="38"/>
  <c r="DC106" i="38"/>
  <c r="CK60" i="5"/>
  <c r="DD93" i="38"/>
  <c r="DD95" i="38" s="1"/>
  <c r="DD104" i="38" s="1"/>
  <c r="DD22" i="38"/>
  <c r="DS29" i="53"/>
  <c r="DS31" i="53" s="1"/>
  <c r="DS99" i="53" s="1"/>
  <c r="DE4" i="38"/>
  <c r="DF3" i="38"/>
  <c r="CJ63" i="5"/>
  <c r="CM29" i="5"/>
  <c r="CM56" i="5"/>
  <c r="DW7" i="53"/>
  <c r="DV6" i="53"/>
  <c r="DV11" i="53" s="1"/>
  <c r="CM34" i="5"/>
  <c r="CM33" i="5"/>
  <c r="CN39" i="5"/>
  <c r="CN38" i="5"/>
  <c r="CN48" i="5"/>
  <c r="CN31" i="5"/>
  <c r="CN27" i="5"/>
  <c r="CN59" i="5"/>
  <c r="CN5" i="5"/>
  <c r="CN71" i="5"/>
  <c r="CO4" i="5"/>
  <c r="CN85" i="5"/>
  <c r="CN45" i="5"/>
  <c r="CN49" i="5"/>
  <c r="CN50" i="5"/>
  <c r="CN51" i="5"/>
  <c r="CN53" i="5"/>
  <c r="CN52" i="5"/>
  <c r="CN47" i="5"/>
  <c r="CN32" i="5"/>
  <c r="CN46" i="5"/>
  <c r="CN28" i="5"/>
  <c r="CN40" i="5"/>
  <c r="CN62" i="5"/>
  <c r="CN35" i="5"/>
  <c r="CN68" i="5"/>
  <c r="CN57" i="5"/>
  <c r="CN42" i="5"/>
  <c r="CN54" i="5"/>
  <c r="CM70" i="5"/>
  <c r="CM69" i="5"/>
  <c r="CL94" i="5"/>
  <c r="CI41" i="6"/>
  <c r="CL93" i="5" s="1"/>
  <c r="CK6" i="6"/>
  <c r="CK12" i="6" s="1"/>
  <c r="CJ7" i="6"/>
  <c r="CJ18" i="6"/>
  <c r="CJ40" i="6"/>
  <c r="CM92" i="5" s="1"/>
  <c r="CJ37" i="6"/>
  <c r="CM80" i="5" s="1"/>
  <c r="CJ14" i="6"/>
  <c r="CJ36" i="6"/>
  <c r="CJ35" i="6"/>
  <c r="CJ34" i="6"/>
  <c r="CM91" i="5" s="1"/>
  <c r="CJ25" i="6"/>
  <c r="CJ27" i="6"/>
  <c r="CJ28" i="6" s="1"/>
  <c r="CJ38" i="6"/>
  <c r="CJ26" i="6"/>
  <c r="CJ13" i="6"/>
  <c r="CJ16" i="6"/>
  <c r="CJ15" i="6"/>
  <c r="CM78" i="5" s="1"/>
  <c r="CJ24" i="6"/>
  <c r="CL81" i="5"/>
  <c r="CL87" i="5"/>
  <c r="CI19" i="6"/>
  <c r="CL86" i="5" s="1"/>
  <c r="CI29" i="6"/>
  <c r="CJ23" i="6" s="1"/>
  <c r="BW88" i="53"/>
  <c r="BW89" i="53" s="1"/>
  <c r="BX87" i="53" s="1"/>
  <c r="AD35" i="5"/>
  <c r="AD42" i="5" s="1"/>
  <c r="AD46" i="5" s="1"/>
  <c r="AD54" i="5" s="1"/>
  <c r="AD56" i="5" s="1"/>
  <c r="BK96" i="53"/>
  <c r="AE30" i="5" s="1"/>
  <c r="BK98" i="53"/>
  <c r="BL91" i="53"/>
  <c r="AF12" i="5"/>
  <c r="AF13" i="5" s="1"/>
  <c r="BL82" i="53"/>
  <c r="BL83" i="53" s="1"/>
  <c r="BX16" i="53" s="1"/>
  <c r="BM60" i="53"/>
  <c r="CN8" i="6"/>
  <c r="DV84" i="53"/>
  <c r="DW8" i="53"/>
  <c r="DC41" i="55"/>
  <c r="DD3" i="55"/>
  <c r="DA17" i="55"/>
  <c r="DA27" i="55" s="1"/>
  <c r="DA14" i="55"/>
  <c r="DA24" i="55" s="1"/>
  <c r="DA12" i="55"/>
  <c r="DA22" i="55" s="1"/>
  <c r="DQ44" i="53"/>
  <c r="DQ47" i="53" s="1"/>
  <c r="DB16" i="55"/>
  <c r="DB26" i="55" s="1"/>
  <c r="DC15" i="55"/>
  <c r="DC25" i="55" s="1"/>
  <c r="CR11" i="55"/>
  <c r="CQ21" i="55"/>
  <c r="CQ28" i="55" s="1"/>
  <c r="DL38" i="53"/>
  <c r="DK39" i="53"/>
  <c r="CE24" i="5"/>
  <c r="DJ40" i="53"/>
  <c r="DJ49" i="53" s="1"/>
  <c r="DJ50" i="53" s="1"/>
  <c r="CE23" i="5"/>
  <c r="DK36" i="53"/>
  <c r="DL35" i="53"/>
  <c r="CL108" i="5" l="1"/>
  <c r="BL78" i="53"/>
  <c r="BM71" i="53" s="1"/>
  <c r="CO79" i="5"/>
  <c r="CO101" i="5"/>
  <c r="CO90" i="5"/>
  <c r="CO100" i="5"/>
  <c r="J62" i="65"/>
  <c r="E63" i="65" s="1"/>
  <c r="DA23" i="55"/>
  <c r="DB13" i="55"/>
  <c r="DD106" i="38"/>
  <c r="CL60" i="5"/>
  <c r="DE93" i="38"/>
  <c r="DE22" i="38"/>
  <c r="DE95" i="38" s="1"/>
  <c r="DE104" i="38" s="1"/>
  <c r="DT29" i="53"/>
  <c r="DT31" i="53" s="1"/>
  <c r="DT99" i="53" s="1"/>
  <c r="DE39" i="38"/>
  <c r="CK63" i="5"/>
  <c r="DG3" i="38"/>
  <c r="DF4" i="38"/>
  <c r="CN29" i="5"/>
  <c r="DX7" i="53"/>
  <c r="DW6" i="53"/>
  <c r="DW11" i="53" s="1"/>
  <c r="CO45" i="5"/>
  <c r="CO49" i="5"/>
  <c r="CO50" i="5"/>
  <c r="CO52" i="5"/>
  <c r="CO39" i="5"/>
  <c r="CO47" i="5"/>
  <c r="CO38" i="5"/>
  <c r="CO46" i="5"/>
  <c r="CO31" i="5"/>
  <c r="CO27" i="5"/>
  <c r="CO68" i="5"/>
  <c r="CO32" i="5"/>
  <c r="CO57" i="5"/>
  <c r="CO28" i="5"/>
  <c r="CO59" i="5"/>
  <c r="CP4" i="5"/>
  <c r="CO71" i="5"/>
  <c r="CO5" i="5"/>
  <c r="CO85" i="5"/>
  <c r="CO48" i="5"/>
  <c r="CO51" i="5"/>
  <c r="CO53" i="5"/>
  <c r="CO42" i="5"/>
  <c r="CO62" i="5"/>
  <c r="CO40" i="5"/>
  <c r="CO54" i="5"/>
  <c r="CO35" i="5"/>
  <c r="CN70" i="5"/>
  <c r="CN69" i="5"/>
  <c r="CN34" i="5"/>
  <c r="CN33" i="5"/>
  <c r="CN56" i="5"/>
  <c r="CM81" i="5"/>
  <c r="CM87" i="5"/>
  <c r="CJ19" i="6"/>
  <c r="CM86" i="5" s="1"/>
  <c r="CK13" i="6"/>
  <c r="CK24" i="6"/>
  <c r="CK15" i="6"/>
  <c r="CN78" i="5" s="1"/>
  <c r="CK38" i="6"/>
  <c r="CL6" i="6"/>
  <c r="CL12" i="6" s="1"/>
  <c r="CK26" i="6"/>
  <c r="CK14" i="6"/>
  <c r="CK35" i="6"/>
  <c r="CK36" i="6"/>
  <c r="CK25" i="6"/>
  <c r="CK37" i="6"/>
  <c r="CN80" i="5" s="1"/>
  <c r="CK34" i="6"/>
  <c r="CN91" i="5" s="1"/>
  <c r="CK27" i="6"/>
  <c r="CK28" i="6" s="1"/>
  <c r="CK16" i="6"/>
  <c r="CK18" i="6"/>
  <c r="CK7" i="6"/>
  <c r="CK40" i="6"/>
  <c r="CN92" i="5" s="1"/>
  <c r="CM94" i="5"/>
  <c r="CJ41" i="6"/>
  <c r="CM93" i="5" s="1"/>
  <c r="CJ29" i="6"/>
  <c r="CK23" i="6" s="1"/>
  <c r="R57" i="5"/>
  <c r="AD62" i="5"/>
  <c r="AD63" i="5" s="1"/>
  <c r="BM67" i="53"/>
  <c r="BM57" i="53"/>
  <c r="BM59" i="53"/>
  <c r="BM65" i="53" s="1"/>
  <c r="BX73" i="53"/>
  <c r="BX17" i="53"/>
  <c r="BX74" i="53" s="1"/>
  <c r="BX81" i="53" s="1"/>
  <c r="AG10" i="5"/>
  <c r="AF14" i="5"/>
  <c r="AG9" i="5" s="1"/>
  <c r="AE31" i="5"/>
  <c r="DE3" i="55"/>
  <c r="DD41" i="55"/>
  <c r="DW84" i="53"/>
  <c r="DX8" i="53"/>
  <c r="CO8" i="6"/>
  <c r="DB17" i="55"/>
  <c r="DB27" i="55" s="1"/>
  <c r="DB12" i="55"/>
  <c r="DB22" i="55" s="1"/>
  <c r="DB14" i="55"/>
  <c r="DB24" i="55" s="1"/>
  <c r="DR44" i="53"/>
  <c r="DR47" i="53" s="1"/>
  <c r="DC16" i="55"/>
  <c r="DC26" i="55" s="1"/>
  <c r="DD15" i="55"/>
  <c r="DD25" i="55" s="1"/>
  <c r="DK40" i="53"/>
  <c r="DK49" i="53" s="1"/>
  <c r="DK50" i="53" s="1"/>
  <c r="CF23" i="5"/>
  <c r="DM35" i="53"/>
  <c r="DL36" i="53"/>
  <c r="CF24" i="5"/>
  <c r="DL39" i="53"/>
  <c r="DM38" i="53"/>
  <c r="CS11" i="55"/>
  <c r="CR21" i="55"/>
  <c r="CR28" i="55" s="1"/>
  <c r="CM108" i="5" l="1"/>
  <c r="BL100" i="53"/>
  <c r="BL95" i="53"/>
  <c r="BL92" i="53"/>
  <c r="BL93" i="53" s="1"/>
  <c r="BL96" i="53" s="1"/>
  <c r="CP79" i="5"/>
  <c r="CP101" i="5"/>
  <c r="CP90" i="5"/>
  <c r="CP100" i="5"/>
  <c r="F63" i="65"/>
  <c r="DB23" i="55"/>
  <c r="DC13" i="55"/>
  <c r="CK29" i="6"/>
  <c r="CL23" i="6" s="1"/>
  <c r="DE106" i="38"/>
  <c r="CM60" i="5"/>
  <c r="DF93" i="38"/>
  <c r="DF22" i="38"/>
  <c r="DF95" i="38" s="1"/>
  <c r="DF104" i="38" s="1"/>
  <c r="DU29" i="53"/>
  <c r="DU31" i="53" s="1"/>
  <c r="DU99" i="53" s="1"/>
  <c r="DF39" i="38"/>
  <c r="DH3" i="38"/>
  <c r="DG4" i="38"/>
  <c r="CL63" i="5"/>
  <c r="CO56" i="5"/>
  <c r="CO29" i="5"/>
  <c r="DX6" i="53"/>
  <c r="DX11" i="53" s="1"/>
  <c r="DY7" i="53"/>
  <c r="CO70" i="5"/>
  <c r="CO69" i="5"/>
  <c r="CO33" i="5"/>
  <c r="CO34" i="5"/>
  <c r="CP27" i="5"/>
  <c r="CP68" i="5"/>
  <c r="CP32" i="5"/>
  <c r="CP57" i="5"/>
  <c r="CP28" i="5"/>
  <c r="CP85" i="5"/>
  <c r="CP48" i="5"/>
  <c r="CP45" i="5"/>
  <c r="CP49" i="5"/>
  <c r="CP50" i="5"/>
  <c r="CP51" i="5"/>
  <c r="CP53" i="5"/>
  <c r="CP39" i="5"/>
  <c r="CP52" i="5"/>
  <c r="CP59" i="5"/>
  <c r="CP71" i="5"/>
  <c r="CP47" i="5"/>
  <c r="CP38" i="5"/>
  <c r="CP46" i="5"/>
  <c r="CP31" i="5"/>
  <c r="CP62" i="5"/>
  <c r="CP5" i="5"/>
  <c r="CQ4" i="5"/>
  <c r="CP35" i="5"/>
  <c r="CP42" i="5"/>
  <c r="CP40" i="5"/>
  <c r="CP54" i="5"/>
  <c r="CL14" i="6"/>
  <c r="CL40" i="6"/>
  <c r="CO92" i="5" s="1"/>
  <c r="CL35" i="6"/>
  <c r="CL36" i="6"/>
  <c r="CM6" i="6"/>
  <c r="CM12" i="6" s="1"/>
  <c r="CL15" i="6"/>
  <c r="CO78" i="5" s="1"/>
  <c r="CL37" i="6"/>
  <c r="CO80" i="5" s="1"/>
  <c r="CL25" i="6"/>
  <c r="CL26" i="6"/>
  <c r="CL34" i="6"/>
  <c r="CO91" i="5" s="1"/>
  <c r="CL18" i="6"/>
  <c r="CL27" i="6"/>
  <c r="CL28" i="6" s="1"/>
  <c r="CL16" i="6"/>
  <c r="CL24" i="6"/>
  <c r="CL13" i="6"/>
  <c r="CL7" i="6"/>
  <c r="CL38" i="6"/>
  <c r="CK41" i="6"/>
  <c r="CN93" i="5" s="1"/>
  <c r="CN94" i="5"/>
  <c r="CN81" i="5"/>
  <c r="CN87" i="5"/>
  <c r="CK19" i="6"/>
  <c r="CN86" i="5" s="1"/>
  <c r="AD71" i="5"/>
  <c r="BX18" i="53"/>
  <c r="BX54" i="53" s="1"/>
  <c r="BX75" i="53"/>
  <c r="BM79" i="53"/>
  <c r="BM23" i="53" s="1"/>
  <c r="BM66" i="53"/>
  <c r="AG32" i="5"/>
  <c r="BN15" i="53"/>
  <c r="BN20" i="53" s="1"/>
  <c r="BN22" i="53" s="1"/>
  <c r="BN53" i="53"/>
  <c r="BM56" i="53"/>
  <c r="BM76" i="53" s="1"/>
  <c r="AE33" i="5"/>
  <c r="AE34" i="5"/>
  <c r="CP8" i="6"/>
  <c r="DX84" i="53"/>
  <c r="DY8" i="53"/>
  <c r="DF3" i="55"/>
  <c r="DE41" i="55"/>
  <c r="DC17" i="55"/>
  <c r="DC27" i="55" s="1"/>
  <c r="DC14" i="55"/>
  <c r="DC24" i="55" s="1"/>
  <c r="DC12" i="55"/>
  <c r="DC22" i="55" s="1"/>
  <c r="DS44" i="53"/>
  <c r="DS47" i="53" s="1"/>
  <c r="DD16" i="55"/>
  <c r="DD26" i="55" s="1"/>
  <c r="DE15" i="55"/>
  <c r="DE25" i="55" s="1"/>
  <c r="CG24" i="5"/>
  <c r="DM39" i="53"/>
  <c r="DN38" i="53"/>
  <c r="CS21" i="55"/>
  <c r="CS28" i="55" s="1"/>
  <c r="CT11" i="55"/>
  <c r="DL40" i="53"/>
  <c r="DL49" i="53" s="1"/>
  <c r="DL50" i="53" s="1"/>
  <c r="DN35" i="53"/>
  <c r="DM36" i="53"/>
  <c r="CG23" i="5"/>
  <c r="BM91" i="53" l="1"/>
  <c r="AF30" i="5"/>
  <c r="AF31" i="5" s="1"/>
  <c r="BL98" i="53"/>
  <c r="CN108" i="5"/>
  <c r="CQ79" i="5"/>
  <c r="CQ90" i="5"/>
  <c r="CQ101" i="5"/>
  <c r="CQ100" i="5"/>
  <c r="J63" i="65"/>
  <c r="E64" i="65" s="1"/>
  <c r="DC23" i="55"/>
  <c r="DD13" i="55"/>
  <c r="CP56" i="5"/>
  <c r="CL29" i="6"/>
  <c r="CM23" i="6" s="1"/>
  <c r="DF106" i="38"/>
  <c r="CN60" i="5"/>
  <c r="DG93" i="38"/>
  <c r="DG22" i="38"/>
  <c r="DV29" i="53"/>
  <c r="DV31" i="53" s="1"/>
  <c r="DV99" i="53" s="1"/>
  <c r="DG39" i="38"/>
  <c r="CM63" i="5"/>
  <c r="DI3" i="38"/>
  <c r="DH4" i="38"/>
  <c r="DZ7" i="53"/>
  <c r="DY6" i="53"/>
  <c r="DY11" i="53" s="1"/>
  <c r="CP34" i="5"/>
  <c r="CP33" i="5"/>
  <c r="CP70" i="5"/>
  <c r="CP69" i="5"/>
  <c r="CP29" i="5"/>
  <c r="CQ49" i="5"/>
  <c r="CQ50" i="5"/>
  <c r="CQ39" i="5"/>
  <c r="CQ52" i="5"/>
  <c r="CQ38" i="5"/>
  <c r="CQ47" i="5"/>
  <c r="CQ31" i="5"/>
  <c r="CQ27" i="5"/>
  <c r="CQ68" i="5"/>
  <c r="CQ32" i="5"/>
  <c r="CQ57" i="5"/>
  <c r="CQ28" i="5"/>
  <c r="CQ59" i="5"/>
  <c r="CQ5" i="5"/>
  <c r="CQ71" i="5"/>
  <c r="CR4" i="5"/>
  <c r="CQ85" i="5"/>
  <c r="CQ46" i="5"/>
  <c r="CQ35" i="5"/>
  <c r="CQ62" i="5"/>
  <c r="CQ54" i="5"/>
  <c r="CQ42" i="5"/>
  <c r="CQ48" i="5"/>
  <c r="CQ45" i="5"/>
  <c r="CQ51" i="5"/>
  <c r="CQ40" i="5"/>
  <c r="CQ53" i="5"/>
  <c r="CO81" i="5"/>
  <c r="CM24" i="6"/>
  <c r="CM40" i="6"/>
  <c r="CP92" i="5" s="1"/>
  <c r="CM36" i="6"/>
  <c r="CM34" i="6"/>
  <c r="CP91" i="5" s="1"/>
  <c r="CM26" i="6"/>
  <c r="CM7" i="6"/>
  <c r="CM25" i="6"/>
  <c r="CM27" i="6"/>
  <c r="CM28" i="6" s="1"/>
  <c r="CM35" i="6"/>
  <c r="CM15" i="6"/>
  <c r="CP78" i="5" s="1"/>
  <c r="CN6" i="6"/>
  <c r="CN12" i="6" s="1"/>
  <c r="CM18" i="6"/>
  <c r="CM14" i="6"/>
  <c r="CM37" i="6"/>
  <c r="CP80" i="5" s="1"/>
  <c r="CM13" i="6"/>
  <c r="CM38" i="6"/>
  <c r="CM16" i="6"/>
  <c r="CL41" i="6"/>
  <c r="CO93" i="5" s="1"/>
  <c r="CO94" i="5"/>
  <c r="CO87" i="5"/>
  <c r="CL19" i="6"/>
  <c r="CO86" i="5" s="1"/>
  <c r="AE35" i="5"/>
  <c r="AG12" i="5"/>
  <c r="AG13" i="5" s="1"/>
  <c r="BM82" i="53"/>
  <c r="BM83" i="53" s="1"/>
  <c r="BY16" i="53" s="1"/>
  <c r="BM77" i="53"/>
  <c r="BN60" i="53"/>
  <c r="AR11" i="5"/>
  <c r="BX88" i="53"/>
  <c r="BX89" i="53" s="1"/>
  <c r="BY87" i="53" s="1"/>
  <c r="DF41" i="55"/>
  <c r="DG3" i="55"/>
  <c r="DY84" i="53"/>
  <c r="DZ8" i="53"/>
  <c r="CQ8" i="6"/>
  <c r="DD17" i="55"/>
  <c r="DD27" i="55" s="1"/>
  <c r="DD12" i="55"/>
  <c r="DD22" i="55" s="1"/>
  <c r="DD14" i="55"/>
  <c r="DD24" i="55" s="1"/>
  <c r="DT44" i="53"/>
  <c r="DT47" i="53" s="1"/>
  <c r="DE16" i="55"/>
  <c r="DE26" i="55" s="1"/>
  <c r="DF15" i="55"/>
  <c r="DF25" i="55" s="1"/>
  <c r="CH24" i="5"/>
  <c r="DO38" i="53"/>
  <c r="DN39" i="53"/>
  <c r="CT21" i="55"/>
  <c r="CT28" i="55" s="1"/>
  <c r="CU11" i="55"/>
  <c r="DM40" i="53"/>
  <c r="DM49" i="53" s="1"/>
  <c r="DM50" i="53" s="1"/>
  <c r="DO35" i="53"/>
  <c r="CH23" i="5"/>
  <c r="DN36" i="53"/>
  <c r="AE42" i="5" l="1"/>
  <c r="AE46" i="5" s="1"/>
  <c r="CO108" i="5"/>
  <c r="CR79" i="5"/>
  <c r="CR90" i="5"/>
  <c r="CR101" i="5"/>
  <c r="CR100" i="5"/>
  <c r="F64" i="65"/>
  <c r="CP81" i="5"/>
  <c r="DD23" i="55"/>
  <c r="DE13" i="55"/>
  <c r="DH93" i="38"/>
  <c r="CM29" i="6"/>
  <c r="CN23" i="6" s="1"/>
  <c r="DG95" i="38"/>
  <c r="DG104" i="38" s="1"/>
  <c r="CO60" i="5" s="1"/>
  <c r="DH22" i="38"/>
  <c r="DH95" i="38" s="1"/>
  <c r="DH104" i="38" s="1"/>
  <c r="DW29" i="53"/>
  <c r="DW31" i="53" s="1"/>
  <c r="DW99" i="53" s="1"/>
  <c r="DH39" i="38"/>
  <c r="CN63" i="5"/>
  <c r="DI4" i="38"/>
  <c r="DJ3" i="38"/>
  <c r="DZ6" i="53"/>
  <c r="DZ11" i="53" s="1"/>
  <c r="EA7" i="53"/>
  <c r="CQ33" i="5"/>
  <c r="CQ34" i="5"/>
  <c r="CQ56" i="5"/>
  <c r="CR68" i="5"/>
  <c r="CR28" i="5"/>
  <c r="CR59" i="5"/>
  <c r="CS4" i="5"/>
  <c r="CR71" i="5"/>
  <c r="CR5" i="5"/>
  <c r="CR46" i="5"/>
  <c r="CR48" i="5"/>
  <c r="CR45" i="5"/>
  <c r="CR49" i="5"/>
  <c r="CR50" i="5"/>
  <c r="CR39" i="5"/>
  <c r="CR51" i="5"/>
  <c r="CR53" i="5"/>
  <c r="CR38" i="5"/>
  <c r="CR52" i="5"/>
  <c r="CR31" i="5"/>
  <c r="CR85" i="5"/>
  <c r="CR27" i="5"/>
  <c r="CR40" i="5"/>
  <c r="CR42" i="5"/>
  <c r="CR47" i="5"/>
  <c r="CR32" i="5"/>
  <c r="CR62" i="5"/>
  <c r="CR54" i="5"/>
  <c r="CR35" i="5"/>
  <c r="CR57" i="5"/>
  <c r="CQ70" i="5"/>
  <c r="CQ69" i="5"/>
  <c r="CQ29" i="5"/>
  <c r="CN34" i="6"/>
  <c r="CQ91" i="5" s="1"/>
  <c r="CN18" i="6"/>
  <c r="CN25" i="6"/>
  <c r="CN14" i="6"/>
  <c r="CN26" i="6"/>
  <c r="CN15" i="6"/>
  <c r="CQ78" i="5" s="1"/>
  <c r="CN24" i="6"/>
  <c r="CN13" i="6"/>
  <c r="CN38" i="6"/>
  <c r="CO6" i="6"/>
  <c r="CO12" i="6" s="1"/>
  <c r="CN36" i="6"/>
  <c r="CN27" i="6"/>
  <c r="CN28" i="6" s="1"/>
  <c r="CN16" i="6"/>
  <c r="CN37" i="6"/>
  <c r="CQ80" i="5" s="1"/>
  <c r="CN7" i="6"/>
  <c r="CN40" i="6"/>
  <c r="CQ92" i="5" s="1"/>
  <c r="CN35" i="6"/>
  <c r="CM19" i="6"/>
  <c r="CP86" i="5" s="1"/>
  <c r="CP87" i="5"/>
  <c r="CM41" i="6"/>
  <c r="CP93" i="5" s="1"/>
  <c r="CP94" i="5"/>
  <c r="BN57" i="53"/>
  <c r="BN67" i="53"/>
  <c r="BN59" i="53"/>
  <c r="BN65" i="53" s="1"/>
  <c r="BM78" i="53"/>
  <c r="BN72" i="53"/>
  <c r="BY17" i="53"/>
  <c r="BY74" i="53" s="1"/>
  <c r="BY81" i="53" s="1"/>
  <c r="BY73" i="53"/>
  <c r="AG14" i="5"/>
  <c r="AH9" i="5" s="1"/>
  <c r="AH10" i="5"/>
  <c r="AF33" i="5"/>
  <c r="AF34" i="5"/>
  <c r="CR8" i="6"/>
  <c r="EA8" i="53"/>
  <c r="DZ84" i="53"/>
  <c r="DH3" i="55"/>
  <c r="DG41" i="55"/>
  <c r="DE17" i="55"/>
  <c r="DE27" i="55" s="1"/>
  <c r="DE14" i="55"/>
  <c r="DE24" i="55" s="1"/>
  <c r="DE12" i="55"/>
  <c r="DE22" i="55" s="1"/>
  <c r="DU44" i="53"/>
  <c r="DU47" i="53" s="1"/>
  <c r="DF16" i="55"/>
  <c r="DF26" i="55" s="1"/>
  <c r="DG15" i="55"/>
  <c r="DG25" i="55" s="1"/>
  <c r="CI24" i="5"/>
  <c r="DP38" i="53"/>
  <c r="DO39" i="53"/>
  <c r="DN40" i="53"/>
  <c r="DN49" i="53" s="1"/>
  <c r="DN50" i="53" s="1"/>
  <c r="CV11" i="55"/>
  <c r="CU21" i="55"/>
  <c r="CU28" i="55" s="1"/>
  <c r="DP35" i="53"/>
  <c r="DO36" i="53"/>
  <c r="CI23" i="5"/>
  <c r="AE62" i="5" l="1"/>
  <c r="AE54" i="5"/>
  <c r="AE56" i="5" s="1"/>
  <c r="CP108" i="5"/>
  <c r="CS79" i="5"/>
  <c r="CS90" i="5"/>
  <c r="CS101" i="5"/>
  <c r="CS100" i="5"/>
  <c r="J64" i="65"/>
  <c r="E65" i="65" s="1"/>
  <c r="F65" i="65" s="1"/>
  <c r="CR29" i="5"/>
  <c r="DE23" i="55"/>
  <c r="DF13" i="55"/>
  <c r="DI93" i="38"/>
  <c r="DH106" i="38"/>
  <c r="CP60" i="5"/>
  <c r="DG106" i="38"/>
  <c r="DI22" i="38"/>
  <c r="DI95" i="38" s="1"/>
  <c r="DI104" i="38" s="1"/>
  <c r="DX29" i="53"/>
  <c r="DX31" i="53" s="1"/>
  <c r="DX99" i="53" s="1"/>
  <c r="DI39" i="38"/>
  <c r="DJ4" i="38"/>
  <c r="DK3" i="38"/>
  <c r="CO63" i="5"/>
  <c r="BM100" i="53"/>
  <c r="EA6" i="53"/>
  <c r="EA11" i="53" s="1"/>
  <c r="EB7" i="53"/>
  <c r="CR56" i="5"/>
  <c r="CR34" i="5"/>
  <c r="CR33" i="5"/>
  <c r="CS49" i="5"/>
  <c r="CS39" i="5"/>
  <c r="CS50" i="5"/>
  <c r="CS27" i="5"/>
  <c r="CS57" i="5"/>
  <c r="CS32" i="5"/>
  <c r="CS68" i="5"/>
  <c r="CS28" i="5"/>
  <c r="CS59" i="5"/>
  <c r="CT4" i="5"/>
  <c r="CS71" i="5"/>
  <c r="CS5" i="5"/>
  <c r="CS85" i="5"/>
  <c r="CS52" i="5"/>
  <c r="CS47" i="5"/>
  <c r="CS46" i="5"/>
  <c r="CS40" i="5"/>
  <c r="CS48" i="5"/>
  <c r="CS45" i="5"/>
  <c r="CS51" i="5"/>
  <c r="CS38" i="5"/>
  <c r="CS53" i="5"/>
  <c r="CS31" i="5"/>
  <c r="CS54" i="5"/>
  <c r="CS35" i="5"/>
  <c r="CS42" i="5"/>
  <c r="CS62" i="5"/>
  <c r="CR70" i="5"/>
  <c r="CR69" i="5"/>
  <c r="CQ81" i="5"/>
  <c r="CO13" i="6"/>
  <c r="CO38" i="6"/>
  <c r="CO26" i="6"/>
  <c r="CO37" i="6"/>
  <c r="CR80" i="5" s="1"/>
  <c r="CO34" i="6"/>
  <c r="CR91" i="5" s="1"/>
  <c r="CP6" i="6"/>
  <c r="CP12" i="6" s="1"/>
  <c r="CO40" i="6"/>
  <c r="CR92" i="5" s="1"/>
  <c r="CO35" i="6"/>
  <c r="CO36" i="6"/>
  <c r="CO24" i="6"/>
  <c r="CO25" i="6"/>
  <c r="CO7" i="6"/>
  <c r="CO27" i="6"/>
  <c r="CO28" i="6" s="1"/>
  <c r="CO15" i="6"/>
  <c r="CR78" i="5" s="1"/>
  <c r="CO16" i="6"/>
  <c r="CO18" i="6"/>
  <c r="CO14" i="6"/>
  <c r="CQ94" i="5"/>
  <c r="CN41" i="6"/>
  <c r="CQ93" i="5" s="1"/>
  <c r="CQ87" i="5"/>
  <c r="CN19" i="6"/>
  <c r="CQ86" i="5" s="1"/>
  <c r="CN29" i="6"/>
  <c r="CO23" i="6" s="1"/>
  <c r="BY18" i="53"/>
  <c r="BY54" i="53" s="1"/>
  <c r="AF35" i="5"/>
  <c r="BY75" i="53"/>
  <c r="BN71" i="53"/>
  <c r="BM95" i="53"/>
  <c r="BM92" i="53"/>
  <c r="BM93" i="53" s="1"/>
  <c r="BN79" i="53"/>
  <c r="BN23" i="53" s="1"/>
  <c r="BN66" i="53"/>
  <c r="AH32" i="5"/>
  <c r="BO15" i="53"/>
  <c r="BO20" i="53" s="1"/>
  <c r="BO22" i="53" s="1"/>
  <c r="BO53" i="53"/>
  <c r="BN56" i="53"/>
  <c r="BN76" i="53" s="1"/>
  <c r="DI3" i="55"/>
  <c r="DH41" i="55"/>
  <c r="EA84" i="53"/>
  <c r="EB8" i="53"/>
  <c r="CS8" i="6"/>
  <c r="DF17" i="55"/>
  <c r="DF27" i="55" s="1"/>
  <c r="DF12" i="55"/>
  <c r="DF22" i="55" s="1"/>
  <c r="DF14" i="55"/>
  <c r="DF24" i="55" s="1"/>
  <c r="DV44" i="53"/>
  <c r="DV47" i="53" s="1"/>
  <c r="DO40" i="53"/>
  <c r="DO49" i="53" s="1"/>
  <c r="DO50" i="53" s="1"/>
  <c r="DG16" i="55"/>
  <c r="DG26" i="55" s="1"/>
  <c r="DH15" i="55"/>
  <c r="DH25" i="55" s="1"/>
  <c r="CW11" i="55"/>
  <c r="CV21" i="55"/>
  <c r="CV28" i="55" s="1"/>
  <c r="DQ38" i="53"/>
  <c r="DP39" i="53"/>
  <c r="CJ24" i="5"/>
  <c r="CJ23" i="5"/>
  <c r="DQ35" i="53"/>
  <c r="DP36" i="53"/>
  <c r="AF42" i="5" l="1"/>
  <c r="AF46" i="5" s="1"/>
  <c r="AE63" i="5"/>
  <c r="AE71" i="5" s="1"/>
  <c r="CQ108" i="5"/>
  <c r="S57" i="5"/>
  <c r="CT79" i="5"/>
  <c r="CT90" i="5"/>
  <c r="CT101" i="5"/>
  <c r="CT100" i="5"/>
  <c r="J65" i="65"/>
  <c r="E66" i="65" s="1"/>
  <c r="DF23" i="55"/>
  <c r="DG13" i="55"/>
  <c r="DI106" i="38"/>
  <c r="CQ60" i="5"/>
  <c r="DJ93" i="38"/>
  <c r="DJ39" i="38"/>
  <c r="DJ22" i="38"/>
  <c r="DJ95" i="38" s="1"/>
  <c r="DJ104" i="38" s="1"/>
  <c r="DY29" i="53"/>
  <c r="DY31" i="53" s="1"/>
  <c r="DY99" i="53" s="1"/>
  <c r="CP63" i="5"/>
  <c r="DL3" i="38"/>
  <c r="DK4" i="38"/>
  <c r="CS29" i="5"/>
  <c r="EC7" i="53"/>
  <c r="EB6" i="53"/>
  <c r="EB11" i="53" s="1"/>
  <c r="CR81" i="5"/>
  <c r="CS56" i="5"/>
  <c r="CT71" i="5"/>
  <c r="CU4" i="5"/>
  <c r="CT85" i="5"/>
  <c r="CT52" i="5"/>
  <c r="CT48" i="5"/>
  <c r="CT45" i="5"/>
  <c r="CT39" i="5"/>
  <c r="CT49" i="5"/>
  <c r="CT50" i="5"/>
  <c r="CT51" i="5"/>
  <c r="CT38" i="5"/>
  <c r="CT53" i="5"/>
  <c r="CT28" i="5"/>
  <c r="CT31" i="5"/>
  <c r="CT57" i="5"/>
  <c r="CT27" i="5"/>
  <c r="CT68" i="5"/>
  <c r="CT59" i="5"/>
  <c r="CT62" i="5"/>
  <c r="CT47" i="5"/>
  <c r="CT32" i="5"/>
  <c r="CT46" i="5"/>
  <c r="CT5" i="5"/>
  <c r="CT42" i="5"/>
  <c r="CT40" i="5"/>
  <c r="CT54" i="5"/>
  <c r="CT35" i="5"/>
  <c r="CS33" i="5"/>
  <c r="CS34" i="5"/>
  <c r="CS69" i="5"/>
  <c r="CS70" i="5"/>
  <c r="CO29" i="6"/>
  <c r="CP23" i="6" s="1"/>
  <c r="CP18" i="6"/>
  <c r="CP25" i="6"/>
  <c r="CP38" i="6"/>
  <c r="CP40" i="6"/>
  <c r="CS92" i="5" s="1"/>
  <c r="CP37" i="6"/>
  <c r="CS80" i="5" s="1"/>
  <c r="CP14" i="6"/>
  <c r="CP35" i="6"/>
  <c r="CP13" i="6"/>
  <c r="CP36" i="6"/>
  <c r="CP24" i="6"/>
  <c r="CP26" i="6"/>
  <c r="CP34" i="6"/>
  <c r="CS91" i="5" s="1"/>
  <c r="CP15" i="6"/>
  <c r="CS78" i="5" s="1"/>
  <c r="CP27" i="6"/>
  <c r="CP28" i="6" s="1"/>
  <c r="CP16" i="6"/>
  <c r="CQ6" i="6"/>
  <c r="CQ12" i="6" s="1"/>
  <c r="CP7" i="6"/>
  <c r="CO41" i="6"/>
  <c r="CR93" i="5" s="1"/>
  <c r="CR94" i="5"/>
  <c r="CO19" i="6"/>
  <c r="CR86" i="5" s="1"/>
  <c r="CR87" i="5"/>
  <c r="BN82" i="53"/>
  <c r="BN83" i="53" s="1"/>
  <c r="BZ16" i="53" s="1"/>
  <c r="AH12" i="5"/>
  <c r="AH13" i="5" s="1"/>
  <c r="BO60" i="53"/>
  <c r="BM98" i="53"/>
  <c r="BM96" i="53"/>
  <c r="AG30" i="5" s="1"/>
  <c r="BN91" i="53"/>
  <c r="BN77" i="53"/>
  <c r="AS11" i="5"/>
  <c r="BY88" i="53"/>
  <c r="BY89" i="53" s="1"/>
  <c r="BZ87" i="53" s="1"/>
  <c r="CT8" i="6"/>
  <c r="EB84" i="53"/>
  <c r="EC8" i="53"/>
  <c r="DI41" i="55"/>
  <c r="DJ3" i="55"/>
  <c r="DG17" i="55"/>
  <c r="DG27" i="55" s="1"/>
  <c r="DG14" i="55"/>
  <c r="DG24" i="55" s="1"/>
  <c r="DG12" i="55"/>
  <c r="DG22" i="55" s="1"/>
  <c r="DW44" i="53"/>
  <c r="DW47" i="53" s="1"/>
  <c r="DH16" i="55"/>
  <c r="DH26" i="55" s="1"/>
  <c r="DI15" i="55"/>
  <c r="DI25" i="55" s="1"/>
  <c r="DR35" i="53"/>
  <c r="DQ36" i="53"/>
  <c r="CK23" i="5"/>
  <c r="CW21" i="55"/>
  <c r="CW28" i="55" s="1"/>
  <c r="CX11" i="55"/>
  <c r="DQ39" i="53"/>
  <c r="CK24" i="5"/>
  <c r="DR38" i="53"/>
  <c r="DP40" i="53"/>
  <c r="DP49" i="53" s="1"/>
  <c r="DP50" i="53" s="1"/>
  <c r="AF62" i="5" l="1"/>
  <c r="AF54" i="5"/>
  <c r="AF56" i="5" s="1"/>
  <c r="CR108" i="5"/>
  <c r="CP29" i="6"/>
  <c r="CQ23" i="6" s="1"/>
  <c r="CU79" i="5"/>
  <c r="CU101" i="5"/>
  <c r="CU90" i="5"/>
  <c r="CU100" i="5"/>
  <c r="F66" i="65"/>
  <c r="DG23" i="55"/>
  <c r="DH13" i="55"/>
  <c r="CT29" i="5"/>
  <c r="DJ106" i="38"/>
  <c r="CR60" i="5"/>
  <c r="DK93" i="38"/>
  <c r="DK22" i="38"/>
  <c r="DK95" i="38" s="1"/>
  <c r="DK104" i="38" s="1"/>
  <c r="CS60" i="5" s="1"/>
  <c r="DZ29" i="53"/>
  <c r="DZ31" i="53" s="1"/>
  <c r="DZ99" i="53" s="1"/>
  <c r="CT56" i="5"/>
  <c r="DK39" i="38"/>
  <c r="DM3" i="38"/>
  <c r="DL4" i="38"/>
  <c r="CQ63" i="5"/>
  <c r="EC6" i="53"/>
  <c r="EC11" i="53" s="1"/>
  <c r="ED7" i="53"/>
  <c r="CT70" i="5"/>
  <c r="CT69" i="5"/>
  <c r="CT33" i="5"/>
  <c r="CT34" i="5"/>
  <c r="CU49" i="5"/>
  <c r="CU50" i="5"/>
  <c r="CU38" i="5"/>
  <c r="CU51" i="5"/>
  <c r="CU28" i="5"/>
  <c r="CU68" i="5"/>
  <c r="CU32" i="5"/>
  <c r="CU59" i="5"/>
  <c r="CV4" i="5"/>
  <c r="CU71" i="5"/>
  <c r="CU5" i="5"/>
  <c r="CU85" i="5"/>
  <c r="CU53" i="5"/>
  <c r="CU52" i="5"/>
  <c r="CU47" i="5"/>
  <c r="CU46" i="5"/>
  <c r="CU48" i="5"/>
  <c r="CU35" i="5"/>
  <c r="CU62" i="5"/>
  <c r="CU42" i="5"/>
  <c r="CU40" i="5"/>
  <c r="CU57" i="5"/>
  <c r="CU39" i="5"/>
  <c r="CU31" i="5"/>
  <c r="CU45" i="5"/>
  <c r="CU27" i="5"/>
  <c r="CU54" i="5"/>
  <c r="CP41" i="6"/>
  <c r="CS93" i="5" s="1"/>
  <c r="CS94" i="5"/>
  <c r="CP19" i="6"/>
  <c r="CS86" i="5" s="1"/>
  <c r="CS87" i="5"/>
  <c r="CS81" i="5"/>
  <c r="CQ27" i="6"/>
  <c r="CQ28" i="6" s="1"/>
  <c r="CQ40" i="6"/>
  <c r="CT92" i="5" s="1"/>
  <c r="CQ13" i="6"/>
  <c r="CQ24" i="6"/>
  <c r="CQ18" i="6"/>
  <c r="CQ38" i="6"/>
  <c r="CQ14" i="6"/>
  <c r="CQ26" i="6"/>
  <c r="CQ15" i="6"/>
  <c r="CT78" i="5" s="1"/>
  <c r="CQ34" i="6"/>
  <c r="CT91" i="5" s="1"/>
  <c r="CQ16" i="6"/>
  <c r="CR6" i="6"/>
  <c r="CR12" i="6" s="1"/>
  <c r="CQ35" i="6"/>
  <c r="CQ7" i="6"/>
  <c r="CQ36" i="6"/>
  <c r="CQ37" i="6"/>
  <c r="CT80" i="5" s="1"/>
  <c r="CQ25" i="6"/>
  <c r="BO72" i="53"/>
  <c r="BN78" i="53"/>
  <c r="AG31" i="5"/>
  <c r="BO59" i="53"/>
  <c r="BO65" i="53" s="1"/>
  <c r="BO57" i="53"/>
  <c r="BO67" i="53"/>
  <c r="AI10" i="5"/>
  <c r="AH14" i="5"/>
  <c r="AI9" i="5" s="1"/>
  <c r="BZ73" i="53"/>
  <c r="BZ17" i="53"/>
  <c r="BZ74" i="53" s="1"/>
  <c r="BZ81" i="53" s="1"/>
  <c r="DK3" i="55"/>
  <c r="DJ41" i="55"/>
  <c r="EC84" i="53"/>
  <c r="ED8" i="53"/>
  <c r="CU8" i="6"/>
  <c r="DH17" i="55"/>
  <c r="DH27" i="55" s="1"/>
  <c r="DH12" i="55"/>
  <c r="DH22" i="55" s="1"/>
  <c r="DH14" i="55"/>
  <c r="DH24" i="55" s="1"/>
  <c r="DX44" i="53"/>
  <c r="DX47" i="53" s="1"/>
  <c r="DI16" i="55"/>
  <c r="DI26" i="55" s="1"/>
  <c r="DJ15" i="55"/>
  <c r="DJ25" i="55" s="1"/>
  <c r="DQ40" i="53"/>
  <c r="DQ49" i="53" s="1"/>
  <c r="DQ50" i="53" s="1"/>
  <c r="DS35" i="53"/>
  <c r="DR36" i="53"/>
  <c r="CL23" i="5"/>
  <c r="DR39" i="53"/>
  <c r="DS38" i="53"/>
  <c r="CL24" i="5"/>
  <c r="CX21" i="55"/>
  <c r="CX28" i="55" s="1"/>
  <c r="CY11" i="55"/>
  <c r="AF63" i="5" l="1"/>
  <c r="AF71" i="5" s="1"/>
  <c r="CS108" i="5"/>
  <c r="T57" i="5"/>
  <c r="CV79" i="5"/>
  <c r="CV101" i="5"/>
  <c r="CV90" i="5"/>
  <c r="CV100" i="5"/>
  <c r="J66" i="65"/>
  <c r="E67" i="65" s="1"/>
  <c r="DH23" i="55"/>
  <c r="DI13" i="55"/>
  <c r="CQ29" i="6"/>
  <c r="CR23" i="6" s="1"/>
  <c r="DK106" i="38"/>
  <c r="DL39" i="38"/>
  <c r="DL93" i="38"/>
  <c r="DL95" i="38"/>
  <c r="DL104" i="38" s="1"/>
  <c r="DL22" i="38"/>
  <c r="EA29" i="53"/>
  <c r="EA31" i="53" s="1"/>
  <c r="EA99" i="53" s="1"/>
  <c r="CR63" i="5"/>
  <c r="CS63" i="5"/>
  <c r="DN3" i="38"/>
  <c r="DM93" i="38"/>
  <c r="DM4" i="38"/>
  <c r="BN100" i="53"/>
  <c r="ED6" i="53"/>
  <c r="ED11" i="53" s="1"/>
  <c r="EE7" i="53"/>
  <c r="CU69" i="5"/>
  <c r="CU70" i="5"/>
  <c r="CU56" i="5"/>
  <c r="CV51" i="5"/>
  <c r="CV53" i="5"/>
  <c r="CV52" i="5"/>
  <c r="CV39" i="5"/>
  <c r="CV48" i="5"/>
  <c r="CV45" i="5"/>
  <c r="CV49" i="5"/>
  <c r="CV38" i="5"/>
  <c r="CV50" i="5"/>
  <c r="CV28" i="5"/>
  <c r="CV31" i="5"/>
  <c r="CV57" i="5"/>
  <c r="CV27" i="5"/>
  <c r="CV68" i="5"/>
  <c r="CV32" i="5"/>
  <c r="CV59" i="5"/>
  <c r="CW4" i="5"/>
  <c r="CV71" i="5"/>
  <c r="CV62" i="5"/>
  <c r="CV85" i="5"/>
  <c r="CV47" i="5"/>
  <c r="CV5" i="5"/>
  <c r="CV46" i="5"/>
  <c r="CV54" i="5"/>
  <c r="CV35" i="5"/>
  <c r="CV42" i="5"/>
  <c r="CV40" i="5"/>
  <c r="CU29" i="5"/>
  <c r="CU34" i="5"/>
  <c r="CU33" i="5"/>
  <c r="CT94" i="5"/>
  <c r="CQ41" i="6"/>
  <c r="CT93" i="5" s="1"/>
  <c r="CR18" i="6"/>
  <c r="CR25" i="6"/>
  <c r="CR15" i="6"/>
  <c r="CU78" i="5" s="1"/>
  <c r="CR24" i="6"/>
  <c r="CR36" i="6"/>
  <c r="CR14" i="6"/>
  <c r="CR38" i="6"/>
  <c r="CR37" i="6"/>
  <c r="CU80" i="5" s="1"/>
  <c r="CR16" i="6"/>
  <c r="CR13" i="6"/>
  <c r="CR26" i="6"/>
  <c r="CS6" i="6"/>
  <c r="CS12" i="6" s="1"/>
  <c r="CR35" i="6"/>
  <c r="CR34" i="6"/>
  <c r="CU91" i="5" s="1"/>
  <c r="CR27" i="6"/>
  <c r="CR28" i="6" s="1"/>
  <c r="CR7" i="6"/>
  <c r="CR40" i="6"/>
  <c r="CU92" i="5" s="1"/>
  <c r="CT87" i="5"/>
  <c r="CQ19" i="6"/>
  <c r="CT86" i="5" s="1"/>
  <c r="CT81" i="5"/>
  <c r="BZ18" i="53"/>
  <c r="BZ54" i="53" s="1"/>
  <c r="BZ75" i="53"/>
  <c r="BP53" i="53"/>
  <c r="BP15" i="53"/>
  <c r="BP20" i="53" s="1"/>
  <c r="BP22" i="53" s="1"/>
  <c r="BO56" i="53"/>
  <c r="BO76" i="53" s="1"/>
  <c r="BO79" i="53"/>
  <c r="BO23" i="53" s="1"/>
  <c r="BO66" i="53"/>
  <c r="AI32" i="5"/>
  <c r="AG33" i="5"/>
  <c r="AG34" i="5"/>
  <c r="BO71" i="53"/>
  <c r="BN95" i="53"/>
  <c r="BN92" i="53"/>
  <c r="BN93" i="53" s="1"/>
  <c r="CV8" i="6"/>
  <c r="ED84" i="53"/>
  <c r="EE8" i="53"/>
  <c r="DL3" i="55"/>
  <c r="DK41" i="55"/>
  <c r="DI17" i="55"/>
  <c r="DI27" i="55" s="1"/>
  <c r="DI14" i="55"/>
  <c r="DI24" i="55" s="1"/>
  <c r="DI12" i="55"/>
  <c r="DI22" i="55" s="1"/>
  <c r="DR40" i="53"/>
  <c r="DR49" i="53" s="1"/>
  <c r="DR50" i="53" s="1"/>
  <c r="DY44" i="53"/>
  <c r="DY47" i="53" s="1"/>
  <c r="DJ16" i="55"/>
  <c r="DJ26" i="55" s="1"/>
  <c r="DK15" i="55"/>
  <c r="DK25" i="55" s="1"/>
  <c r="DS36" i="53"/>
  <c r="CM23" i="5"/>
  <c r="DT35" i="53"/>
  <c r="CM24" i="5"/>
  <c r="DT38" i="53"/>
  <c r="DS39" i="53"/>
  <c r="CY21" i="55"/>
  <c r="CY28" i="55" s="1"/>
  <c r="CZ11" i="55"/>
  <c r="BO77" i="53" l="1"/>
  <c r="BP72" i="53" s="1"/>
  <c r="CT108" i="5"/>
  <c r="CW79" i="5"/>
  <c r="CW101" i="5"/>
  <c r="CW90" i="5"/>
  <c r="CW100" i="5"/>
  <c r="F67" i="65"/>
  <c r="DI23" i="55"/>
  <c r="DJ13" i="55"/>
  <c r="DL106" i="38"/>
  <c r="CT60" i="5"/>
  <c r="DM22" i="38"/>
  <c r="DM95" i="38" s="1"/>
  <c r="DM104" i="38" s="1"/>
  <c r="EB29" i="53"/>
  <c r="EB31" i="53" s="1"/>
  <c r="EB99" i="53" s="1"/>
  <c r="DM39" i="38"/>
  <c r="DO3" i="38"/>
  <c r="DN4" i="38"/>
  <c r="CV56" i="5"/>
  <c r="EF7" i="53"/>
  <c r="EE6" i="53"/>
  <c r="EE11" i="53" s="1"/>
  <c r="CW50" i="5"/>
  <c r="CW28" i="5"/>
  <c r="CW31" i="5"/>
  <c r="CW57" i="5"/>
  <c r="CW27" i="5"/>
  <c r="CW71" i="5"/>
  <c r="CX4" i="5"/>
  <c r="CW85" i="5"/>
  <c r="CW51" i="5"/>
  <c r="CW53" i="5"/>
  <c r="CW52" i="5"/>
  <c r="CW39" i="5"/>
  <c r="CW47" i="5"/>
  <c r="CW46" i="5"/>
  <c r="CW48" i="5"/>
  <c r="CW68" i="5"/>
  <c r="CW59" i="5"/>
  <c r="CW45" i="5"/>
  <c r="CW38" i="5"/>
  <c r="CW49" i="5"/>
  <c r="CW32" i="5"/>
  <c r="CW5" i="5"/>
  <c r="CW35" i="5"/>
  <c r="CW42" i="5"/>
  <c r="CW62" i="5"/>
  <c r="CW40" i="5"/>
  <c r="CW54" i="5"/>
  <c r="CV70" i="5"/>
  <c r="CV69" i="5"/>
  <c r="CV29" i="5"/>
  <c r="CV33" i="5"/>
  <c r="CV34" i="5"/>
  <c r="CU87" i="5"/>
  <c r="CR19" i="6"/>
  <c r="CU86" i="5" s="1"/>
  <c r="CR41" i="6"/>
  <c r="CU93" i="5" s="1"/>
  <c r="CU94" i="5"/>
  <c r="CU81" i="5"/>
  <c r="CR29" i="6"/>
  <c r="CS23" i="6" s="1"/>
  <c r="CS27" i="6"/>
  <c r="CS28" i="6" s="1"/>
  <c r="CS16" i="6"/>
  <c r="CS7" i="6"/>
  <c r="CT6" i="6"/>
  <c r="CT12" i="6" s="1"/>
  <c r="CS26" i="6"/>
  <c r="CS38" i="6"/>
  <c r="CS18" i="6"/>
  <c r="CS35" i="6"/>
  <c r="CS14" i="6"/>
  <c r="CS25" i="6"/>
  <c r="CS15" i="6"/>
  <c r="CV78" i="5" s="1"/>
  <c r="CS40" i="6"/>
  <c r="CV92" i="5" s="1"/>
  <c r="CS36" i="6"/>
  <c r="CS13" i="6"/>
  <c r="CS24" i="6"/>
  <c r="CS37" i="6"/>
  <c r="CV80" i="5" s="1"/>
  <c r="CS34" i="6"/>
  <c r="CV91" i="5" s="1"/>
  <c r="AG35" i="5"/>
  <c r="BN98" i="53"/>
  <c r="BN96" i="53"/>
  <c r="AH30" i="5" s="1"/>
  <c r="BO91" i="53"/>
  <c r="AI12" i="5"/>
  <c r="AI13" i="5" s="1"/>
  <c r="BO82" i="53"/>
  <c r="BO83" i="53" s="1"/>
  <c r="CA16" i="53" s="1"/>
  <c r="BP60" i="53"/>
  <c r="AT11" i="5"/>
  <c r="BZ88" i="53"/>
  <c r="BZ89" i="53" s="1"/>
  <c r="CA87" i="53" s="1"/>
  <c r="DL41" i="55"/>
  <c r="DM3" i="55"/>
  <c r="EE84" i="53"/>
  <c r="EF8" i="53"/>
  <c r="CW8" i="6"/>
  <c r="DJ17" i="55"/>
  <c r="DJ27" i="55" s="1"/>
  <c r="DJ12" i="55"/>
  <c r="DJ22" i="55" s="1"/>
  <c r="DJ14" i="55"/>
  <c r="DJ24" i="55" s="1"/>
  <c r="DZ44" i="53"/>
  <c r="DZ47" i="53" s="1"/>
  <c r="DK16" i="55"/>
  <c r="DK26" i="55" s="1"/>
  <c r="DL15" i="55"/>
  <c r="DL25" i="55" s="1"/>
  <c r="DS40" i="53"/>
  <c r="DS49" i="53" s="1"/>
  <c r="DS50" i="53" s="1"/>
  <c r="DU38" i="53"/>
  <c r="CN24" i="5"/>
  <c r="DT39" i="53"/>
  <c r="DA11" i="55"/>
  <c r="CZ21" i="55"/>
  <c r="CZ28" i="55" s="1"/>
  <c r="CN23" i="5"/>
  <c r="DU35" i="53"/>
  <c r="DT36" i="53"/>
  <c r="BO78" i="53" l="1"/>
  <c r="BO100" i="53" s="1"/>
  <c r="AG42" i="5"/>
  <c r="AG46" i="5" s="1"/>
  <c r="CU108" i="5"/>
  <c r="CX79" i="5"/>
  <c r="CX101" i="5"/>
  <c r="CX90" i="5"/>
  <c r="CX100" i="5"/>
  <c r="J67" i="65"/>
  <c r="E68" i="65" s="1"/>
  <c r="DJ23" i="55"/>
  <c r="DK13" i="55"/>
  <c r="DN39" i="38"/>
  <c r="DM106" i="38"/>
  <c r="CU60" i="5"/>
  <c r="DN93" i="38"/>
  <c r="DN95" i="38"/>
  <c r="DN104" i="38" s="1"/>
  <c r="DN22" i="38"/>
  <c r="EC29" i="53"/>
  <c r="EC31" i="53" s="1"/>
  <c r="EC99" i="53" s="1"/>
  <c r="CW29" i="5"/>
  <c r="CT63" i="5"/>
  <c r="DP3" i="38"/>
  <c r="DO4" i="38"/>
  <c r="CW56" i="5"/>
  <c r="EF6" i="53"/>
  <c r="EF11" i="53" s="1"/>
  <c r="EG7" i="53"/>
  <c r="CX39" i="5"/>
  <c r="CX52" i="5"/>
  <c r="CX47" i="5"/>
  <c r="CX45" i="5"/>
  <c r="CX49" i="5"/>
  <c r="CX38" i="5"/>
  <c r="CX50" i="5"/>
  <c r="CX28" i="5"/>
  <c r="CX32" i="5"/>
  <c r="CX57" i="5"/>
  <c r="CX31" i="5"/>
  <c r="CX68" i="5"/>
  <c r="CX27" i="5"/>
  <c r="CX59" i="5"/>
  <c r="CX5" i="5"/>
  <c r="CX71" i="5"/>
  <c r="CY4" i="5"/>
  <c r="CX85" i="5"/>
  <c r="CX51" i="5"/>
  <c r="CX53" i="5"/>
  <c r="CX46" i="5"/>
  <c r="CX48" i="5"/>
  <c r="CX35" i="5"/>
  <c r="CX54" i="5"/>
  <c r="CX42" i="5"/>
  <c r="CX40" i="5"/>
  <c r="CX62" i="5"/>
  <c r="CW34" i="5"/>
  <c r="CW33" i="5"/>
  <c r="CW70" i="5"/>
  <c r="CW69" i="5"/>
  <c r="CS19" i="6"/>
  <c r="CV86" i="5" s="1"/>
  <c r="CV87" i="5"/>
  <c r="CV81" i="5"/>
  <c r="CS29" i="6"/>
  <c r="CT23" i="6" s="1"/>
  <c r="CS41" i="6"/>
  <c r="CV93" i="5" s="1"/>
  <c r="CV94" i="5"/>
  <c r="CT15" i="6"/>
  <c r="CW78" i="5" s="1"/>
  <c r="CT26" i="6"/>
  <c r="CT7" i="6"/>
  <c r="CT25" i="6"/>
  <c r="CT13" i="6"/>
  <c r="CT38" i="6"/>
  <c r="CT14" i="6"/>
  <c r="CT16" i="6"/>
  <c r="CT27" i="6"/>
  <c r="CT28" i="6" s="1"/>
  <c r="CT18" i="6"/>
  <c r="CT35" i="6"/>
  <c r="CU6" i="6"/>
  <c r="CU12" i="6" s="1"/>
  <c r="CT37" i="6"/>
  <c r="CW80" i="5" s="1"/>
  <c r="CT24" i="6"/>
  <c r="CT40" i="6"/>
  <c r="CW92" i="5" s="1"/>
  <c r="CT36" i="6"/>
  <c r="CT34" i="6"/>
  <c r="CW91" i="5" s="1"/>
  <c r="BP57" i="53"/>
  <c r="BP67" i="53"/>
  <c r="BP59" i="53"/>
  <c r="BP65" i="53" s="1"/>
  <c r="CA73" i="53"/>
  <c r="CA17" i="53"/>
  <c r="CA74" i="53" s="1"/>
  <c r="CA81" i="53" s="1"/>
  <c r="AJ10" i="5"/>
  <c r="AI14" i="5"/>
  <c r="AJ9" i="5" s="1"/>
  <c r="AH31" i="5"/>
  <c r="CX8" i="6"/>
  <c r="EF84" i="53"/>
  <c r="EG8" i="53"/>
  <c r="DN3" i="55"/>
  <c r="DM41" i="55"/>
  <c r="DK17" i="55"/>
  <c r="DK27" i="55" s="1"/>
  <c r="DK14" i="55"/>
  <c r="DK24" i="55" s="1"/>
  <c r="DK12" i="55"/>
  <c r="DK22" i="55" s="1"/>
  <c r="DT40" i="53"/>
  <c r="DT49" i="53" s="1"/>
  <c r="DT50" i="53" s="1"/>
  <c r="EA44" i="53"/>
  <c r="EA47" i="53" s="1"/>
  <c r="DL16" i="55"/>
  <c r="DL26" i="55" s="1"/>
  <c r="DM15" i="55"/>
  <c r="DM25" i="55" s="1"/>
  <c r="CO23" i="5"/>
  <c r="DU36" i="53"/>
  <c r="DV35" i="53"/>
  <c r="DU39" i="53"/>
  <c r="DV38" i="53"/>
  <c r="CO24" i="5"/>
  <c r="DB11" i="55"/>
  <c r="DA21" i="55"/>
  <c r="DA28" i="55" s="1"/>
  <c r="BO92" i="53" l="1"/>
  <c r="BO93" i="53" s="1"/>
  <c r="BP91" i="53" s="1"/>
  <c r="BO95" i="53"/>
  <c r="BP71" i="53"/>
  <c r="AG62" i="5"/>
  <c r="AG54" i="5"/>
  <c r="AG56" i="5" s="1"/>
  <c r="CV108" i="5"/>
  <c r="CY79" i="5"/>
  <c r="CY101" i="5"/>
  <c r="CY90" i="5"/>
  <c r="CY100" i="5"/>
  <c r="F68" i="65"/>
  <c r="DK23" i="55"/>
  <c r="DL13" i="55"/>
  <c r="CT29" i="6"/>
  <c r="CU23" i="6" s="1"/>
  <c r="DN106" i="38"/>
  <c r="CV60" i="5"/>
  <c r="DO93" i="38"/>
  <c r="DO22" i="38"/>
  <c r="ED29" i="53"/>
  <c r="ED31" i="53" s="1"/>
  <c r="ED99" i="53" s="1"/>
  <c r="DO39" i="38"/>
  <c r="DP4" i="38"/>
  <c r="DQ3" i="38"/>
  <c r="CU63" i="5"/>
  <c r="CX29" i="5"/>
  <c r="EH7" i="53"/>
  <c r="EG6" i="53"/>
  <c r="EG11" i="53" s="1"/>
  <c r="CX70" i="5"/>
  <c r="CX69" i="5"/>
  <c r="CX33" i="5"/>
  <c r="CX34" i="5"/>
  <c r="CX56" i="5"/>
  <c r="CY68" i="5"/>
  <c r="CY31" i="5"/>
  <c r="CY57" i="5"/>
  <c r="CY27" i="5"/>
  <c r="CY59" i="5"/>
  <c r="CY50" i="5"/>
  <c r="CY39" i="5"/>
  <c r="CY51" i="5"/>
  <c r="CY53" i="5"/>
  <c r="CY52" i="5"/>
  <c r="CY47" i="5"/>
  <c r="CY46" i="5"/>
  <c r="CY48" i="5"/>
  <c r="CY45" i="5"/>
  <c r="CY38" i="5"/>
  <c r="CY5" i="5"/>
  <c r="CY42" i="5"/>
  <c r="CY40" i="5"/>
  <c r="CY35" i="5"/>
  <c r="CY71" i="5"/>
  <c r="CY85" i="5"/>
  <c r="CY32" i="5"/>
  <c r="CY54" i="5"/>
  <c r="CY49" i="5"/>
  <c r="CY28" i="5"/>
  <c r="CZ4" i="5"/>
  <c r="CY62" i="5"/>
  <c r="CW81" i="5"/>
  <c r="CU14" i="6"/>
  <c r="CU38" i="6"/>
  <c r="CU13" i="6"/>
  <c r="CU26" i="6"/>
  <c r="CU34" i="6"/>
  <c r="CX91" i="5" s="1"/>
  <c r="CU35" i="6"/>
  <c r="CU25" i="6"/>
  <c r="CU16" i="6"/>
  <c r="CU7" i="6"/>
  <c r="CU24" i="6"/>
  <c r="CU36" i="6"/>
  <c r="CV6" i="6"/>
  <c r="CV12" i="6" s="1"/>
  <c r="CU18" i="6"/>
  <c r="CU27" i="6"/>
  <c r="CU28" i="6" s="1"/>
  <c r="CU40" i="6"/>
  <c r="CX92" i="5" s="1"/>
  <c r="CU37" i="6"/>
  <c r="CX80" i="5" s="1"/>
  <c r="CU15" i="6"/>
  <c r="CX78" i="5" s="1"/>
  <c r="CT41" i="6"/>
  <c r="CW93" i="5" s="1"/>
  <c r="CW94" i="5"/>
  <c r="CW87" i="5"/>
  <c r="CT19" i="6"/>
  <c r="CW86" i="5" s="1"/>
  <c r="AH34" i="5"/>
  <c r="AH33" i="5"/>
  <c r="CA18" i="53"/>
  <c r="CA54" i="53" s="1"/>
  <c r="CA75" i="53"/>
  <c r="BP79" i="53"/>
  <c r="BP23" i="53" s="1"/>
  <c r="BP66" i="53"/>
  <c r="AJ32" i="5"/>
  <c r="BQ53" i="53"/>
  <c r="BQ15" i="53"/>
  <c r="BQ20" i="53" s="1"/>
  <c r="BQ22" i="53" s="1"/>
  <c r="BP56" i="53"/>
  <c r="BP76" i="53" s="1"/>
  <c r="DN41" i="55"/>
  <c r="DO3" i="55"/>
  <c r="EG84" i="53"/>
  <c r="EH8" i="53"/>
  <c r="CY8" i="6"/>
  <c r="DL17" i="55"/>
  <c r="DL27" i="55" s="1"/>
  <c r="DL12" i="55"/>
  <c r="DL22" i="55" s="1"/>
  <c r="DL14" i="55"/>
  <c r="DL24" i="55" s="1"/>
  <c r="EB44" i="53"/>
  <c r="EB47" i="53" s="1"/>
  <c r="DM16" i="55"/>
  <c r="DM26" i="55" s="1"/>
  <c r="DN15" i="55"/>
  <c r="DN25" i="55" s="1"/>
  <c r="DU40" i="53"/>
  <c r="DU49" i="53" s="1"/>
  <c r="DU50" i="53" s="1"/>
  <c r="DW35" i="53"/>
  <c r="CP23" i="5"/>
  <c r="DV36" i="53"/>
  <c r="CP24" i="5"/>
  <c r="DW38" i="53"/>
  <c r="DV39" i="53"/>
  <c r="DC11" i="55"/>
  <c r="DB21" i="55"/>
  <c r="DB28" i="55" s="1"/>
  <c r="BO96" i="53" l="1"/>
  <c r="AI30" i="5" s="1"/>
  <c r="AI31" i="5" s="1"/>
  <c r="BO98" i="53"/>
  <c r="AG63" i="5"/>
  <c r="AG71" i="5" s="1"/>
  <c r="CW108" i="5"/>
  <c r="U57" i="5"/>
  <c r="CZ79" i="5"/>
  <c r="CZ101" i="5"/>
  <c r="CZ90" i="5"/>
  <c r="CY29" i="5"/>
  <c r="CZ100" i="5"/>
  <c r="J68" i="65"/>
  <c r="E69" i="65" s="1"/>
  <c r="F69" i="65" s="1"/>
  <c r="CX81" i="5"/>
  <c r="DL23" i="55"/>
  <c r="DM13" i="55"/>
  <c r="DP93" i="38"/>
  <c r="DP95" i="38" s="1"/>
  <c r="DP104" i="38" s="1"/>
  <c r="CU29" i="6"/>
  <c r="CV23" i="6" s="1"/>
  <c r="DO95" i="38"/>
  <c r="DO104" i="38" s="1"/>
  <c r="DP39" i="38"/>
  <c r="DP22" i="38"/>
  <c r="EE29" i="53"/>
  <c r="EE31" i="53" s="1"/>
  <c r="EE99" i="53" s="1"/>
  <c r="CV63" i="5"/>
  <c r="DQ4" i="38"/>
  <c r="DR3" i="38"/>
  <c r="CY56" i="5"/>
  <c r="EH6" i="53"/>
  <c r="EH11" i="53" s="1"/>
  <c r="EI7" i="53"/>
  <c r="CY33" i="5"/>
  <c r="CY34" i="5"/>
  <c r="CY70" i="5"/>
  <c r="CY69" i="5"/>
  <c r="CZ52" i="5"/>
  <c r="CZ47" i="5"/>
  <c r="CZ49" i="5"/>
  <c r="CZ32" i="5"/>
  <c r="CZ28" i="5"/>
  <c r="CZ68" i="5"/>
  <c r="CZ27" i="5"/>
  <c r="CZ57" i="5"/>
  <c r="CZ31" i="5"/>
  <c r="CZ59" i="5"/>
  <c r="DA4" i="5"/>
  <c r="CZ71" i="5"/>
  <c r="CZ5" i="5"/>
  <c r="CZ85" i="5"/>
  <c r="CZ50" i="5"/>
  <c r="CZ39" i="5"/>
  <c r="CZ62" i="5"/>
  <c r="CZ51" i="5"/>
  <c r="CZ46" i="5"/>
  <c r="CZ48" i="5"/>
  <c r="CZ38" i="5"/>
  <c r="CZ35" i="5"/>
  <c r="CZ42" i="5"/>
  <c r="CZ40" i="5"/>
  <c r="CZ54" i="5"/>
  <c r="CZ53" i="5"/>
  <c r="CZ45" i="5"/>
  <c r="CX87" i="5"/>
  <c r="CU19" i="6"/>
  <c r="CX86" i="5" s="1"/>
  <c r="CX94" i="5"/>
  <c r="CU41" i="6"/>
  <c r="CX93" i="5" s="1"/>
  <c r="CV16" i="6"/>
  <c r="CV38" i="6"/>
  <c r="CV13" i="6"/>
  <c r="CV35" i="6"/>
  <c r="CV25" i="6"/>
  <c r="CW6" i="6"/>
  <c r="CW12" i="6" s="1"/>
  <c r="CV24" i="6"/>
  <c r="CV37" i="6"/>
  <c r="CY80" i="5" s="1"/>
  <c r="CV7" i="6"/>
  <c r="CV40" i="6"/>
  <c r="CY92" i="5" s="1"/>
  <c r="CV26" i="6"/>
  <c r="CV18" i="6"/>
  <c r="CV14" i="6"/>
  <c r="CV15" i="6"/>
  <c r="CY78" i="5" s="1"/>
  <c r="CV34" i="6"/>
  <c r="CY91" i="5" s="1"/>
  <c r="CV27" i="6"/>
  <c r="CV28" i="6" s="1"/>
  <c r="CV36" i="6"/>
  <c r="AH35" i="5"/>
  <c r="AJ12" i="5"/>
  <c r="AJ13" i="5" s="1"/>
  <c r="BP82" i="53"/>
  <c r="BP83" i="53" s="1"/>
  <c r="CB16" i="53" s="1"/>
  <c r="BP77" i="53"/>
  <c r="BQ60" i="53"/>
  <c r="AU11" i="5"/>
  <c r="CA88" i="53"/>
  <c r="CA89" i="53" s="1"/>
  <c r="CB87" i="53" s="1"/>
  <c r="EH84" i="53"/>
  <c r="EI8" i="53"/>
  <c r="DP3" i="55"/>
  <c r="DO41" i="55"/>
  <c r="CZ8" i="6"/>
  <c r="DM17" i="55"/>
  <c r="DM27" i="55" s="1"/>
  <c r="DM14" i="55"/>
  <c r="DM24" i="55" s="1"/>
  <c r="DM12" i="55"/>
  <c r="DM22" i="55" s="1"/>
  <c r="EC44" i="53"/>
  <c r="EC47" i="53" s="1"/>
  <c r="DN16" i="55"/>
  <c r="DN26" i="55" s="1"/>
  <c r="DO15" i="55"/>
  <c r="DO25" i="55" s="1"/>
  <c r="DV40" i="53"/>
  <c r="DV49" i="53" s="1"/>
  <c r="DV50" i="53" s="1"/>
  <c r="DW36" i="53"/>
  <c r="DX35" i="53"/>
  <c r="CQ23" i="5"/>
  <c r="DD11" i="55"/>
  <c r="DC21" i="55"/>
  <c r="DC28" i="55" s="1"/>
  <c r="DX38" i="53"/>
  <c r="CQ24" i="5"/>
  <c r="DW39" i="53"/>
  <c r="CX108" i="5" l="1"/>
  <c r="AH42" i="5"/>
  <c r="AH46" i="5" s="1"/>
  <c r="DA79" i="5"/>
  <c r="DA101" i="5"/>
  <c r="DA90" i="5"/>
  <c r="DA100" i="5"/>
  <c r="J69" i="65"/>
  <c r="E70" i="65" s="1"/>
  <c r="CY81" i="5"/>
  <c r="DM23" i="55"/>
  <c r="DN13" i="55"/>
  <c r="CV29" i="6"/>
  <c r="CW23" i="6" s="1"/>
  <c r="DP106" i="38"/>
  <c r="CX60" i="5"/>
  <c r="DO106" i="38"/>
  <c r="CW60" i="5"/>
  <c r="DQ93" i="38"/>
  <c r="DQ95" i="38" s="1"/>
  <c r="DQ104" i="38" s="1"/>
  <c r="DQ22" i="38"/>
  <c r="EF29" i="53"/>
  <c r="EF31" i="53" s="1"/>
  <c r="EF99" i="53" s="1"/>
  <c r="DQ39" i="38"/>
  <c r="DR4" i="38"/>
  <c r="DS3" i="38"/>
  <c r="DR93" i="38"/>
  <c r="CZ29" i="5"/>
  <c r="EJ7" i="53"/>
  <c r="EI6" i="53"/>
  <c r="EI11" i="53" s="1"/>
  <c r="CZ34" i="5"/>
  <c r="CZ33" i="5"/>
  <c r="CZ70" i="5"/>
  <c r="CZ69" i="5"/>
  <c r="CZ56" i="5"/>
  <c r="DA59" i="5"/>
  <c r="DB4" i="5"/>
  <c r="DA71" i="5"/>
  <c r="DA5" i="5"/>
  <c r="DA51" i="5"/>
  <c r="DA53" i="5"/>
  <c r="DA52" i="5"/>
  <c r="DA47" i="5"/>
  <c r="DA46" i="5"/>
  <c r="DA48" i="5"/>
  <c r="DA45" i="5"/>
  <c r="DA38" i="5"/>
  <c r="DA49" i="5"/>
  <c r="DA27" i="5"/>
  <c r="DA32" i="5"/>
  <c r="DA40" i="5"/>
  <c r="DA35" i="5"/>
  <c r="DA57" i="5"/>
  <c r="DA85" i="5"/>
  <c r="DA39" i="5"/>
  <c r="DA28" i="5"/>
  <c r="DA50" i="5"/>
  <c r="DA31" i="5"/>
  <c r="DA42" i="5"/>
  <c r="DA62" i="5"/>
  <c r="DA68" i="5"/>
  <c r="DA54" i="5"/>
  <c r="CY94" i="5"/>
  <c r="CV41" i="6"/>
  <c r="CY93" i="5" s="1"/>
  <c r="CV19" i="6"/>
  <c r="CY86" i="5" s="1"/>
  <c r="CY87" i="5"/>
  <c r="CW14" i="6"/>
  <c r="CW24" i="6"/>
  <c r="CW13" i="6"/>
  <c r="CW7" i="6"/>
  <c r="CW25" i="6"/>
  <c r="CW26" i="6"/>
  <c r="CW15" i="6"/>
  <c r="CZ78" i="5" s="1"/>
  <c r="CX6" i="6"/>
  <c r="CX12" i="6" s="1"/>
  <c r="CW40" i="6"/>
  <c r="CZ92" i="5" s="1"/>
  <c r="CW34" i="6"/>
  <c r="CZ91" i="5" s="1"/>
  <c r="CW18" i="6"/>
  <c r="CW37" i="6"/>
  <c r="CZ80" i="5" s="1"/>
  <c r="CW27" i="6"/>
  <c r="CW28" i="6" s="1"/>
  <c r="CW36" i="6"/>
  <c r="CW35" i="6"/>
  <c r="CW16" i="6"/>
  <c r="CW38" i="6"/>
  <c r="AI33" i="5"/>
  <c r="AI34" i="5"/>
  <c r="BQ57" i="53"/>
  <c r="BQ59" i="53"/>
  <c r="BQ65" i="53" s="1"/>
  <c r="BQ67" i="53"/>
  <c r="BQ72" i="53"/>
  <c r="BP78" i="53"/>
  <c r="CB17" i="53"/>
  <c r="CB74" i="53" s="1"/>
  <c r="CB81" i="53" s="1"/>
  <c r="CB73" i="53"/>
  <c r="AK10" i="5"/>
  <c r="AJ14" i="5"/>
  <c r="AK9" i="5" s="1"/>
  <c r="DA8" i="6"/>
  <c r="DQ3" i="55"/>
  <c r="DP41" i="55"/>
  <c r="EI84" i="53"/>
  <c r="EJ8" i="53"/>
  <c r="DN17" i="55"/>
  <c r="DN27" i="55" s="1"/>
  <c r="DN12" i="55"/>
  <c r="DN22" i="55" s="1"/>
  <c r="DN14" i="55"/>
  <c r="DN24" i="55" s="1"/>
  <c r="ED44" i="53"/>
  <c r="ED47" i="53" s="1"/>
  <c r="DO16" i="55"/>
  <c r="DO26" i="55" s="1"/>
  <c r="DP15" i="55"/>
  <c r="DP25" i="55" s="1"/>
  <c r="DW40" i="53"/>
  <c r="DW49" i="53" s="1"/>
  <c r="DW50" i="53" s="1"/>
  <c r="DX36" i="53"/>
  <c r="DY35" i="53"/>
  <c r="CR23" i="5"/>
  <c r="CR24" i="5"/>
  <c r="DY38" i="53"/>
  <c r="DX39" i="53"/>
  <c r="DE11" i="55"/>
  <c r="DD21" i="55"/>
  <c r="DD28" i="55" s="1"/>
  <c r="AH62" i="5" l="1"/>
  <c r="AH54" i="5"/>
  <c r="AH56" i="5" s="1"/>
  <c r="CY108" i="5"/>
  <c r="DB79" i="5"/>
  <c r="DB90" i="5"/>
  <c r="DB101" i="5"/>
  <c r="DB100" i="5"/>
  <c r="F70" i="65"/>
  <c r="CW29" i="6"/>
  <c r="CX23" i="6" s="1"/>
  <c r="DN23" i="55"/>
  <c r="DO13" i="55"/>
  <c r="CW63" i="5"/>
  <c r="EG29" i="53"/>
  <c r="EG31" i="53" s="1"/>
  <c r="EG99" i="53" s="1"/>
  <c r="DQ106" i="38"/>
  <c r="CY60" i="5"/>
  <c r="DR22" i="38"/>
  <c r="DR95" i="38"/>
  <c r="DR104" i="38" s="1"/>
  <c r="CX63" i="5"/>
  <c r="DA56" i="5"/>
  <c r="DR39" i="38"/>
  <c r="DS4" i="38"/>
  <c r="DT3" i="38"/>
  <c r="BP100" i="53"/>
  <c r="EK7" i="53"/>
  <c r="EJ6" i="53"/>
  <c r="EJ11" i="53" s="1"/>
  <c r="DB47" i="5"/>
  <c r="DB46" i="5"/>
  <c r="DB68" i="5"/>
  <c r="DB31" i="5"/>
  <c r="DB57" i="5"/>
  <c r="DB28" i="5"/>
  <c r="DB59" i="5"/>
  <c r="DB5" i="5"/>
  <c r="DB71" i="5"/>
  <c r="DC4" i="5"/>
  <c r="DB85" i="5"/>
  <c r="DB39" i="5"/>
  <c r="DB49" i="5"/>
  <c r="DB50" i="5"/>
  <c r="DB51" i="5"/>
  <c r="DB52" i="5"/>
  <c r="DB45" i="5"/>
  <c r="DB27" i="5"/>
  <c r="DB32" i="5"/>
  <c r="DB62" i="5"/>
  <c r="DB35" i="5"/>
  <c r="DB42" i="5"/>
  <c r="DB40" i="5"/>
  <c r="DB54" i="5"/>
  <c r="DB53" i="5"/>
  <c r="DB38" i="5"/>
  <c r="DB48" i="5"/>
  <c r="DA29" i="5"/>
  <c r="DA34" i="5"/>
  <c r="DA33" i="5"/>
  <c r="DA70" i="5"/>
  <c r="DA69" i="5"/>
  <c r="CW19" i="6"/>
  <c r="CZ86" i="5" s="1"/>
  <c r="CZ87" i="5"/>
  <c r="CX34" i="6"/>
  <c r="DA91" i="5" s="1"/>
  <c r="CX25" i="6"/>
  <c r="CX27" i="6"/>
  <c r="CX28" i="6" s="1"/>
  <c r="CX40" i="6"/>
  <c r="DA92" i="5" s="1"/>
  <c r="CX24" i="6"/>
  <c r="CX16" i="6"/>
  <c r="CY6" i="6"/>
  <c r="CY12" i="6" s="1"/>
  <c r="CX36" i="6"/>
  <c r="CX7" i="6"/>
  <c r="CX35" i="6"/>
  <c r="CX38" i="6"/>
  <c r="CX18" i="6"/>
  <c r="CX37" i="6"/>
  <c r="DA80" i="5" s="1"/>
  <c r="CX13" i="6"/>
  <c r="CX26" i="6"/>
  <c r="CX15" i="6"/>
  <c r="DA78" i="5" s="1"/>
  <c r="CX14" i="6"/>
  <c r="CZ94" i="5"/>
  <c r="CW41" i="6"/>
  <c r="CZ93" i="5" s="1"/>
  <c r="CZ81" i="5"/>
  <c r="AI35" i="5"/>
  <c r="CB18" i="53"/>
  <c r="CB54" i="53" s="1"/>
  <c r="CB75" i="53"/>
  <c r="BP95" i="53"/>
  <c r="BQ71" i="53"/>
  <c r="BP92" i="53"/>
  <c r="BP93" i="53" s="1"/>
  <c r="BQ66" i="53"/>
  <c r="BQ79" i="53"/>
  <c r="BQ23" i="53" s="1"/>
  <c r="AK32" i="5"/>
  <c r="BR15" i="53"/>
  <c r="BR20" i="53" s="1"/>
  <c r="BR22" i="53" s="1"/>
  <c r="BR53" i="53"/>
  <c r="BQ56" i="53"/>
  <c r="BQ76" i="53" s="1"/>
  <c r="EJ84" i="53"/>
  <c r="EK8" i="53"/>
  <c r="DQ41" i="55"/>
  <c r="DR3" i="55"/>
  <c r="DB8" i="6"/>
  <c r="DO17" i="55"/>
  <c r="DO27" i="55" s="1"/>
  <c r="DO14" i="55"/>
  <c r="DO24" i="55" s="1"/>
  <c r="DO12" i="55"/>
  <c r="DO22" i="55" s="1"/>
  <c r="EE44" i="53"/>
  <c r="EE47" i="53" s="1"/>
  <c r="DP16" i="55"/>
  <c r="DP26" i="55" s="1"/>
  <c r="DX40" i="53"/>
  <c r="DX49" i="53" s="1"/>
  <c r="DX50" i="53" s="1"/>
  <c r="DQ15" i="55"/>
  <c r="DQ25" i="55" s="1"/>
  <c r="DF11" i="55"/>
  <c r="DE21" i="55"/>
  <c r="DE28" i="55" s="1"/>
  <c r="CS24" i="5"/>
  <c r="DY39" i="53"/>
  <c r="DZ38" i="53"/>
  <c r="CS23" i="5"/>
  <c r="DY36" i="53"/>
  <c r="DZ35" i="53"/>
  <c r="AI42" i="5" l="1"/>
  <c r="AI62" i="5" s="1"/>
  <c r="AI63" i="5" s="1"/>
  <c r="AH63" i="5"/>
  <c r="AH71" i="5" s="1"/>
  <c r="CZ108" i="5"/>
  <c r="V57" i="5"/>
  <c r="DC79" i="5"/>
  <c r="DC101" i="5"/>
  <c r="DC90" i="5"/>
  <c r="DC100" i="5"/>
  <c r="J70" i="65"/>
  <c r="E71" i="65" s="1"/>
  <c r="F71" i="65" s="1"/>
  <c r="DA81" i="5"/>
  <c r="DO23" i="55"/>
  <c r="DP13" i="55"/>
  <c r="EH29" i="53"/>
  <c r="EH31" i="53" s="1"/>
  <c r="EH99" i="53" s="1"/>
  <c r="DR106" i="38"/>
  <c r="CZ60" i="5"/>
  <c r="CY63" i="5"/>
  <c r="DS93" i="38"/>
  <c r="DS95" i="38" s="1"/>
  <c r="DS104" i="38" s="1"/>
  <c r="DS22" i="38"/>
  <c r="DB56" i="5"/>
  <c r="DS39" i="38"/>
  <c r="DU3" i="38"/>
  <c r="DT4" i="38"/>
  <c r="EK6" i="53"/>
  <c r="EK11" i="53" s="1"/>
  <c r="EL7" i="53"/>
  <c r="DC85" i="5"/>
  <c r="DC49" i="5"/>
  <c r="DC52" i="5"/>
  <c r="DC47" i="5"/>
  <c r="DC46" i="5"/>
  <c r="DC48" i="5"/>
  <c r="DC39" i="5"/>
  <c r="DC38" i="5"/>
  <c r="DC45" i="5"/>
  <c r="DC31" i="5"/>
  <c r="DC27" i="5"/>
  <c r="DC68" i="5"/>
  <c r="DC32" i="5"/>
  <c r="DC57" i="5"/>
  <c r="DC28" i="5"/>
  <c r="DC71" i="5"/>
  <c r="DC50" i="5"/>
  <c r="DC53" i="5"/>
  <c r="DD4" i="5"/>
  <c r="DC40" i="5"/>
  <c r="DC35" i="5"/>
  <c r="DC62" i="5"/>
  <c r="DC42" i="5"/>
  <c r="DC54" i="5"/>
  <c r="DC59" i="5"/>
  <c r="DC5" i="5"/>
  <c r="DC51" i="5"/>
  <c r="DB33" i="5"/>
  <c r="DB34" i="5"/>
  <c r="DB70" i="5"/>
  <c r="DB69" i="5"/>
  <c r="DB29" i="5"/>
  <c r="CY14" i="6"/>
  <c r="CY26" i="6"/>
  <c r="CY25" i="6"/>
  <c r="CY40" i="6"/>
  <c r="DB92" i="5" s="1"/>
  <c r="CY36" i="6"/>
  <c r="CZ6" i="6"/>
  <c r="CZ12" i="6" s="1"/>
  <c r="CY37" i="6"/>
  <c r="DB80" i="5" s="1"/>
  <c r="CY16" i="6"/>
  <c r="CY35" i="6"/>
  <c r="CY34" i="6"/>
  <c r="DB91" i="5" s="1"/>
  <c r="CY7" i="6"/>
  <c r="CY18" i="6"/>
  <c r="CY24" i="6"/>
  <c r="CY27" i="6"/>
  <c r="CY28" i="6" s="1"/>
  <c r="CY13" i="6"/>
  <c r="CY15" i="6"/>
  <c r="DB78" i="5" s="1"/>
  <c r="CY38" i="6"/>
  <c r="DA87" i="5"/>
  <c r="CX19" i="6"/>
  <c r="DA86" i="5" s="1"/>
  <c r="CX29" i="6"/>
  <c r="CY23" i="6" s="1"/>
  <c r="CX41" i="6"/>
  <c r="DA93" i="5" s="1"/>
  <c r="DA94" i="5"/>
  <c r="BQ77" i="53"/>
  <c r="BQ82" i="53"/>
  <c r="BQ83" i="53" s="1"/>
  <c r="CC16" i="53" s="1"/>
  <c r="AK12" i="5"/>
  <c r="AK13" i="5" s="1"/>
  <c r="BR60" i="53"/>
  <c r="BQ91" i="53"/>
  <c r="BP96" i="53"/>
  <c r="AJ30" i="5" s="1"/>
  <c r="BP98" i="53"/>
  <c r="AV11" i="5"/>
  <c r="CB88" i="53"/>
  <c r="CB89" i="53" s="1"/>
  <c r="CC87" i="53" s="1"/>
  <c r="DC8" i="6"/>
  <c r="DS3" i="55"/>
  <c r="DR41" i="55"/>
  <c r="EK84" i="53"/>
  <c r="EL8" i="53"/>
  <c r="DP17" i="55"/>
  <c r="DP27" i="55" s="1"/>
  <c r="DP12" i="55"/>
  <c r="DP22" i="55" s="1"/>
  <c r="DP14" i="55"/>
  <c r="DP24" i="55" s="1"/>
  <c r="EF44" i="53"/>
  <c r="EF47" i="53" s="1"/>
  <c r="DQ16" i="55"/>
  <c r="DQ26" i="55" s="1"/>
  <c r="DR15" i="55"/>
  <c r="DR25" i="55" s="1"/>
  <c r="DY40" i="53"/>
  <c r="DY49" i="53" s="1"/>
  <c r="DY50" i="53" s="1"/>
  <c r="DZ39" i="53"/>
  <c r="CT24" i="5"/>
  <c r="EA38" i="53"/>
  <c r="DZ36" i="53"/>
  <c r="CT23" i="5"/>
  <c r="EA35" i="53"/>
  <c r="DF21" i="55"/>
  <c r="DF28" i="55" s="1"/>
  <c r="DG11" i="55"/>
  <c r="DA108" i="5" l="1"/>
  <c r="AI46" i="5"/>
  <c r="AI54" i="5" s="1"/>
  <c r="AI56" i="5" s="1"/>
  <c r="W57" i="5" s="1"/>
  <c r="DD79" i="5"/>
  <c r="DD101" i="5"/>
  <c r="DD90" i="5"/>
  <c r="DD100" i="5"/>
  <c r="J71" i="65"/>
  <c r="E72" i="65" s="1"/>
  <c r="DP23" i="55"/>
  <c r="DQ13" i="55"/>
  <c r="DT93" i="38"/>
  <c r="DT95" i="38" s="1"/>
  <c r="DT104" i="38" s="1"/>
  <c r="DB60" i="5" s="1"/>
  <c r="EI29" i="53"/>
  <c r="EI31" i="53" s="1"/>
  <c r="EI99" i="53" s="1"/>
  <c r="DS106" i="38"/>
  <c r="DA60" i="5"/>
  <c r="CZ63" i="5"/>
  <c r="DT22" i="38"/>
  <c r="DC56" i="5"/>
  <c r="DT39" i="38"/>
  <c r="DU4" i="38"/>
  <c r="DV3" i="38"/>
  <c r="DC29" i="5"/>
  <c r="EM7" i="53"/>
  <c r="EL6" i="53"/>
  <c r="EL11" i="53" s="1"/>
  <c r="DC34" i="5"/>
  <c r="DC33" i="5"/>
  <c r="DD39" i="5"/>
  <c r="DD38" i="5"/>
  <c r="DD48" i="5"/>
  <c r="DD31" i="5"/>
  <c r="DD59" i="5"/>
  <c r="DD5" i="5"/>
  <c r="DD71" i="5"/>
  <c r="DD85" i="5"/>
  <c r="DD45" i="5"/>
  <c r="DD49" i="5"/>
  <c r="DD50" i="5"/>
  <c r="DD51" i="5"/>
  <c r="DD53" i="5"/>
  <c r="DD52" i="5"/>
  <c r="DD42" i="5"/>
  <c r="DD62" i="5"/>
  <c r="DD68" i="5"/>
  <c r="DD57" i="5"/>
  <c r="DD40" i="5"/>
  <c r="DD35" i="5"/>
  <c r="DD54" i="5"/>
  <c r="DD47" i="5"/>
  <c r="DD27" i="5"/>
  <c r="DD46" i="5"/>
  <c r="DD32" i="5"/>
  <c r="DD28" i="5"/>
  <c r="DE4" i="5"/>
  <c r="DC70" i="5"/>
  <c r="DC69" i="5"/>
  <c r="CY19" i="6"/>
  <c r="DB86" i="5" s="1"/>
  <c r="DB87" i="5"/>
  <c r="CZ7" i="6"/>
  <c r="CZ14" i="6"/>
  <c r="CZ24" i="6"/>
  <c r="CZ37" i="6"/>
  <c r="DC80" i="5" s="1"/>
  <c r="CZ13" i="6"/>
  <c r="CZ38" i="6"/>
  <c r="CZ15" i="6"/>
  <c r="DC78" i="5" s="1"/>
  <c r="CZ26" i="6"/>
  <c r="CZ36" i="6"/>
  <c r="CZ34" i="6"/>
  <c r="DC91" i="5" s="1"/>
  <c r="CZ35" i="6"/>
  <c r="CZ18" i="6"/>
  <c r="CZ27" i="6"/>
  <c r="CZ28" i="6" s="1"/>
  <c r="CZ40" i="6"/>
  <c r="DC92" i="5" s="1"/>
  <c r="DA6" i="6"/>
  <c r="DA12" i="6" s="1"/>
  <c r="CZ25" i="6"/>
  <c r="CZ16" i="6"/>
  <c r="CY41" i="6"/>
  <c r="DB93" i="5" s="1"/>
  <c r="DB94" i="5"/>
  <c r="CY29" i="6"/>
  <c r="CZ23" i="6" s="1"/>
  <c r="DB81" i="5"/>
  <c r="AJ31" i="5"/>
  <c r="BR59" i="53"/>
  <c r="BR65" i="53" s="1"/>
  <c r="BR67" i="53"/>
  <c r="BR57" i="53"/>
  <c r="AL10" i="5"/>
  <c r="AK14" i="5"/>
  <c r="AL9" i="5" s="1"/>
  <c r="CC73" i="53"/>
  <c r="CC17" i="53"/>
  <c r="CC74" i="53" s="1"/>
  <c r="CC81" i="53" s="1"/>
  <c r="BR72" i="53"/>
  <c r="BQ78" i="53"/>
  <c r="EL84" i="53"/>
  <c r="EM8" i="53"/>
  <c r="DS41" i="55"/>
  <c r="DT3" i="55"/>
  <c r="DD8" i="6"/>
  <c r="DQ17" i="55"/>
  <c r="DQ27" i="55" s="1"/>
  <c r="DQ14" i="55"/>
  <c r="DQ24" i="55" s="1"/>
  <c r="DQ12" i="55"/>
  <c r="DQ22" i="55" s="1"/>
  <c r="EG44" i="53"/>
  <c r="EG47" i="53" s="1"/>
  <c r="DR16" i="55"/>
  <c r="DR26" i="55" s="1"/>
  <c r="DZ40" i="53"/>
  <c r="DZ49" i="53" s="1"/>
  <c r="DZ50" i="53" s="1"/>
  <c r="DS15" i="55"/>
  <c r="DS25" i="55" s="1"/>
  <c r="DG21" i="55"/>
  <c r="DG28" i="55" s="1"/>
  <c r="DH11" i="55"/>
  <c r="CU24" i="5"/>
  <c r="EB38" i="53"/>
  <c r="EA39" i="53"/>
  <c r="CU23" i="5"/>
  <c r="EA36" i="53"/>
  <c r="EB35" i="53"/>
  <c r="DB108" i="5" l="1"/>
  <c r="AI71" i="5"/>
  <c r="DD56" i="5"/>
  <c r="DE79" i="5"/>
  <c r="DE101" i="5"/>
  <c r="DE90" i="5"/>
  <c r="DE100" i="5"/>
  <c r="F72" i="65"/>
  <c r="DC81" i="5"/>
  <c r="DQ23" i="55"/>
  <c r="DR13" i="55"/>
  <c r="DU93" i="38"/>
  <c r="EJ29" i="53"/>
  <c r="EJ31" i="53" s="1"/>
  <c r="EJ99" i="53" s="1"/>
  <c r="DT106" i="38"/>
  <c r="DU22" i="38"/>
  <c r="DU95" i="38"/>
  <c r="DU104" i="38" s="1"/>
  <c r="DC60" i="5" s="1"/>
  <c r="DU39" i="38"/>
  <c r="DA63" i="5"/>
  <c r="DW3" i="38"/>
  <c r="DV4" i="38"/>
  <c r="DB63" i="5"/>
  <c r="BQ100" i="53"/>
  <c r="EM6" i="53"/>
  <c r="EM11" i="53" s="1"/>
  <c r="EN7" i="53"/>
  <c r="DD29" i="5"/>
  <c r="DD34" i="5"/>
  <c r="DD33" i="5"/>
  <c r="DD70" i="5"/>
  <c r="DD69" i="5"/>
  <c r="DE68" i="5"/>
  <c r="DE48" i="5"/>
  <c r="DE57" i="5"/>
  <c r="DE45" i="5"/>
  <c r="DE59" i="5"/>
  <c r="DE71" i="5"/>
  <c r="DE85" i="5"/>
  <c r="DE47" i="5"/>
  <c r="DE38" i="5"/>
  <c r="DE31" i="5"/>
  <c r="DE32" i="5"/>
  <c r="DE28" i="5"/>
  <c r="DE54" i="5"/>
  <c r="DE49" i="5"/>
  <c r="DE50" i="5"/>
  <c r="DE5" i="5"/>
  <c r="DE27" i="5"/>
  <c r="DE42" i="5"/>
  <c r="DE62" i="5"/>
  <c r="DF4" i="5"/>
  <c r="DE40" i="5"/>
  <c r="DE51" i="5"/>
  <c r="DE53" i="5"/>
  <c r="DE52" i="5"/>
  <c r="DE39" i="5"/>
  <c r="DE46" i="5"/>
  <c r="DE35" i="5"/>
  <c r="CZ41" i="6"/>
  <c r="DC93" i="5" s="1"/>
  <c r="DC94" i="5"/>
  <c r="CZ29" i="6"/>
  <c r="DA23" i="6" s="1"/>
  <c r="DC87" i="5"/>
  <c r="CZ19" i="6"/>
  <c r="DC86" i="5" s="1"/>
  <c r="DA13" i="6"/>
  <c r="DA27" i="6"/>
  <c r="DA28" i="6" s="1"/>
  <c r="DA35" i="6"/>
  <c r="DA34" i="6"/>
  <c r="DD91" i="5" s="1"/>
  <c r="DA15" i="6"/>
  <c r="DD78" i="5" s="1"/>
  <c r="DA38" i="6"/>
  <c r="DA16" i="6"/>
  <c r="DB6" i="6"/>
  <c r="DB12" i="6" s="1"/>
  <c r="DA36" i="6"/>
  <c r="DA7" i="6"/>
  <c r="DA18" i="6"/>
  <c r="DA37" i="6"/>
  <c r="DD80" i="5" s="1"/>
  <c r="DA26" i="6"/>
  <c r="DA40" i="6"/>
  <c r="DD92" i="5" s="1"/>
  <c r="DA14" i="6"/>
  <c r="DA25" i="6"/>
  <c r="DA24" i="6"/>
  <c r="CC18" i="53"/>
  <c r="CC54" i="53" s="1"/>
  <c r="BQ95" i="53"/>
  <c r="BR71" i="53"/>
  <c r="BQ92" i="53"/>
  <c r="BQ93" i="53" s="1"/>
  <c r="CC75" i="53"/>
  <c r="BS53" i="53"/>
  <c r="BS15" i="53"/>
  <c r="BS20" i="53" s="1"/>
  <c r="BS22" i="53" s="1"/>
  <c r="BR56" i="53"/>
  <c r="BR76" i="53" s="1"/>
  <c r="AL32" i="5"/>
  <c r="BR79" i="53"/>
  <c r="BR23" i="53" s="1"/>
  <c r="BR66" i="53"/>
  <c r="AJ34" i="5"/>
  <c r="AJ33" i="5"/>
  <c r="DE8" i="6"/>
  <c r="DU3" i="55"/>
  <c r="DT41" i="55"/>
  <c r="EM84" i="53"/>
  <c r="EN8" i="53"/>
  <c r="EA40" i="53"/>
  <c r="EA49" i="53" s="1"/>
  <c r="EA50" i="53" s="1"/>
  <c r="DR17" i="55"/>
  <c r="DR27" i="55" s="1"/>
  <c r="DR12" i="55"/>
  <c r="DR22" i="55" s="1"/>
  <c r="DR14" i="55"/>
  <c r="DR24" i="55" s="1"/>
  <c r="EH44" i="53"/>
  <c r="EH47" i="53" s="1"/>
  <c r="DS16" i="55"/>
  <c r="DS26" i="55" s="1"/>
  <c r="DT15" i="55"/>
  <c r="DT25" i="55" s="1"/>
  <c r="DH21" i="55"/>
  <c r="DH28" i="55" s="1"/>
  <c r="DI11" i="55"/>
  <c r="CV24" i="5"/>
  <c r="EB39" i="53"/>
  <c r="EC38" i="53"/>
  <c r="EC35" i="53"/>
  <c r="EB36" i="53"/>
  <c r="CV23" i="5"/>
  <c r="DC108" i="5" l="1"/>
  <c r="DE29" i="5"/>
  <c r="DF79" i="5"/>
  <c r="DF101" i="5"/>
  <c r="DF90" i="5"/>
  <c r="DF100" i="5"/>
  <c r="J72" i="65"/>
  <c r="E73" i="65" s="1"/>
  <c r="F73" i="65" s="1"/>
  <c r="DD81" i="5"/>
  <c r="DR23" i="55"/>
  <c r="DS13" i="55"/>
  <c r="DA29" i="6"/>
  <c r="DB23" i="6" s="1"/>
  <c r="EK29" i="53"/>
  <c r="EK31" i="53" s="1"/>
  <c r="EK99" i="53" s="1"/>
  <c r="DU106" i="38"/>
  <c r="DV93" i="38"/>
  <c r="DV95" i="38" s="1"/>
  <c r="DV104" i="38" s="1"/>
  <c r="DD60" i="5" s="1"/>
  <c r="DV22" i="38"/>
  <c r="DV39" i="38"/>
  <c r="DW4" i="38"/>
  <c r="DX3" i="38"/>
  <c r="DC63" i="5"/>
  <c r="EN6" i="53"/>
  <c r="EN11" i="53" s="1"/>
  <c r="EO7" i="53"/>
  <c r="DF68" i="5"/>
  <c r="DF31" i="5"/>
  <c r="DF59" i="5"/>
  <c r="DF32" i="5"/>
  <c r="DF71" i="5"/>
  <c r="DF28" i="5"/>
  <c r="DF48" i="5"/>
  <c r="DG4" i="5"/>
  <c r="DF50" i="5"/>
  <c r="DF51" i="5"/>
  <c r="DF53" i="5"/>
  <c r="DF39" i="5"/>
  <c r="DF38" i="5"/>
  <c r="DF27" i="5"/>
  <c r="DF35" i="5"/>
  <c r="DF5" i="5"/>
  <c r="DF42" i="5"/>
  <c r="DF40" i="5"/>
  <c r="DF62" i="5"/>
  <c r="DF57" i="5"/>
  <c r="DF85" i="5"/>
  <c r="DF45" i="5"/>
  <c r="DF49" i="5"/>
  <c r="DF52" i="5"/>
  <c r="DF54" i="5"/>
  <c r="DF47" i="5"/>
  <c r="DF46" i="5"/>
  <c r="DE70" i="5"/>
  <c r="DE69" i="5"/>
  <c r="DE56" i="5"/>
  <c r="DE34" i="5"/>
  <c r="DE33" i="5"/>
  <c r="DB14" i="6"/>
  <c r="DB38" i="6"/>
  <c r="DB18" i="6"/>
  <c r="DB35" i="6"/>
  <c r="DB34" i="6"/>
  <c r="DE91" i="5" s="1"/>
  <c r="DB26" i="6"/>
  <c r="DB36" i="6"/>
  <c r="DB25" i="6"/>
  <c r="DC6" i="6"/>
  <c r="DC12" i="6" s="1"/>
  <c r="DB37" i="6"/>
  <c r="DE80" i="5" s="1"/>
  <c r="DB27" i="6"/>
  <c r="DB28" i="6" s="1"/>
  <c r="DB7" i="6"/>
  <c r="DB16" i="6"/>
  <c r="DB13" i="6"/>
  <c r="DB15" i="6"/>
  <c r="DE78" i="5" s="1"/>
  <c r="DB40" i="6"/>
  <c r="DE92" i="5" s="1"/>
  <c r="DB24" i="6"/>
  <c r="DD87" i="5"/>
  <c r="DA19" i="6"/>
  <c r="DD86" i="5" s="1"/>
  <c r="DD94" i="5"/>
  <c r="DA41" i="6"/>
  <c r="DD93" i="5" s="1"/>
  <c r="AJ35" i="5"/>
  <c r="AJ42" i="5" s="1"/>
  <c r="AJ62" i="5" s="1"/>
  <c r="AJ63" i="5" s="1"/>
  <c r="BR82" i="53"/>
  <c r="BR83" i="53" s="1"/>
  <c r="CD16" i="53" s="1"/>
  <c r="AL12" i="5"/>
  <c r="AL13" i="5" s="1"/>
  <c r="BS60" i="53"/>
  <c r="AW11" i="5"/>
  <c r="CC88" i="53"/>
  <c r="CC89" i="53" s="1"/>
  <c r="CD87" i="53" s="1"/>
  <c r="BR77" i="53"/>
  <c r="BQ96" i="53"/>
  <c r="AK30" i="5" s="1"/>
  <c r="BQ98" i="53"/>
  <c r="BR91" i="53"/>
  <c r="EN84" i="53"/>
  <c r="EO8" i="53"/>
  <c r="DF8" i="6"/>
  <c r="DV3" i="55"/>
  <c r="DU41" i="55"/>
  <c r="DS17" i="55"/>
  <c r="DS27" i="55" s="1"/>
  <c r="DS14" i="55"/>
  <c r="DS24" i="55" s="1"/>
  <c r="DS12" i="55"/>
  <c r="DS22" i="55" s="1"/>
  <c r="EI44" i="53"/>
  <c r="EI47" i="53" s="1"/>
  <c r="DT16" i="55"/>
  <c r="DT26" i="55" s="1"/>
  <c r="EB40" i="53"/>
  <c r="EB49" i="53" s="1"/>
  <c r="EB50" i="53" s="1"/>
  <c r="DU15" i="55"/>
  <c r="DU25" i="55" s="1"/>
  <c r="ED35" i="53"/>
  <c r="CW23" i="5"/>
  <c r="EC36" i="53"/>
  <c r="EC39" i="53"/>
  <c r="ED38" i="53"/>
  <c r="CW24" i="5"/>
  <c r="DJ11" i="55"/>
  <c r="DI21" i="55"/>
  <c r="DI28" i="55" s="1"/>
  <c r="DD108" i="5" l="1"/>
  <c r="DG79" i="5"/>
  <c r="DG90" i="5"/>
  <c r="DG101" i="5"/>
  <c r="DG100" i="5"/>
  <c r="J73" i="65"/>
  <c r="E74" i="65" s="1"/>
  <c r="F74" i="65" s="1"/>
  <c r="DS23" i="55"/>
  <c r="DT13" i="55"/>
  <c r="DW93" i="38"/>
  <c r="DF56" i="5"/>
  <c r="EL29" i="53"/>
  <c r="EL31" i="53" s="1"/>
  <c r="EL99" i="53" s="1"/>
  <c r="DV106" i="38"/>
  <c r="DW39" i="38"/>
  <c r="DW95" i="38"/>
  <c r="DW104" i="38" s="1"/>
  <c r="DW22" i="38"/>
  <c r="DD63" i="5"/>
  <c r="DX93" i="38"/>
  <c r="DX4" i="38"/>
  <c r="DY3" i="38"/>
  <c r="DF29" i="5"/>
  <c r="EO6" i="53"/>
  <c r="EO11" i="53" s="1"/>
  <c r="EP7" i="53"/>
  <c r="DG45" i="5"/>
  <c r="DG50" i="5"/>
  <c r="DG39" i="5"/>
  <c r="DG53" i="5"/>
  <c r="DG38" i="5"/>
  <c r="DG68" i="5"/>
  <c r="DG31" i="5"/>
  <c r="DG57" i="5"/>
  <c r="DG27" i="5"/>
  <c r="DG59" i="5"/>
  <c r="DG32" i="5"/>
  <c r="DG42" i="5"/>
  <c r="DG71" i="5"/>
  <c r="DG35" i="5"/>
  <c r="DG62" i="5"/>
  <c r="DG85" i="5"/>
  <c r="DG46" i="5"/>
  <c r="DG48" i="5"/>
  <c r="DG49" i="5"/>
  <c r="DG40" i="5"/>
  <c r="DG51" i="5"/>
  <c r="DG52" i="5"/>
  <c r="DG47" i="5"/>
  <c r="DG28" i="5"/>
  <c r="DG5" i="5"/>
  <c r="DG54" i="5"/>
  <c r="DH4" i="5"/>
  <c r="DF33" i="5"/>
  <c r="DF34" i="5"/>
  <c r="DF70" i="5"/>
  <c r="DF69" i="5"/>
  <c r="DE87" i="5"/>
  <c r="DB19" i="6"/>
  <c r="DE86" i="5" s="1"/>
  <c r="DC15" i="6"/>
  <c r="DF78" i="5" s="1"/>
  <c r="DC16" i="6"/>
  <c r="DC27" i="6"/>
  <c r="DC28" i="6" s="1"/>
  <c r="DC14" i="6"/>
  <c r="DC13" i="6"/>
  <c r="DC38" i="6"/>
  <c r="DC25" i="6"/>
  <c r="DD6" i="6"/>
  <c r="DD12" i="6" s="1"/>
  <c r="DC40" i="6"/>
  <c r="DF92" i="5" s="1"/>
  <c r="DC18" i="6"/>
  <c r="DC35" i="6"/>
  <c r="DC7" i="6"/>
  <c r="DC36" i="6"/>
  <c r="DC34" i="6"/>
  <c r="DF91" i="5" s="1"/>
  <c r="DC37" i="6"/>
  <c r="DF80" i="5" s="1"/>
  <c r="DC24" i="6"/>
  <c r="DC26" i="6"/>
  <c r="DB29" i="6"/>
  <c r="DC23" i="6" s="1"/>
  <c r="DE81" i="5"/>
  <c r="DE94" i="5"/>
  <c r="DB41" i="6"/>
  <c r="DE93" i="5" s="1"/>
  <c r="AJ46" i="5"/>
  <c r="AJ54" i="5" s="1"/>
  <c r="AK31" i="5"/>
  <c r="BS72" i="53"/>
  <c r="BR78" i="53"/>
  <c r="BS67" i="53"/>
  <c r="BS57" i="53"/>
  <c r="BS59" i="53"/>
  <c r="BS65" i="53" s="1"/>
  <c r="AM10" i="5"/>
  <c r="AL14" i="5"/>
  <c r="AM9" i="5" s="1"/>
  <c r="CD17" i="53"/>
  <c r="CD74" i="53" s="1"/>
  <c r="CD81" i="53" s="1"/>
  <c r="CD73" i="53"/>
  <c r="DV41" i="55"/>
  <c r="DW3" i="55"/>
  <c r="DG8" i="6"/>
  <c r="EO84" i="53"/>
  <c r="EP8" i="53"/>
  <c r="DT17" i="55"/>
  <c r="DT27" i="55" s="1"/>
  <c r="DT12" i="55"/>
  <c r="DT22" i="55" s="1"/>
  <c r="DT14" i="55"/>
  <c r="DT24" i="55" s="1"/>
  <c r="EJ44" i="53"/>
  <c r="EJ47" i="53" s="1"/>
  <c r="DU16" i="55"/>
  <c r="DU26" i="55" s="1"/>
  <c r="DV15" i="55"/>
  <c r="DV25" i="55" s="1"/>
  <c r="DJ21" i="55"/>
  <c r="DJ28" i="55" s="1"/>
  <c r="DK11" i="55"/>
  <c r="ED39" i="53"/>
  <c r="CX24" i="5"/>
  <c r="EE38" i="53"/>
  <c r="EC40" i="53"/>
  <c r="EC49" i="53" s="1"/>
  <c r="EC50" i="53" s="1"/>
  <c r="CX23" i="5"/>
  <c r="ED36" i="53"/>
  <c r="EE35" i="53"/>
  <c r="DE108" i="5" l="1"/>
  <c r="DH79" i="5"/>
  <c r="DH90" i="5"/>
  <c r="DH101" i="5"/>
  <c r="AJ56" i="5"/>
  <c r="DH100" i="5"/>
  <c r="J74" i="65"/>
  <c r="E75" i="65" s="1"/>
  <c r="DT23" i="55"/>
  <c r="DU13" i="55"/>
  <c r="DC29" i="6"/>
  <c r="DD23" i="6" s="1"/>
  <c r="EM29" i="53"/>
  <c r="EM31" i="53" s="1"/>
  <c r="EM99" i="53" s="1"/>
  <c r="DW106" i="38"/>
  <c r="DE60" i="5"/>
  <c r="DX95" i="38"/>
  <c r="DX104" i="38" s="1"/>
  <c r="DX22" i="38"/>
  <c r="DG56" i="5"/>
  <c r="DX39" i="38"/>
  <c r="DY4" i="38"/>
  <c r="DZ3" i="38"/>
  <c r="BR100" i="53"/>
  <c r="EP6" i="53"/>
  <c r="EP11" i="53" s="1"/>
  <c r="EQ7" i="53"/>
  <c r="DG29" i="5"/>
  <c r="DH52" i="5"/>
  <c r="DH42" i="5"/>
  <c r="DH68" i="5"/>
  <c r="DH31" i="5"/>
  <c r="DH57" i="5"/>
  <c r="DH27" i="5"/>
  <c r="DH71" i="5"/>
  <c r="DH28" i="5"/>
  <c r="DH46" i="5"/>
  <c r="DH48" i="5"/>
  <c r="DH45" i="5"/>
  <c r="DH49" i="5"/>
  <c r="DH85" i="5"/>
  <c r="DH59" i="5"/>
  <c r="DH51" i="5"/>
  <c r="DH47" i="5"/>
  <c r="DH50" i="5"/>
  <c r="DH39" i="5"/>
  <c r="DH53" i="5"/>
  <c r="DH38" i="5"/>
  <c r="DH35" i="5"/>
  <c r="DH32" i="5"/>
  <c r="DI4" i="5"/>
  <c r="DH5" i="5"/>
  <c r="DH40" i="5"/>
  <c r="DH62" i="5"/>
  <c r="DH54" i="5"/>
  <c r="DG34" i="5"/>
  <c r="DG33" i="5"/>
  <c r="DG70" i="5"/>
  <c r="DG69" i="5"/>
  <c r="DD15" i="6"/>
  <c r="DG78" i="5" s="1"/>
  <c r="DD38" i="6"/>
  <c r="DD36" i="6"/>
  <c r="DD37" i="6"/>
  <c r="DG80" i="5" s="1"/>
  <c r="DD26" i="6"/>
  <c r="DD35" i="6"/>
  <c r="DD16" i="6"/>
  <c r="DE6" i="6"/>
  <c r="DE12" i="6" s="1"/>
  <c r="DD34" i="6"/>
  <c r="DG91" i="5" s="1"/>
  <c r="DD7" i="6"/>
  <c r="DD40" i="6"/>
  <c r="DG92" i="5" s="1"/>
  <c r="DD27" i="6"/>
  <c r="DD28" i="6" s="1"/>
  <c r="DD14" i="6"/>
  <c r="DD18" i="6"/>
  <c r="DD25" i="6"/>
  <c r="DD24" i="6"/>
  <c r="DD13" i="6"/>
  <c r="DF94" i="5"/>
  <c r="DC41" i="6"/>
  <c r="DF93" i="5" s="1"/>
  <c r="DF87" i="5"/>
  <c r="DC19" i="6"/>
  <c r="DF86" i="5" s="1"/>
  <c r="DF81" i="5"/>
  <c r="CD18" i="53"/>
  <c r="CD54" i="53" s="1"/>
  <c r="CD75" i="53"/>
  <c r="CD88" i="53" s="1"/>
  <c r="CD89" i="53" s="1"/>
  <c r="CE87" i="53" s="1"/>
  <c r="BS66" i="53"/>
  <c r="AM32" i="5"/>
  <c r="BS79" i="53"/>
  <c r="BS23" i="53" s="1"/>
  <c r="BT15" i="53"/>
  <c r="BT20" i="53" s="1"/>
  <c r="BT22" i="53" s="1"/>
  <c r="BT53" i="53"/>
  <c r="BS56" i="53"/>
  <c r="BS76" i="53" s="1"/>
  <c r="BR95" i="53"/>
  <c r="BS71" i="53"/>
  <c r="BR92" i="53"/>
  <c r="BR93" i="53" s="1"/>
  <c r="AK33" i="5"/>
  <c r="AK34" i="5"/>
  <c r="EP84" i="53"/>
  <c r="EQ8" i="53"/>
  <c r="DH8" i="6"/>
  <c r="DX3" i="55"/>
  <c r="DW41" i="55"/>
  <c r="DU17" i="55"/>
  <c r="DU27" i="55" s="1"/>
  <c r="DU14" i="55"/>
  <c r="DU24" i="55" s="1"/>
  <c r="DU12" i="55"/>
  <c r="DU22" i="55" s="1"/>
  <c r="EK44" i="53"/>
  <c r="EK47" i="53" s="1"/>
  <c r="DV16" i="55"/>
  <c r="DV26" i="55" s="1"/>
  <c r="DW15" i="55"/>
  <c r="DW25" i="55" s="1"/>
  <c r="ED40" i="53"/>
  <c r="ED49" i="53" s="1"/>
  <c r="ED50" i="53" s="1"/>
  <c r="EE36" i="53"/>
  <c r="CY23" i="5"/>
  <c r="EF35" i="53"/>
  <c r="EE39" i="53"/>
  <c r="EF38" i="53"/>
  <c r="CY24" i="5"/>
  <c r="DL11" i="55"/>
  <c r="DK21" i="55"/>
  <c r="DK28" i="55" s="1"/>
  <c r="DF108" i="5" l="1"/>
  <c r="AJ71" i="5"/>
  <c r="X57" i="5"/>
  <c r="DI79" i="5"/>
  <c r="DI90" i="5"/>
  <c r="DI101" i="5"/>
  <c r="DI100" i="5"/>
  <c r="F75" i="65"/>
  <c r="DU23" i="55"/>
  <c r="DV13" i="55"/>
  <c r="DD29" i="6"/>
  <c r="DE23" i="6" s="1"/>
  <c r="AX11" i="5"/>
  <c r="EN29" i="53"/>
  <c r="EN31" i="53" s="1"/>
  <c r="EN99" i="53" s="1"/>
  <c r="DX106" i="38"/>
  <c r="DF60" i="5"/>
  <c r="DY93" i="38"/>
  <c r="DY95" i="38" s="1"/>
  <c r="DY104" i="38" s="1"/>
  <c r="DY22" i="38"/>
  <c r="DY39" i="38"/>
  <c r="DE63" i="5"/>
  <c r="EA3" i="38"/>
  <c r="DZ4" i="38"/>
  <c r="DH56" i="5"/>
  <c r="EQ6" i="53"/>
  <c r="EQ11" i="53" s="1"/>
  <c r="ER7" i="53"/>
  <c r="DI52" i="5"/>
  <c r="DI5" i="5"/>
  <c r="DI46" i="5"/>
  <c r="DI35" i="5"/>
  <c r="DI48" i="5"/>
  <c r="DI49" i="5"/>
  <c r="DI51" i="5"/>
  <c r="DI53" i="5"/>
  <c r="DI38" i="5"/>
  <c r="DI57" i="5"/>
  <c r="DI31" i="5"/>
  <c r="DI85" i="5"/>
  <c r="DI47" i="5"/>
  <c r="DI45" i="5"/>
  <c r="DI39" i="5"/>
  <c r="DI50" i="5"/>
  <c r="DI27" i="5"/>
  <c r="DI32" i="5"/>
  <c r="DI28" i="5"/>
  <c r="DJ4" i="5"/>
  <c r="DI42" i="5"/>
  <c r="DI62" i="5"/>
  <c r="DI68" i="5"/>
  <c r="DI59" i="5"/>
  <c r="DI40" i="5"/>
  <c r="DI54" i="5"/>
  <c r="DI71" i="5"/>
  <c r="DH29" i="5"/>
  <c r="DH33" i="5"/>
  <c r="DH34" i="5"/>
  <c r="DH70" i="5"/>
  <c r="DH69" i="5"/>
  <c r="DF6" i="6"/>
  <c r="DF12" i="6" s="1"/>
  <c r="DE24" i="6"/>
  <c r="DE15" i="6"/>
  <c r="DH78" i="5" s="1"/>
  <c r="DE7" i="6"/>
  <c r="DE34" i="6"/>
  <c r="DH91" i="5" s="1"/>
  <c r="DE13" i="6"/>
  <c r="DE18" i="6"/>
  <c r="DE27" i="6"/>
  <c r="DE28" i="6" s="1"/>
  <c r="DE40" i="6"/>
  <c r="DH92" i="5" s="1"/>
  <c r="DE26" i="6"/>
  <c r="DE37" i="6"/>
  <c r="DH80" i="5" s="1"/>
  <c r="DE25" i="6"/>
  <c r="DE35" i="6"/>
  <c r="DE36" i="6"/>
  <c r="DE38" i="6"/>
  <c r="DE16" i="6"/>
  <c r="DE14" i="6"/>
  <c r="DG87" i="5"/>
  <c r="DD19" i="6"/>
  <c r="DG86" i="5" s="1"/>
  <c r="DD41" i="6"/>
  <c r="DG93" i="5" s="1"/>
  <c r="DG94" i="5"/>
  <c r="DG81" i="5"/>
  <c r="AK35" i="5"/>
  <c r="AK42" i="5" s="1"/>
  <c r="AK62" i="5" s="1"/>
  <c r="AK63" i="5" s="1"/>
  <c r="BR98" i="53"/>
  <c r="BR96" i="53"/>
  <c r="AL30" i="5" s="1"/>
  <c r="BS91" i="53"/>
  <c r="BS77" i="53"/>
  <c r="BS82" i="53"/>
  <c r="BS83" i="53" s="1"/>
  <c r="CE16" i="53" s="1"/>
  <c r="AM12" i="5"/>
  <c r="AM13" i="5" s="1"/>
  <c r="BT60" i="53"/>
  <c r="DX41" i="55"/>
  <c r="DY3" i="55"/>
  <c r="DI8" i="6"/>
  <c r="EQ84" i="53"/>
  <c r="ER8" i="53"/>
  <c r="DV17" i="55"/>
  <c r="DV27" i="55" s="1"/>
  <c r="DV12" i="55"/>
  <c r="DV22" i="55" s="1"/>
  <c r="DV14" i="55"/>
  <c r="DV24" i="55" s="1"/>
  <c r="EL44" i="53"/>
  <c r="EL47" i="53" s="1"/>
  <c r="DW16" i="55"/>
  <c r="DW26" i="55" s="1"/>
  <c r="DX15" i="55"/>
  <c r="DX25" i="55" s="1"/>
  <c r="EE40" i="53"/>
  <c r="EE49" i="53" s="1"/>
  <c r="EE50" i="53" s="1"/>
  <c r="EF39" i="53"/>
  <c r="CZ24" i="5"/>
  <c r="EG38" i="53"/>
  <c r="EF36" i="53"/>
  <c r="CZ23" i="5"/>
  <c r="EG35" i="53"/>
  <c r="DL21" i="55"/>
  <c r="DL28" i="55" s="1"/>
  <c r="DM11" i="55"/>
  <c r="DG108" i="5" l="1"/>
  <c r="DJ79" i="5"/>
  <c r="DJ90" i="5"/>
  <c r="DJ101" i="5"/>
  <c r="DJ100" i="5"/>
  <c r="J75" i="65"/>
  <c r="E76" i="65" s="1"/>
  <c r="DV23" i="55"/>
  <c r="DW13" i="55"/>
  <c r="EO29" i="53"/>
  <c r="EO31" i="53" s="1"/>
  <c r="EO99" i="53" s="1"/>
  <c r="DY106" i="38"/>
  <c r="DG60" i="5"/>
  <c r="DZ93" i="38"/>
  <c r="DZ95" i="38" s="1"/>
  <c r="DZ104" i="38" s="1"/>
  <c r="DH60" i="5" s="1"/>
  <c r="DZ22" i="38"/>
  <c r="DZ39" i="38"/>
  <c r="EA4" i="38"/>
  <c r="EB3" i="38"/>
  <c r="DF63" i="5"/>
  <c r="DI29" i="5"/>
  <c r="ES7" i="53"/>
  <c r="ER6" i="53"/>
  <c r="ER11" i="53" s="1"/>
  <c r="DI56" i="5"/>
  <c r="DI34" i="5"/>
  <c r="DI33" i="5"/>
  <c r="DI70" i="5"/>
  <c r="DI69" i="5"/>
  <c r="DJ50" i="5"/>
  <c r="DJ53" i="5"/>
  <c r="DJ38" i="5"/>
  <c r="DJ68" i="5"/>
  <c r="DJ31" i="5"/>
  <c r="DJ85" i="5"/>
  <c r="DJ5" i="5"/>
  <c r="DJ52" i="5"/>
  <c r="DK4" i="5"/>
  <c r="DJ47" i="5"/>
  <c r="DJ46" i="5"/>
  <c r="DJ49" i="5"/>
  <c r="DJ54" i="5"/>
  <c r="DJ51" i="5"/>
  <c r="DJ40" i="5"/>
  <c r="DJ28" i="5"/>
  <c r="DJ62" i="5"/>
  <c r="DJ27" i="5"/>
  <c r="DJ32" i="5"/>
  <c r="DJ57" i="5"/>
  <c r="DJ59" i="5"/>
  <c r="DJ71" i="5"/>
  <c r="DJ48" i="5"/>
  <c r="DJ45" i="5"/>
  <c r="DJ35" i="5"/>
  <c r="DJ39" i="5"/>
  <c r="DJ42" i="5"/>
  <c r="DE19" i="6"/>
  <c r="DH86" i="5" s="1"/>
  <c r="DH87" i="5"/>
  <c r="DH81" i="5"/>
  <c r="DF13" i="6"/>
  <c r="DF24" i="6"/>
  <c r="DF34" i="6"/>
  <c r="DI91" i="5" s="1"/>
  <c r="DF14" i="6"/>
  <c r="DF26" i="6"/>
  <c r="DF16" i="6"/>
  <c r="DF15" i="6"/>
  <c r="DI78" i="5" s="1"/>
  <c r="DF38" i="6"/>
  <c r="DF25" i="6"/>
  <c r="DF36" i="6"/>
  <c r="DF27" i="6"/>
  <c r="DF28" i="6" s="1"/>
  <c r="DF40" i="6"/>
  <c r="DI92" i="5" s="1"/>
  <c r="DF35" i="6"/>
  <c r="DF7" i="6"/>
  <c r="DF18" i="6"/>
  <c r="DG6" i="6"/>
  <c r="DG12" i="6" s="1"/>
  <c r="DF37" i="6"/>
  <c r="DI80" i="5" s="1"/>
  <c r="DE41" i="6"/>
  <c r="DH93" i="5" s="1"/>
  <c r="DH94" i="5"/>
  <c r="DE29" i="6"/>
  <c r="DF23" i="6" s="1"/>
  <c r="AK46" i="5"/>
  <c r="AK54" i="5" s="1"/>
  <c r="BT67" i="53"/>
  <c r="BT59" i="53"/>
  <c r="BT65" i="53" s="1"/>
  <c r="BT57" i="53"/>
  <c r="AM14" i="5"/>
  <c r="AN9" i="5" s="1"/>
  <c r="AN10" i="5"/>
  <c r="CE17" i="53"/>
  <c r="CE74" i="53" s="1"/>
  <c r="CE81" i="53" s="1"/>
  <c r="CE73" i="53"/>
  <c r="BS78" i="53"/>
  <c r="BT72" i="53"/>
  <c r="AL31" i="5"/>
  <c r="ER84" i="53"/>
  <c r="ES8" i="53"/>
  <c r="DJ8" i="6"/>
  <c r="DY41" i="55"/>
  <c r="DZ3" i="55"/>
  <c r="DW17" i="55"/>
  <c r="DW27" i="55" s="1"/>
  <c r="DW14" i="55"/>
  <c r="DW24" i="55" s="1"/>
  <c r="DW12" i="55"/>
  <c r="DW22" i="55" s="1"/>
  <c r="EM44" i="53"/>
  <c r="EM47" i="53" s="1"/>
  <c r="DX16" i="55"/>
  <c r="DX26" i="55" s="1"/>
  <c r="DY15" i="55"/>
  <c r="DY25" i="55" s="1"/>
  <c r="EG39" i="53"/>
  <c r="DA24" i="5"/>
  <c r="EH38" i="53"/>
  <c r="DN11" i="55"/>
  <c r="DM21" i="55"/>
  <c r="DM28" i="55" s="1"/>
  <c r="EH35" i="53"/>
  <c r="EG36" i="53"/>
  <c r="DA23" i="5"/>
  <c r="EF40" i="53"/>
  <c r="EF49" i="53" s="1"/>
  <c r="EF50" i="53" s="1"/>
  <c r="DH108" i="5" l="1"/>
  <c r="DK79" i="5"/>
  <c r="DK101" i="5"/>
  <c r="DK90" i="5"/>
  <c r="AK56" i="5"/>
  <c r="DK100" i="5"/>
  <c r="F76" i="65"/>
  <c r="DW23" i="55"/>
  <c r="DX13" i="55"/>
  <c r="DF29" i="6"/>
  <c r="DG23" i="6" s="1"/>
  <c r="EP29" i="53"/>
  <c r="EP31" i="53" s="1"/>
  <c r="EP99" i="53" s="1"/>
  <c r="DZ106" i="38"/>
  <c r="EA93" i="38"/>
  <c r="EA95" i="38" s="1"/>
  <c r="EA104" i="38" s="1"/>
  <c r="EA22" i="38"/>
  <c r="DJ29" i="5"/>
  <c r="EA39" i="38"/>
  <c r="DG63" i="5"/>
  <c r="EB4" i="38"/>
  <c r="EC3" i="38"/>
  <c r="BS100" i="53"/>
  <c r="DJ56" i="5"/>
  <c r="ES6" i="53"/>
  <c r="ES11" i="53" s="1"/>
  <c r="ET7" i="53"/>
  <c r="DJ33" i="5"/>
  <c r="DJ34" i="5"/>
  <c r="DJ70" i="5"/>
  <c r="DJ69" i="5"/>
  <c r="DK71" i="5"/>
  <c r="DK32" i="5"/>
  <c r="DK53" i="5"/>
  <c r="DL4" i="5"/>
  <c r="DK52" i="5"/>
  <c r="DK46" i="5"/>
  <c r="DK45" i="5"/>
  <c r="DK49" i="5"/>
  <c r="DK40" i="5"/>
  <c r="DK35" i="5"/>
  <c r="DK50" i="5"/>
  <c r="DK51" i="5"/>
  <c r="DK62" i="5"/>
  <c r="DK27" i="5"/>
  <c r="DK5" i="5"/>
  <c r="DK42" i="5"/>
  <c r="DK54" i="5"/>
  <c r="DK68" i="5"/>
  <c r="DK57" i="5"/>
  <c r="DK59" i="5"/>
  <c r="DK85" i="5"/>
  <c r="DK47" i="5"/>
  <c r="DK48" i="5"/>
  <c r="DK39" i="5"/>
  <c r="DK38" i="5"/>
  <c r="DK28" i="5"/>
  <c r="DK31" i="5"/>
  <c r="DI81" i="5"/>
  <c r="DF41" i="6"/>
  <c r="DI93" i="5" s="1"/>
  <c r="DI94" i="5"/>
  <c r="DI87" i="5"/>
  <c r="DF19" i="6"/>
  <c r="DI86" i="5" s="1"/>
  <c r="DH6" i="6"/>
  <c r="DH12" i="6" s="1"/>
  <c r="DG18" i="6"/>
  <c r="DG13" i="6"/>
  <c r="DG7" i="6"/>
  <c r="DG40" i="6"/>
  <c r="DJ92" i="5" s="1"/>
  <c r="DG14" i="6"/>
  <c r="DG24" i="6"/>
  <c r="DG15" i="6"/>
  <c r="DJ78" i="5" s="1"/>
  <c r="DG26" i="6"/>
  <c r="DG25" i="6"/>
  <c r="DG36" i="6"/>
  <c r="DG34" i="6"/>
  <c r="DJ91" i="5" s="1"/>
  <c r="DG37" i="6"/>
  <c r="DJ80" i="5" s="1"/>
  <c r="DG35" i="6"/>
  <c r="DG38" i="6"/>
  <c r="DG16" i="6"/>
  <c r="DG27" i="6"/>
  <c r="DG28" i="6" s="1"/>
  <c r="CE75" i="53"/>
  <c r="AY11" i="5" s="1"/>
  <c r="AL33" i="5"/>
  <c r="AL34" i="5"/>
  <c r="BT71" i="53"/>
  <c r="BS95" i="53"/>
  <c r="BS92" i="53"/>
  <c r="BS93" i="53" s="1"/>
  <c r="CE18" i="53"/>
  <c r="CE54" i="53" s="1"/>
  <c r="BU53" i="53"/>
  <c r="BU15" i="53"/>
  <c r="BU20" i="53" s="1"/>
  <c r="BU22" i="53" s="1"/>
  <c r="BT56" i="53"/>
  <c r="BT76" i="53" s="1"/>
  <c r="BT79" i="53"/>
  <c r="BT23" i="53" s="1"/>
  <c r="BT66" i="53"/>
  <c r="AN32" i="5"/>
  <c r="EA3" i="55"/>
  <c r="DZ41" i="55"/>
  <c r="DK8" i="6"/>
  <c r="ES84" i="53"/>
  <c r="ET8" i="53"/>
  <c r="DX17" i="55"/>
  <c r="DX27" i="55" s="1"/>
  <c r="DX12" i="55"/>
  <c r="DX22" i="55" s="1"/>
  <c r="DX14" i="55"/>
  <c r="DX24" i="55" s="1"/>
  <c r="EN44" i="53"/>
  <c r="EN47" i="53" s="1"/>
  <c r="EG40" i="53"/>
  <c r="EG49" i="53" s="1"/>
  <c r="EG50" i="53" s="1"/>
  <c r="DY16" i="55"/>
  <c r="DY26" i="55" s="1"/>
  <c r="DZ15" i="55"/>
  <c r="DZ25" i="55" s="1"/>
  <c r="EI35" i="53"/>
  <c r="DB23" i="5"/>
  <c r="EH36" i="53"/>
  <c r="DB24" i="5"/>
  <c r="EI38" i="53"/>
  <c r="EH39" i="53"/>
  <c r="DO11" i="55"/>
  <c r="DN21" i="55"/>
  <c r="DN28" i="55" s="1"/>
  <c r="DI108" i="5" l="1"/>
  <c r="AK71" i="5"/>
  <c r="Y57" i="5"/>
  <c r="DL79" i="5"/>
  <c r="DL101" i="5"/>
  <c r="DL90" i="5"/>
  <c r="DL100" i="5"/>
  <c r="J76" i="65"/>
  <c r="E77" i="65" s="1"/>
  <c r="F77" i="65" s="1"/>
  <c r="DX23" i="55"/>
  <c r="DY13" i="55"/>
  <c r="EQ29" i="53"/>
  <c r="EQ31" i="53" s="1"/>
  <c r="EQ99" i="53" s="1"/>
  <c r="EA106" i="38"/>
  <c r="DI60" i="5"/>
  <c r="DH63" i="5"/>
  <c r="EB93" i="38"/>
  <c r="EB95" i="38" s="1"/>
  <c r="EB104" i="38" s="1"/>
  <c r="EB22" i="38"/>
  <c r="DK29" i="5"/>
  <c r="DK56" i="5"/>
  <c r="EB39" i="38"/>
  <c r="EC4" i="38"/>
  <c r="ED3" i="38"/>
  <c r="ET6" i="53"/>
  <c r="ET11" i="53" s="1"/>
  <c r="EU7" i="53"/>
  <c r="DK70" i="5"/>
  <c r="DK69" i="5"/>
  <c r="DL39" i="5"/>
  <c r="DL45" i="5"/>
  <c r="DL49" i="5"/>
  <c r="DL38" i="5"/>
  <c r="DL59" i="5"/>
  <c r="DL71" i="5"/>
  <c r="DL32" i="5"/>
  <c r="DL85" i="5"/>
  <c r="DM4" i="5"/>
  <c r="DL51" i="5"/>
  <c r="DL5" i="5"/>
  <c r="DL57" i="5"/>
  <c r="DL47" i="5"/>
  <c r="DL54" i="5"/>
  <c r="DL68" i="5"/>
  <c r="DL35" i="5"/>
  <c r="DL53" i="5"/>
  <c r="DL42" i="5"/>
  <c r="DL62" i="5"/>
  <c r="DL52" i="5"/>
  <c r="DL46" i="5"/>
  <c r="DL40" i="5"/>
  <c r="DL48" i="5"/>
  <c r="DL50" i="5"/>
  <c r="DL28" i="5"/>
  <c r="DL31" i="5"/>
  <c r="DL27" i="5"/>
  <c r="DK34" i="5"/>
  <c r="DK33" i="5"/>
  <c r="DG41" i="6"/>
  <c r="DJ93" i="5" s="1"/>
  <c r="DJ94" i="5"/>
  <c r="DH15" i="6"/>
  <c r="DK78" i="5" s="1"/>
  <c r="DH26" i="6"/>
  <c r="DH14" i="6"/>
  <c r="DH34" i="6"/>
  <c r="DK91" i="5" s="1"/>
  <c r="DH25" i="6"/>
  <c r="DH13" i="6"/>
  <c r="DH24" i="6"/>
  <c r="DH16" i="6"/>
  <c r="DH7" i="6"/>
  <c r="DH18" i="6"/>
  <c r="DI6" i="6"/>
  <c r="DI12" i="6" s="1"/>
  <c r="DH40" i="6"/>
  <c r="DK92" i="5" s="1"/>
  <c r="DH27" i="6"/>
  <c r="DH28" i="6" s="1"/>
  <c r="DH37" i="6"/>
  <c r="DK80" i="5" s="1"/>
  <c r="DH35" i="6"/>
  <c r="DH36" i="6"/>
  <c r="DH38" i="6"/>
  <c r="DJ87" i="5"/>
  <c r="DG19" i="6"/>
  <c r="DJ86" i="5" s="1"/>
  <c r="DG29" i="6"/>
  <c r="DH23" i="6" s="1"/>
  <c r="DJ81" i="5"/>
  <c r="AL35" i="5"/>
  <c r="AL42" i="5" s="1"/>
  <c r="AL46" i="5" s="1"/>
  <c r="AL54" i="5" s="1"/>
  <c r="AL56" i="5" s="1"/>
  <c r="CE88" i="53"/>
  <c r="CE89" i="53" s="1"/>
  <c r="CF87" i="53" s="1"/>
  <c r="BT82" i="53"/>
  <c r="BT83" i="53" s="1"/>
  <c r="CF16" i="53" s="1"/>
  <c r="AN12" i="5"/>
  <c r="AN13" i="5" s="1"/>
  <c r="BU60" i="53"/>
  <c r="BS96" i="53"/>
  <c r="AM30" i="5" s="1"/>
  <c r="BS98" i="53"/>
  <c r="BT91" i="53"/>
  <c r="BT77" i="53"/>
  <c r="DL8" i="6"/>
  <c r="ET84" i="53"/>
  <c r="EU8" i="53"/>
  <c r="EA41" i="55"/>
  <c r="EB3" i="55"/>
  <c r="DY17" i="55"/>
  <c r="DY27" i="55" s="1"/>
  <c r="DY14" i="55"/>
  <c r="DY24" i="55" s="1"/>
  <c r="DY12" i="55"/>
  <c r="DY22" i="55" s="1"/>
  <c r="EO44" i="53"/>
  <c r="EO47" i="53" s="1"/>
  <c r="DZ16" i="55"/>
  <c r="DZ26" i="55" s="1"/>
  <c r="EA15" i="55"/>
  <c r="EA25" i="55" s="1"/>
  <c r="DC24" i="5"/>
  <c r="EJ38" i="53"/>
  <c r="EI39" i="53"/>
  <c r="EH40" i="53"/>
  <c r="EH49" i="53" s="1"/>
  <c r="EH50" i="53" s="1"/>
  <c r="DP11" i="55"/>
  <c r="DO21" i="55"/>
  <c r="DO28" i="55" s="1"/>
  <c r="EI36" i="53"/>
  <c r="DC23" i="5"/>
  <c r="EJ35" i="53"/>
  <c r="DJ108" i="5" l="1"/>
  <c r="DM79" i="5"/>
  <c r="DM101" i="5"/>
  <c r="DM90" i="5"/>
  <c r="DM100" i="5"/>
  <c r="J77" i="65"/>
  <c r="E78" i="65" s="1"/>
  <c r="F78" i="65" s="1"/>
  <c r="DY23" i="55"/>
  <c r="DZ13" i="55"/>
  <c r="ER29" i="53"/>
  <c r="ER31" i="53" s="1"/>
  <c r="ER99" i="53" s="1"/>
  <c r="EB106" i="38"/>
  <c r="DJ60" i="5"/>
  <c r="EC93" i="38"/>
  <c r="EC22" i="38"/>
  <c r="EC39" i="38"/>
  <c r="DI63" i="5"/>
  <c r="EE3" i="38"/>
  <c r="ED4" i="38"/>
  <c r="EU6" i="53"/>
  <c r="EU11" i="53" s="1"/>
  <c r="EV7" i="53"/>
  <c r="DM68" i="5"/>
  <c r="DM31" i="5"/>
  <c r="DM54" i="5"/>
  <c r="DM71" i="5"/>
  <c r="DM32" i="5"/>
  <c r="DM85" i="5"/>
  <c r="DN4" i="5"/>
  <c r="DM53" i="5"/>
  <c r="DM46" i="5"/>
  <c r="DM48" i="5"/>
  <c r="DM45" i="5"/>
  <c r="DM57" i="5"/>
  <c r="DM35" i="5"/>
  <c r="DM59" i="5"/>
  <c r="DM51" i="5"/>
  <c r="DM52" i="5"/>
  <c r="DM39" i="5"/>
  <c r="DM47" i="5"/>
  <c r="DM49" i="5"/>
  <c r="DM50" i="5"/>
  <c r="DM42" i="5"/>
  <c r="DM38" i="5"/>
  <c r="DM62" i="5"/>
  <c r="DM28" i="5"/>
  <c r="DM40" i="5"/>
  <c r="DM27" i="5"/>
  <c r="DM5" i="5"/>
  <c r="DL70" i="5"/>
  <c r="DL69" i="5"/>
  <c r="DL56" i="5"/>
  <c r="DL29" i="5"/>
  <c r="DL34" i="5"/>
  <c r="DL33" i="5"/>
  <c r="DK87" i="5"/>
  <c r="DH19" i="6"/>
  <c r="DK86" i="5" s="1"/>
  <c r="DH29" i="6"/>
  <c r="DI23" i="6" s="1"/>
  <c r="DH41" i="6"/>
  <c r="DK93" i="5" s="1"/>
  <c r="DK94" i="5"/>
  <c r="DK81" i="5"/>
  <c r="DI15" i="6"/>
  <c r="DL78" i="5" s="1"/>
  <c r="DI18" i="6"/>
  <c r="DI34" i="6"/>
  <c r="DL91" i="5" s="1"/>
  <c r="DI37" i="6"/>
  <c r="DL80" i="5" s="1"/>
  <c r="DI16" i="6"/>
  <c r="DI35" i="6"/>
  <c r="DI27" i="6"/>
  <c r="DI28" i="6" s="1"/>
  <c r="DI38" i="6"/>
  <c r="DI36" i="6"/>
  <c r="DI26" i="6"/>
  <c r="DI24" i="6"/>
  <c r="DI13" i="6"/>
  <c r="DJ6" i="6"/>
  <c r="DJ12" i="6" s="1"/>
  <c r="DI25" i="6"/>
  <c r="DI40" i="6"/>
  <c r="DL92" i="5" s="1"/>
  <c r="DI7" i="6"/>
  <c r="DI14" i="6"/>
  <c r="AL62" i="5"/>
  <c r="AL63" i="5" s="1"/>
  <c r="Z57" i="5"/>
  <c r="BU72" i="53"/>
  <c r="BT78" i="53"/>
  <c r="AM31" i="5"/>
  <c r="BU59" i="53"/>
  <c r="BU65" i="53" s="1"/>
  <c r="BU57" i="53"/>
  <c r="BU67" i="53"/>
  <c r="AN14" i="5"/>
  <c r="AO9" i="5" s="1"/>
  <c r="AO10" i="5"/>
  <c r="CF17" i="53"/>
  <c r="CF74" i="53" s="1"/>
  <c r="CF81" i="53" s="1"/>
  <c r="CF73" i="53"/>
  <c r="EC3" i="55"/>
  <c r="EB41" i="55"/>
  <c r="EU84" i="53"/>
  <c r="EV8" i="53"/>
  <c r="DM8" i="6"/>
  <c r="DZ17" i="55"/>
  <c r="DZ27" i="55" s="1"/>
  <c r="DZ12" i="55"/>
  <c r="DZ22" i="55" s="1"/>
  <c r="DZ14" i="55"/>
  <c r="DZ24" i="55" s="1"/>
  <c r="EP44" i="53"/>
  <c r="EP47" i="53" s="1"/>
  <c r="EI40" i="53"/>
  <c r="EI49" i="53" s="1"/>
  <c r="EI50" i="53" s="1"/>
  <c r="EA16" i="55"/>
  <c r="EA26" i="55" s="1"/>
  <c r="EB15" i="55"/>
  <c r="EB25" i="55" s="1"/>
  <c r="DD23" i="5"/>
  <c r="EJ36" i="53"/>
  <c r="EK35" i="53"/>
  <c r="DP21" i="55"/>
  <c r="DP28" i="55" s="1"/>
  <c r="DQ11" i="55"/>
  <c r="EJ39" i="53"/>
  <c r="EK38" i="53"/>
  <c r="DD24" i="5"/>
  <c r="DK108" i="5" l="1"/>
  <c r="DN79" i="5"/>
  <c r="DN101" i="5"/>
  <c r="DN90" i="5"/>
  <c r="DN100" i="5"/>
  <c r="J78" i="65"/>
  <c r="E79" i="65" s="1"/>
  <c r="DZ23" i="55"/>
  <c r="EA13" i="55"/>
  <c r="ED93" i="38"/>
  <c r="ED39" i="38"/>
  <c r="DM29" i="5"/>
  <c r="ES29" i="53"/>
  <c r="ES31" i="53" s="1"/>
  <c r="ES99" i="53" s="1"/>
  <c r="EC95" i="38"/>
  <c r="EC104" i="38" s="1"/>
  <c r="ED95" i="38"/>
  <c r="ED104" i="38" s="1"/>
  <c r="DL60" i="5" s="1"/>
  <c r="ED22" i="38"/>
  <c r="EF3" i="38"/>
  <c r="EE4" i="38"/>
  <c r="DJ63" i="5"/>
  <c r="BT100" i="53"/>
  <c r="EV6" i="53"/>
  <c r="EV11" i="53" s="1"/>
  <c r="EW7" i="53"/>
  <c r="DN52" i="5"/>
  <c r="DN46" i="5"/>
  <c r="DN48" i="5"/>
  <c r="DN68" i="5"/>
  <c r="DN28" i="5"/>
  <c r="DN62" i="5"/>
  <c r="DN59" i="5"/>
  <c r="DN31" i="5"/>
  <c r="DN71" i="5"/>
  <c r="DN27" i="5"/>
  <c r="DN57" i="5"/>
  <c r="DN40" i="5"/>
  <c r="DN54" i="5"/>
  <c r="DN49" i="5"/>
  <c r="DN85" i="5"/>
  <c r="DN51" i="5"/>
  <c r="DN53" i="5"/>
  <c r="DN39" i="5"/>
  <c r="DN47" i="5"/>
  <c r="DN45" i="5"/>
  <c r="DN50" i="5"/>
  <c r="DN38" i="5"/>
  <c r="DN32" i="5"/>
  <c r="DN35" i="5"/>
  <c r="DN5" i="5"/>
  <c r="DO4" i="5"/>
  <c r="DN42" i="5"/>
  <c r="DM56" i="5"/>
  <c r="DM34" i="5"/>
  <c r="DM33" i="5"/>
  <c r="DM69" i="5"/>
  <c r="DM70" i="5"/>
  <c r="DL87" i="5"/>
  <c r="DI19" i="6"/>
  <c r="DL86" i="5" s="1"/>
  <c r="DI29" i="6"/>
  <c r="DJ23" i="6" s="1"/>
  <c r="DL81" i="5"/>
  <c r="DJ15" i="6"/>
  <c r="DM78" i="5" s="1"/>
  <c r="DJ16" i="6"/>
  <c r="DJ37" i="6"/>
  <c r="DM80" i="5" s="1"/>
  <c r="DJ26" i="6"/>
  <c r="DJ25" i="6"/>
  <c r="DJ27" i="6"/>
  <c r="DJ28" i="6" s="1"/>
  <c r="DJ7" i="6"/>
  <c r="DK6" i="6"/>
  <c r="DK12" i="6" s="1"/>
  <c r="DJ36" i="6"/>
  <c r="DJ34" i="6"/>
  <c r="DM91" i="5" s="1"/>
  <c r="DJ40" i="6"/>
  <c r="DM92" i="5" s="1"/>
  <c r="DJ13" i="6"/>
  <c r="DJ18" i="6"/>
  <c r="DJ24" i="6"/>
  <c r="DJ14" i="6"/>
  <c r="DJ35" i="6"/>
  <c r="DJ38" i="6"/>
  <c r="DL94" i="5"/>
  <c r="DI41" i="6"/>
  <c r="DL93" i="5" s="1"/>
  <c r="AL71" i="5"/>
  <c r="CF75" i="53"/>
  <c r="AZ11" i="5" s="1"/>
  <c r="BV53" i="53"/>
  <c r="BV15" i="53"/>
  <c r="BV20" i="53" s="1"/>
  <c r="BV22" i="53" s="1"/>
  <c r="BU56" i="53"/>
  <c r="BU76" i="53" s="1"/>
  <c r="BU79" i="53"/>
  <c r="BU23" i="53" s="1"/>
  <c r="BU66" i="53"/>
  <c r="AO32" i="5"/>
  <c r="AM34" i="5"/>
  <c r="AM33" i="5"/>
  <c r="BU71" i="53"/>
  <c r="BT95" i="53"/>
  <c r="BT92" i="53"/>
  <c r="BT93" i="53" s="1"/>
  <c r="CF18" i="53"/>
  <c r="CF54" i="53" s="1"/>
  <c r="DN8" i="6"/>
  <c r="EV84" i="53"/>
  <c r="EW8" i="53"/>
  <c r="ED3" i="55"/>
  <c r="EC41" i="55"/>
  <c r="EA17" i="55"/>
  <c r="EA27" i="55" s="1"/>
  <c r="EA14" i="55"/>
  <c r="EA24" i="55" s="1"/>
  <c r="EA12" i="55"/>
  <c r="EA22" i="55" s="1"/>
  <c r="EQ44" i="53"/>
  <c r="EQ47" i="53" s="1"/>
  <c r="EB16" i="55"/>
  <c r="EB26" i="55" s="1"/>
  <c r="EC15" i="55"/>
  <c r="EC25" i="55" s="1"/>
  <c r="EL38" i="53"/>
  <c r="EK39" i="53"/>
  <c r="DE24" i="5"/>
  <c r="DQ21" i="55"/>
  <c r="DQ28" i="55" s="1"/>
  <c r="DR11" i="55"/>
  <c r="EK36" i="53"/>
  <c r="DE23" i="5"/>
  <c r="EL35" i="53"/>
  <c r="EJ40" i="53"/>
  <c r="EJ49" i="53" s="1"/>
  <c r="EJ50" i="53" s="1"/>
  <c r="DL108" i="5" l="1"/>
  <c r="BU77" i="53"/>
  <c r="BU78" i="53" s="1"/>
  <c r="DO79" i="5"/>
  <c r="DO101" i="5"/>
  <c r="DO90" i="5"/>
  <c r="DN29" i="5"/>
  <c r="DO100" i="5"/>
  <c r="F79" i="65"/>
  <c r="EA23" i="55"/>
  <c r="EB13" i="55"/>
  <c r="ET29" i="53"/>
  <c r="ET31" i="53" s="1"/>
  <c r="ET99" i="53" s="1"/>
  <c r="EC106" i="38"/>
  <c r="DK60" i="5"/>
  <c r="ED106" i="38"/>
  <c r="EE93" i="38"/>
  <c r="EE95" i="38" s="1"/>
  <c r="EE104" i="38" s="1"/>
  <c r="EE22" i="38"/>
  <c r="EE39" i="38"/>
  <c r="DL63" i="5"/>
  <c r="EF4" i="38"/>
  <c r="EG3" i="38"/>
  <c r="EW6" i="53"/>
  <c r="EW11" i="53" s="1"/>
  <c r="EX7" i="53"/>
  <c r="DN56" i="5"/>
  <c r="DO38" i="5"/>
  <c r="DO57" i="5"/>
  <c r="DO28" i="5"/>
  <c r="DO59" i="5"/>
  <c r="DO31" i="5"/>
  <c r="DO53" i="5"/>
  <c r="DO47" i="5"/>
  <c r="DO35" i="5"/>
  <c r="DO71" i="5"/>
  <c r="DO62" i="5"/>
  <c r="DO40" i="5"/>
  <c r="DO85" i="5"/>
  <c r="DO50" i="5"/>
  <c r="DO39" i="5"/>
  <c r="DO51" i="5"/>
  <c r="DO54" i="5"/>
  <c r="DO52" i="5"/>
  <c r="DO46" i="5"/>
  <c r="DO48" i="5"/>
  <c r="DO45" i="5"/>
  <c r="DO49" i="5"/>
  <c r="DO32" i="5"/>
  <c r="DO27" i="5"/>
  <c r="DO5" i="5"/>
  <c r="DP4" i="5"/>
  <c r="DO42" i="5"/>
  <c r="DO68" i="5"/>
  <c r="DN34" i="5"/>
  <c r="DN33" i="5"/>
  <c r="DN70" i="5"/>
  <c r="DN69" i="5"/>
  <c r="DJ29" i="6"/>
  <c r="DK23" i="6" s="1"/>
  <c r="DM94" i="5"/>
  <c r="DJ41" i="6"/>
  <c r="DM93" i="5" s="1"/>
  <c r="DM87" i="5"/>
  <c r="DJ19" i="6"/>
  <c r="DM86" i="5" s="1"/>
  <c r="DM81" i="5"/>
  <c r="DK37" i="6"/>
  <c r="DN80" i="5" s="1"/>
  <c r="DK35" i="6"/>
  <c r="DK16" i="6"/>
  <c r="DK36" i="6"/>
  <c r="DK34" i="6"/>
  <c r="DN91" i="5" s="1"/>
  <c r="DK24" i="6"/>
  <c r="DK26" i="6"/>
  <c r="DK25" i="6"/>
  <c r="DL6" i="6"/>
  <c r="DL12" i="6" s="1"/>
  <c r="DK40" i="6"/>
  <c r="DN92" i="5" s="1"/>
  <c r="DK38" i="6"/>
  <c r="DK15" i="6"/>
  <c r="DN78" i="5" s="1"/>
  <c r="DK27" i="6"/>
  <c r="DK28" i="6" s="1"/>
  <c r="DK18" i="6"/>
  <c r="DK14" i="6"/>
  <c r="DK7" i="6"/>
  <c r="DK13" i="6"/>
  <c r="AM35" i="5"/>
  <c r="AM42" i="5" s="1"/>
  <c r="AM46" i="5" s="1"/>
  <c r="AM54" i="5" s="1"/>
  <c r="AM56" i="5" s="1"/>
  <c r="CF88" i="53"/>
  <c r="CF89" i="53" s="1"/>
  <c r="CG87" i="53" s="1"/>
  <c r="BT98" i="53"/>
  <c r="BT96" i="53"/>
  <c r="AN30" i="5" s="1"/>
  <c r="BU91" i="53"/>
  <c r="BU82" i="53"/>
  <c r="BU83" i="53" s="1"/>
  <c r="CG16" i="53" s="1"/>
  <c r="AO12" i="5"/>
  <c r="AO13" i="5" s="1"/>
  <c r="BV60" i="53"/>
  <c r="ED41" i="55"/>
  <c r="EE3" i="55"/>
  <c r="EW84" i="53"/>
  <c r="EX8" i="53"/>
  <c r="DO8" i="6"/>
  <c r="EB17" i="55"/>
  <c r="EB27" i="55" s="1"/>
  <c r="EB12" i="55"/>
  <c r="EB22" i="55" s="1"/>
  <c r="EB14" i="55"/>
  <c r="EB24" i="55" s="1"/>
  <c r="ER44" i="53"/>
  <c r="ER47" i="53" s="1"/>
  <c r="EC16" i="55"/>
  <c r="EC26" i="55" s="1"/>
  <c r="ED15" i="55"/>
  <c r="ED25" i="55" s="1"/>
  <c r="DS11" i="55"/>
  <c r="DR21" i="55"/>
  <c r="DR28" i="55" s="1"/>
  <c r="EM38" i="53"/>
  <c r="EL39" i="53"/>
  <c r="DF24" i="5"/>
  <c r="EM35" i="53"/>
  <c r="DF23" i="5"/>
  <c r="EL36" i="53"/>
  <c r="EK40" i="53"/>
  <c r="EK49" i="53" s="1"/>
  <c r="EK50" i="53" s="1"/>
  <c r="BV72" i="53" l="1"/>
  <c r="DM108" i="5"/>
  <c r="DP79" i="5"/>
  <c r="DP101" i="5"/>
  <c r="DP90" i="5"/>
  <c r="DP100" i="5"/>
  <c r="J79" i="65"/>
  <c r="E80" i="65" s="1"/>
  <c r="DN81" i="5"/>
  <c r="EB23" i="55"/>
  <c r="EC13" i="55"/>
  <c r="DK63" i="5"/>
  <c r="DO29" i="5"/>
  <c r="EU29" i="53"/>
  <c r="EU31" i="53" s="1"/>
  <c r="EU99" i="53" s="1"/>
  <c r="EE106" i="38"/>
  <c r="DM60" i="5"/>
  <c r="EF93" i="38"/>
  <c r="EF95" i="38" s="1"/>
  <c r="EF104" i="38" s="1"/>
  <c r="EF22" i="38"/>
  <c r="EF39" i="38"/>
  <c r="EG4" i="38"/>
  <c r="EH3" i="38"/>
  <c r="BU100" i="53"/>
  <c r="EX6" i="53"/>
  <c r="EX11" i="53" s="1"/>
  <c r="EY7" i="53"/>
  <c r="DP39" i="5"/>
  <c r="DP40" i="5"/>
  <c r="DP42" i="5"/>
  <c r="DP53" i="5"/>
  <c r="DP52" i="5"/>
  <c r="DP38" i="5"/>
  <c r="DP68" i="5"/>
  <c r="DP32" i="5"/>
  <c r="DP57" i="5"/>
  <c r="DP27" i="5"/>
  <c r="DP59" i="5"/>
  <c r="DP71" i="5"/>
  <c r="DP35" i="5"/>
  <c r="DP85" i="5"/>
  <c r="DP50" i="5"/>
  <c r="DP51" i="5"/>
  <c r="DP62" i="5"/>
  <c r="DP47" i="5"/>
  <c r="DP54" i="5"/>
  <c r="DP48" i="5"/>
  <c r="DP46" i="5"/>
  <c r="DP45" i="5"/>
  <c r="DP49" i="5"/>
  <c r="DP28" i="5"/>
  <c r="DP31" i="5"/>
  <c r="DQ4" i="5"/>
  <c r="DP5" i="5"/>
  <c r="DO34" i="5"/>
  <c r="DO33" i="5"/>
  <c r="DO70" i="5"/>
  <c r="DO69" i="5"/>
  <c r="DO56" i="5"/>
  <c r="DN87" i="5"/>
  <c r="DK19" i="6"/>
  <c r="DN86" i="5" s="1"/>
  <c r="DN94" i="5"/>
  <c r="DK41" i="6"/>
  <c r="DN93" i="5" s="1"/>
  <c r="DL14" i="6"/>
  <c r="DL34" i="6"/>
  <c r="DO91" i="5" s="1"/>
  <c r="DL13" i="6"/>
  <c r="DM6" i="6"/>
  <c r="DM12" i="6" s="1"/>
  <c r="DL27" i="6"/>
  <c r="DL28" i="6" s="1"/>
  <c r="DL7" i="6"/>
  <c r="DL18" i="6"/>
  <c r="DL37" i="6"/>
  <c r="DO80" i="5" s="1"/>
  <c r="DL36" i="6"/>
  <c r="DL35" i="6"/>
  <c r="DL16" i="6"/>
  <c r="DL40" i="6"/>
  <c r="DO92" i="5" s="1"/>
  <c r="DL25" i="6"/>
  <c r="DL26" i="6"/>
  <c r="DL24" i="6"/>
  <c r="DL15" i="6"/>
  <c r="DO78" i="5" s="1"/>
  <c r="DL38" i="6"/>
  <c r="DK29" i="6"/>
  <c r="DL23" i="6" s="1"/>
  <c r="AM62" i="5"/>
  <c r="AM63" i="5" s="1"/>
  <c r="AM71" i="5" s="1"/>
  <c r="AA57" i="5"/>
  <c r="BV59" i="53"/>
  <c r="BV65" i="53" s="1"/>
  <c r="BV67" i="53"/>
  <c r="BV57" i="53"/>
  <c r="AP10" i="5"/>
  <c r="AO14" i="5"/>
  <c r="AP9" i="5" s="1"/>
  <c r="CG17" i="53"/>
  <c r="CG74" i="53" s="1"/>
  <c r="CG81" i="53" s="1"/>
  <c r="CG73" i="53"/>
  <c r="AN31" i="5"/>
  <c r="BV71" i="53"/>
  <c r="BU95" i="53"/>
  <c r="BU92" i="53"/>
  <c r="BU93" i="53" s="1"/>
  <c r="DP8" i="6"/>
  <c r="EX84" i="53"/>
  <c r="EY8" i="53"/>
  <c r="EF3" i="55"/>
  <c r="EE41" i="55"/>
  <c r="EC17" i="55"/>
  <c r="EC27" i="55" s="1"/>
  <c r="EC14" i="55"/>
  <c r="EC24" i="55" s="1"/>
  <c r="EC12" i="55"/>
  <c r="EC22" i="55" s="1"/>
  <c r="ES44" i="53"/>
  <c r="ES47" i="53" s="1"/>
  <c r="ED16" i="55"/>
  <c r="ED26" i="55" s="1"/>
  <c r="EE15" i="55"/>
  <c r="EE25" i="55" s="1"/>
  <c r="EL40" i="53"/>
  <c r="EL49" i="53" s="1"/>
  <c r="EL50" i="53" s="1"/>
  <c r="DT11" i="55"/>
  <c r="DS21" i="55"/>
  <c r="DS28" i="55" s="1"/>
  <c r="DG24" i="5"/>
  <c r="EN38" i="53"/>
  <c r="EM39" i="53"/>
  <c r="EN35" i="53"/>
  <c r="EM36" i="53"/>
  <c r="DG23" i="5"/>
  <c r="DN108" i="5" l="1"/>
  <c r="DQ79" i="5"/>
  <c r="DQ101" i="5"/>
  <c r="DQ90" i="5"/>
  <c r="DQ100" i="5"/>
  <c r="F80" i="65"/>
  <c r="EC23" i="55"/>
  <c r="ED13" i="55"/>
  <c r="EV29" i="53"/>
  <c r="EV31" i="53" s="1"/>
  <c r="EV99" i="53" s="1"/>
  <c r="EG93" i="38"/>
  <c r="EG95" i="38" s="1"/>
  <c r="EG104" i="38" s="1"/>
  <c r="EF106" i="38"/>
  <c r="DN60" i="5"/>
  <c r="EG22" i="38"/>
  <c r="DP29" i="5"/>
  <c r="DP56" i="5"/>
  <c r="EG39" i="38"/>
  <c r="EI3" i="38"/>
  <c r="EH4" i="38"/>
  <c r="DM63" i="5"/>
  <c r="EY6" i="53"/>
  <c r="EY11" i="53" s="1"/>
  <c r="EZ7" i="53"/>
  <c r="DP70" i="5"/>
  <c r="DP69" i="5"/>
  <c r="DP34" i="5"/>
  <c r="DP33" i="5"/>
  <c r="DQ45" i="5"/>
  <c r="DQ38" i="5"/>
  <c r="DQ40" i="5"/>
  <c r="DQ42" i="5"/>
  <c r="DQ68" i="5"/>
  <c r="DQ50" i="5"/>
  <c r="DQ51" i="5"/>
  <c r="DQ53" i="5"/>
  <c r="DQ59" i="5"/>
  <c r="DQ71" i="5"/>
  <c r="DQ85" i="5"/>
  <c r="DQ35" i="5"/>
  <c r="DQ39" i="5"/>
  <c r="DQ52" i="5"/>
  <c r="DQ47" i="5"/>
  <c r="DQ62" i="5"/>
  <c r="DQ54" i="5"/>
  <c r="DQ46" i="5"/>
  <c r="DQ48" i="5"/>
  <c r="DQ49" i="5"/>
  <c r="DQ27" i="5"/>
  <c r="DQ32" i="5"/>
  <c r="DQ28" i="5"/>
  <c r="DQ31" i="5"/>
  <c r="DQ5" i="5"/>
  <c r="DR4" i="5"/>
  <c r="DQ57" i="5"/>
  <c r="DO81" i="5"/>
  <c r="DM15" i="6"/>
  <c r="DP78" i="5" s="1"/>
  <c r="DM37" i="6"/>
  <c r="DP80" i="5" s="1"/>
  <c r="DM34" i="6"/>
  <c r="DP91" i="5" s="1"/>
  <c r="DM40" i="6"/>
  <c r="DP92" i="5" s="1"/>
  <c r="DM14" i="6"/>
  <c r="DM26" i="6"/>
  <c r="DM13" i="6"/>
  <c r="DM38" i="6"/>
  <c r="DM35" i="6"/>
  <c r="DM7" i="6"/>
  <c r="DM36" i="6"/>
  <c r="DM25" i="6"/>
  <c r="DN6" i="6"/>
  <c r="DN12" i="6" s="1"/>
  <c r="DM27" i="6"/>
  <c r="DM28" i="6" s="1"/>
  <c r="DM16" i="6"/>
  <c r="DM18" i="6"/>
  <c r="DM24" i="6"/>
  <c r="DL41" i="6"/>
  <c r="DO93" i="5" s="1"/>
  <c r="DO94" i="5"/>
  <c r="DL29" i="6"/>
  <c r="DM23" i="6" s="1"/>
  <c r="DO87" i="5"/>
  <c r="DL19" i="6"/>
  <c r="DO86" i="5" s="1"/>
  <c r="CG18" i="53"/>
  <c r="CG54" i="53" s="1"/>
  <c r="AN33" i="5"/>
  <c r="AN34" i="5"/>
  <c r="CG75" i="53"/>
  <c r="BW15" i="53"/>
  <c r="BW20" i="53" s="1"/>
  <c r="BW22" i="53" s="1"/>
  <c r="BW53" i="53"/>
  <c r="BV56" i="53"/>
  <c r="BV76" i="53" s="1"/>
  <c r="BU96" i="53"/>
  <c r="AO30" i="5" s="1"/>
  <c r="BU98" i="53"/>
  <c r="BV91" i="53"/>
  <c r="BV79" i="53"/>
  <c r="BV23" i="53" s="1"/>
  <c r="AP32" i="5"/>
  <c r="BV66" i="53"/>
  <c r="EY84" i="53"/>
  <c r="EZ8" i="53"/>
  <c r="DQ8" i="6"/>
  <c r="EG3" i="55"/>
  <c r="EF41" i="55"/>
  <c r="ED17" i="55"/>
  <c r="ED27" i="55" s="1"/>
  <c r="ED12" i="55"/>
  <c r="ED22" i="55" s="1"/>
  <c r="ED14" i="55"/>
  <c r="ED24" i="55" s="1"/>
  <c r="ET44" i="53"/>
  <c r="ET47" i="53" s="1"/>
  <c r="EE16" i="55"/>
  <c r="EE26" i="55" s="1"/>
  <c r="EF15" i="55"/>
  <c r="EF25" i="55" s="1"/>
  <c r="DT21" i="55"/>
  <c r="DT28" i="55" s="1"/>
  <c r="DU11" i="55"/>
  <c r="DH24" i="5"/>
  <c r="EN39" i="53"/>
  <c r="EO38" i="53"/>
  <c r="EM40" i="53"/>
  <c r="EM49" i="53" s="1"/>
  <c r="EM50" i="53" s="1"/>
  <c r="DH23" i="5"/>
  <c r="EN36" i="53"/>
  <c r="EO35" i="53"/>
  <c r="DO108" i="5" l="1"/>
  <c r="DR79" i="5"/>
  <c r="DR101" i="5"/>
  <c r="DR90" i="5"/>
  <c r="DR100" i="5"/>
  <c r="J80" i="65"/>
  <c r="E81" i="65" s="1"/>
  <c r="F81" i="65" s="1"/>
  <c r="ED23" i="55"/>
  <c r="EE13" i="55"/>
  <c r="EW29" i="53"/>
  <c r="EW31" i="53" s="1"/>
  <c r="EW99" i="53" s="1"/>
  <c r="EG106" i="38"/>
  <c r="DO60" i="5"/>
  <c r="DO63" i="5" s="1"/>
  <c r="EH93" i="38"/>
  <c r="EH22" i="38"/>
  <c r="EH39" i="38"/>
  <c r="EJ3" i="38"/>
  <c r="EI4" i="38"/>
  <c r="DN63" i="5"/>
  <c r="FA7" i="53"/>
  <c r="EZ6" i="53"/>
  <c r="EZ11" i="53" s="1"/>
  <c r="DQ34" i="5"/>
  <c r="DQ33" i="5"/>
  <c r="DQ29" i="5"/>
  <c r="DQ70" i="5"/>
  <c r="DQ69" i="5"/>
  <c r="DQ56" i="5"/>
  <c r="DR85" i="5"/>
  <c r="DR5" i="5"/>
  <c r="DR49" i="5"/>
  <c r="DR48" i="5"/>
  <c r="DR38" i="5"/>
  <c r="DR68" i="5"/>
  <c r="DS4" i="5"/>
  <c r="DR35" i="5"/>
  <c r="DR57" i="5"/>
  <c r="DR53" i="5"/>
  <c r="DR59" i="5"/>
  <c r="DR71" i="5"/>
  <c r="DR39" i="5"/>
  <c r="DR54" i="5"/>
  <c r="DR50" i="5"/>
  <c r="DR51" i="5"/>
  <c r="DR52" i="5"/>
  <c r="DR42" i="5"/>
  <c r="DR47" i="5"/>
  <c r="DR62" i="5"/>
  <c r="DR46" i="5"/>
  <c r="DR40" i="5"/>
  <c r="DR45" i="5"/>
  <c r="DR27" i="5"/>
  <c r="DR32" i="5"/>
  <c r="DR31" i="5"/>
  <c r="DR28" i="5"/>
  <c r="DM29" i="6"/>
  <c r="DN23" i="6" s="1"/>
  <c r="DM41" i="6"/>
  <c r="DP93" i="5" s="1"/>
  <c r="DP94" i="5"/>
  <c r="DN7" i="6"/>
  <c r="DO6" i="6"/>
  <c r="DO12" i="6" s="1"/>
  <c r="DN35" i="6"/>
  <c r="DN25" i="6"/>
  <c r="DN40" i="6"/>
  <c r="DQ92" i="5" s="1"/>
  <c r="DN37" i="6"/>
  <c r="DQ80" i="5" s="1"/>
  <c r="DN26" i="6"/>
  <c r="DN38" i="6"/>
  <c r="DN15" i="6"/>
  <c r="DQ78" i="5" s="1"/>
  <c r="DN24" i="6"/>
  <c r="DN14" i="6"/>
  <c r="DN36" i="6"/>
  <c r="DN34" i="6"/>
  <c r="DQ91" i="5" s="1"/>
  <c r="DN16" i="6"/>
  <c r="DN13" i="6"/>
  <c r="DN27" i="6"/>
  <c r="DN28" i="6" s="1"/>
  <c r="DN18" i="6"/>
  <c r="DP81" i="5"/>
  <c r="DM19" i="6"/>
  <c r="DP86" i="5" s="1"/>
  <c r="DP87" i="5"/>
  <c r="AN35" i="5"/>
  <c r="AN42" i="5" s="1"/>
  <c r="AN46" i="5" s="1"/>
  <c r="AN54" i="5" s="1"/>
  <c r="AN56" i="5" s="1"/>
  <c r="AO31" i="5"/>
  <c r="BV77" i="53"/>
  <c r="BV82" i="53"/>
  <c r="BV83" i="53" s="1"/>
  <c r="CH16" i="53" s="1"/>
  <c r="AP12" i="5"/>
  <c r="AP13" i="5" s="1"/>
  <c r="BW60" i="53"/>
  <c r="BA11" i="5"/>
  <c r="CG88" i="53"/>
  <c r="CG89" i="53" s="1"/>
  <c r="CH87" i="53" s="1"/>
  <c r="EG41" i="55"/>
  <c r="EH3" i="55"/>
  <c r="DR8" i="6"/>
  <c r="EZ84" i="53"/>
  <c r="FA8" i="53"/>
  <c r="EE17" i="55"/>
  <c r="EE27" i="55" s="1"/>
  <c r="EE14" i="55"/>
  <c r="EE24" i="55" s="1"/>
  <c r="EE12" i="55"/>
  <c r="EE22" i="55" s="1"/>
  <c r="EU44" i="53"/>
  <c r="EU47" i="53" s="1"/>
  <c r="EF16" i="55"/>
  <c r="EF26" i="55" s="1"/>
  <c r="EG15" i="55"/>
  <c r="EG25" i="55" s="1"/>
  <c r="EN40" i="53"/>
  <c r="EN49" i="53" s="1"/>
  <c r="EN50" i="53" s="1"/>
  <c r="DV11" i="55"/>
  <c r="DU21" i="55"/>
  <c r="DU28" i="55" s="1"/>
  <c r="DI23" i="5"/>
  <c r="EO36" i="53"/>
  <c r="EP35" i="53"/>
  <c r="EO39" i="53"/>
  <c r="DI24" i="5"/>
  <c r="EP38" i="53"/>
  <c r="DP108" i="5" l="1"/>
  <c r="DS79" i="5"/>
  <c r="DS101" i="5"/>
  <c r="DS90" i="5"/>
  <c r="DS100" i="5"/>
  <c r="J81" i="65"/>
  <c r="E82" i="65" s="1"/>
  <c r="DQ81" i="5"/>
  <c r="EE23" i="55"/>
  <c r="EF13" i="55"/>
  <c r="EX29" i="53"/>
  <c r="EX31" i="53" s="1"/>
  <c r="EX99" i="53" s="1"/>
  <c r="EH95" i="38"/>
  <c r="EH104" i="38" s="1"/>
  <c r="EI93" i="38"/>
  <c r="EI95" i="38" s="1"/>
  <c r="EI104" i="38" s="1"/>
  <c r="EI22" i="38"/>
  <c r="EI39" i="38"/>
  <c r="EJ4" i="38"/>
  <c r="EK3" i="38"/>
  <c r="FB7" i="53"/>
  <c r="FA6" i="53"/>
  <c r="FA11" i="53" s="1"/>
  <c r="DS46" i="5"/>
  <c r="DS39" i="5"/>
  <c r="DS85" i="5"/>
  <c r="DS5" i="5"/>
  <c r="DS50" i="5"/>
  <c r="DS35" i="5"/>
  <c r="DS27" i="5"/>
  <c r="DS32" i="5"/>
  <c r="DS28" i="5"/>
  <c r="DS49" i="5"/>
  <c r="DS68" i="5"/>
  <c r="DT4" i="5"/>
  <c r="DS57" i="5"/>
  <c r="DS59" i="5"/>
  <c r="DS71" i="5"/>
  <c r="DS51" i="5"/>
  <c r="DS54" i="5"/>
  <c r="DS53" i="5"/>
  <c r="DS62" i="5"/>
  <c r="DS52" i="5"/>
  <c r="DS42" i="5"/>
  <c r="DS47" i="5"/>
  <c r="DS48" i="5"/>
  <c r="DS45" i="5"/>
  <c r="DS40" i="5"/>
  <c r="DS38" i="5"/>
  <c r="DS31" i="5"/>
  <c r="DR70" i="5"/>
  <c r="DR69" i="5"/>
  <c r="DR56" i="5"/>
  <c r="DR34" i="5"/>
  <c r="DR33" i="5"/>
  <c r="DR29" i="5"/>
  <c r="DO13" i="6"/>
  <c r="DO26" i="6"/>
  <c r="DP6" i="6"/>
  <c r="DP12" i="6" s="1"/>
  <c r="DO14" i="6"/>
  <c r="DO34" i="6"/>
  <c r="DR91" i="5" s="1"/>
  <c r="DO27" i="6"/>
  <c r="DO28" i="6" s="1"/>
  <c r="DO36" i="6"/>
  <c r="DO16" i="6"/>
  <c r="DO25" i="6"/>
  <c r="DO7" i="6"/>
  <c r="DO40" i="6"/>
  <c r="DR92" i="5" s="1"/>
  <c r="DO35" i="6"/>
  <c r="DO18" i="6"/>
  <c r="DO37" i="6"/>
  <c r="DR80" i="5" s="1"/>
  <c r="DO15" i="6"/>
  <c r="DR78" i="5" s="1"/>
  <c r="DO24" i="6"/>
  <c r="DO38" i="6"/>
  <c r="DN19" i="6"/>
  <c r="DQ86" i="5" s="1"/>
  <c r="DQ87" i="5"/>
  <c r="DQ94" i="5"/>
  <c r="DN41" i="6"/>
  <c r="DQ93" i="5" s="1"/>
  <c r="DN29" i="6"/>
  <c r="DO23" i="6" s="1"/>
  <c r="AN62" i="5"/>
  <c r="AN63" i="5" s="1"/>
  <c r="AN71" i="5" s="1"/>
  <c r="AB57" i="5"/>
  <c r="BW67" i="53"/>
  <c r="BW59" i="53"/>
  <c r="BW65" i="53" s="1"/>
  <c r="BW57" i="53"/>
  <c r="AQ10" i="5"/>
  <c r="AP14" i="5"/>
  <c r="AQ9" i="5" s="1"/>
  <c r="CH73" i="53"/>
  <c r="CH17" i="53"/>
  <c r="CH74" i="53" s="1"/>
  <c r="CH81" i="53" s="1"/>
  <c r="BW72" i="53"/>
  <c r="BV78" i="53"/>
  <c r="AO34" i="5"/>
  <c r="AO33" i="5"/>
  <c r="FA84" i="53"/>
  <c r="FB8" i="53"/>
  <c r="DS8" i="6"/>
  <c r="EI3" i="55"/>
  <c r="EH41" i="55"/>
  <c r="EF17" i="55"/>
  <c r="EF27" i="55" s="1"/>
  <c r="EF12" i="55"/>
  <c r="EF22" i="55" s="1"/>
  <c r="EF14" i="55"/>
  <c r="EF24" i="55" s="1"/>
  <c r="EV44" i="53"/>
  <c r="EV47" i="53" s="1"/>
  <c r="EG16" i="55"/>
  <c r="EG26" i="55" s="1"/>
  <c r="EH15" i="55"/>
  <c r="EH25" i="55" s="1"/>
  <c r="DJ24" i="5"/>
  <c r="EP39" i="53"/>
  <c r="EQ38" i="53"/>
  <c r="EO40" i="53"/>
  <c r="EO49" i="53" s="1"/>
  <c r="EO50" i="53" s="1"/>
  <c r="EP36" i="53"/>
  <c r="EQ35" i="53"/>
  <c r="DJ23" i="5"/>
  <c r="DW11" i="55"/>
  <c r="DV21" i="55"/>
  <c r="DV28" i="55" s="1"/>
  <c r="DQ108" i="5" l="1"/>
  <c r="DO29" i="6"/>
  <c r="DP23" i="6" s="1"/>
  <c r="DT79" i="5"/>
  <c r="DT101" i="5"/>
  <c r="DT90" i="5"/>
  <c r="DT100" i="5"/>
  <c r="F82" i="65"/>
  <c r="DR81" i="5"/>
  <c r="EF23" i="55"/>
  <c r="EG13" i="55"/>
  <c r="EY29" i="53"/>
  <c r="EY31" i="53" s="1"/>
  <c r="EY99" i="53" s="1"/>
  <c r="EI106" i="38"/>
  <c r="DQ60" i="5"/>
  <c r="EH106" i="38"/>
  <c r="DP60" i="5"/>
  <c r="DP63" i="5" s="1"/>
  <c r="EJ93" i="38"/>
  <c r="EJ95" i="38" s="1"/>
  <c r="EJ104" i="38" s="1"/>
  <c r="EJ22" i="38"/>
  <c r="EJ39" i="38"/>
  <c r="EK4" i="38"/>
  <c r="EL3" i="38"/>
  <c r="BV100" i="53"/>
  <c r="FC7" i="53"/>
  <c r="FB6" i="53"/>
  <c r="FB11" i="53" s="1"/>
  <c r="DS34" i="5"/>
  <c r="DS33" i="5"/>
  <c r="DS70" i="5"/>
  <c r="DS69" i="5"/>
  <c r="DT59" i="5"/>
  <c r="DT32" i="5"/>
  <c r="DT42" i="5"/>
  <c r="DT85" i="5"/>
  <c r="DU4" i="5"/>
  <c r="DT47" i="5"/>
  <c r="DT39" i="5"/>
  <c r="DT48" i="5"/>
  <c r="DT62" i="5"/>
  <c r="DT38" i="5"/>
  <c r="DT31" i="5"/>
  <c r="DT27" i="5"/>
  <c r="DT28" i="5"/>
  <c r="DT5" i="5"/>
  <c r="DT68" i="5"/>
  <c r="DT57" i="5"/>
  <c r="DT71" i="5"/>
  <c r="DT45" i="5"/>
  <c r="DT54" i="5"/>
  <c r="DT49" i="5"/>
  <c r="DT50" i="5"/>
  <c r="DT51" i="5"/>
  <c r="DT53" i="5"/>
  <c r="DT35" i="5"/>
  <c r="DT52" i="5"/>
  <c r="DT46" i="5"/>
  <c r="DT40" i="5"/>
  <c r="DS29" i="5"/>
  <c r="DS56" i="5"/>
  <c r="DR87" i="5"/>
  <c r="DO19" i="6"/>
  <c r="DR86" i="5" s="1"/>
  <c r="DO41" i="6"/>
  <c r="DR93" i="5" s="1"/>
  <c r="DR94" i="5"/>
  <c r="DP14" i="6"/>
  <c r="DP24" i="6"/>
  <c r="DP27" i="6"/>
  <c r="DP28" i="6" s="1"/>
  <c r="DP15" i="6"/>
  <c r="DS78" i="5" s="1"/>
  <c r="DP40" i="6"/>
  <c r="DS92" i="5" s="1"/>
  <c r="DP35" i="6"/>
  <c r="DP38" i="6"/>
  <c r="DP37" i="6"/>
  <c r="DS80" i="5" s="1"/>
  <c r="DP34" i="6"/>
  <c r="DS91" i="5" s="1"/>
  <c r="DP26" i="6"/>
  <c r="DP36" i="6"/>
  <c r="DP13" i="6"/>
  <c r="DP25" i="6"/>
  <c r="DP16" i="6"/>
  <c r="DQ6" i="6"/>
  <c r="DQ12" i="6" s="1"/>
  <c r="DP7" i="6"/>
  <c r="DP18" i="6"/>
  <c r="AO35" i="5"/>
  <c r="AO42" i="5" s="1"/>
  <c r="AO62" i="5" s="1"/>
  <c r="AO63" i="5" s="1"/>
  <c r="CH18" i="53"/>
  <c r="CH54" i="53" s="1"/>
  <c r="BV95" i="53"/>
  <c r="BW71" i="53"/>
  <c r="BV92" i="53"/>
  <c r="BV93" i="53" s="1"/>
  <c r="CH75" i="53"/>
  <c r="BX15" i="53"/>
  <c r="BX20" i="53" s="1"/>
  <c r="BX22" i="53" s="1"/>
  <c r="BX53" i="53"/>
  <c r="BW56" i="53"/>
  <c r="BW76" i="53" s="1"/>
  <c r="BW66" i="53"/>
  <c r="AQ32" i="5"/>
  <c r="BW79" i="53"/>
  <c r="BW23" i="53" s="1"/>
  <c r="EI41" i="55"/>
  <c r="EJ3" i="55"/>
  <c r="DT8" i="6"/>
  <c r="FB84" i="53"/>
  <c r="FC8" i="53"/>
  <c r="EG17" i="55"/>
  <c r="EG27" i="55" s="1"/>
  <c r="EG14" i="55"/>
  <c r="EG24" i="55" s="1"/>
  <c r="EG12" i="55"/>
  <c r="EG22" i="55" s="1"/>
  <c r="EW44" i="53"/>
  <c r="EW47" i="53" s="1"/>
  <c r="EH16" i="55"/>
  <c r="EH26" i="55" s="1"/>
  <c r="EI15" i="55"/>
  <c r="EI25" i="55" s="1"/>
  <c r="EP40" i="53"/>
  <c r="EP49" i="53" s="1"/>
  <c r="EP50" i="53" s="1"/>
  <c r="DW21" i="55"/>
  <c r="DW28" i="55" s="1"/>
  <c r="DX11" i="55"/>
  <c r="DK23" i="5"/>
  <c r="EQ36" i="53"/>
  <c r="ER35" i="53"/>
  <c r="DK24" i="5"/>
  <c r="EQ39" i="53"/>
  <c r="ER38" i="53"/>
  <c r="DR108" i="5" l="1"/>
  <c r="DU79" i="5"/>
  <c r="DU101" i="5"/>
  <c r="DU90" i="5"/>
  <c r="DU100" i="5"/>
  <c r="J82" i="65"/>
  <c r="E83" i="65" s="1"/>
  <c r="F83" i="65" s="1"/>
  <c r="EG23" i="55"/>
  <c r="EH13" i="55"/>
  <c r="EZ29" i="53"/>
  <c r="EZ31" i="53" s="1"/>
  <c r="EZ99" i="53" s="1"/>
  <c r="DP29" i="6"/>
  <c r="DQ23" i="6" s="1"/>
  <c r="EK93" i="38"/>
  <c r="EJ106" i="38"/>
  <c r="DR60" i="5"/>
  <c r="EK22" i="38"/>
  <c r="EK95" i="38"/>
  <c r="EK104" i="38" s="1"/>
  <c r="DS60" i="5" s="1"/>
  <c r="DT56" i="5"/>
  <c r="EK39" i="38"/>
  <c r="EL4" i="38"/>
  <c r="EM3" i="38"/>
  <c r="DQ63" i="5"/>
  <c r="DT29" i="5"/>
  <c r="FD7" i="53"/>
  <c r="FC6" i="53"/>
  <c r="FC11" i="53" s="1"/>
  <c r="DU51" i="5"/>
  <c r="DU52" i="5"/>
  <c r="DU35" i="5"/>
  <c r="DU59" i="5"/>
  <c r="DU32" i="5"/>
  <c r="DU85" i="5"/>
  <c r="DV4" i="5"/>
  <c r="DU53" i="5"/>
  <c r="DU39" i="5"/>
  <c r="DU40" i="5"/>
  <c r="DU47" i="5"/>
  <c r="DU62" i="5"/>
  <c r="DU46" i="5"/>
  <c r="DU38" i="5"/>
  <c r="DU31" i="5"/>
  <c r="DU27" i="5"/>
  <c r="DU28" i="5"/>
  <c r="DU5" i="5"/>
  <c r="DU68" i="5"/>
  <c r="DU57" i="5"/>
  <c r="DU54" i="5"/>
  <c r="DU71" i="5"/>
  <c r="DU48" i="5"/>
  <c r="DU45" i="5"/>
  <c r="DU49" i="5"/>
  <c r="DU50" i="5"/>
  <c r="DU42" i="5"/>
  <c r="DT70" i="5"/>
  <c r="DT69" i="5"/>
  <c r="DT34" i="5"/>
  <c r="DT33" i="5"/>
  <c r="DS94" i="5"/>
  <c r="DP41" i="6"/>
  <c r="DS93" i="5" s="1"/>
  <c r="DQ13" i="6"/>
  <c r="DQ7" i="6"/>
  <c r="DQ16" i="6"/>
  <c r="DQ25" i="6"/>
  <c r="DQ35" i="6"/>
  <c r="DQ18" i="6"/>
  <c r="DQ36" i="6"/>
  <c r="DQ15" i="6"/>
  <c r="DT78" i="5" s="1"/>
  <c r="DQ40" i="6"/>
  <c r="DT92" i="5" s="1"/>
  <c r="DQ37" i="6"/>
  <c r="DT80" i="5" s="1"/>
  <c r="DQ24" i="6"/>
  <c r="DR6" i="6"/>
  <c r="DR12" i="6" s="1"/>
  <c r="DQ26" i="6"/>
  <c r="DQ27" i="6"/>
  <c r="DQ28" i="6" s="1"/>
  <c r="DQ38" i="6"/>
  <c r="DQ34" i="6"/>
  <c r="DT91" i="5" s="1"/>
  <c r="DQ14" i="6"/>
  <c r="DS87" i="5"/>
  <c r="DP19" i="6"/>
  <c r="DS86" i="5" s="1"/>
  <c r="DS81" i="5"/>
  <c r="AO46" i="5"/>
  <c r="AO54" i="5" s="1"/>
  <c r="AQ12" i="5"/>
  <c r="AQ13" i="5" s="1"/>
  <c r="BW82" i="53"/>
  <c r="BW83" i="53" s="1"/>
  <c r="CI16" i="53" s="1"/>
  <c r="BX60" i="53"/>
  <c r="BB11" i="5"/>
  <c r="CH88" i="53"/>
  <c r="CH89" i="53" s="1"/>
  <c r="CI87" i="53" s="1"/>
  <c r="BW77" i="53"/>
  <c r="BV96" i="53"/>
  <c r="AP30" i="5" s="1"/>
  <c r="BV98" i="53"/>
  <c r="BW91" i="53"/>
  <c r="FC84" i="53"/>
  <c r="FD8" i="53"/>
  <c r="DU8" i="6"/>
  <c r="EK3" i="55"/>
  <c r="EJ41" i="55"/>
  <c r="EH17" i="55"/>
  <c r="EH27" i="55" s="1"/>
  <c r="EH12" i="55"/>
  <c r="EH22" i="55" s="1"/>
  <c r="EH14" i="55"/>
  <c r="EH24" i="55" s="1"/>
  <c r="EX44" i="53"/>
  <c r="EX47" i="53" s="1"/>
  <c r="EI16" i="55"/>
  <c r="EI26" i="55" s="1"/>
  <c r="EJ15" i="55"/>
  <c r="EJ25" i="55" s="1"/>
  <c r="EQ40" i="53"/>
  <c r="EQ49" i="53" s="1"/>
  <c r="EQ50" i="53" s="1"/>
  <c r="DL23" i="5"/>
  <c r="ER36" i="53"/>
  <c r="ES35" i="53"/>
  <c r="DY11" i="55"/>
  <c r="DX21" i="55"/>
  <c r="DX28" i="55" s="1"/>
  <c r="ES38" i="53"/>
  <c r="ER39" i="53"/>
  <c r="DL24" i="5"/>
  <c r="DS108" i="5" l="1"/>
  <c r="DQ29" i="6"/>
  <c r="DR23" i="6" s="1"/>
  <c r="DV79" i="5"/>
  <c r="DV101" i="5"/>
  <c r="DV90" i="5"/>
  <c r="AO56" i="5"/>
  <c r="DV100" i="5"/>
  <c r="J83" i="65"/>
  <c r="E84" i="65" s="1"/>
  <c r="F84" i="65" s="1"/>
  <c r="DT81" i="5"/>
  <c r="EH23" i="55"/>
  <c r="EI13" i="55"/>
  <c r="FA29" i="53"/>
  <c r="FA31" i="53" s="1"/>
  <c r="FA99" i="53" s="1"/>
  <c r="EK106" i="38"/>
  <c r="EL93" i="38"/>
  <c r="EL95" i="38" s="1"/>
  <c r="EL104" i="38" s="1"/>
  <c r="EL22" i="38"/>
  <c r="EL39" i="38"/>
  <c r="DS63" i="5"/>
  <c r="EM4" i="38"/>
  <c r="EN3" i="38"/>
  <c r="DR63" i="5"/>
  <c r="FD6" i="53"/>
  <c r="FD11" i="53" s="1"/>
  <c r="FE7" i="53"/>
  <c r="DU56" i="5"/>
  <c r="DV68" i="5"/>
  <c r="DV31" i="5"/>
  <c r="DV59" i="5"/>
  <c r="DV32" i="5"/>
  <c r="DV51" i="5"/>
  <c r="DV54" i="5"/>
  <c r="DV39" i="5"/>
  <c r="DV45" i="5"/>
  <c r="DV35" i="5"/>
  <c r="DV49" i="5"/>
  <c r="DV53" i="5"/>
  <c r="DV38" i="5"/>
  <c r="DV50" i="5"/>
  <c r="DV52" i="5"/>
  <c r="DV42" i="5"/>
  <c r="DV47" i="5"/>
  <c r="DV40" i="5"/>
  <c r="DV62" i="5"/>
  <c r="DV46" i="5"/>
  <c r="DV27" i="5"/>
  <c r="DV28" i="5"/>
  <c r="DW4" i="5"/>
  <c r="DV5" i="5"/>
  <c r="DV57" i="5"/>
  <c r="DV71" i="5"/>
  <c r="DV85" i="5"/>
  <c r="DV48" i="5"/>
  <c r="DU69" i="5"/>
  <c r="DU70" i="5"/>
  <c r="DU29" i="5"/>
  <c r="DU34" i="5"/>
  <c r="DU33" i="5"/>
  <c r="DT87" i="5"/>
  <c r="DQ19" i="6"/>
  <c r="DT86" i="5" s="1"/>
  <c r="DT94" i="5"/>
  <c r="DQ41" i="6"/>
  <c r="DT93" i="5" s="1"/>
  <c r="DR36" i="6"/>
  <c r="DR24" i="6"/>
  <c r="DR37" i="6"/>
  <c r="DU80" i="5" s="1"/>
  <c r="DR25" i="6"/>
  <c r="DR13" i="6"/>
  <c r="DR38" i="6"/>
  <c r="DR15" i="6"/>
  <c r="DU78" i="5" s="1"/>
  <c r="DR34" i="6"/>
  <c r="DU91" i="5" s="1"/>
  <c r="DR14" i="6"/>
  <c r="DR16" i="6"/>
  <c r="DR7" i="6"/>
  <c r="DR27" i="6"/>
  <c r="DR28" i="6" s="1"/>
  <c r="DS6" i="6"/>
  <c r="DS12" i="6" s="1"/>
  <c r="DR40" i="6"/>
  <c r="DU92" i="5" s="1"/>
  <c r="DR18" i="6"/>
  <c r="DR26" i="6"/>
  <c r="DR35" i="6"/>
  <c r="AP31" i="5"/>
  <c r="BX72" i="53"/>
  <c r="BW78" i="53"/>
  <c r="BX67" i="53"/>
  <c r="BX57" i="53"/>
  <c r="BX59" i="53"/>
  <c r="BX65" i="53" s="1"/>
  <c r="CI73" i="53"/>
  <c r="CI17" i="53"/>
  <c r="CI74" i="53" s="1"/>
  <c r="CI81" i="53" s="1"/>
  <c r="AR10" i="5"/>
  <c r="AQ14" i="5"/>
  <c r="AR9" i="5" s="1"/>
  <c r="EL3" i="55"/>
  <c r="EK41" i="55"/>
  <c r="DV8" i="6"/>
  <c r="FD84" i="53"/>
  <c r="FE8" i="53"/>
  <c r="EI17" i="55"/>
  <c r="EI27" i="55" s="1"/>
  <c r="EI14" i="55"/>
  <c r="EI24" i="55" s="1"/>
  <c r="EI12" i="55"/>
  <c r="EI22" i="55" s="1"/>
  <c r="EY44" i="53"/>
  <c r="EY47" i="53" s="1"/>
  <c r="EJ16" i="55"/>
  <c r="EJ26" i="55" s="1"/>
  <c r="EK15" i="55"/>
  <c r="EK25" i="55" s="1"/>
  <c r="ER40" i="53"/>
  <c r="ER49" i="53" s="1"/>
  <c r="ER50" i="53" s="1"/>
  <c r="ES36" i="53"/>
  <c r="ET35" i="53"/>
  <c r="DM23" i="5"/>
  <c r="DM24" i="5"/>
  <c r="ET38" i="53"/>
  <c r="ES39" i="53"/>
  <c r="DZ11" i="55"/>
  <c r="DY21" i="55"/>
  <c r="DY28" i="55" s="1"/>
  <c r="DT108" i="5" l="1"/>
  <c r="AO71" i="5"/>
  <c r="AC57" i="5"/>
  <c r="DW79" i="5"/>
  <c r="DW90" i="5"/>
  <c r="DW101" i="5"/>
  <c r="DW100" i="5"/>
  <c r="J84" i="65"/>
  <c r="E85" i="65" s="1"/>
  <c r="F85" i="65" s="1"/>
  <c r="EI23" i="55"/>
  <c r="EJ13" i="55"/>
  <c r="FB29" i="53"/>
  <c r="FB31" i="53" s="1"/>
  <c r="FB99" i="53" s="1"/>
  <c r="DV56" i="5"/>
  <c r="EM93" i="38"/>
  <c r="EM95" i="38" s="1"/>
  <c r="EM104" i="38" s="1"/>
  <c r="DR29" i="6"/>
  <c r="DS23" i="6" s="1"/>
  <c r="EL106" i="38"/>
  <c r="DT60" i="5"/>
  <c r="EM22" i="38"/>
  <c r="EM39" i="38"/>
  <c r="EN4" i="38"/>
  <c r="EO3" i="38"/>
  <c r="BW100" i="53"/>
  <c r="FE6" i="53"/>
  <c r="FE11" i="53" s="1"/>
  <c r="FF7" i="53"/>
  <c r="DW45" i="5"/>
  <c r="DW50" i="5"/>
  <c r="DW68" i="5"/>
  <c r="DW31" i="5"/>
  <c r="DW40" i="5"/>
  <c r="DW35" i="5"/>
  <c r="DW59" i="5"/>
  <c r="DW32" i="5"/>
  <c r="DW71" i="5"/>
  <c r="DW48" i="5"/>
  <c r="DW54" i="5"/>
  <c r="DW85" i="5"/>
  <c r="DW46" i="5"/>
  <c r="DW49" i="5"/>
  <c r="DW39" i="5"/>
  <c r="DW42" i="5"/>
  <c r="DW51" i="5"/>
  <c r="DW53" i="5"/>
  <c r="DW52" i="5"/>
  <c r="DW47" i="5"/>
  <c r="DW38" i="5"/>
  <c r="DW27" i="5"/>
  <c r="DW28" i="5"/>
  <c r="DW62" i="5"/>
  <c r="DX4" i="5"/>
  <c r="DW57" i="5"/>
  <c r="DW5" i="5"/>
  <c r="DV29" i="5"/>
  <c r="DU81" i="5"/>
  <c r="DV34" i="5"/>
  <c r="DV33" i="5"/>
  <c r="DV70" i="5"/>
  <c r="DV69" i="5"/>
  <c r="DU94" i="5"/>
  <c r="DR41" i="6"/>
  <c r="DU93" i="5" s="1"/>
  <c r="DS36" i="6"/>
  <c r="DS34" i="6"/>
  <c r="DV91" i="5" s="1"/>
  <c r="DS16" i="6"/>
  <c r="DS13" i="6"/>
  <c r="DT6" i="6"/>
  <c r="DT12" i="6" s="1"/>
  <c r="DS25" i="6"/>
  <c r="DS26" i="6"/>
  <c r="DS27" i="6"/>
  <c r="DS28" i="6" s="1"/>
  <c r="DS7" i="6"/>
  <c r="DS38" i="6"/>
  <c r="DS24" i="6"/>
  <c r="DS37" i="6"/>
  <c r="DV80" i="5" s="1"/>
  <c r="DS18" i="6"/>
  <c r="DS35" i="6"/>
  <c r="DS14" i="6"/>
  <c r="DS15" i="6"/>
  <c r="DV78" i="5" s="1"/>
  <c r="DS40" i="6"/>
  <c r="DV92" i="5" s="1"/>
  <c r="DU87" i="5"/>
  <c r="DR19" i="6"/>
  <c r="DU86" i="5" s="1"/>
  <c r="CI18" i="53"/>
  <c r="CI54" i="53" s="1"/>
  <c r="CI75" i="53"/>
  <c r="BX79" i="53"/>
  <c r="BX23" i="53" s="1"/>
  <c r="BX66" i="53"/>
  <c r="AR32" i="5"/>
  <c r="BY53" i="53"/>
  <c r="BY15" i="53"/>
  <c r="BY20" i="53" s="1"/>
  <c r="BY22" i="53" s="1"/>
  <c r="BX56" i="53"/>
  <c r="BX76" i="53" s="1"/>
  <c r="BW95" i="53"/>
  <c r="BX71" i="53"/>
  <c r="BW92" i="53"/>
  <c r="BW93" i="53" s="1"/>
  <c r="AP33" i="5"/>
  <c r="AP34" i="5"/>
  <c r="DW8" i="6"/>
  <c r="FE84" i="53"/>
  <c r="FF8" i="53"/>
  <c r="EL41" i="55"/>
  <c r="EM3" i="55"/>
  <c r="EJ17" i="55"/>
  <c r="EJ27" i="55" s="1"/>
  <c r="EJ12" i="55"/>
  <c r="EJ22" i="55" s="1"/>
  <c r="EJ14" i="55"/>
  <c r="EJ24" i="55" s="1"/>
  <c r="EZ44" i="53"/>
  <c r="EZ47" i="53" s="1"/>
  <c r="EK16" i="55"/>
  <c r="EK26" i="55" s="1"/>
  <c r="EL15" i="55"/>
  <c r="EL25" i="55" s="1"/>
  <c r="EU38" i="53"/>
  <c r="ET39" i="53"/>
  <c r="DN24" i="5"/>
  <c r="EU35" i="53"/>
  <c r="ET36" i="53"/>
  <c r="DN23" i="5"/>
  <c r="ES40" i="53"/>
  <c r="ES49" i="53" s="1"/>
  <c r="ES50" i="53" s="1"/>
  <c r="EA11" i="55"/>
  <c r="DZ21" i="55"/>
  <c r="DZ28" i="55" s="1"/>
  <c r="DU108" i="5" l="1"/>
  <c r="DX79" i="5"/>
  <c r="DX90" i="5"/>
  <c r="DX101" i="5"/>
  <c r="DX100" i="5"/>
  <c r="J85" i="65"/>
  <c r="E86" i="65" s="1"/>
  <c r="F86" i="65" s="1"/>
  <c r="FC29" i="53"/>
  <c r="FC31" i="53" s="1"/>
  <c r="FC99" i="53" s="1"/>
  <c r="DV81" i="5"/>
  <c r="EJ23" i="55"/>
  <c r="EK13" i="55"/>
  <c r="DW56" i="5"/>
  <c r="EN39" i="38"/>
  <c r="DS29" i="6"/>
  <c r="DT23" i="6" s="1"/>
  <c r="EM106" i="38"/>
  <c r="DU60" i="5"/>
  <c r="DU63" i="5" s="1"/>
  <c r="EN93" i="38"/>
  <c r="EN95" i="38" s="1"/>
  <c r="EN104" i="38" s="1"/>
  <c r="EN22" i="38"/>
  <c r="DT63" i="5"/>
  <c r="EP3" i="38"/>
  <c r="EO4" i="38"/>
  <c r="FF6" i="53"/>
  <c r="FF11" i="53" s="1"/>
  <c r="FG7" i="53"/>
  <c r="DX53" i="5"/>
  <c r="DX38" i="5"/>
  <c r="DX46" i="5"/>
  <c r="DX5" i="5"/>
  <c r="DX45" i="5"/>
  <c r="DX28" i="5"/>
  <c r="DX68" i="5"/>
  <c r="DX62" i="5"/>
  <c r="DX57" i="5"/>
  <c r="DY4" i="5"/>
  <c r="DX54" i="5"/>
  <c r="DX48" i="5"/>
  <c r="DX59" i="5"/>
  <c r="DX71" i="5"/>
  <c r="DX85" i="5"/>
  <c r="DX47" i="5"/>
  <c r="DX49" i="5"/>
  <c r="DX35" i="5"/>
  <c r="DX50" i="5"/>
  <c r="DX42" i="5"/>
  <c r="DX51" i="5"/>
  <c r="DX39" i="5"/>
  <c r="DX52" i="5"/>
  <c r="DX40" i="5"/>
  <c r="DX31" i="5"/>
  <c r="DX27" i="5"/>
  <c r="DX32" i="5"/>
  <c r="DW29" i="5"/>
  <c r="DW34" i="5"/>
  <c r="DW33" i="5"/>
  <c r="DW70" i="5"/>
  <c r="DW69" i="5"/>
  <c r="DT15" i="6"/>
  <c r="DW78" i="5" s="1"/>
  <c r="DT26" i="6"/>
  <c r="DT14" i="6"/>
  <c r="DT38" i="6"/>
  <c r="DT34" i="6"/>
  <c r="DW91" i="5" s="1"/>
  <c r="DT16" i="6"/>
  <c r="DT18" i="6"/>
  <c r="DT35" i="6"/>
  <c r="DT25" i="6"/>
  <c r="DT40" i="6"/>
  <c r="DW92" i="5" s="1"/>
  <c r="DT7" i="6"/>
  <c r="DT27" i="6"/>
  <c r="DT28" i="6" s="1"/>
  <c r="DU6" i="6"/>
  <c r="DU12" i="6" s="1"/>
  <c r="DT36" i="6"/>
  <c r="DT37" i="6"/>
  <c r="DW80" i="5" s="1"/>
  <c r="DT13" i="6"/>
  <c r="DT24" i="6"/>
  <c r="DV87" i="5"/>
  <c r="DS19" i="6"/>
  <c r="DV86" i="5" s="1"/>
  <c r="DV94" i="5"/>
  <c r="DS41" i="6"/>
  <c r="DV93" i="5" s="1"/>
  <c r="AP35" i="5"/>
  <c r="AP42" i="5" s="1"/>
  <c r="AP62" i="5" s="1"/>
  <c r="AP63" i="5" s="1"/>
  <c r="BW96" i="53"/>
  <c r="AQ30" i="5" s="1"/>
  <c r="BW98" i="53"/>
  <c r="BX91" i="53"/>
  <c r="BX77" i="53"/>
  <c r="BX82" i="53"/>
  <c r="BX83" i="53" s="1"/>
  <c r="CJ16" i="53" s="1"/>
  <c r="AR12" i="5"/>
  <c r="AR13" i="5" s="1"/>
  <c r="BY60" i="53"/>
  <c r="BC11" i="5"/>
  <c r="CI88" i="53"/>
  <c r="CI89" i="53" s="1"/>
  <c r="CJ87" i="53" s="1"/>
  <c r="FF84" i="53"/>
  <c r="FG8" i="53"/>
  <c r="EN3" i="55"/>
  <c r="EM41" i="55"/>
  <c r="DX8" i="6"/>
  <c r="EK17" i="55"/>
  <c r="EK27" i="55" s="1"/>
  <c r="EK14" i="55"/>
  <c r="EK24" i="55" s="1"/>
  <c r="EK12" i="55"/>
  <c r="EK22" i="55" s="1"/>
  <c r="FA44" i="53"/>
  <c r="FA47" i="53" s="1"/>
  <c r="EL16" i="55"/>
  <c r="EL26" i="55" s="1"/>
  <c r="EM15" i="55"/>
  <c r="EM25" i="55" s="1"/>
  <c r="ET40" i="53"/>
  <c r="ET49" i="53" s="1"/>
  <c r="ET50" i="53" s="1"/>
  <c r="DO23" i="5"/>
  <c r="EV35" i="53"/>
  <c r="EU36" i="53"/>
  <c r="EB11" i="55"/>
  <c r="EA21" i="55"/>
  <c r="EA28" i="55" s="1"/>
  <c r="EU39" i="53"/>
  <c r="EV38" i="53"/>
  <c r="DO24" i="5"/>
  <c r="DV108" i="5" l="1"/>
  <c r="DY79" i="5"/>
  <c r="DY90" i="5"/>
  <c r="DY101" i="5"/>
  <c r="AQ31" i="5"/>
  <c r="DY100" i="5"/>
  <c r="J86" i="65"/>
  <c r="E87" i="65" s="1"/>
  <c r="FD29" i="53"/>
  <c r="FD31" i="53" s="1"/>
  <c r="FD99" i="53" s="1"/>
  <c r="EK23" i="55"/>
  <c r="EL13" i="55"/>
  <c r="EO39" i="38"/>
  <c r="DX29" i="5"/>
  <c r="EN106" i="38"/>
  <c r="DV60" i="5"/>
  <c r="EO93" i="38"/>
  <c r="EO95" i="38" s="1"/>
  <c r="EO104" i="38" s="1"/>
  <c r="EO22" i="38"/>
  <c r="EP4" i="38"/>
  <c r="EQ3" i="38"/>
  <c r="FG6" i="53"/>
  <c r="FG11" i="53" s="1"/>
  <c r="FH7" i="53"/>
  <c r="DX56" i="5"/>
  <c r="DY71" i="5"/>
  <c r="DY28" i="5"/>
  <c r="DY35" i="5"/>
  <c r="DY52" i="5"/>
  <c r="DZ4" i="5"/>
  <c r="DY50" i="5"/>
  <c r="DY53" i="5"/>
  <c r="DY38" i="5"/>
  <c r="DY31" i="5"/>
  <c r="DY27" i="5"/>
  <c r="DY32" i="5"/>
  <c r="DY59" i="5"/>
  <c r="DY62" i="5"/>
  <c r="DY57" i="5"/>
  <c r="DY5" i="5"/>
  <c r="DY54" i="5"/>
  <c r="DY68" i="5"/>
  <c r="DY85" i="5"/>
  <c r="DY47" i="5"/>
  <c r="DY46" i="5"/>
  <c r="DY42" i="5"/>
  <c r="DY48" i="5"/>
  <c r="DY45" i="5"/>
  <c r="DY49" i="5"/>
  <c r="DY39" i="5"/>
  <c r="DY40" i="5"/>
  <c r="DY51" i="5"/>
  <c r="DX34" i="5"/>
  <c r="DX33" i="5"/>
  <c r="DX70" i="5"/>
  <c r="DX69" i="5"/>
  <c r="DU15" i="6"/>
  <c r="DX78" i="5" s="1"/>
  <c r="DV6" i="6"/>
  <c r="DV12" i="6" s="1"/>
  <c r="DU14" i="6"/>
  <c r="DU13" i="6"/>
  <c r="DU7" i="6"/>
  <c r="DU37" i="6"/>
  <c r="DX80" i="5" s="1"/>
  <c r="DU24" i="6"/>
  <c r="DU35" i="6"/>
  <c r="DU36" i="6"/>
  <c r="DU26" i="6"/>
  <c r="DU34" i="6"/>
  <c r="DX91" i="5" s="1"/>
  <c r="DU38" i="6"/>
  <c r="DU27" i="6"/>
  <c r="DU28" i="6" s="1"/>
  <c r="DU40" i="6"/>
  <c r="DX92" i="5" s="1"/>
  <c r="DU16" i="6"/>
  <c r="DU25" i="6"/>
  <c r="DU18" i="6"/>
  <c r="DT29" i="6"/>
  <c r="DU23" i="6" s="1"/>
  <c r="DW87" i="5"/>
  <c r="DT19" i="6"/>
  <c r="DW86" i="5" s="1"/>
  <c r="DW94" i="5"/>
  <c r="DT41" i="6"/>
  <c r="DW93" i="5" s="1"/>
  <c r="DW81" i="5"/>
  <c r="AP46" i="5"/>
  <c r="AP54" i="5" s="1"/>
  <c r="BY67" i="53"/>
  <c r="BY57" i="53"/>
  <c r="BY59" i="53"/>
  <c r="BY65" i="53" s="1"/>
  <c r="AS10" i="5"/>
  <c r="AR14" i="5"/>
  <c r="AS9" i="5" s="1"/>
  <c r="CJ17" i="53"/>
  <c r="CJ74" i="53" s="1"/>
  <c r="CJ81" i="53" s="1"/>
  <c r="CJ73" i="53"/>
  <c r="BY72" i="53"/>
  <c r="BX78" i="53"/>
  <c r="DY8" i="6"/>
  <c r="EN41" i="55"/>
  <c r="EO3" i="55"/>
  <c r="FG84" i="53"/>
  <c r="FH8" i="53"/>
  <c r="EL17" i="55"/>
  <c r="EL27" i="55" s="1"/>
  <c r="EL12" i="55"/>
  <c r="EL22" i="55" s="1"/>
  <c r="EL14" i="55"/>
  <c r="EL24" i="55" s="1"/>
  <c r="FB44" i="53"/>
  <c r="FB47" i="53" s="1"/>
  <c r="EU40" i="53"/>
  <c r="EU49" i="53" s="1"/>
  <c r="EU50" i="53" s="1"/>
  <c r="EM16" i="55"/>
  <c r="EM26" i="55" s="1"/>
  <c r="EN15" i="55"/>
  <c r="EN25" i="55" s="1"/>
  <c r="DP23" i="5"/>
  <c r="EW35" i="53"/>
  <c r="EV36" i="53"/>
  <c r="EV39" i="53"/>
  <c r="EW38" i="53"/>
  <c r="DP24" i="5"/>
  <c r="EC11" i="55"/>
  <c r="EB21" i="55"/>
  <c r="EB28" i="55" s="1"/>
  <c r="AQ33" i="5" l="1"/>
  <c r="DW108" i="5"/>
  <c r="AQ34" i="5"/>
  <c r="DZ79" i="5"/>
  <c r="DZ90" i="5"/>
  <c r="DZ101" i="5"/>
  <c r="AP56" i="5"/>
  <c r="DZ100" i="5"/>
  <c r="F87" i="65"/>
  <c r="FE29" i="53"/>
  <c r="FE31" i="53" s="1"/>
  <c r="FE99" i="53" s="1"/>
  <c r="EL23" i="55"/>
  <c r="EM13" i="55"/>
  <c r="DY29" i="5"/>
  <c r="EO106" i="38"/>
  <c r="DW60" i="5"/>
  <c r="EP93" i="38"/>
  <c r="EP95" i="38" s="1"/>
  <c r="EP104" i="38" s="1"/>
  <c r="EP22" i="38"/>
  <c r="EP39" i="38"/>
  <c r="DV63" i="5"/>
  <c r="ER3" i="38"/>
  <c r="EQ4" i="38"/>
  <c r="BX100" i="53"/>
  <c r="FI7" i="53"/>
  <c r="FH6" i="53"/>
  <c r="FH11" i="53" s="1"/>
  <c r="DY34" i="5"/>
  <c r="DY33" i="5"/>
  <c r="DZ45" i="5"/>
  <c r="DZ49" i="5"/>
  <c r="DZ59" i="5"/>
  <c r="DZ28" i="5"/>
  <c r="DZ85" i="5"/>
  <c r="DZ62" i="5"/>
  <c r="DZ39" i="5"/>
  <c r="DZ53" i="5"/>
  <c r="DZ50" i="5"/>
  <c r="DZ40" i="5"/>
  <c r="DZ32" i="5"/>
  <c r="DZ51" i="5"/>
  <c r="DZ38" i="5"/>
  <c r="DZ31" i="5"/>
  <c r="DZ54" i="5"/>
  <c r="DZ27" i="5"/>
  <c r="DZ5" i="5"/>
  <c r="DZ71" i="5"/>
  <c r="DZ35" i="5"/>
  <c r="DZ57" i="5"/>
  <c r="EA4" i="5"/>
  <c r="DZ68" i="5"/>
  <c r="DZ52" i="5"/>
  <c r="DZ42" i="5"/>
  <c r="DZ47" i="5"/>
  <c r="DZ46" i="5"/>
  <c r="DZ48" i="5"/>
  <c r="DY69" i="5"/>
  <c r="DY70" i="5"/>
  <c r="DY56" i="5"/>
  <c r="DU29" i="6"/>
  <c r="DV23" i="6" s="1"/>
  <c r="DX87" i="5"/>
  <c r="DU19" i="6"/>
  <c r="DX86" i="5" s="1"/>
  <c r="DV35" i="6"/>
  <c r="DV13" i="6"/>
  <c r="DV36" i="6"/>
  <c r="DV18" i="6"/>
  <c r="DV14" i="6"/>
  <c r="DV34" i="6"/>
  <c r="DY91" i="5" s="1"/>
  <c r="DW6" i="6"/>
  <c r="DW12" i="6" s="1"/>
  <c r="DV15" i="6"/>
  <c r="DY78" i="5" s="1"/>
  <c r="DV27" i="6"/>
  <c r="DV28" i="6" s="1"/>
  <c r="DV25" i="6"/>
  <c r="DV26" i="6"/>
  <c r="DV40" i="6"/>
  <c r="DY92" i="5" s="1"/>
  <c r="DV7" i="6"/>
  <c r="DV37" i="6"/>
  <c r="DY80" i="5" s="1"/>
  <c r="DV24" i="6"/>
  <c r="DV38" i="6"/>
  <c r="DV16" i="6"/>
  <c r="DX81" i="5"/>
  <c r="DX94" i="5"/>
  <c r="DU41" i="6"/>
  <c r="DX93" i="5" s="1"/>
  <c r="CJ18" i="53"/>
  <c r="CJ54" i="53" s="1"/>
  <c r="CJ75" i="53"/>
  <c r="BD11" i="5" s="1"/>
  <c r="BX95" i="53"/>
  <c r="BY71" i="53"/>
  <c r="BX92" i="53"/>
  <c r="BX93" i="53" s="1"/>
  <c r="AS32" i="5"/>
  <c r="BY66" i="53"/>
  <c r="BY79" i="53"/>
  <c r="BY23" i="53" s="1"/>
  <c r="BZ15" i="53"/>
  <c r="BZ20" i="53" s="1"/>
  <c r="BZ22" i="53" s="1"/>
  <c r="BZ53" i="53"/>
  <c r="BY56" i="53"/>
  <c r="BY76" i="53" s="1"/>
  <c r="FH84" i="53"/>
  <c r="FI8" i="53"/>
  <c r="EP3" i="55"/>
  <c r="EO41" i="55"/>
  <c r="DZ8" i="6"/>
  <c r="EM17" i="55"/>
  <c r="EM27" i="55" s="1"/>
  <c r="EM14" i="55"/>
  <c r="EM24" i="55" s="1"/>
  <c r="EM12" i="55"/>
  <c r="EM22" i="55" s="1"/>
  <c r="FC44" i="53"/>
  <c r="FC47" i="53" s="1"/>
  <c r="EN16" i="55"/>
  <c r="EN26" i="55" s="1"/>
  <c r="EO15" i="55"/>
  <c r="EO25" i="55" s="1"/>
  <c r="EC21" i="55"/>
  <c r="EC28" i="55" s="1"/>
  <c r="ED11" i="55"/>
  <c r="EV40" i="53"/>
  <c r="EV49" i="53" s="1"/>
  <c r="EV50" i="53" s="1"/>
  <c r="DQ23" i="5"/>
  <c r="EW36" i="53"/>
  <c r="EX35" i="53"/>
  <c r="EX38" i="53"/>
  <c r="DQ24" i="5"/>
  <c r="EW39" i="53"/>
  <c r="AQ35" i="5" l="1"/>
  <c r="DX108" i="5"/>
  <c r="AP71" i="5"/>
  <c r="AD57" i="5"/>
  <c r="EA79" i="5"/>
  <c r="EA101" i="5"/>
  <c r="EA90" i="5"/>
  <c r="EA100" i="5"/>
  <c r="J87" i="65"/>
  <c r="E88" i="65" s="1"/>
  <c r="FF29" i="53"/>
  <c r="FF31" i="53" s="1"/>
  <c r="FF99" i="53" s="1"/>
  <c r="DV29" i="6"/>
  <c r="DW23" i="6" s="1"/>
  <c r="EM23" i="55"/>
  <c r="EN13" i="55"/>
  <c r="EP106" i="38"/>
  <c r="DX60" i="5"/>
  <c r="EQ93" i="38"/>
  <c r="EQ95" i="38" s="1"/>
  <c r="EQ104" i="38" s="1"/>
  <c r="EQ22" i="38"/>
  <c r="EQ39" i="38"/>
  <c r="ER4" i="38"/>
  <c r="ES3" i="38"/>
  <c r="DW63" i="5"/>
  <c r="FJ7" i="53"/>
  <c r="FI6" i="53"/>
  <c r="FI11" i="53" s="1"/>
  <c r="DZ70" i="5"/>
  <c r="DZ69" i="5"/>
  <c r="EA38" i="5"/>
  <c r="EA68" i="5"/>
  <c r="EA31" i="5"/>
  <c r="EA46" i="5"/>
  <c r="EA39" i="5"/>
  <c r="EA40" i="5"/>
  <c r="EA53" i="5"/>
  <c r="EA52" i="5"/>
  <c r="EA48" i="5"/>
  <c r="EA47" i="5"/>
  <c r="EA54" i="5"/>
  <c r="EA45" i="5"/>
  <c r="EA49" i="5"/>
  <c r="EA50" i="5"/>
  <c r="EA51" i="5"/>
  <c r="EA28" i="5"/>
  <c r="EA27" i="5"/>
  <c r="EA32" i="5"/>
  <c r="EA62" i="5"/>
  <c r="EA57" i="5"/>
  <c r="EA5" i="5"/>
  <c r="EA59" i="5"/>
  <c r="EB4" i="5"/>
  <c r="EA71" i="5"/>
  <c r="EA35" i="5"/>
  <c r="EA85" i="5"/>
  <c r="EA42" i="5"/>
  <c r="DZ29" i="5"/>
  <c r="DZ56" i="5"/>
  <c r="DY81" i="5"/>
  <c r="DZ34" i="5"/>
  <c r="DZ33" i="5"/>
  <c r="DW40" i="6"/>
  <c r="DZ92" i="5" s="1"/>
  <c r="DW26" i="6"/>
  <c r="DW35" i="6"/>
  <c r="DW14" i="6"/>
  <c r="DW7" i="6"/>
  <c r="DW13" i="6"/>
  <c r="DW15" i="6"/>
  <c r="DZ78" i="5" s="1"/>
  <c r="DW27" i="6"/>
  <c r="DW28" i="6" s="1"/>
  <c r="DX6" i="6"/>
  <c r="DX12" i="6" s="1"/>
  <c r="DW38" i="6"/>
  <c r="DW36" i="6"/>
  <c r="DW34" i="6"/>
  <c r="DZ91" i="5" s="1"/>
  <c r="DW18" i="6"/>
  <c r="DW37" i="6"/>
  <c r="DZ80" i="5" s="1"/>
  <c r="DW24" i="6"/>
  <c r="DW16" i="6"/>
  <c r="DW25" i="6"/>
  <c r="DV41" i="6"/>
  <c r="DY93" i="5" s="1"/>
  <c r="DY94" i="5"/>
  <c r="DV19" i="6"/>
  <c r="DY86" i="5" s="1"/>
  <c r="DY87" i="5"/>
  <c r="CJ88" i="53"/>
  <c r="CJ89" i="53" s="1"/>
  <c r="CK87" i="53" s="1"/>
  <c r="BY82" i="53"/>
  <c r="BY83" i="53" s="1"/>
  <c r="CK16" i="53" s="1"/>
  <c r="AS12" i="5"/>
  <c r="AS13" i="5" s="1"/>
  <c r="BZ60" i="53"/>
  <c r="BY77" i="53"/>
  <c r="BY91" i="53"/>
  <c r="BX96" i="53"/>
  <c r="AR30" i="5" s="1"/>
  <c r="BX98" i="53"/>
  <c r="EA8" i="6"/>
  <c r="EQ3" i="55"/>
  <c r="EP41" i="55"/>
  <c r="FI84" i="53"/>
  <c r="FJ8" i="53"/>
  <c r="EN17" i="55"/>
  <c r="EN27" i="55" s="1"/>
  <c r="EN12" i="55"/>
  <c r="EN22" i="55" s="1"/>
  <c r="EN14" i="55"/>
  <c r="EN24" i="55" s="1"/>
  <c r="FD44" i="53"/>
  <c r="FD47" i="53" s="1"/>
  <c r="EO16" i="55"/>
  <c r="EO26" i="55" s="1"/>
  <c r="EP15" i="55"/>
  <c r="EP25" i="55" s="1"/>
  <c r="EW40" i="53"/>
  <c r="EW49" i="53" s="1"/>
  <c r="EW50" i="53" s="1"/>
  <c r="DR23" i="5"/>
  <c r="EY35" i="53"/>
  <c r="EX36" i="53"/>
  <c r="EY38" i="53"/>
  <c r="EX39" i="53"/>
  <c r="DR24" i="5"/>
  <c r="ED21" i="55"/>
  <c r="ED28" i="55" s="1"/>
  <c r="EE11" i="55"/>
  <c r="AQ42" i="5" l="1"/>
  <c r="DY108" i="5"/>
  <c r="EB79" i="5"/>
  <c r="EB101" i="5"/>
  <c r="EB90" i="5"/>
  <c r="AR31" i="5"/>
  <c r="EB100" i="5"/>
  <c r="F88" i="65"/>
  <c r="FG29" i="53"/>
  <c r="FG31" i="53" s="1"/>
  <c r="FG99" i="53" s="1"/>
  <c r="EN23" i="55"/>
  <c r="EO13" i="55"/>
  <c r="EQ106" i="38"/>
  <c r="DY60" i="5"/>
  <c r="ER93" i="38"/>
  <c r="ER95" i="38"/>
  <c r="ER104" i="38" s="1"/>
  <c r="ER22" i="38"/>
  <c r="ER39" i="38"/>
  <c r="DX63" i="5"/>
  <c r="ES4" i="38"/>
  <c r="ET3" i="38"/>
  <c r="EA29" i="5"/>
  <c r="EA56" i="5"/>
  <c r="FJ6" i="53"/>
  <c r="FJ11" i="53" s="1"/>
  <c r="FK7" i="53"/>
  <c r="EB51" i="5"/>
  <c r="EC4" i="5"/>
  <c r="EB52" i="5"/>
  <c r="EB50" i="5"/>
  <c r="EB35" i="5"/>
  <c r="EB57" i="5"/>
  <c r="EB28" i="5"/>
  <c r="EB68" i="5"/>
  <c r="EB5" i="5"/>
  <c r="EB59" i="5"/>
  <c r="EB42" i="5"/>
  <c r="EB71" i="5"/>
  <c r="EB39" i="5"/>
  <c r="EB85" i="5"/>
  <c r="EB40" i="5"/>
  <c r="EB53" i="5"/>
  <c r="EB47" i="5"/>
  <c r="EB46" i="5"/>
  <c r="EB48" i="5"/>
  <c r="EB54" i="5"/>
  <c r="EB45" i="5"/>
  <c r="EB49" i="5"/>
  <c r="EB38" i="5"/>
  <c r="EB31" i="5"/>
  <c r="EB27" i="5"/>
  <c r="EB32" i="5"/>
  <c r="EB62" i="5"/>
  <c r="EA34" i="5"/>
  <c r="EA33" i="5"/>
  <c r="EA69" i="5"/>
  <c r="EA70" i="5"/>
  <c r="DZ81" i="5"/>
  <c r="DX15" i="6"/>
  <c r="EA78" i="5" s="1"/>
  <c r="DX18" i="6"/>
  <c r="DX13" i="6"/>
  <c r="DX25" i="6"/>
  <c r="DX40" i="6"/>
  <c r="EA92" i="5" s="1"/>
  <c r="DX14" i="6"/>
  <c r="DX7" i="6"/>
  <c r="DX37" i="6"/>
  <c r="EA80" i="5" s="1"/>
  <c r="DX36" i="6"/>
  <c r="DX34" i="6"/>
  <c r="EA91" i="5" s="1"/>
  <c r="DX38" i="6"/>
  <c r="DX16" i="6"/>
  <c r="DX35" i="6"/>
  <c r="DY6" i="6"/>
  <c r="DY12" i="6" s="1"/>
  <c r="DX26" i="6"/>
  <c r="DX24" i="6"/>
  <c r="DX27" i="6"/>
  <c r="DX28" i="6" s="1"/>
  <c r="DW29" i="6"/>
  <c r="DX23" i="6" s="1"/>
  <c r="DW19" i="6"/>
  <c r="DZ86" i="5" s="1"/>
  <c r="DZ87" i="5"/>
  <c r="DZ94" i="5"/>
  <c r="DW41" i="6"/>
  <c r="DZ93" i="5" s="1"/>
  <c r="BZ72" i="53"/>
  <c r="BY78" i="53"/>
  <c r="BZ59" i="53"/>
  <c r="BZ65" i="53" s="1"/>
  <c r="BZ67" i="53"/>
  <c r="BZ57" i="53"/>
  <c r="AT10" i="5"/>
  <c r="AS14" i="5"/>
  <c r="AT9" i="5" s="1"/>
  <c r="CK17" i="53"/>
  <c r="CK74" i="53" s="1"/>
  <c r="CK81" i="53" s="1"/>
  <c r="CK73" i="53"/>
  <c r="EQ41" i="55"/>
  <c r="ER3" i="55"/>
  <c r="EB8" i="6"/>
  <c r="FJ84" i="53"/>
  <c r="FK8" i="53"/>
  <c r="EO17" i="55"/>
  <c r="EO27" i="55" s="1"/>
  <c r="EO14" i="55"/>
  <c r="EO24" i="55" s="1"/>
  <c r="EO12" i="55"/>
  <c r="EO22" i="55" s="1"/>
  <c r="FE44" i="53"/>
  <c r="FE47" i="53" s="1"/>
  <c r="EP16" i="55"/>
  <c r="EP26" i="55" s="1"/>
  <c r="EQ15" i="55"/>
  <c r="EQ25" i="55" s="1"/>
  <c r="EX40" i="53"/>
  <c r="EX49" i="53" s="1"/>
  <c r="EX50" i="53" s="1"/>
  <c r="DS23" i="5"/>
  <c r="EZ35" i="53"/>
  <c r="EY36" i="53"/>
  <c r="DS24" i="5"/>
  <c r="EY39" i="53"/>
  <c r="EZ38" i="53"/>
  <c r="EE21" i="55"/>
  <c r="EE28" i="55" s="1"/>
  <c r="EF11" i="55"/>
  <c r="AR33" i="5" l="1"/>
  <c r="AQ46" i="5"/>
  <c r="AQ62" i="5"/>
  <c r="DZ108" i="5"/>
  <c r="AR34" i="5"/>
  <c r="EC79" i="5"/>
  <c r="EC101" i="5"/>
  <c r="EC90" i="5"/>
  <c r="EC100" i="5"/>
  <c r="J88" i="65"/>
  <c r="E89" i="65" s="1"/>
  <c r="FH29" i="53"/>
  <c r="FH31" i="53" s="1"/>
  <c r="FH99" i="53" s="1"/>
  <c r="EO23" i="55"/>
  <c r="EP13" i="55"/>
  <c r="ES93" i="38"/>
  <c r="ES95" i="38" s="1"/>
  <c r="ES104" i="38" s="1"/>
  <c r="EB29" i="5"/>
  <c r="ER106" i="38"/>
  <c r="DZ60" i="5"/>
  <c r="ES22" i="38"/>
  <c r="ES39" i="38"/>
  <c r="ET4" i="38"/>
  <c r="EU3" i="38"/>
  <c r="DY63" i="5"/>
  <c r="BY100" i="53"/>
  <c r="FK6" i="53"/>
  <c r="FK11" i="53" s="1"/>
  <c r="FL7" i="53"/>
  <c r="EB34" i="5"/>
  <c r="EB33" i="5"/>
  <c r="EB70" i="5"/>
  <c r="EB69" i="5"/>
  <c r="EB56" i="5"/>
  <c r="EC48" i="5"/>
  <c r="EC49" i="5"/>
  <c r="EC40" i="5"/>
  <c r="EC85" i="5"/>
  <c r="EC62" i="5"/>
  <c r="EC54" i="5"/>
  <c r="EC53" i="5"/>
  <c r="ED4" i="5"/>
  <c r="EC31" i="5"/>
  <c r="EC57" i="5"/>
  <c r="EC51" i="5"/>
  <c r="EC27" i="5"/>
  <c r="EC35" i="5"/>
  <c r="EC32" i="5"/>
  <c r="EC5" i="5"/>
  <c r="EC68" i="5"/>
  <c r="EC59" i="5"/>
  <c r="EC42" i="5"/>
  <c r="EC71" i="5"/>
  <c r="EC52" i="5"/>
  <c r="EC39" i="5"/>
  <c r="EC47" i="5"/>
  <c r="EC46" i="5"/>
  <c r="EC45" i="5"/>
  <c r="EC50" i="5"/>
  <c r="EC38" i="5"/>
  <c r="EC28" i="5"/>
  <c r="EA87" i="5"/>
  <c r="DX19" i="6"/>
  <c r="EA86" i="5" s="1"/>
  <c r="EA94" i="5"/>
  <c r="DX41" i="6"/>
  <c r="EA93" i="5" s="1"/>
  <c r="DX29" i="6"/>
  <c r="DY23" i="6" s="1"/>
  <c r="EA81" i="5"/>
  <c r="DY15" i="6"/>
  <c r="EB78" i="5" s="1"/>
  <c r="DY26" i="6"/>
  <c r="DY14" i="6"/>
  <c r="DY24" i="6"/>
  <c r="DY7" i="6"/>
  <c r="DY13" i="6"/>
  <c r="DY27" i="6"/>
  <c r="DY28" i="6" s="1"/>
  <c r="DY18" i="6"/>
  <c r="DY40" i="6"/>
  <c r="EB92" i="5" s="1"/>
  <c r="DY34" i="6"/>
  <c r="EB91" i="5" s="1"/>
  <c r="DY38" i="6"/>
  <c r="DY37" i="6"/>
  <c r="EB80" i="5" s="1"/>
  <c r="DY25" i="6"/>
  <c r="DY16" i="6"/>
  <c r="DY35" i="6"/>
  <c r="DZ6" i="6"/>
  <c r="DZ12" i="6" s="1"/>
  <c r="DY36" i="6"/>
  <c r="CK18" i="53"/>
  <c r="CK54" i="53" s="1"/>
  <c r="CK75" i="53"/>
  <c r="CA53" i="53"/>
  <c r="CA15" i="53"/>
  <c r="CA20" i="53" s="1"/>
  <c r="CA22" i="53" s="1"/>
  <c r="BZ56" i="53"/>
  <c r="BZ76" i="53" s="1"/>
  <c r="BZ66" i="53"/>
  <c r="BZ79" i="53"/>
  <c r="BZ23" i="53" s="1"/>
  <c r="AT32" i="5"/>
  <c r="BZ71" i="53"/>
  <c r="BY95" i="53"/>
  <c r="BY92" i="53"/>
  <c r="BY93" i="53" s="1"/>
  <c r="FK84" i="53"/>
  <c r="FL8" i="53"/>
  <c r="ES3" i="55"/>
  <c r="ER41" i="55"/>
  <c r="EC8" i="6"/>
  <c r="EP17" i="55"/>
  <c r="EP27" i="55" s="1"/>
  <c r="EP12" i="55"/>
  <c r="EP22" i="55" s="1"/>
  <c r="EP14" i="55"/>
  <c r="EP24" i="55" s="1"/>
  <c r="FF44" i="53"/>
  <c r="FF47" i="53" s="1"/>
  <c r="EQ16" i="55"/>
  <c r="EQ26" i="55" s="1"/>
  <c r="ER15" i="55"/>
  <c r="ER25" i="55" s="1"/>
  <c r="FA38" i="53"/>
  <c r="DT24" i="5"/>
  <c r="EZ39" i="53"/>
  <c r="EY40" i="53"/>
  <c r="EY49" i="53" s="1"/>
  <c r="EY50" i="53" s="1"/>
  <c r="DT23" i="5"/>
  <c r="FA35" i="53"/>
  <c r="EZ36" i="53"/>
  <c r="EF21" i="55"/>
  <c r="EF28" i="55" s="1"/>
  <c r="EG11" i="55"/>
  <c r="AR35" i="5" l="1"/>
  <c r="AQ63" i="5"/>
  <c r="AQ54" i="5"/>
  <c r="EA108" i="5"/>
  <c r="EB81" i="5"/>
  <c r="ED79" i="5"/>
  <c r="ED101" i="5"/>
  <c r="ED90" i="5"/>
  <c r="ED100" i="5"/>
  <c r="F89" i="65"/>
  <c r="FI29" i="53"/>
  <c r="FI31" i="53" s="1"/>
  <c r="FI99" i="53" s="1"/>
  <c r="EP23" i="55"/>
  <c r="EQ13" i="55"/>
  <c r="ET93" i="38"/>
  <c r="ET95" i="38" s="1"/>
  <c r="ET104" i="38" s="1"/>
  <c r="ES106" i="38"/>
  <c r="EA60" i="5"/>
  <c r="ET22" i="38"/>
  <c r="ET39" i="38"/>
  <c r="DZ63" i="5"/>
  <c r="EU4" i="38"/>
  <c r="EV3" i="38"/>
  <c r="EC56" i="5"/>
  <c r="FM7" i="53"/>
  <c r="FL6" i="53"/>
  <c r="FL11" i="53" s="1"/>
  <c r="EC69" i="5"/>
  <c r="EC70" i="5"/>
  <c r="EC29" i="5"/>
  <c r="ED68" i="5"/>
  <c r="ED28" i="5"/>
  <c r="ED42" i="5"/>
  <c r="ED71" i="5"/>
  <c r="ED27" i="5"/>
  <c r="ED46" i="5"/>
  <c r="ED45" i="5"/>
  <c r="ED49" i="5"/>
  <c r="ED50" i="5"/>
  <c r="ED32" i="5"/>
  <c r="ED57" i="5"/>
  <c r="ED38" i="5"/>
  <c r="EE4" i="5"/>
  <c r="ED31" i="5"/>
  <c r="ED62" i="5"/>
  <c r="ED35" i="5"/>
  <c r="ED5" i="5"/>
  <c r="ED59" i="5"/>
  <c r="ED85" i="5"/>
  <c r="ED54" i="5"/>
  <c r="ED53" i="5"/>
  <c r="ED51" i="5"/>
  <c r="ED39" i="5"/>
  <c r="ED52" i="5"/>
  <c r="ED40" i="5"/>
  <c r="ED47" i="5"/>
  <c r="ED48" i="5"/>
  <c r="EC34" i="5"/>
  <c r="EC33" i="5"/>
  <c r="DZ15" i="6"/>
  <c r="EC78" i="5" s="1"/>
  <c r="EA6" i="6"/>
  <c r="EA12" i="6" s="1"/>
  <c r="DZ40" i="6"/>
  <c r="EC92" i="5" s="1"/>
  <c r="DZ35" i="6"/>
  <c r="DZ16" i="6"/>
  <c r="DZ37" i="6"/>
  <c r="EC80" i="5" s="1"/>
  <c r="DZ7" i="6"/>
  <c r="DZ36" i="6"/>
  <c r="DZ26" i="6"/>
  <c r="DZ25" i="6"/>
  <c r="DZ38" i="6"/>
  <c r="DZ14" i="6"/>
  <c r="DZ34" i="6"/>
  <c r="EC91" i="5" s="1"/>
  <c r="DZ27" i="6"/>
  <c r="DZ28" i="6" s="1"/>
  <c r="DZ18" i="6"/>
  <c r="DZ24" i="6"/>
  <c r="DZ13" i="6"/>
  <c r="DY19" i="6"/>
  <c r="EB86" i="5" s="1"/>
  <c r="EB87" i="5"/>
  <c r="DY29" i="6"/>
  <c r="DZ23" i="6" s="1"/>
  <c r="EB94" i="5"/>
  <c r="DY41" i="6"/>
  <c r="EB93" i="5" s="1"/>
  <c r="BZ91" i="53"/>
  <c r="BY96" i="53"/>
  <c r="AS30" i="5" s="1"/>
  <c r="BY98" i="53"/>
  <c r="BZ77" i="53"/>
  <c r="BZ82" i="53"/>
  <c r="BZ83" i="53" s="1"/>
  <c r="CL16" i="53" s="1"/>
  <c r="AT12" i="5"/>
  <c r="AT13" i="5" s="1"/>
  <c r="CA60" i="53"/>
  <c r="BE11" i="5"/>
  <c r="CK88" i="53"/>
  <c r="CK89" i="53" s="1"/>
  <c r="CL87" i="53" s="1"/>
  <c r="ES41" i="55"/>
  <c r="ET3" i="55"/>
  <c r="ED8" i="6"/>
  <c r="FL84" i="53"/>
  <c r="FM8" i="53"/>
  <c r="EQ17" i="55"/>
  <c r="EQ27" i="55" s="1"/>
  <c r="EQ14" i="55"/>
  <c r="EQ24" i="55" s="1"/>
  <c r="EQ12" i="55"/>
  <c r="EQ22" i="55" s="1"/>
  <c r="FG44" i="53"/>
  <c r="FG47" i="53" s="1"/>
  <c r="ER16" i="55"/>
  <c r="ER26" i="55" s="1"/>
  <c r="ES15" i="55"/>
  <c r="ES25" i="55" s="1"/>
  <c r="EZ40" i="53"/>
  <c r="EZ49" i="53" s="1"/>
  <c r="EZ50" i="53" s="1"/>
  <c r="FB35" i="53"/>
  <c r="FA36" i="53"/>
  <c r="DU23" i="5"/>
  <c r="DU24" i="5"/>
  <c r="FA39" i="53"/>
  <c r="FB38" i="53"/>
  <c r="EG21" i="55"/>
  <c r="EG28" i="55" s="1"/>
  <c r="EH11" i="55"/>
  <c r="EB108" i="5" l="1"/>
  <c r="AQ56" i="5"/>
  <c r="AQ71" i="5" s="1"/>
  <c r="AR42" i="5"/>
  <c r="EE79" i="5"/>
  <c r="EE101" i="5"/>
  <c r="EE90" i="5"/>
  <c r="AS31" i="5"/>
  <c r="EE100" i="5"/>
  <c r="J89" i="65"/>
  <c r="E90" i="65" s="1"/>
  <c r="F90" i="65" s="1"/>
  <c r="FJ29" i="53"/>
  <c r="FJ31" i="53" s="1"/>
  <c r="FJ99" i="53" s="1"/>
  <c r="ED29" i="5"/>
  <c r="EQ23" i="55"/>
  <c r="ER13" i="55"/>
  <c r="ET106" i="38"/>
  <c r="EB60" i="5"/>
  <c r="EB63" i="5" s="1"/>
  <c r="EU93" i="38"/>
  <c r="EU95" i="38" s="1"/>
  <c r="EU104" i="38" s="1"/>
  <c r="EU22" i="38"/>
  <c r="ED56" i="5"/>
  <c r="EU39" i="38"/>
  <c r="EA63" i="5"/>
  <c r="EV4" i="38"/>
  <c r="EW3" i="38"/>
  <c r="FM6" i="53"/>
  <c r="FM11" i="53" s="1"/>
  <c r="FN7" i="53"/>
  <c r="FN6" i="53" s="1"/>
  <c r="ED69" i="5"/>
  <c r="ED70" i="5"/>
  <c r="ED34" i="5"/>
  <c r="ED33" i="5"/>
  <c r="EE51" i="5"/>
  <c r="EE52" i="5"/>
  <c r="EE57" i="5"/>
  <c r="EE32" i="5"/>
  <c r="EE59" i="5"/>
  <c r="EE31" i="5"/>
  <c r="EE53" i="5"/>
  <c r="EE40" i="5"/>
  <c r="EE47" i="5"/>
  <c r="EE46" i="5"/>
  <c r="EE48" i="5"/>
  <c r="EE45" i="5"/>
  <c r="EE49" i="5"/>
  <c r="EE38" i="5"/>
  <c r="EE28" i="5"/>
  <c r="EE27" i="5"/>
  <c r="EE35" i="5"/>
  <c r="EE62" i="5"/>
  <c r="EE42" i="5"/>
  <c r="EF4" i="5"/>
  <c r="EE54" i="5"/>
  <c r="EE68" i="5"/>
  <c r="EE5" i="5"/>
  <c r="EE71" i="5"/>
  <c r="EE85" i="5"/>
  <c r="EE50" i="5"/>
  <c r="EE39" i="5"/>
  <c r="EC94" i="5"/>
  <c r="DZ41" i="6"/>
  <c r="EC93" i="5" s="1"/>
  <c r="DZ29" i="6"/>
  <c r="EA23" i="6" s="1"/>
  <c r="DZ19" i="6"/>
  <c r="EC86" i="5" s="1"/>
  <c r="EC87" i="5"/>
  <c r="EB6" i="6"/>
  <c r="EB12" i="6" s="1"/>
  <c r="EA15" i="6"/>
  <c r="ED78" i="5" s="1"/>
  <c r="EA34" i="6"/>
  <c r="ED91" i="5" s="1"/>
  <c r="EA36" i="6"/>
  <c r="EA40" i="6"/>
  <c r="ED92" i="5" s="1"/>
  <c r="EA37" i="6"/>
  <c r="ED80" i="5" s="1"/>
  <c r="EA18" i="6"/>
  <c r="EA14" i="6"/>
  <c r="EA35" i="6"/>
  <c r="EA13" i="6"/>
  <c r="EA16" i="6"/>
  <c r="EA26" i="6"/>
  <c r="EA38" i="6"/>
  <c r="EA7" i="6"/>
  <c r="EA25" i="6"/>
  <c r="EA24" i="6"/>
  <c r="EA27" i="6"/>
  <c r="EA28" i="6" s="1"/>
  <c r="EC81" i="5"/>
  <c r="CA59" i="53"/>
  <c r="CA65" i="53" s="1"/>
  <c r="CA57" i="53"/>
  <c r="CA67" i="53"/>
  <c r="AU10" i="5"/>
  <c r="AT14" i="5"/>
  <c r="AU9" i="5" s="1"/>
  <c r="CL73" i="53"/>
  <c r="CL17" i="53"/>
  <c r="CL74" i="53" s="1"/>
  <c r="CL81" i="53" s="1"/>
  <c r="CA72" i="53"/>
  <c r="BZ78" i="53"/>
  <c r="FM84" i="53"/>
  <c r="FN8" i="53"/>
  <c r="FN84" i="53" s="1"/>
  <c r="EE8" i="6"/>
  <c r="ET41" i="55"/>
  <c r="EU3" i="55"/>
  <c r="ER17" i="55"/>
  <c r="ER27" i="55" s="1"/>
  <c r="ER12" i="55"/>
  <c r="ER22" i="55" s="1"/>
  <c r="ER14" i="55"/>
  <c r="ER24" i="55" s="1"/>
  <c r="FH44" i="53"/>
  <c r="FH47" i="53" s="1"/>
  <c r="ES16" i="55"/>
  <c r="ES26" i="55" s="1"/>
  <c r="ET15" i="55"/>
  <c r="ET25" i="55" s="1"/>
  <c r="EI11" i="55"/>
  <c r="EH21" i="55"/>
  <c r="EH28" i="55" s="1"/>
  <c r="DV24" i="5"/>
  <c r="FB39" i="53"/>
  <c r="FC38" i="53"/>
  <c r="FA40" i="53"/>
  <c r="FA49" i="53" s="1"/>
  <c r="FA50" i="53" s="1"/>
  <c r="DV23" i="5"/>
  <c r="FB36" i="53"/>
  <c r="FC35" i="53"/>
  <c r="AR46" i="5" l="1"/>
  <c r="AR62" i="5"/>
  <c r="AS33" i="5"/>
  <c r="AE57" i="5"/>
  <c r="EC108" i="5"/>
  <c r="AS34" i="5"/>
  <c r="EF79" i="5"/>
  <c r="EF101" i="5"/>
  <c r="EF90" i="5"/>
  <c r="EF100" i="5"/>
  <c r="J90" i="65"/>
  <c r="E91" i="65" s="1"/>
  <c r="FK29" i="53"/>
  <c r="FK31" i="53" s="1"/>
  <c r="FK99" i="53" s="1"/>
  <c r="ER23" i="55"/>
  <c r="ES13" i="55"/>
  <c r="FN11" i="53"/>
  <c r="EE56" i="5"/>
  <c r="EU106" i="38"/>
  <c r="EC60" i="5"/>
  <c r="EV93" i="38"/>
  <c r="EV22" i="38"/>
  <c r="EV95" i="38"/>
  <c r="EV104" i="38" s="1"/>
  <c r="ED60" i="5" s="1"/>
  <c r="EV39" i="38"/>
  <c r="EX3" i="38"/>
  <c r="EW4" i="38"/>
  <c r="EE29" i="5"/>
  <c r="BZ100" i="53"/>
  <c r="EE70" i="5"/>
  <c r="EE69" i="5"/>
  <c r="EF45" i="5"/>
  <c r="EF38" i="5"/>
  <c r="EF39" i="5"/>
  <c r="EF5" i="5"/>
  <c r="EF53" i="5"/>
  <c r="EF71" i="5"/>
  <c r="EF51" i="5"/>
  <c r="EF85" i="5"/>
  <c r="EF40" i="5"/>
  <c r="EF50" i="5"/>
  <c r="EF48" i="5"/>
  <c r="EF52" i="5"/>
  <c r="EF47" i="5"/>
  <c r="EF46" i="5"/>
  <c r="EF49" i="5"/>
  <c r="EF27" i="5"/>
  <c r="EF54" i="5"/>
  <c r="EF32" i="5"/>
  <c r="EF42" i="5"/>
  <c r="EF28" i="5"/>
  <c r="EF35" i="5"/>
  <c r="EF31" i="5"/>
  <c r="EF68" i="5"/>
  <c r="EF62" i="5"/>
  <c r="EF57" i="5"/>
  <c r="EG4" i="5"/>
  <c r="EF59" i="5"/>
  <c r="EE34" i="5"/>
  <c r="EE33" i="5"/>
  <c r="ED81" i="5"/>
  <c r="ED94" i="5"/>
  <c r="EA41" i="6"/>
  <c r="ED93" i="5" s="1"/>
  <c r="EB7" i="6"/>
  <c r="EB36" i="6"/>
  <c r="EB15" i="6"/>
  <c r="EE78" i="5" s="1"/>
  <c r="EB27" i="6"/>
  <c r="EB28" i="6" s="1"/>
  <c r="EB35" i="6"/>
  <c r="EB14" i="6"/>
  <c r="EB24" i="6"/>
  <c r="EC6" i="6"/>
  <c r="EC12" i="6" s="1"/>
  <c r="EB13" i="6"/>
  <c r="EB26" i="6"/>
  <c r="EB40" i="6"/>
  <c r="EE92" i="5" s="1"/>
  <c r="EB37" i="6"/>
  <c r="EE80" i="5" s="1"/>
  <c r="EB18" i="6"/>
  <c r="EB34" i="6"/>
  <c r="EE91" i="5" s="1"/>
  <c r="EB38" i="6"/>
  <c r="EB16" i="6"/>
  <c r="EB25" i="6"/>
  <c r="EA29" i="6"/>
  <c r="EB23" i="6" s="1"/>
  <c r="EA19" i="6"/>
  <c r="ED86" i="5" s="1"/>
  <c r="ED87" i="5"/>
  <c r="BZ95" i="53"/>
  <c r="CA71" i="53"/>
  <c r="BZ92" i="53"/>
  <c r="BZ93" i="53" s="1"/>
  <c r="CL18" i="53"/>
  <c r="CL54" i="53" s="1"/>
  <c r="CL75" i="53"/>
  <c r="CB53" i="53"/>
  <c r="CB15" i="53"/>
  <c r="CB20" i="53" s="1"/>
  <c r="CB22" i="53" s="1"/>
  <c r="CA56" i="53"/>
  <c r="CA76" i="53" s="1"/>
  <c r="CA79" i="53"/>
  <c r="CA23" i="53" s="1"/>
  <c r="AU32" i="5"/>
  <c r="CA66" i="53"/>
  <c r="EV3" i="55"/>
  <c r="EV41" i="55" s="1"/>
  <c r="EU41" i="55"/>
  <c r="ES17" i="55"/>
  <c r="ES27" i="55" s="1"/>
  <c r="ES14" i="55"/>
  <c r="ES24" i="55" s="1"/>
  <c r="ES12" i="55"/>
  <c r="ES22" i="55" s="1"/>
  <c r="FI44" i="53"/>
  <c r="FI47" i="53" s="1"/>
  <c r="ET16" i="55"/>
  <c r="ET26" i="55" s="1"/>
  <c r="EU15" i="55"/>
  <c r="EU25" i="55" s="1"/>
  <c r="EJ11" i="55"/>
  <c r="EI21" i="55"/>
  <c r="EI28" i="55" s="1"/>
  <c r="FD38" i="53"/>
  <c r="FC39" i="53"/>
  <c r="DW24" i="5"/>
  <c r="FC36" i="53"/>
  <c r="FD35" i="53"/>
  <c r="DW23" i="5"/>
  <c r="FB40" i="53"/>
  <c r="FB49" i="53" s="1"/>
  <c r="FB50" i="53" s="1"/>
  <c r="AR63" i="5" l="1"/>
  <c r="AS35" i="5"/>
  <c r="AR54" i="5"/>
  <c r="ED108" i="5"/>
  <c r="EE81" i="5"/>
  <c r="EG79" i="5"/>
  <c r="EG101" i="5"/>
  <c r="EG90" i="5"/>
  <c r="EG100" i="5"/>
  <c r="F91" i="65"/>
  <c r="FL29" i="53"/>
  <c r="FL31" i="53" s="1"/>
  <c r="FL99" i="53" s="1"/>
  <c r="ES23" i="55"/>
  <c r="ET13" i="55"/>
  <c r="EV106" i="38"/>
  <c r="EW93" i="38"/>
  <c r="EW95" i="38" s="1"/>
  <c r="EW104" i="38" s="1"/>
  <c r="EW22" i="38"/>
  <c r="EW39" i="38"/>
  <c r="EC63" i="5"/>
  <c r="ED63" i="5"/>
  <c r="EX4" i="38"/>
  <c r="EY3" i="38"/>
  <c r="EG71" i="5"/>
  <c r="EG31" i="5"/>
  <c r="EG39" i="5"/>
  <c r="EH4" i="5"/>
  <c r="EG48" i="5"/>
  <c r="EG49" i="5"/>
  <c r="EG62" i="5"/>
  <c r="EG53" i="5"/>
  <c r="EG68" i="5"/>
  <c r="EG5" i="5"/>
  <c r="EG59" i="5"/>
  <c r="EG57" i="5"/>
  <c r="EG40" i="5"/>
  <c r="EG85" i="5"/>
  <c r="EG50" i="5"/>
  <c r="EG51" i="5"/>
  <c r="EG52" i="5"/>
  <c r="EG47" i="5"/>
  <c r="EG46" i="5"/>
  <c r="EG45" i="5"/>
  <c r="EG38" i="5"/>
  <c r="EG35" i="5"/>
  <c r="EG54" i="5"/>
  <c r="EG27" i="5"/>
  <c r="EG42" i="5"/>
  <c r="EG32" i="5"/>
  <c r="EG28" i="5"/>
  <c r="EF34" i="5"/>
  <c r="EF33" i="5"/>
  <c r="EF70" i="5"/>
  <c r="EF69" i="5"/>
  <c r="EF56" i="5"/>
  <c r="EF29" i="5"/>
  <c r="EC13" i="6"/>
  <c r="EC7" i="6"/>
  <c r="EC15" i="6"/>
  <c r="EF78" i="5" s="1"/>
  <c r="ED6" i="6"/>
  <c r="ED12" i="6" s="1"/>
  <c r="EC26" i="6"/>
  <c r="EC36" i="6"/>
  <c r="EC16" i="6"/>
  <c r="EC35" i="6"/>
  <c r="EC34" i="6"/>
  <c r="EF91" i="5" s="1"/>
  <c r="EC40" i="6"/>
  <c r="EF92" i="5" s="1"/>
  <c r="EC27" i="6"/>
  <c r="EC28" i="6" s="1"/>
  <c r="EC38" i="6"/>
  <c r="EC37" i="6"/>
  <c r="EF80" i="5" s="1"/>
  <c r="EC24" i="6"/>
  <c r="EC14" i="6"/>
  <c r="EC18" i="6"/>
  <c r="EC25" i="6"/>
  <c r="EE87" i="5"/>
  <c r="EB19" i="6"/>
  <c r="EE86" i="5" s="1"/>
  <c r="EB29" i="6"/>
  <c r="EC23" i="6" s="1"/>
  <c r="EE94" i="5"/>
  <c r="EB41" i="6"/>
  <c r="EE93" i="5" s="1"/>
  <c r="CA82" i="53"/>
  <c r="CA83" i="53" s="1"/>
  <c r="CM16" i="53" s="1"/>
  <c r="AU12" i="5"/>
  <c r="AU13" i="5" s="1"/>
  <c r="CB60" i="53"/>
  <c r="BF11" i="5"/>
  <c r="CL88" i="53"/>
  <c r="CL89" i="53" s="1"/>
  <c r="CM87" i="53" s="1"/>
  <c r="CA77" i="53"/>
  <c r="BZ96" i="53"/>
  <c r="AT30" i="5" s="1"/>
  <c r="CA91" i="53"/>
  <c r="BZ98" i="53"/>
  <c r="ET17" i="55"/>
  <c r="ET27" i="55" s="1"/>
  <c r="ET12" i="55"/>
  <c r="ET22" i="55" s="1"/>
  <c r="ET14" i="55"/>
  <c r="ET24" i="55" s="1"/>
  <c r="FJ44" i="53"/>
  <c r="FJ47" i="53" s="1"/>
  <c r="EU16" i="55"/>
  <c r="EU26" i="55" s="1"/>
  <c r="EV15" i="55"/>
  <c r="EV25" i="55" s="1"/>
  <c r="EK11" i="55"/>
  <c r="EJ21" i="55"/>
  <c r="EJ28" i="55" s="1"/>
  <c r="FE35" i="53"/>
  <c r="FD36" i="53"/>
  <c r="DX23" i="5"/>
  <c r="FC40" i="53"/>
  <c r="FC49" i="53" s="1"/>
  <c r="FC50" i="53" s="1"/>
  <c r="DX24" i="5"/>
  <c r="FE38" i="53"/>
  <c r="FD39" i="53"/>
  <c r="AR56" i="5" l="1"/>
  <c r="AR71" i="5" s="1"/>
  <c r="AS42" i="5"/>
  <c r="EE108" i="5"/>
  <c r="EH90" i="5"/>
  <c r="EH101" i="5"/>
  <c r="AT31" i="5"/>
  <c r="D90" i="5"/>
  <c r="EH79" i="5"/>
  <c r="D79" i="5"/>
  <c r="EH100" i="5"/>
  <c r="J91" i="65"/>
  <c r="E92" i="65" s="1"/>
  <c r="F92" i="65" s="1"/>
  <c r="FM29" i="53"/>
  <c r="FM31" i="53" s="1"/>
  <c r="FM99" i="53" s="1"/>
  <c r="ET23" i="55"/>
  <c r="EU13" i="55"/>
  <c r="EW106" i="38"/>
  <c r="EE60" i="5"/>
  <c r="EX93" i="38"/>
  <c r="EX22" i="38"/>
  <c r="EX95" i="38"/>
  <c r="EX104" i="38" s="1"/>
  <c r="EX39" i="38"/>
  <c r="EZ3" i="38"/>
  <c r="EY4" i="38"/>
  <c r="EG29" i="5"/>
  <c r="EG69" i="5"/>
  <c r="EG70" i="5"/>
  <c r="EG56" i="5"/>
  <c r="EH53" i="5"/>
  <c r="EH47" i="5"/>
  <c r="EH59" i="5"/>
  <c r="EH31" i="5"/>
  <c r="EH42" i="5"/>
  <c r="EH85" i="5"/>
  <c r="EH62" i="5"/>
  <c r="EH38" i="5"/>
  <c r="EH28" i="5"/>
  <c r="EH27" i="5"/>
  <c r="D27" i="5" s="1"/>
  <c r="EH71" i="5"/>
  <c r="EH32" i="5"/>
  <c r="EH40" i="5"/>
  <c r="EH5" i="5"/>
  <c r="M74" i="32" s="1"/>
  <c r="EH68" i="5"/>
  <c r="EH57" i="5"/>
  <c r="EH39" i="5"/>
  <c r="EH49" i="5"/>
  <c r="EH51" i="5"/>
  <c r="EH50" i="5"/>
  <c r="EH52" i="5"/>
  <c r="EH46" i="5"/>
  <c r="EH54" i="5"/>
  <c r="EH48" i="5"/>
  <c r="EH35" i="5"/>
  <c r="EH45" i="5"/>
  <c r="D66" i="5"/>
  <c r="EG84" i="5"/>
  <c r="D60" i="5"/>
  <c r="D61" i="5"/>
  <c r="D45" i="5"/>
  <c r="D53" i="5"/>
  <c r="D50" i="5"/>
  <c r="D51" i="5"/>
  <c r="D28" i="5"/>
  <c r="D48" i="5"/>
  <c r="D49" i="5"/>
  <c r="D47" i="5"/>
  <c r="D52" i="5"/>
  <c r="D39" i="5"/>
  <c r="D38" i="5"/>
  <c r="D29" i="5"/>
  <c r="D40" i="5"/>
  <c r="EG34" i="5"/>
  <c r="EG33" i="5"/>
  <c r="EF87" i="5"/>
  <c r="EC19" i="6"/>
  <c r="EF86" i="5" s="1"/>
  <c r="EC29" i="6"/>
  <c r="ED23" i="6" s="1"/>
  <c r="EE6" i="6"/>
  <c r="EE12" i="6" s="1"/>
  <c r="ED36" i="6"/>
  <c r="ED38" i="6"/>
  <c r="ED26" i="6"/>
  <c r="ED16" i="6"/>
  <c r="ED14" i="6"/>
  <c r="ED37" i="6"/>
  <c r="EG80" i="5" s="1"/>
  <c r="ED27" i="6"/>
  <c r="ED28" i="6" s="1"/>
  <c r="ED15" i="6"/>
  <c r="EG78" i="5" s="1"/>
  <c r="ED35" i="6"/>
  <c r="ED25" i="6"/>
  <c r="ED13" i="6"/>
  <c r="ED34" i="6"/>
  <c r="EG91" i="5" s="1"/>
  <c r="ED18" i="6"/>
  <c r="ED7" i="6"/>
  <c r="ED24" i="6"/>
  <c r="ED40" i="6"/>
  <c r="EG92" i="5" s="1"/>
  <c r="EF81" i="5"/>
  <c r="EC41" i="6"/>
  <c r="EF93" i="5" s="1"/>
  <c r="EF94" i="5"/>
  <c r="H74" i="32"/>
  <c r="L74" i="32"/>
  <c r="J62" i="32"/>
  <c r="L62" i="32"/>
  <c r="M62" i="32"/>
  <c r="N62" i="32"/>
  <c r="CB72" i="53"/>
  <c r="CA78" i="53"/>
  <c r="CB59" i="53"/>
  <c r="CB65" i="53" s="1"/>
  <c r="CB57" i="53"/>
  <c r="CB67" i="53"/>
  <c r="AU14" i="5"/>
  <c r="AV9" i="5" s="1"/>
  <c r="AV10" i="5"/>
  <c r="CM73" i="53"/>
  <c r="CM17" i="53"/>
  <c r="CM74" i="53" s="1"/>
  <c r="CM81" i="53" s="1"/>
  <c r="EU17" i="55"/>
  <c r="EU27" i="55" s="1"/>
  <c r="EU14" i="55"/>
  <c r="EU24" i="55" s="1"/>
  <c r="EU12" i="55"/>
  <c r="EU22" i="55" s="1"/>
  <c r="FK44" i="53"/>
  <c r="FK47" i="53" s="1"/>
  <c r="EV16" i="55"/>
  <c r="EV26" i="55" s="1"/>
  <c r="FD40" i="53"/>
  <c r="FD49" i="53" s="1"/>
  <c r="FD50" i="53" s="1"/>
  <c r="DY23" i="5"/>
  <c r="FE36" i="53"/>
  <c r="FF35" i="53"/>
  <c r="EK21" i="55"/>
  <c r="EK28" i="55" s="1"/>
  <c r="EL11" i="55"/>
  <c r="FF38" i="53"/>
  <c r="FE39" i="53"/>
  <c r="DY24" i="5"/>
  <c r="EF108" i="5" l="1"/>
  <c r="D42" i="41"/>
  <c r="E42" i="41"/>
  <c r="F42" i="41"/>
  <c r="G42" i="41"/>
  <c r="H42" i="41"/>
  <c r="I42" i="41"/>
  <c r="J42" i="41"/>
  <c r="K42" i="41"/>
  <c r="L42" i="41"/>
  <c r="M42" i="41"/>
  <c r="D43" i="41"/>
  <c r="E43" i="41"/>
  <c r="F43" i="41"/>
  <c r="G43" i="41"/>
  <c r="H43" i="41"/>
  <c r="I43" i="41"/>
  <c r="J43" i="41"/>
  <c r="K43" i="41"/>
  <c r="L43" i="41"/>
  <c r="M43" i="41"/>
  <c r="AT33" i="5"/>
  <c r="AS62" i="5"/>
  <c r="AS46" i="5"/>
  <c r="AF57" i="5"/>
  <c r="E60" i="32"/>
  <c r="F60" i="32"/>
  <c r="G60" i="32"/>
  <c r="H60" i="32"/>
  <c r="I60" i="32"/>
  <c r="J60" i="32"/>
  <c r="K60" i="32"/>
  <c r="L60" i="32"/>
  <c r="M60" i="32"/>
  <c r="N60" i="32"/>
  <c r="O60" i="32"/>
  <c r="E66" i="32"/>
  <c r="F66" i="32"/>
  <c r="G66" i="32"/>
  <c r="H66" i="32"/>
  <c r="I66" i="32"/>
  <c r="J66" i="32"/>
  <c r="K66" i="32"/>
  <c r="L66" i="32"/>
  <c r="M66" i="32"/>
  <c r="N66" i="32"/>
  <c r="O66" i="32"/>
  <c r="E71" i="32"/>
  <c r="F71" i="32"/>
  <c r="G71" i="32"/>
  <c r="H71" i="32"/>
  <c r="I71" i="32"/>
  <c r="J71" i="32"/>
  <c r="K71" i="32"/>
  <c r="L71" i="32"/>
  <c r="M71" i="32"/>
  <c r="N71" i="32"/>
  <c r="O71" i="32"/>
  <c r="AT34" i="5"/>
  <c r="K62" i="32"/>
  <c r="EH56" i="5"/>
  <c r="O38" i="32" s="1"/>
  <c r="J92" i="65"/>
  <c r="E93" i="65" s="1"/>
  <c r="FN29" i="53"/>
  <c r="FN31" i="53" s="1"/>
  <c r="FN99" i="53" s="1"/>
  <c r="N68" i="32"/>
  <c r="K74" i="32"/>
  <c r="J74" i="32"/>
  <c r="G74" i="32"/>
  <c r="M68" i="32"/>
  <c r="F74" i="32"/>
  <c r="M75" i="32"/>
  <c r="E74" i="32"/>
  <c r="N75" i="32"/>
  <c r="K75" i="32"/>
  <c r="N67" i="32"/>
  <c r="H75" i="32"/>
  <c r="E68" i="32"/>
  <c r="M67" i="32"/>
  <c r="G75" i="32"/>
  <c r="L75" i="32"/>
  <c r="L67" i="32"/>
  <c r="F75" i="32"/>
  <c r="J75" i="32"/>
  <c r="K67" i="32"/>
  <c r="E75" i="32"/>
  <c r="L68" i="32"/>
  <c r="N74" i="32"/>
  <c r="K68" i="32"/>
  <c r="E67" i="32"/>
  <c r="EU23" i="55"/>
  <c r="EV13" i="55"/>
  <c r="EV23" i="55" s="1"/>
  <c r="EX106" i="38"/>
  <c r="EF60" i="5"/>
  <c r="EY93" i="38"/>
  <c r="EY22" i="38"/>
  <c r="EE63" i="5"/>
  <c r="EY39" i="38"/>
  <c r="T66" i="38"/>
  <c r="EZ4" i="38"/>
  <c r="U19" i="38"/>
  <c r="V92" i="38"/>
  <c r="P16" i="38"/>
  <c r="M11" i="38"/>
  <c r="U42" i="38"/>
  <c r="S20" i="38"/>
  <c r="L21" i="38"/>
  <c r="P21" i="38"/>
  <c r="O16" i="38"/>
  <c r="O67" i="38"/>
  <c r="S17" i="38"/>
  <c r="R94" i="38"/>
  <c r="L69" i="38"/>
  <c r="L9" i="38"/>
  <c r="N92" i="38"/>
  <c r="O15" i="38"/>
  <c r="L20" i="38"/>
  <c r="S66" i="38"/>
  <c r="R13" i="38"/>
  <c r="L65" i="38"/>
  <c r="L8" i="38"/>
  <c r="R9" i="38"/>
  <c r="O42" i="38"/>
  <c r="M16" i="38"/>
  <c r="R67" i="38"/>
  <c r="U10" i="38"/>
  <c r="T69" i="38"/>
  <c r="M20" i="38"/>
  <c r="L17" i="38"/>
  <c r="L42" i="38"/>
  <c r="L15" i="38"/>
  <c r="V20" i="38"/>
  <c r="M42" i="38"/>
  <c r="V42" i="38"/>
  <c r="U94" i="38"/>
  <c r="T15" i="38"/>
  <c r="EH29" i="5"/>
  <c r="CA100" i="53"/>
  <c r="EH34" i="5"/>
  <c r="O16" i="32" s="1"/>
  <c r="EH33" i="5"/>
  <c r="O15" i="32" s="1"/>
  <c r="D59" i="5"/>
  <c r="EH70" i="5"/>
  <c r="O51" i="32" s="1"/>
  <c r="EH69" i="5"/>
  <c r="O50" i="32" s="1"/>
  <c r="M52" i="32"/>
  <c r="L86" i="43" s="1"/>
  <c r="M31" i="32"/>
  <c r="L65" i="43" s="1"/>
  <c r="N14" i="32"/>
  <c r="M48" i="43" s="1"/>
  <c r="D51" i="32"/>
  <c r="C85" i="43" s="1"/>
  <c r="D41" i="32"/>
  <c r="C75" i="43" s="1"/>
  <c r="D74" i="32"/>
  <c r="M49" i="32"/>
  <c r="L83" i="43" s="1"/>
  <c r="L33" i="32"/>
  <c r="K67" i="43" s="1"/>
  <c r="E49" i="32"/>
  <c r="D83" i="43" s="1"/>
  <c r="K35" i="32"/>
  <c r="J69" i="43" s="1"/>
  <c r="E48" i="32"/>
  <c r="D82" i="43" s="1"/>
  <c r="N17" i="32"/>
  <c r="M51" i="43" s="1"/>
  <c r="K14" i="32"/>
  <c r="J48" i="43" s="1"/>
  <c r="E47" i="32"/>
  <c r="D81" i="43" s="1"/>
  <c r="K21" i="32"/>
  <c r="J55" i="43" s="1"/>
  <c r="O10" i="32"/>
  <c r="D68" i="32"/>
  <c r="G47" i="32"/>
  <c r="F81" i="43" s="1"/>
  <c r="L9" i="32"/>
  <c r="K44" i="43" s="1"/>
  <c r="L13" i="32"/>
  <c r="K47" i="43" s="1"/>
  <c r="L11" i="32"/>
  <c r="K45" i="43" s="1"/>
  <c r="N30" i="32"/>
  <c r="M64" i="43" s="1"/>
  <c r="K33" i="32"/>
  <c r="J67" i="43" s="1"/>
  <c r="O20" i="32"/>
  <c r="K20" i="32"/>
  <c r="J54" i="43" s="1"/>
  <c r="M33" i="32"/>
  <c r="L67" i="43" s="1"/>
  <c r="D43" i="32"/>
  <c r="C77" i="43" s="1"/>
  <c r="N41" i="32"/>
  <c r="M75" i="43" s="1"/>
  <c r="D75" i="32"/>
  <c r="L43" i="32"/>
  <c r="K77" i="43" s="1"/>
  <c r="N35" i="32"/>
  <c r="M69" i="43" s="1"/>
  <c r="O29" i="32"/>
  <c r="G49" i="32"/>
  <c r="F83" i="43" s="1"/>
  <c r="D49" i="32"/>
  <c r="C83" i="43" s="1"/>
  <c r="K24" i="32"/>
  <c r="J58" i="43" s="1"/>
  <c r="J41" i="32"/>
  <c r="I75" i="43" s="1"/>
  <c r="L28" i="32"/>
  <c r="K62" i="43" s="1"/>
  <c r="H48" i="32"/>
  <c r="G82" i="43" s="1"/>
  <c r="M30" i="32"/>
  <c r="L64" i="43" s="1"/>
  <c r="O28" i="32"/>
  <c r="K49" i="32"/>
  <c r="J83" i="43" s="1"/>
  <c r="K22" i="32"/>
  <c r="J56" i="43" s="1"/>
  <c r="O30" i="32"/>
  <c r="O14" i="32"/>
  <c r="J52" i="32"/>
  <c r="I86" i="43" s="1"/>
  <c r="L47" i="32"/>
  <c r="K81" i="43" s="1"/>
  <c r="O31" i="32"/>
  <c r="I47" i="32"/>
  <c r="H81" i="43" s="1"/>
  <c r="O49" i="32"/>
  <c r="J48" i="32"/>
  <c r="I82" i="43" s="1"/>
  <c r="L22" i="32"/>
  <c r="K56" i="43" s="1"/>
  <c r="M34" i="32"/>
  <c r="L68" i="43" s="1"/>
  <c r="N28" i="32"/>
  <c r="M62" i="43" s="1"/>
  <c r="K47" i="32"/>
  <c r="J81" i="43" s="1"/>
  <c r="L41" i="32"/>
  <c r="K75" i="43" s="1"/>
  <c r="D47" i="32"/>
  <c r="C81" i="43" s="1"/>
  <c r="N36" i="32"/>
  <c r="M70" i="43" s="1"/>
  <c r="N47" i="32"/>
  <c r="M81" i="43" s="1"/>
  <c r="K43" i="32"/>
  <c r="J77" i="43" s="1"/>
  <c r="O34" i="32"/>
  <c r="H47" i="32"/>
  <c r="G81" i="43" s="1"/>
  <c r="O52" i="32"/>
  <c r="O33" i="32"/>
  <c r="N27" i="32"/>
  <c r="M61" i="43" s="1"/>
  <c r="I48" i="32"/>
  <c r="H82" i="43" s="1"/>
  <c r="N13" i="32"/>
  <c r="M47" i="43" s="1"/>
  <c r="K30" i="32"/>
  <c r="J64" i="43" s="1"/>
  <c r="M32" i="32"/>
  <c r="L66" i="43" s="1"/>
  <c r="L31" i="32"/>
  <c r="K65" i="43" s="1"/>
  <c r="O17" i="32"/>
  <c r="K48" i="32"/>
  <c r="J82" i="43" s="1"/>
  <c r="L14" i="32"/>
  <c r="K48" i="43" s="1"/>
  <c r="M10" i="32"/>
  <c r="L43" i="43" s="1"/>
  <c r="N32" i="32"/>
  <c r="M66" i="43" s="1"/>
  <c r="M28" i="32"/>
  <c r="L62" i="43" s="1"/>
  <c r="K28" i="32"/>
  <c r="J62" i="43" s="1"/>
  <c r="L21" i="32"/>
  <c r="K55" i="43" s="1"/>
  <c r="N20" i="32"/>
  <c r="M54" i="43" s="1"/>
  <c r="N10" i="32"/>
  <c r="M43" i="43" s="1"/>
  <c r="K29" i="32"/>
  <c r="J63" i="43" s="1"/>
  <c r="M14" i="32"/>
  <c r="L48" i="43" s="1"/>
  <c r="K17" i="32"/>
  <c r="J51" i="43" s="1"/>
  <c r="F48" i="32"/>
  <c r="E82" i="43" s="1"/>
  <c r="K11" i="32"/>
  <c r="J45" i="43" s="1"/>
  <c r="O36" i="32"/>
  <c r="D67" i="32"/>
  <c r="L20" i="32"/>
  <c r="K54" i="43" s="1"/>
  <c r="M47" i="32"/>
  <c r="L81" i="43" s="1"/>
  <c r="M36" i="32"/>
  <c r="L70" i="43" s="1"/>
  <c r="M22" i="32"/>
  <c r="L56" i="43" s="1"/>
  <c r="O27" i="32"/>
  <c r="L48" i="32"/>
  <c r="K82" i="43" s="1"/>
  <c r="L35" i="32"/>
  <c r="K69" i="43" s="1"/>
  <c r="L52" i="32"/>
  <c r="K86" i="43" s="1"/>
  <c r="L29" i="32"/>
  <c r="K63" i="43" s="1"/>
  <c r="K13" i="32"/>
  <c r="J47" i="43" s="1"/>
  <c r="M13" i="32"/>
  <c r="L47" i="43" s="1"/>
  <c r="M35" i="32"/>
  <c r="L69" i="43" s="1"/>
  <c r="N34" i="32"/>
  <c r="M68" i="43" s="1"/>
  <c r="O21" i="32"/>
  <c r="M17" i="32"/>
  <c r="L51" i="43" s="1"/>
  <c r="L32" i="32"/>
  <c r="K66" i="43" s="1"/>
  <c r="N29" i="32"/>
  <c r="M63" i="43" s="1"/>
  <c r="N31" i="32"/>
  <c r="M65" i="43" s="1"/>
  <c r="O22" i="32"/>
  <c r="G48" i="32"/>
  <c r="F82" i="43" s="1"/>
  <c r="K52" i="32"/>
  <c r="J86" i="43" s="1"/>
  <c r="I9" i="32"/>
  <c r="H44" i="43" s="1"/>
  <c r="O24" i="32"/>
  <c r="N52" i="32"/>
  <c r="M86" i="43" s="1"/>
  <c r="N11" i="32"/>
  <c r="M45" i="43" s="1"/>
  <c r="O13" i="32"/>
  <c r="F49" i="32"/>
  <c r="E83" i="43" s="1"/>
  <c r="N33" i="32"/>
  <c r="M67" i="43" s="1"/>
  <c r="E9" i="32"/>
  <c r="D44" i="43" s="1"/>
  <c r="N48" i="32"/>
  <c r="M82" i="43" s="1"/>
  <c r="L49" i="32"/>
  <c r="K83" i="43" s="1"/>
  <c r="M41" i="32"/>
  <c r="L75" i="43" s="1"/>
  <c r="O35" i="32"/>
  <c r="L17" i="32"/>
  <c r="K51" i="43" s="1"/>
  <c r="M21" i="32"/>
  <c r="L55" i="43" s="1"/>
  <c r="K36" i="32"/>
  <c r="J70" i="43" s="1"/>
  <c r="M20" i="32"/>
  <c r="L54" i="43" s="1"/>
  <c r="N22" i="32"/>
  <c r="M56" i="43" s="1"/>
  <c r="K16" i="32"/>
  <c r="J50" i="43" s="1"/>
  <c r="N38" i="32"/>
  <c r="M72" i="43" s="1"/>
  <c r="N51" i="32"/>
  <c r="M85" i="43" s="1"/>
  <c r="H49" i="32"/>
  <c r="G83" i="43" s="1"/>
  <c r="O47" i="32"/>
  <c r="G50" i="32"/>
  <c r="F84" i="43" s="1"/>
  <c r="H51" i="32"/>
  <c r="G85" i="43" s="1"/>
  <c r="J49" i="32"/>
  <c r="I83" i="43" s="1"/>
  <c r="L30" i="32"/>
  <c r="K64" i="43" s="1"/>
  <c r="L34" i="32"/>
  <c r="K68" i="43" s="1"/>
  <c r="N21" i="32"/>
  <c r="M55" i="43" s="1"/>
  <c r="J47" i="32"/>
  <c r="I81" i="43" s="1"/>
  <c r="L10" i="32"/>
  <c r="K43" i="43" s="1"/>
  <c r="D50" i="32"/>
  <c r="C84" i="43" s="1"/>
  <c r="M24" i="32"/>
  <c r="L58" i="43" s="1"/>
  <c r="K41" i="32"/>
  <c r="J75" i="43" s="1"/>
  <c r="L27" i="32"/>
  <c r="K61" i="43" s="1"/>
  <c r="O43" i="32"/>
  <c r="K38" i="32"/>
  <c r="J72" i="43" s="1"/>
  <c r="N50" i="32"/>
  <c r="M84" i="43" s="1"/>
  <c r="L38" i="32"/>
  <c r="K72" i="43" s="1"/>
  <c r="K32" i="32"/>
  <c r="J66" i="43" s="1"/>
  <c r="N49" i="32"/>
  <c r="M83" i="43" s="1"/>
  <c r="M43" i="32"/>
  <c r="L77" i="43" s="1"/>
  <c r="K15" i="32"/>
  <c r="J49" i="43" s="1"/>
  <c r="M11" i="32"/>
  <c r="L45" i="43" s="1"/>
  <c r="N24" i="32"/>
  <c r="M58" i="43" s="1"/>
  <c r="M29" i="32"/>
  <c r="L63" i="43" s="1"/>
  <c r="M15" i="32"/>
  <c r="L49" i="43" s="1"/>
  <c r="J50" i="32"/>
  <c r="I84" i="43" s="1"/>
  <c r="O48" i="32"/>
  <c r="L36" i="32"/>
  <c r="K70" i="43" s="1"/>
  <c r="F9" i="32"/>
  <c r="E44" i="43" s="1"/>
  <c r="F47" i="32"/>
  <c r="E81" i="43" s="1"/>
  <c r="K9" i="32"/>
  <c r="J44" i="43" s="1"/>
  <c r="M48" i="32"/>
  <c r="L82" i="43" s="1"/>
  <c r="L24" i="32"/>
  <c r="K58" i="43" s="1"/>
  <c r="G9" i="32"/>
  <c r="F44" i="43" s="1"/>
  <c r="K50" i="32"/>
  <c r="J84" i="43" s="1"/>
  <c r="N16" i="32"/>
  <c r="M50" i="43" s="1"/>
  <c r="H9" i="32"/>
  <c r="G44" i="43" s="1"/>
  <c r="K27" i="32"/>
  <c r="J61" i="43" s="1"/>
  <c r="M9" i="32"/>
  <c r="L44" i="43" s="1"/>
  <c r="L15" i="32"/>
  <c r="K49" i="43" s="1"/>
  <c r="O32" i="32"/>
  <c r="O9" i="32"/>
  <c r="J51" i="32"/>
  <c r="I85" i="43" s="1"/>
  <c r="L51" i="32"/>
  <c r="K85" i="43" s="1"/>
  <c r="N43" i="32"/>
  <c r="M77" i="43" s="1"/>
  <c r="O11" i="32"/>
  <c r="K10" i="32"/>
  <c r="J43" i="43" s="1"/>
  <c r="M38" i="32"/>
  <c r="L72" i="43" s="1"/>
  <c r="H50" i="32"/>
  <c r="G84" i="43" s="1"/>
  <c r="K34" i="32"/>
  <c r="J68" i="43" s="1"/>
  <c r="M27" i="32"/>
  <c r="L61" i="43" s="1"/>
  <c r="K31" i="32"/>
  <c r="J65" i="43" s="1"/>
  <c r="O41" i="32"/>
  <c r="L50" i="32"/>
  <c r="K84" i="43" s="1"/>
  <c r="M16" i="32"/>
  <c r="L50" i="43" s="1"/>
  <c r="BA33" i="57"/>
  <c r="J9" i="32"/>
  <c r="I44" i="43" s="1"/>
  <c r="N9" i="32"/>
  <c r="M44" i="43" s="1"/>
  <c r="M50" i="32"/>
  <c r="L84" i="43" s="1"/>
  <c r="L16" i="32"/>
  <c r="K50" i="43" s="1"/>
  <c r="K51" i="32"/>
  <c r="J85" i="43" s="1"/>
  <c r="E41" i="32"/>
  <c r="D75" i="43" s="1"/>
  <c r="G41" i="32"/>
  <c r="F75" i="43" s="1"/>
  <c r="N15" i="32"/>
  <c r="M49" i="43" s="1"/>
  <c r="BH33" i="57"/>
  <c r="H41" i="32"/>
  <c r="G75" i="43" s="1"/>
  <c r="M44" i="32"/>
  <c r="L78" i="43" s="1"/>
  <c r="F41" i="32"/>
  <c r="E75" i="43" s="1"/>
  <c r="I41" i="32"/>
  <c r="H75" i="43" s="1"/>
  <c r="BO33" i="57"/>
  <c r="L44" i="32"/>
  <c r="K78" i="43" s="1"/>
  <c r="N44" i="32"/>
  <c r="M78" i="43" s="1"/>
  <c r="J44" i="32"/>
  <c r="I78" i="43" s="1"/>
  <c r="H42" i="32"/>
  <c r="M42" i="32"/>
  <c r="L76" i="43" s="1"/>
  <c r="J42" i="32"/>
  <c r="I76" i="43" s="1"/>
  <c r="E42" i="32"/>
  <c r="D42" i="32"/>
  <c r="L42" i="32"/>
  <c r="K76" i="43" s="1"/>
  <c r="D44" i="32"/>
  <c r="C78" i="43" s="1"/>
  <c r="K44" i="32"/>
  <c r="J78" i="43" s="1"/>
  <c r="K42" i="32"/>
  <c r="J76" i="43" s="1"/>
  <c r="I42" i="32"/>
  <c r="N42" i="32"/>
  <c r="M76" i="43" s="1"/>
  <c r="F42" i="32"/>
  <c r="G42" i="32"/>
  <c r="F51" i="32"/>
  <c r="E85" i="43" s="1"/>
  <c r="J43" i="32"/>
  <c r="I77" i="43" s="1"/>
  <c r="BH21" i="57"/>
  <c r="BO21" i="57"/>
  <c r="BA29" i="57"/>
  <c r="BA21" i="57"/>
  <c r="H27" i="32"/>
  <c r="G61" i="43" s="1"/>
  <c r="E27" i="32"/>
  <c r="D61" i="43" s="1"/>
  <c r="F27" i="32"/>
  <c r="E61" i="43" s="1"/>
  <c r="I27" i="32"/>
  <c r="H61" i="43" s="1"/>
  <c r="G27" i="32"/>
  <c r="F61" i="43" s="1"/>
  <c r="H35" i="32"/>
  <c r="G69" i="43" s="1"/>
  <c r="BH29" i="57"/>
  <c r="J35" i="32"/>
  <c r="I69" i="43" s="1"/>
  <c r="BO29" i="57"/>
  <c r="F35" i="32"/>
  <c r="E69" i="43" s="1"/>
  <c r="E35" i="32"/>
  <c r="D69" i="43" s="1"/>
  <c r="G35" i="32"/>
  <c r="F69" i="43" s="1"/>
  <c r="I35" i="32"/>
  <c r="H69" i="43" s="1"/>
  <c r="BH12" i="57"/>
  <c r="J27" i="32"/>
  <c r="I61" i="43" s="1"/>
  <c r="BA17" i="57"/>
  <c r="BH27" i="57"/>
  <c r="H31" i="32"/>
  <c r="G65" i="43" s="1"/>
  <c r="I34" i="32"/>
  <c r="H68" i="43" s="1"/>
  <c r="BA24" i="57"/>
  <c r="J21" i="32"/>
  <c r="I55" i="43" s="1"/>
  <c r="G21" i="32"/>
  <c r="F55" i="43" s="1"/>
  <c r="G32" i="32"/>
  <c r="F66" i="43" s="1"/>
  <c r="J10" i="32"/>
  <c r="F30" i="32"/>
  <c r="E64" i="43" s="1"/>
  <c r="BH28" i="57"/>
  <c r="G34" i="32"/>
  <c r="F68" i="43" s="1"/>
  <c r="H30" i="32"/>
  <c r="G64" i="43" s="1"/>
  <c r="BA27" i="57"/>
  <c r="H29" i="32"/>
  <c r="G63" i="43" s="1"/>
  <c r="G10" i="32"/>
  <c r="E32" i="32"/>
  <c r="D66" i="43" s="1"/>
  <c r="H32" i="32"/>
  <c r="G66" i="43" s="1"/>
  <c r="F34" i="32"/>
  <c r="E68" i="43" s="1"/>
  <c r="I11" i="32"/>
  <c r="H45" i="43" s="1"/>
  <c r="J34" i="32"/>
  <c r="I68" i="43" s="1"/>
  <c r="F32" i="32"/>
  <c r="E66" i="43" s="1"/>
  <c r="F29" i="32"/>
  <c r="E63" i="43" s="1"/>
  <c r="BA23" i="57"/>
  <c r="H21" i="32"/>
  <c r="G55" i="43" s="1"/>
  <c r="G30" i="32"/>
  <c r="F64" i="43" s="1"/>
  <c r="J11" i="32"/>
  <c r="I45" i="43" s="1"/>
  <c r="E29" i="32"/>
  <c r="D63" i="43" s="1"/>
  <c r="E21" i="32"/>
  <c r="D55" i="43" s="1"/>
  <c r="H34" i="32"/>
  <c r="G68" i="43" s="1"/>
  <c r="BH23" i="57"/>
  <c r="J29" i="32"/>
  <c r="I63" i="43" s="1"/>
  <c r="E34" i="32"/>
  <c r="D68" i="43" s="1"/>
  <c r="J30" i="32"/>
  <c r="I64" i="43" s="1"/>
  <c r="I21" i="32"/>
  <c r="H55" i="43" s="1"/>
  <c r="BH25" i="57"/>
  <c r="E10" i="32"/>
  <c r="BA26" i="57"/>
  <c r="G11" i="32"/>
  <c r="F45" i="43" s="1"/>
  <c r="G31" i="32"/>
  <c r="F65" i="43" s="1"/>
  <c r="BO23" i="57"/>
  <c r="E33" i="32"/>
  <c r="D67" i="43" s="1"/>
  <c r="F21" i="32"/>
  <c r="E55" i="43" s="1"/>
  <c r="I31" i="32"/>
  <c r="H65" i="43" s="1"/>
  <c r="H10" i="32"/>
  <c r="I32" i="32"/>
  <c r="H66" i="43" s="1"/>
  <c r="BO28" i="57"/>
  <c r="J31" i="32"/>
  <c r="I65" i="43" s="1"/>
  <c r="F10" i="32"/>
  <c r="BO24" i="57"/>
  <c r="F33" i="32"/>
  <c r="E67" i="43" s="1"/>
  <c r="J33" i="32"/>
  <c r="I67" i="43" s="1"/>
  <c r="J32" i="32"/>
  <c r="I66" i="43" s="1"/>
  <c r="G33" i="32"/>
  <c r="F67" i="43" s="1"/>
  <c r="I30" i="32"/>
  <c r="H64" i="43" s="1"/>
  <c r="BO25" i="57"/>
  <c r="BO27" i="57"/>
  <c r="I33" i="32"/>
  <c r="H67" i="43" s="1"/>
  <c r="H33" i="32"/>
  <c r="G67" i="43" s="1"/>
  <c r="BA28" i="57"/>
  <c r="H11" i="32"/>
  <c r="G45" i="43" s="1"/>
  <c r="G29" i="32"/>
  <c r="F63" i="43" s="1"/>
  <c r="I29" i="32"/>
  <c r="H63" i="43" s="1"/>
  <c r="BA25" i="57"/>
  <c r="E11" i="32"/>
  <c r="D45" i="43" s="1"/>
  <c r="F11" i="32"/>
  <c r="E45" i="43" s="1"/>
  <c r="E30" i="32"/>
  <c r="D64" i="43" s="1"/>
  <c r="E31" i="32"/>
  <c r="D65" i="43" s="1"/>
  <c r="I10" i="32"/>
  <c r="BH24" i="57"/>
  <c r="BH26" i="57"/>
  <c r="BO26" i="57"/>
  <c r="F31" i="32"/>
  <c r="E65" i="43" s="1"/>
  <c r="BO17" i="57"/>
  <c r="G20" i="32"/>
  <c r="BO9" i="57"/>
  <c r="BA9" i="57"/>
  <c r="H20" i="32"/>
  <c r="BH9" i="57"/>
  <c r="BA16" i="57"/>
  <c r="J20" i="32"/>
  <c r="BH17" i="57"/>
  <c r="BH16" i="57"/>
  <c r="I20" i="32"/>
  <c r="E20" i="32"/>
  <c r="E22" i="32"/>
  <c r="D56" i="43" s="1"/>
  <c r="F20" i="32"/>
  <c r="BO16" i="57"/>
  <c r="H22" i="32"/>
  <c r="G56" i="43" s="1"/>
  <c r="I22" i="32"/>
  <c r="H56" i="43" s="1"/>
  <c r="G22" i="32"/>
  <c r="F56" i="43" s="1"/>
  <c r="J22" i="32"/>
  <c r="I56" i="43" s="1"/>
  <c r="F22" i="32"/>
  <c r="E56" i="43" s="1"/>
  <c r="L72" i="32"/>
  <c r="E72" i="32"/>
  <c r="I72" i="32"/>
  <c r="J72" i="32"/>
  <c r="K72" i="32"/>
  <c r="M72" i="32"/>
  <c r="N72" i="32"/>
  <c r="I84" i="5"/>
  <c r="H84" i="5"/>
  <c r="K84" i="5"/>
  <c r="G84" i="5"/>
  <c r="L84" i="5"/>
  <c r="J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BB84" i="5"/>
  <c r="BC84" i="5"/>
  <c r="BD84" i="5"/>
  <c r="BE84" i="5"/>
  <c r="BF84" i="5"/>
  <c r="BG84" i="5"/>
  <c r="BH84" i="5"/>
  <c r="BI84" i="5"/>
  <c r="BJ84" i="5"/>
  <c r="BK84" i="5"/>
  <c r="BL84" i="5"/>
  <c r="BM84" i="5"/>
  <c r="BN84" i="5"/>
  <c r="BO84" i="5"/>
  <c r="BP84" i="5"/>
  <c r="BQ84" i="5"/>
  <c r="BR84" i="5"/>
  <c r="BS84" i="5"/>
  <c r="BT84" i="5"/>
  <c r="BU84" i="5"/>
  <c r="BV84" i="5"/>
  <c r="BW84" i="5"/>
  <c r="BX84" i="5"/>
  <c r="BY84" i="5"/>
  <c r="BZ84" i="5"/>
  <c r="CA84" i="5"/>
  <c r="CB84" i="5"/>
  <c r="CC84" i="5"/>
  <c r="CD84" i="5"/>
  <c r="CE84" i="5"/>
  <c r="CF84" i="5"/>
  <c r="CG84" i="5"/>
  <c r="CH84" i="5"/>
  <c r="CI84" i="5"/>
  <c r="CJ84" i="5"/>
  <c r="CK84" i="5"/>
  <c r="CL84" i="5"/>
  <c r="CM84" i="5"/>
  <c r="CN84" i="5"/>
  <c r="CO84" i="5"/>
  <c r="CP84" i="5"/>
  <c r="CQ84" i="5"/>
  <c r="CR84" i="5"/>
  <c r="CS84" i="5"/>
  <c r="CT84" i="5"/>
  <c r="CU84" i="5"/>
  <c r="CV84" i="5"/>
  <c r="CW84" i="5"/>
  <c r="CX84" i="5"/>
  <c r="CY84" i="5"/>
  <c r="CZ84" i="5"/>
  <c r="DA84" i="5"/>
  <c r="DB84" i="5"/>
  <c r="DC84" i="5"/>
  <c r="DD84" i="5"/>
  <c r="DE84" i="5"/>
  <c r="DF84" i="5"/>
  <c r="DG84" i="5"/>
  <c r="DH84" i="5"/>
  <c r="DI84" i="5"/>
  <c r="DJ84" i="5"/>
  <c r="DK84" i="5"/>
  <c r="DL84" i="5"/>
  <c r="DM84" i="5"/>
  <c r="DN84" i="5"/>
  <c r="DO84" i="5"/>
  <c r="DP84" i="5"/>
  <c r="DQ84" i="5"/>
  <c r="DR84" i="5"/>
  <c r="DS84" i="5"/>
  <c r="DT84" i="5"/>
  <c r="DU84" i="5"/>
  <c r="DV84" i="5"/>
  <c r="DW84" i="5"/>
  <c r="DX84" i="5"/>
  <c r="DY84" i="5"/>
  <c r="DZ84" i="5"/>
  <c r="EA84" i="5"/>
  <c r="EB84" i="5"/>
  <c r="EC84" i="5"/>
  <c r="ED84" i="5"/>
  <c r="EE84" i="5"/>
  <c r="EF84" i="5"/>
  <c r="EG87" i="5"/>
  <c r="ED19" i="6"/>
  <c r="EG86" i="5" s="1"/>
  <c r="EG94" i="5"/>
  <c r="ED41" i="6"/>
  <c r="EG93" i="5" s="1"/>
  <c r="EE36" i="6"/>
  <c r="EE25" i="6"/>
  <c r="EH84" i="5"/>
  <c r="EE16" i="6"/>
  <c r="EE26" i="6"/>
  <c r="EE27" i="6"/>
  <c r="EE28" i="6" s="1"/>
  <c r="EE37" i="6"/>
  <c r="EH80" i="5" s="1"/>
  <c r="EE34" i="6"/>
  <c r="EH91" i="5" s="1"/>
  <c r="O72" i="32" s="1"/>
  <c r="EE24" i="6"/>
  <c r="EE15" i="6"/>
  <c r="EH78" i="5" s="1"/>
  <c r="EE13" i="6"/>
  <c r="EE18" i="6"/>
  <c r="EE38" i="6"/>
  <c r="EE14" i="6"/>
  <c r="EE7" i="6"/>
  <c r="EE35" i="6"/>
  <c r="EE40" i="6"/>
  <c r="EH92" i="5" s="1"/>
  <c r="ED29" i="6"/>
  <c r="EE23" i="6" s="1"/>
  <c r="EG81" i="5"/>
  <c r="CM18" i="53"/>
  <c r="CM54" i="53" s="1"/>
  <c r="CM75" i="53"/>
  <c r="CC53" i="53"/>
  <c r="CC15" i="53"/>
  <c r="CC20" i="53" s="1"/>
  <c r="CC22" i="53" s="1"/>
  <c r="CB56" i="53"/>
  <c r="CB76" i="53" s="1"/>
  <c r="CB66" i="53"/>
  <c r="AV32" i="5"/>
  <c r="CB79" i="53"/>
  <c r="CB23" i="53" s="1"/>
  <c r="CA95" i="53"/>
  <c r="CB71" i="53"/>
  <c r="CA92" i="53"/>
  <c r="CA93" i="53" s="1"/>
  <c r="EV17" i="55"/>
  <c r="EV27" i="55" s="1"/>
  <c r="EV12" i="55"/>
  <c r="EV22" i="55" s="1"/>
  <c r="EV14" i="55"/>
  <c r="EV24" i="55" s="1"/>
  <c r="FL44" i="53"/>
  <c r="FL47" i="53" s="1"/>
  <c r="EL21" i="55"/>
  <c r="EL28" i="55" s="1"/>
  <c r="EM11" i="55"/>
  <c r="FF36" i="53"/>
  <c r="FG35" i="53"/>
  <c r="DZ23" i="5"/>
  <c r="FE40" i="53"/>
  <c r="FE49" i="53" s="1"/>
  <c r="FE50" i="53" s="1"/>
  <c r="DZ24" i="5"/>
  <c r="FG38" i="53"/>
  <c r="FF39" i="53"/>
  <c r="EY95" i="38" l="1"/>
  <c r="EY104" i="38" s="1"/>
  <c r="O43" i="41"/>
  <c r="O42" i="41"/>
  <c r="EG108" i="5"/>
  <c r="AS54" i="5"/>
  <c r="AS63" i="5"/>
  <c r="AT35" i="5"/>
  <c r="CB77" i="53"/>
  <c r="CC72" i="53" s="1"/>
  <c r="J61" i="32"/>
  <c r="K61" i="32"/>
  <c r="L61" i="32"/>
  <c r="M61" i="32"/>
  <c r="N61" i="32"/>
  <c r="O61" i="32"/>
  <c r="J59" i="32"/>
  <c r="K59" i="32"/>
  <c r="L59" i="32"/>
  <c r="M59" i="32"/>
  <c r="N59" i="32"/>
  <c r="O59" i="32"/>
  <c r="E73" i="32"/>
  <c r="I73" i="32"/>
  <c r="J73" i="32"/>
  <c r="K73" i="32"/>
  <c r="L73" i="32"/>
  <c r="M73" i="32"/>
  <c r="N73" i="32"/>
  <c r="O73" i="32"/>
  <c r="F93" i="65"/>
  <c r="L82" i="38"/>
  <c r="L80" i="38"/>
  <c r="L28" i="38"/>
  <c r="L78" i="38"/>
  <c r="L87" i="38"/>
  <c r="L71" i="38"/>
  <c r="L81" i="38"/>
  <c r="L100" i="38"/>
  <c r="L85" i="38"/>
  <c r="L84" i="38"/>
  <c r="L75" i="38"/>
  <c r="L90" i="38"/>
  <c r="L101" i="38"/>
  <c r="L91" i="38"/>
  <c r="L79" i="38"/>
  <c r="L74" i="38"/>
  <c r="P83" i="38"/>
  <c r="L30" i="38"/>
  <c r="M87" i="38"/>
  <c r="L29" i="38"/>
  <c r="L102" i="38"/>
  <c r="M86" i="38"/>
  <c r="L88" i="38"/>
  <c r="M75" i="38"/>
  <c r="L32" i="38"/>
  <c r="L76" i="38"/>
  <c r="L98" i="38"/>
  <c r="E51" i="63" s="1"/>
  <c r="G51" i="63" s="1"/>
  <c r="M71" i="38"/>
  <c r="L73" i="38"/>
  <c r="L46" i="38"/>
  <c r="L27" i="38"/>
  <c r="L26" i="38"/>
  <c r="L89" i="38"/>
  <c r="L70" i="38"/>
  <c r="L45" i="38"/>
  <c r="L86" i="38"/>
  <c r="L77" i="38"/>
  <c r="L72" i="38"/>
  <c r="L50" i="38"/>
  <c r="L36" i="38"/>
  <c r="M90" i="38"/>
  <c r="L33" i="38"/>
  <c r="L51" i="38"/>
  <c r="L99" i="38"/>
  <c r="E52" i="63" s="1"/>
  <c r="G52" i="63" s="1"/>
  <c r="M89" i="38"/>
  <c r="L83" i="38"/>
  <c r="L31" i="38"/>
  <c r="L52" i="38"/>
  <c r="L34" i="38"/>
  <c r="T89" i="38"/>
  <c r="S100" i="38"/>
  <c r="M100" i="38"/>
  <c r="U88" i="38"/>
  <c r="U84" i="38"/>
  <c r="O71" i="38"/>
  <c r="S87" i="38"/>
  <c r="S76" i="38"/>
  <c r="Q89" i="38"/>
  <c r="S75" i="38"/>
  <c r="R78" i="38"/>
  <c r="L35" i="38"/>
  <c r="L44" i="38"/>
  <c r="T87" i="38"/>
  <c r="U81" i="38"/>
  <c r="O73" i="38"/>
  <c r="V90" i="38"/>
  <c r="S78" i="38"/>
  <c r="R83" i="38"/>
  <c r="S72" i="38"/>
  <c r="T76" i="38"/>
  <c r="V73" i="38"/>
  <c r="R89" i="38"/>
  <c r="O79" i="38"/>
  <c r="P80" i="38"/>
  <c r="O88" i="38"/>
  <c r="R80" i="38"/>
  <c r="T86" i="38"/>
  <c r="R71" i="38"/>
  <c r="T72" i="38"/>
  <c r="N81" i="38"/>
  <c r="M82" i="38"/>
  <c r="V91" i="38"/>
  <c r="V86" i="38"/>
  <c r="Q101" i="38"/>
  <c r="P86" i="38"/>
  <c r="V79" i="38"/>
  <c r="Q85" i="38"/>
  <c r="V83" i="38"/>
  <c r="R82" i="38"/>
  <c r="P81" i="38"/>
  <c r="Q100" i="38"/>
  <c r="U73" i="38"/>
  <c r="Q86" i="38"/>
  <c r="S83" i="38"/>
  <c r="M80" i="38"/>
  <c r="P74" i="38"/>
  <c r="Q74" i="38"/>
  <c r="N88" i="38"/>
  <c r="T82" i="38"/>
  <c r="N75" i="38"/>
  <c r="M79" i="38"/>
  <c r="R87" i="38"/>
  <c r="R72" i="38"/>
  <c r="O78" i="38"/>
  <c r="S80" i="38"/>
  <c r="R74" i="38"/>
  <c r="R73" i="38"/>
  <c r="T100" i="38"/>
  <c r="T77" i="38"/>
  <c r="R101" i="38"/>
  <c r="N90" i="38"/>
  <c r="P79" i="38"/>
  <c r="O82" i="38"/>
  <c r="O74" i="38"/>
  <c r="Q73" i="38"/>
  <c r="U91" i="38"/>
  <c r="U101" i="38"/>
  <c r="Q80" i="38"/>
  <c r="M78" i="38"/>
  <c r="R79" i="38"/>
  <c r="T101" i="38"/>
  <c r="V81" i="38"/>
  <c r="Q90" i="38"/>
  <c r="S84" i="38"/>
  <c r="U77" i="38"/>
  <c r="Q79" i="38"/>
  <c r="O72" i="38"/>
  <c r="P99" i="38"/>
  <c r="R91" i="38"/>
  <c r="U90" i="38"/>
  <c r="U80" i="38"/>
  <c r="N79" i="38"/>
  <c r="S74" i="38"/>
  <c r="L56" i="38"/>
  <c r="L48" i="38"/>
  <c r="V87" i="38"/>
  <c r="T79" i="38"/>
  <c r="P75" i="38"/>
  <c r="O85" i="38"/>
  <c r="L38" i="38"/>
  <c r="O101" i="38"/>
  <c r="P100" i="38"/>
  <c r="R84" i="38"/>
  <c r="S89" i="38"/>
  <c r="V80" i="38"/>
  <c r="V74" i="38"/>
  <c r="T75" i="38"/>
  <c r="Q75" i="38"/>
  <c r="V70" i="38"/>
  <c r="N83" i="38"/>
  <c r="S85" i="38"/>
  <c r="N78" i="38"/>
  <c r="U99" i="38"/>
  <c r="P77" i="38"/>
  <c r="N70" i="38"/>
  <c r="O86" i="38"/>
  <c r="T74" i="38"/>
  <c r="O75" i="38"/>
  <c r="O83" i="38"/>
  <c r="O70" i="38"/>
  <c r="P85" i="38"/>
  <c r="U74" i="38"/>
  <c r="Q83" i="38"/>
  <c r="M98" i="38"/>
  <c r="P82" i="38"/>
  <c r="N74" i="38"/>
  <c r="N71" i="38"/>
  <c r="R100" i="38"/>
  <c r="Q87" i="38"/>
  <c r="M74" i="38"/>
  <c r="L43" i="38"/>
  <c r="L60" i="38"/>
  <c r="S91" i="38"/>
  <c r="R77" i="38"/>
  <c r="N85" i="38"/>
  <c r="Q81" i="38"/>
  <c r="N72" i="38"/>
  <c r="R76" i="38"/>
  <c r="Q78" i="38"/>
  <c r="U75" i="38"/>
  <c r="V76" i="38"/>
  <c r="L47" i="38"/>
  <c r="V84" i="38"/>
  <c r="S73" i="38"/>
  <c r="U72" i="38"/>
  <c r="O99" i="38"/>
  <c r="R90" i="38"/>
  <c r="S101" i="38"/>
  <c r="N73" i="38"/>
  <c r="Q76" i="38"/>
  <c r="U83" i="38"/>
  <c r="S86" i="38"/>
  <c r="N77" i="38"/>
  <c r="O84" i="38"/>
  <c r="N82" i="38"/>
  <c r="N100" i="38"/>
  <c r="L61" i="38"/>
  <c r="M91" i="38"/>
  <c r="R85" i="38"/>
  <c r="V99" i="38"/>
  <c r="R75" i="38"/>
  <c r="N86" i="38"/>
  <c r="U82" i="38"/>
  <c r="P73" i="38"/>
  <c r="S70" i="38"/>
  <c r="L59" i="38"/>
  <c r="L53" i="38"/>
  <c r="U86" i="38"/>
  <c r="V75" i="38"/>
  <c r="S90" i="38"/>
  <c r="V82" i="38"/>
  <c r="S79" i="38"/>
  <c r="U87" i="38"/>
  <c r="M85" i="38"/>
  <c r="T83" i="38"/>
  <c r="M84" i="38"/>
  <c r="V77" i="38"/>
  <c r="U70" i="38"/>
  <c r="P101" i="38"/>
  <c r="L55" i="38"/>
  <c r="P87" i="38"/>
  <c r="P78" i="38"/>
  <c r="M70" i="38"/>
  <c r="S77" i="38"/>
  <c r="U79" i="38"/>
  <c r="P90" i="38"/>
  <c r="V72" i="38"/>
  <c r="T80" i="38"/>
  <c r="L58" i="38"/>
  <c r="T78" i="38"/>
  <c r="M77" i="38"/>
  <c r="M73" i="38"/>
  <c r="T90" i="38"/>
  <c r="M88" i="38"/>
  <c r="N84" i="38"/>
  <c r="S71" i="38"/>
  <c r="Q82" i="38"/>
  <c r="O77" i="38"/>
  <c r="M72" i="38"/>
  <c r="R86" i="38"/>
  <c r="L37" i="38"/>
  <c r="M76" i="38"/>
  <c r="P88" i="38"/>
  <c r="S88" i="38"/>
  <c r="Q72" i="38"/>
  <c r="O89" i="38"/>
  <c r="S99" i="38"/>
  <c r="N87" i="38"/>
  <c r="N89" i="38"/>
  <c r="P91" i="38"/>
  <c r="L57" i="38"/>
  <c r="M99" i="38"/>
  <c r="U71" i="38"/>
  <c r="P71" i="38"/>
  <c r="T84" i="38"/>
  <c r="Q84" i="38"/>
  <c r="T91" i="38"/>
  <c r="T85" i="38"/>
  <c r="T81" i="38"/>
  <c r="M83" i="38"/>
  <c r="O100" i="38"/>
  <c r="N80" i="38"/>
  <c r="R99" i="38"/>
  <c r="P84" i="38"/>
  <c r="T71" i="38"/>
  <c r="Q91" i="38"/>
  <c r="U89" i="38"/>
  <c r="U76" i="38"/>
  <c r="N76" i="38"/>
  <c r="V85" i="38"/>
  <c r="V101" i="38"/>
  <c r="P70" i="38"/>
  <c r="L54" i="38"/>
  <c r="U85" i="38"/>
  <c r="O80" i="38"/>
  <c r="Q70" i="38"/>
  <c r="U78" i="38"/>
  <c r="Q77" i="38"/>
  <c r="T73" i="38"/>
  <c r="T70" i="38"/>
  <c r="T88" i="38"/>
  <c r="L49" i="38"/>
  <c r="N91" i="38"/>
  <c r="O91" i="38"/>
  <c r="Q99" i="38"/>
  <c r="O81" i="38"/>
  <c r="R88" i="38"/>
  <c r="S81" i="38"/>
  <c r="V78" i="38"/>
  <c r="Q71" i="38"/>
  <c r="M101" i="38"/>
  <c r="P89" i="38"/>
  <c r="O87" i="38"/>
  <c r="M81" i="38"/>
  <c r="V88" i="38"/>
  <c r="V100" i="38"/>
  <c r="Q88" i="38"/>
  <c r="S82" i="38"/>
  <c r="R70" i="38"/>
  <c r="O76" i="38"/>
  <c r="T99" i="38"/>
  <c r="N101" i="38"/>
  <c r="U100" i="38"/>
  <c r="P72" i="38"/>
  <c r="V71" i="38"/>
  <c r="O90" i="38"/>
  <c r="N99" i="38"/>
  <c r="V89" i="38"/>
  <c r="R81" i="38"/>
  <c r="P76" i="38"/>
  <c r="M102" i="38"/>
  <c r="V48" i="38"/>
  <c r="O60" i="38"/>
  <c r="U48" i="38"/>
  <c r="M45" i="38"/>
  <c r="U59" i="38"/>
  <c r="S52" i="38"/>
  <c r="N44" i="38"/>
  <c r="P56" i="38"/>
  <c r="P52" i="38"/>
  <c r="Q45" i="38"/>
  <c r="M58" i="38"/>
  <c r="O53" i="38"/>
  <c r="S48" i="38"/>
  <c r="T48" i="38"/>
  <c r="Q59" i="38"/>
  <c r="V52" i="38"/>
  <c r="S45" i="38"/>
  <c r="T59" i="38"/>
  <c r="V46" i="38"/>
  <c r="S46" i="38"/>
  <c r="O51" i="38"/>
  <c r="O58" i="38"/>
  <c r="T57" i="38"/>
  <c r="R51" i="38"/>
  <c r="M51" i="38"/>
  <c r="T54" i="38"/>
  <c r="O61" i="38"/>
  <c r="N59" i="38"/>
  <c r="R58" i="38"/>
  <c r="T56" i="38"/>
  <c r="N51" i="38"/>
  <c r="M55" i="38"/>
  <c r="S47" i="38"/>
  <c r="Q60" i="38"/>
  <c r="M47" i="38"/>
  <c r="U58" i="38"/>
  <c r="Q61" i="38"/>
  <c r="P54" i="38"/>
  <c r="N43" i="38"/>
  <c r="M50" i="38"/>
  <c r="V51" i="38"/>
  <c r="P59" i="38"/>
  <c r="U45" i="38"/>
  <c r="V49" i="38"/>
  <c r="O46" i="38"/>
  <c r="U57" i="38"/>
  <c r="M56" i="38"/>
  <c r="P48" i="38"/>
  <c r="N60" i="38"/>
  <c r="V56" i="38"/>
  <c r="R56" i="38"/>
  <c r="P51" i="38"/>
  <c r="T44" i="38"/>
  <c r="O54" i="38"/>
  <c r="R46" i="38"/>
  <c r="T43" i="38"/>
  <c r="N50" i="38"/>
  <c r="R50" i="38"/>
  <c r="N56" i="38"/>
  <c r="Q51" i="38"/>
  <c r="V59" i="38"/>
  <c r="O55" i="38"/>
  <c r="U43" i="38"/>
  <c r="O52" i="38"/>
  <c r="U54" i="38"/>
  <c r="U53" i="38"/>
  <c r="Q47" i="38"/>
  <c r="R48" i="38"/>
  <c r="P46" i="38"/>
  <c r="N45" i="38"/>
  <c r="Q46" i="38"/>
  <c r="S43" i="38"/>
  <c r="V60" i="38"/>
  <c r="O44" i="38"/>
  <c r="T47" i="38"/>
  <c r="N53" i="38"/>
  <c r="Q54" i="38"/>
  <c r="M44" i="38"/>
  <c r="T61" i="38"/>
  <c r="U51" i="38"/>
  <c r="Q58" i="38"/>
  <c r="R57" i="38"/>
  <c r="S56" i="38"/>
  <c r="M61" i="38"/>
  <c r="S54" i="38"/>
  <c r="Q53" i="38"/>
  <c r="Q48" i="38"/>
  <c r="V47" i="38"/>
  <c r="R54" i="38"/>
  <c r="N57" i="38"/>
  <c r="N46" i="38"/>
  <c r="N47" i="38"/>
  <c r="P58" i="38"/>
  <c r="R44" i="38"/>
  <c r="S57" i="38"/>
  <c r="S53" i="38"/>
  <c r="S49" i="38"/>
  <c r="R45" i="38"/>
  <c r="T46" i="38"/>
  <c r="S50" i="38"/>
  <c r="P53" i="38"/>
  <c r="T50" i="38"/>
  <c r="M43" i="38"/>
  <c r="P49" i="38"/>
  <c r="N55" i="38"/>
  <c r="R59" i="38"/>
  <c r="Q50" i="38"/>
  <c r="O50" i="38"/>
  <c r="Q49" i="38"/>
  <c r="U46" i="38"/>
  <c r="N58" i="38"/>
  <c r="P57" i="38"/>
  <c r="O45" i="38"/>
  <c r="M49" i="38"/>
  <c r="T58" i="38"/>
  <c r="S59" i="38"/>
  <c r="V61" i="38"/>
  <c r="Q44" i="38"/>
  <c r="V58" i="38"/>
  <c r="P47" i="38"/>
  <c r="T52" i="38"/>
  <c r="U56" i="38"/>
  <c r="T53" i="38"/>
  <c r="T45" i="38"/>
  <c r="U49" i="38"/>
  <c r="M54" i="38"/>
  <c r="R52" i="38"/>
  <c r="T55" i="38"/>
  <c r="R53" i="38"/>
  <c r="V50" i="38"/>
  <c r="U60" i="38"/>
  <c r="O59" i="38"/>
  <c r="U50" i="38"/>
  <c r="U61" i="38"/>
  <c r="R43" i="38"/>
  <c r="O56" i="38"/>
  <c r="R61" i="38"/>
  <c r="N48" i="38"/>
  <c r="P55" i="38"/>
  <c r="U44" i="38"/>
  <c r="R55" i="38"/>
  <c r="V53" i="38"/>
  <c r="O43" i="38"/>
  <c r="R47" i="38"/>
  <c r="V54" i="38"/>
  <c r="O47" i="38"/>
  <c r="Q52" i="38"/>
  <c r="S44" i="38"/>
  <c r="S58" i="38"/>
  <c r="U55" i="38"/>
  <c r="M46" i="38"/>
  <c r="T49" i="38"/>
  <c r="P44" i="38"/>
  <c r="P60" i="38"/>
  <c r="M57" i="38"/>
  <c r="N61" i="38"/>
  <c r="T60" i="38"/>
  <c r="U52" i="38"/>
  <c r="Q57" i="38"/>
  <c r="O49" i="38"/>
  <c r="M52" i="38"/>
  <c r="T51" i="38"/>
  <c r="P61" i="38"/>
  <c r="P45" i="38"/>
  <c r="O48" i="38"/>
  <c r="V44" i="38"/>
  <c r="S60" i="38"/>
  <c r="M59" i="38"/>
  <c r="S51" i="38"/>
  <c r="V43" i="38"/>
  <c r="R60" i="38"/>
  <c r="P43" i="38"/>
  <c r="V55" i="38"/>
  <c r="Q56" i="38"/>
  <c r="S61" i="38"/>
  <c r="V57" i="38"/>
  <c r="P50" i="38"/>
  <c r="N49" i="38"/>
  <c r="M48" i="38"/>
  <c r="R49" i="38"/>
  <c r="Q43" i="38"/>
  <c r="S55" i="38"/>
  <c r="U47" i="38"/>
  <c r="O57" i="38"/>
  <c r="N54" i="38"/>
  <c r="V45" i="38"/>
  <c r="M53" i="38"/>
  <c r="M60" i="38"/>
  <c r="N52" i="38"/>
  <c r="Q55" i="38"/>
  <c r="N102" i="38"/>
  <c r="N98" i="38"/>
  <c r="O98" i="38"/>
  <c r="O102" i="38"/>
  <c r="P102" i="38"/>
  <c r="P98" i="38"/>
  <c r="Q98" i="38"/>
  <c r="Q102" i="38"/>
  <c r="R102" i="38"/>
  <c r="R98" i="38"/>
  <c r="S98" i="38"/>
  <c r="S102" i="38"/>
  <c r="T98" i="38"/>
  <c r="T102" i="38"/>
  <c r="U98" i="38"/>
  <c r="U102" i="38"/>
  <c r="V102" i="38"/>
  <c r="V98" i="38"/>
  <c r="B30" i="6"/>
  <c r="EY106" i="38"/>
  <c r="EG60" i="5"/>
  <c r="EZ93" i="38"/>
  <c r="EZ22" i="38"/>
  <c r="N103" i="38"/>
  <c r="M29" i="38"/>
  <c r="N29" i="38"/>
  <c r="O29" i="38"/>
  <c r="P29" i="38"/>
  <c r="Q29" i="38"/>
  <c r="R29" i="38"/>
  <c r="S29" i="38"/>
  <c r="T29" i="38"/>
  <c r="U29" i="38"/>
  <c r="V29" i="38"/>
  <c r="M30" i="38"/>
  <c r="N30" i="38"/>
  <c r="O30" i="38"/>
  <c r="P30" i="38"/>
  <c r="Q30" i="38"/>
  <c r="R30" i="38"/>
  <c r="S30" i="38"/>
  <c r="T30" i="38"/>
  <c r="U30" i="38"/>
  <c r="V30" i="38"/>
  <c r="M26" i="38"/>
  <c r="N26" i="38"/>
  <c r="O26" i="38"/>
  <c r="P26" i="38"/>
  <c r="Q26" i="38"/>
  <c r="R26" i="38"/>
  <c r="S26" i="38"/>
  <c r="T26" i="38"/>
  <c r="U26" i="38"/>
  <c r="V26" i="38"/>
  <c r="EZ39" i="38"/>
  <c r="M31" i="38"/>
  <c r="N31" i="38"/>
  <c r="O31" i="38"/>
  <c r="P31" i="38"/>
  <c r="Q31" i="38"/>
  <c r="R31" i="38"/>
  <c r="S31" i="38"/>
  <c r="T31" i="38"/>
  <c r="U31" i="38"/>
  <c r="V31" i="38"/>
  <c r="M27" i="38"/>
  <c r="N27" i="38"/>
  <c r="O27" i="38"/>
  <c r="P27" i="38"/>
  <c r="Q27" i="38"/>
  <c r="R27" i="38"/>
  <c r="S27" i="38"/>
  <c r="T27" i="38"/>
  <c r="U27" i="38"/>
  <c r="V27" i="38"/>
  <c r="M28" i="38"/>
  <c r="N28" i="38"/>
  <c r="O28" i="38"/>
  <c r="P28" i="38"/>
  <c r="Q28" i="38"/>
  <c r="R28" i="38"/>
  <c r="S28" i="38"/>
  <c r="T28" i="38"/>
  <c r="U28" i="38"/>
  <c r="V28" i="38"/>
  <c r="M35" i="38"/>
  <c r="N35" i="38"/>
  <c r="O35" i="38"/>
  <c r="P35" i="38"/>
  <c r="Q35" i="38"/>
  <c r="R35" i="38"/>
  <c r="S35" i="38"/>
  <c r="T35" i="38"/>
  <c r="U35" i="38"/>
  <c r="V35" i="38"/>
  <c r="M36" i="38"/>
  <c r="N36" i="38"/>
  <c r="O36" i="38"/>
  <c r="P36" i="38"/>
  <c r="Q36" i="38"/>
  <c r="R36" i="38"/>
  <c r="S36" i="38"/>
  <c r="T36" i="38"/>
  <c r="U36" i="38"/>
  <c r="V36" i="38"/>
  <c r="M34" i="38"/>
  <c r="N34" i="38"/>
  <c r="O34" i="38"/>
  <c r="P34" i="38"/>
  <c r="Q34" i="38"/>
  <c r="R34" i="38"/>
  <c r="S34" i="38"/>
  <c r="T34" i="38"/>
  <c r="U34" i="38"/>
  <c r="V34" i="38"/>
  <c r="M38" i="38"/>
  <c r="N38" i="38"/>
  <c r="O38" i="38"/>
  <c r="P38" i="38"/>
  <c r="Q38" i="38"/>
  <c r="R38" i="38"/>
  <c r="S38" i="38"/>
  <c r="T38" i="38"/>
  <c r="U38" i="38"/>
  <c r="V38" i="38"/>
  <c r="M37" i="38"/>
  <c r="N37" i="38"/>
  <c r="O37" i="38"/>
  <c r="P37" i="38"/>
  <c r="Q37" i="38"/>
  <c r="R37" i="38"/>
  <c r="S37" i="38"/>
  <c r="T37" i="38"/>
  <c r="U37" i="38"/>
  <c r="V37" i="38"/>
  <c r="M33" i="38"/>
  <c r="N33" i="38"/>
  <c r="O33" i="38"/>
  <c r="P33" i="38"/>
  <c r="Q33" i="38"/>
  <c r="R33" i="38"/>
  <c r="S33" i="38"/>
  <c r="T33" i="38"/>
  <c r="U33" i="38"/>
  <c r="V33" i="38"/>
  <c r="M32" i="38"/>
  <c r="N32" i="38"/>
  <c r="O32" i="38"/>
  <c r="P32" i="38"/>
  <c r="Q32" i="38"/>
  <c r="R32" i="38"/>
  <c r="S32" i="38"/>
  <c r="T32" i="38"/>
  <c r="U32" i="38"/>
  <c r="V32" i="38"/>
  <c r="S8" i="38"/>
  <c r="L13" i="38"/>
  <c r="L12" i="38"/>
  <c r="S11" i="38"/>
  <c r="R20" i="38"/>
  <c r="S13" i="38"/>
  <c r="U69" i="38"/>
  <c r="Q10" i="38"/>
  <c r="T12" i="38"/>
  <c r="P10" i="38"/>
  <c r="O65" i="38"/>
  <c r="P13" i="38"/>
  <c r="T20" i="38"/>
  <c r="T68" i="38"/>
  <c r="O92" i="38"/>
  <c r="S19" i="38"/>
  <c r="L18" i="38"/>
  <c r="T16" i="38"/>
  <c r="U20" i="38"/>
  <c r="M67" i="38"/>
  <c r="V9" i="38"/>
  <c r="U16" i="38"/>
  <c r="Q25" i="38"/>
  <c r="T103" i="38"/>
  <c r="O20" i="38"/>
  <c r="M92" i="38"/>
  <c r="T17" i="38"/>
  <c r="S65" i="38"/>
  <c r="V65" i="38"/>
  <c r="N21" i="38"/>
  <c r="N68" i="38"/>
  <c r="V68" i="38"/>
  <c r="T11" i="38"/>
  <c r="L25" i="38"/>
  <c r="R15" i="38"/>
  <c r="P66" i="38"/>
  <c r="N19" i="38"/>
  <c r="T25" i="38"/>
  <c r="U67" i="38"/>
  <c r="P68" i="38"/>
  <c r="V15" i="38"/>
  <c r="V12" i="38"/>
  <c r="M9" i="38"/>
  <c r="S69" i="38"/>
  <c r="R16" i="38"/>
  <c r="S94" i="38"/>
  <c r="Q19" i="38"/>
  <c r="N65" i="38"/>
  <c r="T92" i="38"/>
  <c r="Q92" i="38"/>
  <c r="V69" i="38"/>
  <c r="R17" i="38"/>
  <c r="M10" i="38"/>
  <c r="S103" i="38"/>
  <c r="N18" i="38"/>
  <c r="N15" i="38"/>
  <c r="V10" i="38"/>
  <c r="U11" i="38"/>
  <c r="M19" i="38"/>
  <c r="N10" i="38"/>
  <c r="U66" i="38"/>
  <c r="N13" i="38"/>
  <c r="R65" i="38"/>
  <c r="Q42" i="38"/>
  <c r="L16" i="38"/>
  <c r="V25" i="38"/>
  <c r="N17" i="38"/>
  <c r="Q16" i="38"/>
  <c r="U12" i="38"/>
  <c r="N11" i="38"/>
  <c r="U65" i="38"/>
  <c r="O19" i="38"/>
  <c r="O9" i="38"/>
  <c r="R10" i="38"/>
  <c r="Q20" i="38"/>
  <c r="T18" i="38"/>
  <c r="M103" i="38"/>
  <c r="M104" i="38" s="1"/>
  <c r="Q68" i="38"/>
  <c r="R92" i="38"/>
  <c r="V17" i="38"/>
  <c r="N9" i="38"/>
  <c r="N20" i="38"/>
  <c r="L14" i="38"/>
  <c r="T42" i="38"/>
  <c r="U21" i="38"/>
  <c r="N42" i="38"/>
  <c r="U13" i="38"/>
  <c r="V67" i="38"/>
  <c r="P19" i="38"/>
  <c r="R68" i="38"/>
  <c r="T14" i="38"/>
  <c r="L68" i="38"/>
  <c r="Q11" i="38"/>
  <c r="S68" i="38"/>
  <c r="P65" i="38"/>
  <c r="O69" i="38"/>
  <c r="O12" i="38"/>
  <c r="Q21" i="38"/>
  <c r="U18" i="38"/>
  <c r="Q69" i="38"/>
  <c r="M18" i="38"/>
  <c r="P17" i="38"/>
  <c r="O14" i="38"/>
  <c r="R21" i="38"/>
  <c r="V19" i="38"/>
  <c r="S15" i="38"/>
  <c r="O10" i="38"/>
  <c r="P69" i="38"/>
  <c r="V14" i="38"/>
  <c r="L11" i="38"/>
  <c r="Q9" i="38"/>
  <c r="L94" i="38"/>
  <c r="L92" i="38"/>
  <c r="O18" i="38"/>
  <c r="U14" i="38"/>
  <c r="Q17" i="38"/>
  <c r="S16" i="38"/>
  <c r="O94" i="38"/>
  <c r="V16" i="38"/>
  <c r="M65" i="38"/>
  <c r="S67" i="38"/>
  <c r="T21" i="38"/>
  <c r="M8" i="38"/>
  <c r="R42" i="38"/>
  <c r="P14" i="38"/>
  <c r="N16" i="38"/>
  <c r="P11" i="38"/>
  <c r="Q14" i="38"/>
  <c r="V11" i="38"/>
  <c r="Q15" i="38"/>
  <c r="N67" i="38"/>
  <c r="M14" i="38"/>
  <c r="V13" i="38"/>
  <c r="T67" i="38"/>
  <c r="L103" i="38"/>
  <c r="U17" i="38"/>
  <c r="V21" i="38"/>
  <c r="Q65" i="38"/>
  <c r="M17" i="38"/>
  <c r="O103" i="38"/>
  <c r="S10" i="38"/>
  <c r="P18" i="38"/>
  <c r="M15" i="38"/>
  <c r="U25" i="38"/>
  <c r="L10" i="38"/>
  <c r="O8" i="38"/>
  <c r="N14" i="38"/>
  <c r="N8" i="38"/>
  <c r="N66" i="38"/>
  <c r="P94" i="38"/>
  <c r="M94" i="38"/>
  <c r="T65" i="38"/>
  <c r="P67" i="38"/>
  <c r="T9" i="38"/>
  <c r="P92" i="38"/>
  <c r="S42" i="38"/>
  <c r="Q8" i="38"/>
  <c r="Q67" i="38"/>
  <c r="U9" i="38"/>
  <c r="P8" i="38"/>
  <c r="P25" i="38"/>
  <c r="O66" i="38"/>
  <c r="N69" i="38"/>
  <c r="N25" i="38"/>
  <c r="T13" i="38"/>
  <c r="L66" i="38"/>
  <c r="Q13" i="38"/>
  <c r="S18" i="38"/>
  <c r="U8" i="38"/>
  <c r="O21" i="38"/>
  <c r="R18" i="38"/>
  <c r="M21" i="38"/>
  <c r="U103" i="38"/>
  <c r="Q66" i="38"/>
  <c r="P12" i="38"/>
  <c r="U68" i="38"/>
  <c r="R14" i="38"/>
  <c r="M12" i="38"/>
  <c r="R8" i="38"/>
  <c r="R25" i="38"/>
  <c r="T8" i="38"/>
  <c r="V66" i="38"/>
  <c r="S12" i="38"/>
  <c r="O17" i="38"/>
  <c r="U15" i="38"/>
  <c r="O11" i="38"/>
  <c r="M68" i="38"/>
  <c r="P103" i="38"/>
  <c r="R69" i="38"/>
  <c r="R11" i="38"/>
  <c r="L19" i="38"/>
  <c r="Q94" i="38"/>
  <c r="P42" i="38"/>
  <c r="S9" i="38"/>
  <c r="T10" i="38"/>
  <c r="N12" i="38"/>
  <c r="Q103" i="38"/>
  <c r="O25" i="38"/>
  <c r="P15" i="38"/>
  <c r="T94" i="38"/>
  <c r="O13" i="38"/>
  <c r="V8" i="38"/>
  <c r="V103" i="38"/>
  <c r="S92" i="38"/>
  <c r="S14" i="38"/>
  <c r="M25" i="38"/>
  <c r="R66" i="38"/>
  <c r="T19" i="38"/>
  <c r="S25" i="38"/>
  <c r="P20" i="38"/>
  <c r="V94" i="38"/>
  <c r="R19" i="38"/>
  <c r="R12" i="38"/>
  <c r="U92" i="38"/>
  <c r="N94" i="38"/>
  <c r="R103" i="38"/>
  <c r="M69" i="38"/>
  <c r="S21" i="38"/>
  <c r="P9" i="38"/>
  <c r="M13" i="38"/>
  <c r="Q12" i="38"/>
  <c r="V18" i="38"/>
  <c r="O68" i="38"/>
  <c r="Q18" i="38"/>
  <c r="EF63" i="5"/>
  <c r="A8" i="38"/>
  <c r="L67" i="38"/>
  <c r="M66" i="38"/>
  <c r="O65" i="32"/>
  <c r="D54" i="43"/>
  <c r="E9" i="64"/>
  <c r="I7" i="64"/>
  <c r="H43" i="43"/>
  <c r="E7" i="64"/>
  <c r="D43" i="43"/>
  <c r="BE24" i="57"/>
  <c r="BF24" i="57" s="1"/>
  <c r="BC24" i="57"/>
  <c r="BB24" i="57"/>
  <c r="F65" i="32"/>
  <c r="H54" i="43"/>
  <c r="I9" i="64"/>
  <c r="BL25" i="57"/>
  <c r="BM25" i="57" s="1"/>
  <c r="BI25" i="57"/>
  <c r="BJ25" i="57"/>
  <c r="BI33" i="57"/>
  <c r="BJ33" i="57"/>
  <c r="BL33" i="57"/>
  <c r="BM33" i="57" s="1"/>
  <c r="BI16" i="57"/>
  <c r="BJ16" i="57"/>
  <c r="BL16" i="57"/>
  <c r="BM16" i="57" s="1"/>
  <c r="BK16" i="57"/>
  <c r="C76" i="43"/>
  <c r="D23" i="64"/>
  <c r="E23" i="64" s="1"/>
  <c r="F23" i="64" s="1"/>
  <c r="G23" i="64" s="1"/>
  <c r="H23" i="64" s="1"/>
  <c r="I23" i="64" s="1"/>
  <c r="BJ17" i="57"/>
  <c r="BH36" i="57"/>
  <c r="BI17" i="57"/>
  <c r="BL17" i="57"/>
  <c r="BM17" i="57" s="1"/>
  <c r="BQ24" i="57"/>
  <c r="BP24" i="57"/>
  <c r="BS24" i="57"/>
  <c r="BT24" i="57" s="1"/>
  <c r="BJ27" i="57"/>
  <c r="BL27" i="57"/>
  <c r="BM27" i="57" s="1"/>
  <c r="BI27" i="57"/>
  <c r="N65" i="32"/>
  <c r="J65" i="32"/>
  <c r="I54" i="43"/>
  <c r="J9" i="64"/>
  <c r="F7" i="64"/>
  <c r="E43" i="43"/>
  <c r="BE17" i="57"/>
  <c r="BF17" i="57" s="1"/>
  <c r="BB17" i="57"/>
  <c r="BA36" i="57"/>
  <c r="BC17" i="57"/>
  <c r="BC21" i="57"/>
  <c r="BB21" i="57"/>
  <c r="BE21" i="57"/>
  <c r="BF21" i="57" s="1"/>
  <c r="D76" i="43"/>
  <c r="K65" i="32"/>
  <c r="G65" i="32"/>
  <c r="BD16" i="57"/>
  <c r="BB16" i="57"/>
  <c r="BE16" i="57"/>
  <c r="BF16" i="57" s="1"/>
  <c r="BC16" i="57"/>
  <c r="BE25" i="57"/>
  <c r="BF25" i="57" s="1"/>
  <c r="BB25" i="57"/>
  <c r="BC25" i="57"/>
  <c r="G7" i="64"/>
  <c r="F43" i="43"/>
  <c r="BB29" i="57"/>
  <c r="BC29" i="57"/>
  <c r="BE29" i="57"/>
  <c r="BF29" i="57" s="1"/>
  <c r="BK17" i="57"/>
  <c r="BI9" i="57"/>
  <c r="BK9" i="57"/>
  <c r="BJ9" i="57"/>
  <c r="BL9" i="57"/>
  <c r="BM9" i="57" s="1"/>
  <c r="BS28" i="57"/>
  <c r="BT28" i="57" s="1"/>
  <c r="BQ28" i="57"/>
  <c r="BP28" i="57"/>
  <c r="BJ23" i="57"/>
  <c r="BI23" i="57"/>
  <c r="BL23" i="57"/>
  <c r="BM23" i="57" s="1"/>
  <c r="BL12" i="57"/>
  <c r="BM12" i="57" s="1"/>
  <c r="BI12" i="57"/>
  <c r="BJ12" i="57"/>
  <c r="BK12" i="57"/>
  <c r="BP21" i="57"/>
  <c r="BQ21" i="57"/>
  <c r="BS21" i="57"/>
  <c r="BT21" i="57" s="1"/>
  <c r="G54" i="43"/>
  <c r="H9" i="64"/>
  <c r="BE27" i="57"/>
  <c r="BF27" i="57" s="1"/>
  <c r="BC27" i="57"/>
  <c r="BB27" i="57"/>
  <c r="BL21" i="57"/>
  <c r="BM21" i="57" s="1"/>
  <c r="BJ21" i="57"/>
  <c r="BI21" i="57"/>
  <c r="G76" i="43"/>
  <c r="BD17" i="57"/>
  <c r="BC9" i="57"/>
  <c r="BB9" i="57"/>
  <c r="BD9" i="57"/>
  <c r="BE9" i="57"/>
  <c r="BF9" i="57" s="1"/>
  <c r="G43" i="43"/>
  <c r="H7" i="64"/>
  <c r="M65" i="32"/>
  <c r="I65" i="32"/>
  <c r="EH81" i="5"/>
  <c r="L65" i="32"/>
  <c r="H65" i="32"/>
  <c r="BS9" i="57"/>
  <c r="BT9" i="57" s="1"/>
  <c r="BR9" i="57"/>
  <c r="BQ9" i="57"/>
  <c r="BP9" i="57"/>
  <c r="BC28" i="57"/>
  <c r="BB28" i="57"/>
  <c r="BE28" i="57"/>
  <c r="BF28" i="57" s="1"/>
  <c r="F54" i="43"/>
  <c r="G9" i="64"/>
  <c r="BL28" i="57"/>
  <c r="BM28" i="57" s="1"/>
  <c r="BI28" i="57"/>
  <c r="BJ28" i="57"/>
  <c r="F76" i="43"/>
  <c r="E50" i="32"/>
  <c r="D84" i="43" s="1"/>
  <c r="F50" i="32"/>
  <c r="E84" i="43" s="1"/>
  <c r="BO36" i="57"/>
  <c r="BP17" i="57"/>
  <c r="BQ17" i="57"/>
  <c r="BS17" i="57"/>
  <c r="BT17" i="57" s="1"/>
  <c r="BR17" i="57"/>
  <c r="BQ29" i="57"/>
  <c r="BS29" i="57"/>
  <c r="BT29" i="57" s="1"/>
  <c r="BP29" i="57"/>
  <c r="E76" i="43"/>
  <c r="BS33" i="57"/>
  <c r="BT33" i="57" s="1"/>
  <c r="BP33" i="57"/>
  <c r="BQ33" i="57"/>
  <c r="E51" i="32"/>
  <c r="D85" i="43" s="1"/>
  <c r="G51" i="32"/>
  <c r="F85" i="43" s="1"/>
  <c r="M51" i="32"/>
  <c r="L85" i="43" s="1"/>
  <c r="BQ16" i="57"/>
  <c r="BP16" i="57"/>
  <c r="BS16" i="57"/>
  <c r="BT16" i="57" s="1"/>
  <c r="BR16" i="57"/>
  <c r="BP27" i="57"/>
  <c r="BQ27" i="57"/>
  <c r="BS27" i="57"/>
  <c r="BT27" i="57" s="1"/>
  <c r="BP23" i="57"/>
  <c r="BQ23" i="57"/>
  <c r="BS23" i="57"/>
  <c r="BT23" i="57" s="1"/>
  <c r="J7" i="64"/>
  <c r="J17" i="64" s="1"/>
  <c r="I43" i="43"/>
  <c r="BE33" i="57"/>
  <c r="BF33" i="57" s="1"/>
  <c r="BB33" i="57"/>
  <c r="BC33" i="57"/>
  <c r="BS26" i="57"/>
  <c r="BT26" i="57" s="1"/>
  <c r="BQ26" i="57"/>
  <c r="BP26" i="57"/>
  <c r="BP25" i="57"/>
  <c r="BS25" i="57"/>
  <c r="BT25" i="57" s="1"/>
  <c r="BQ25" i="57"/>
  <c r="BC23" i="57"/>
  <c r="BB23" i="57"/>
  <c r="BE23" i="57"/>
  <c r="BF23" i="57" s="1"/>
  <c r="BI29" i="57"/>
  <c r="BL29" i="57"/>
  <c r="BM29" i="57" s="1"/>
  <c r="BJ29" i="57"/>
  <c r="H76" i="43"/>
  <c r="E54" i="43"/>
  <c r="F9" i="64"/>
  <c r="BL26" i="57"/>
  <c r="BM26" i="57" s="1"/>
  <c r="BI26" i="57"/>
  <c r="BJ26" i="57"/>
  <c r="BL24" i="57"/>
  <c r="BM24" i="57" s="1"/>
  <c r="BI24" i="57"/>
  <c r="BJ24" i="57"/>
  <c r="BB26" i="57"/>
  <c r="BC26" i="57"/>
  <c r="BE26" i="57"/>
  <c r="BF26" i="57" s="1"/>
  <c r="EE19" i="6"/>
  <c r="EH86" i="5" s="1"/>
  <c r="EH87" i="5"/>
  <c r="EE29" i="6"/>
  <c r="EH94" i="5"/>
  <c r="O75" i="32" s="1"/>
  <c r="EE41" i="6"/>
  <c r="EH93" i="5" s="1"/>
  <c r="O74" i="32" s="1"/>
  <c r="CB91" i="53"/>
  <c r="CA96" i="53"/>
  <c r="AU30" i="5" s="1"/>
  <c r="CA98" i="53"/>
  <c r="CB82" i="53"/>
  <c r="CB83" i="53" s="1"/>
  <c r="CN16" i="53" s="1"/>
  <c r="AV12" i="5"/>
  <c r="AV13" i="5" s="1"/>
  <c r="CC60" i="53"/>
  <c r="BG11" i="5"/>
  <c r="CM88" i="53"/>
  <c r="CM89" i="53" s="1"/>
  <c r="CN87" i="53" s="1"/>
  <c r="FM44" i="53"/>
  <c r="FM47" i="53" s="1"/>
  <c r="FH38" i="53"/>
  <c r="EA24" i="5"/>
  <c r="FG39" i="53"/>
  <c r="FG36" i="53"/>
  <c r="EA23" i="5"/>
  <c r="FH35" i="53"/>
  <c r="FF40" i="53"/>
  <c r="FF49" i="53" s="1"/>
  <c r="FF50" i="53" s="1"/>
  <c r="EM21" i="55"/>
  <c r="EM28" i="55" s="1"/>
  <c r="EN11" i="55"/>
  <c r="U104" i="38" l="1"/>
  <c r="C51" i="41"/>
  <c r="O67" i="1" s="1"/>
  <c r="O67" i="32"/>
  <c r="O68" i="32"/>
  <c r="CB78" i="53"/>
  <c r="CB100" i="53" s="1"/>
  <c r="AT42" i="5"/>
  <c r="AS56" i="5"/>
  <c r="EH108" i="5"/>
  <c r="AU31" i="5"/>
  <c r="J93" i="65"/>
  <c r="E94" i="65" s="1"/>
  <c r="F94" i="65" s="1"/>
  <c r="L62" i="38"/>
  <c r="E48" i="63" s="1"/>
  <c r="G48" i="63" s="1"/>
  <c r="O62" i="38"/>
  <c r="N62" i="38"/>
  <c r="M62" i="38"/>
  <c r="U62" i="38"/>
  <c r="P62" i="38"/>
  <c r="V62" i="38"/>
  <c r="O104" i="38"/>
  <c r="T104" i="38"/>
  <c r="R104" i="38"/>
  <c r="P104" i="38"/>
  <c r="Q104" i="38"/>
  <c r="S104" i="38"/>
  <c r="EZ95" i="38"/>
  <c r="L93" i="38"/>
  <c r="E47" i="63" s="1"/>
  <c r="G47" i="63" s="1"/>
  <c r="L39" i="38"/>
  <c r="E46" i="63" s="1"/>
  <c r="G46" i="63" s="1"/>
  <c r="Q93" i="38"/>
  <c r="T93" i="38"/>
  <c r="M93" i="38"/>
  <c r="U93" i="38"/>
  <c r="E53" i="63"/>
  <c r="G53" i="63" s="1"/>
  <c r="T62" i="38"/>
  <c r="Q62" i="38"/>
  <c r="N93" i="38"/>
  <c r="P93" i="38"/>
  <c r="R93" i="38"/>
  <c r="V93" i="38"/>
  <c r="N104" i="38"/>
  <c r="V104" i="38"/>
  <c r="S62" i="38"/>
  <c r="R62" i="38"/>
  <c r="S93" i="38"/>
  <c r="O93" i="38"/>
  <c r="E54" i="63"/>
  <c r="L104" i="38"/>
  <c r="L22" i="38"/>
  <c r="P22" i="38"/>
  <c r="U22" i="38"/>
  <c r="R22" i="38"/>
  <c r="U39" i="38"/>
  <c r="P39" i="38"/>
  <c r="O39" i="38"/>
  <c r="N39" i="38"/>
  <c r="N95" i="38" s="1"/>
  <c r="R39" i="38"/>
  <c r="T22" i="38"/>
  <c r="S22" i="38"/>
  <c r="O22" i="38"/>
  <c r="M22" i="38"/>
  <c r="Q22" i="38"/>
  <c r="N22" i="38"/>
  <c r="V22" i="38"/>
  <c r="S39" i="38"/>
  <c r="M39" i="38"/>
  <c r="Q39" i="38"/>
  <c r="T39" i="38"/>
  <c r="V39" i="38"/>
  <c r="EG63" i="5"/>
  <c r="O62" i="32"/>
  <c r="E17" i="64"/>
  <c r="E39" i="64"/>
  <c r="I17" i="64"/>
  <c r="I39" i="64"/>
  <c r="F39" i="64"/>
  <c r="F17" i="64"/>
  <c r="G39" i="64"/>
  <c r="G17" i="64"/>
  <c r="H39" i="64"/>
  <c r="H17" i="64"/>
  <c r="CC57" i="53"/>
  <c r="CC59" i="53"/>
  <c r="CC65" i="53" s="1"/>
  <c r="CC67" i="53"/>
  <c r="AW10" i="5"/>
  <c r="AV14" i="5"/>
  <c r="AW9" i="5" s="1"/>
  <c r="CN17" i="53"/>
  <c r="CN74" i="53" s="1"/>
  <c r="CN81" i="53" s="1"/>
  <c r="CN73" i="53"/>
  <c r="FN44" i="53"/>
  <c r="FN47" i="53" s="1"/>
  <c r="EN21" i="55"/>
  <c r="EN28" i="55" s="1"/>
  <c r="EO11" i="55"/>
  <c r="EB24" i="5"/>
  <c r="FH39" i="53"/>
  <c r="FI38" i="53"/>
  <c r="FI35" i="53"/>
  <c r="FH36" i="53"/>
  <c r="EB23" i="5"/>
  <c r="FG40" i="53"/>
  <c r="FG49" i="53" s="1"/>
  <c r="FG50" i="53" s="1"/>
  <c r="CC71" i="53" l="1"/>
  <c r="CB95" i="53"/>
  <c r="CB92" i="53"/>
  <c r="CB93" i="53" s="1"/>
  <c r="CC91" i="53" s="1"/>
  <c r="AS71" i="5"/>
  <c r="AG57" i="5"/>
  <c r="AU33" i="5"/>
  <c r="AT46" i="5"/>
  <c r="AT62" i="5"/>
  <c r="AU34" i="5"/>
  <c r="EZ104" i="38"/>
  <c r="EH60" i="5" s="1"/>
  <c r="O42" i="32" s="1"/>
  <c r="C96" i="38"/>
  <c r="J94" i="65"/>
  <c r="E95" i="65" s="1"/>
  <c r="F95" i="65" s="1"/>
  <c r="T95" i="38"/>
  <c r="T106" i="38" s="1"/>
  <c r="N106" i="38"/>
  <c r="U95" i="38"/>
  <c r="U106" i="38" s="1"/>
  <c r="O95" i="38"/>
  <c r="O106" i="38" s="1"/>
  <c r="S95" i="38"/>
  <c r="S106" i="38" s="1"/>
  <c r="V95" i="38"/>
  <c r="V106" i="38" s="1"/>
  <c r="Q95" i="38"/>
  <c r="Q106" i="38" s="1"/>
  <c r="R95" i="38"/>
  <c r="R106" i="38" s="1"/>
  <c r="P95" i="38"/>
  <c r="P106" i="38" s="1"/>
  <c r="M95" i="38"/>
  <c r="M106" i="38" s="1"/>
  <c r="E45" i="63"/>
  <c r="E55" i="63" s="1"/>
  <c r="L95" i="38"/>
  <c r="L106" i="38" s="1"/>
  <c r="G54" i="63"/>
  <c r="C105" i="38"/>
  <c r="EZ106" i="38"/>
  <c r="C107" i="38" s="1"/>
  <c r="CN18" i="53"/>
  <c r="CN54" i="53" s="1"/>
  <c r="CN75" i="53"/>
  <c r="BH11" i="5" s="1"/>
  <c r="AW32" i="5"/>
  <c r="CC79" i="53"/>
  <c r="CC23" i="53" s="1"/>
  <c r="CC66" i="53"/>
  <c r="CD15" i="53"/>
  <c r="CD20" i="53" s="1"/>
  <c r="CD22" i="53" s="1"/>
  <c r="CD53" i="53"/>
  <c r="CC56" i="53"/>
  <c r="CC76" i="53" s="1"/>
  <c r="EC24" i="5"/>
  <c r="FI39" i="53"/>
  <c r="FJ38" i="53"/>
  <c r="EP11" i="55"/>
  <c r="EO21" i="55"/>
  <c r="EO28" i="55" s="1"/>
  <c r="FH40" i="53"/>
  <c r="FH49" i="53" s="1"/>
  <c r="FH50" i="53" s="1"/>
  <c r="EC23" i="5"/>
  <c r="FJ35" i="53"/>
  <c r="FI36" i="53"/>
  <c r="CB96" i="53" l="1"/>
  <c r="AV30" i="5" s="1"/>
  <c r="AV31" i="5" s="1"/>
  <c r="AV34" i="5" s="1"/>
  <c r="CB98" i="53"/>
  <c r="AT54" i="5"/>
  <c r="AU35" i="5"/>
  <c r="AT63" i="5"/>
  <c r="EH63" i="5"/>
  <c r="O44" i="32" s="1"/>
  <c r="J95" i="65"/>
  <c r="E96" i="65" s="1"/>
  <c r="F96" i="65" s="1"/>
  <c r="CN88" i="53"/>
  <c r="CN89" i="53" s="1"/>
  <c r="CO87" i="53" s="1"/>
  <c r="G45" i="63"/>
  <c r="P10" i="63" s="1"/>
  <c r="O10" i="63"/>
  <c r="CC82" i="53"/>
  <c r="CC83" i="53" s="1"/>
  <c r="CO16" i="53" s="1"/>
  <c r="AW12" i="5"/>
  <c r="AW13" i="5" s="1"/>
  <c r="CC77" i="53"/>
  <c r="CD60" i="53"/>
  <c r="FJ39" i="53"/>
  <c r="FK38" i="53"/>
  <c r="ED24" i="5"/>
  <c r="EP21" i="55"/>
  <c r="EP28" i="55" s="1"/>
  <c r="EQ11" i="55"/>
  <c r="FI40" i="53"/>
  <c r="FI49" i="53" s="1"/>
  <c r="FI50" i="53" s="1"/>
  <c r="ED23" i="5"/>
  <c r="FJ36" i="53"/>
  <c r="FK35" i="53"/>
  <c r="AU42" i="5" l="1"/>
  <c r="AT56" i="5"/>
  <c r="AV33" i="5"/>
  <c r="AV35" i="5" s="1"/>
  <c r="AV42" i="5" s="1"/>
  <c r="AV62" i="5" s="1"/>
  <c r="AV63" i="5" s="1"/>
  <c r="Q10" i="63"/>
  <c r="J96" i="65"/>
  <c r="R10" i="63"/>
  <c r="G55" i="63"/>
  <c r="CD57" i="53"/>
  <c r="CD59" i="53"/>
  <c r="CD65" i="53" s="1"/>
  <c r="CD67" i="53"/>
  <c r="CC78" i="53"/>
  <c r="CD72" i="53"/>
  <c r="AX10" i="5"/>
  <c r="AW14" i="5"/>
  <c r="AX9" i="5" s="1"/>
  <c r="CO17" i="53"/>
  <c r="CO74" i="53" s="1"/>
  <c r="CO81" i="53" s="1"/>
  <c r="CO73" i="53"/>
  <c r="EQ21" i="55"/>
  <c r="EQ28" i="55" s="1"/>
  <c r="ER11" i="55"/>
  <c r="FK36" i="53"/>
  <c r="FL35" i="53"/>
  <c r="EE23" i="5"/>
  <c r="FJ40" i="53"/>
  <c r="FJ49" i="53" s="1"/>
  <c r="FJ50" i="53" s="1"/>
  <c r="EE24" i="5"/>
  <c r="FK39" i="53"/>
  <c r="FL38" i="53"/>
  <c r="AH57" i="5" l="1"/>
  <c r="AU62" i="5"/>
  <c r="AU46" i="5"/>
  <c r="AT71" i="5"/>
  <c r="CC100" i="53"/>
  <c r="AV46" i="5"/>
  <c r="AV54" i="5" s="1"/>
  <c r="CO75" i="53"/>
  <c r="BI11" i="5" s="1"/>
  <c r="CO18" i="53"/>
  <c r="CO54" i="53" s="1"/>
  <c r="CO88" i="53"/>
  <c r="CO89" i="53" s="1"/>
  <c r="CP87" i="53" s="1"/>
  <c r="CD71" i="53"/>
  <c r="CC95" i="53"/>
  <c r="CC92" i="53"/>
  <c r="CC93" i="53" s="1"/>
  <c r="CD79" i="53"/>
  <c r="CD23" i="53" s="1"/>
  <c r="AX32" i="5"/>
  <c r="CD66" i="53"/>
  <c r="CE15" i="53"/>
  <c r="CE20" i="53" s="1"/>
  <c r="CE22" i="53" s="1"/>
  <c r="CE53" i="53"/>
  <c r="CD56" i="53"/>
  <c r="CD76" i="53" s="1"/>
  <c r="ER21" i="55"/>
  <c r="ER28" i="55" s="1"/>
  <c r="ES11" i="55"/>
  <c r="FM38" i="53"/>
  <c r="FL39" i="53"/>
  <c r="EF24" i="5"/>
  <c r="EF23" i="5"/>
  <c r="FL36" i="53"/>
  <c r="FM35" i="53"/>
  <c r="FK40" i="53"/>
  <c r="FK49" i="53" s="1"/>
  <c r="FK50" i="53" s="1"/>
  <c r="AU54" i="5" l="1"/>
  <c r="AU63" i="5"/>
  <c r="AV56" i="5"/>
  <c r="CD77" i="53"/>
  <c r="AX12" i="5"/>
  <c r="AX13" i="5" s="1"/>
  <c r="CD82" i="53"/>
  <c r="CD83" i="53" s="1"/>
  <c r="CP16" i="53" s="1"/>
  <c r="CE60" i="53"/>
  <c r="CC96" i="53"/>
  <c r="AW30" i="5" s="1"/>
  <c r="CC98" i="53"/>
  <c r="CD91" i="53"/>
  <c r="EG23" i="5"/>
  <c r="FN35" i="53"/>
  <c r="FM36" i="53"/>
  <c r="FL40" i="53"/>
  <c r="FL49" i="53" s="1"/>
  <c r="FL50" i="53" s="1"/>
  <c r="EG24" i="5"/>
  <c r="FN38" i="53"/>
  <c r="FM39" i="53"/>
  <c r="ET11" i="55"/>
  <c r="ES21" i="55"/>
  <c r="ES28" i="55" s="1"/>
  <c r="AU56" i="5" l="1"/>
  <c r="AJ57" i="5" s="1"/>
  <c r="AV71" i="5"/>
  <c r="AW31" i="5"/>
  <c r="AW34" i="5" s="1"/>
  <c r="CE67" i="53"/>
  <c r="CE59" i="53"/>
  <c r="CE65" i="53" s="1"/>
  <c r="CE57" i="53"/>
  <c r="CP73" i="53"/>
  <c r="CP17" i="53"/>
  <c r="CP74" i="53" s="1"/>
  <c r="CP81" i="53" s="1"/>
  <c r="AX14" i="5"/>
  <c r="AY9" i="5" s="1"/>
  <c r="AY10" i="5"/>
  <c r="CE72" i="53"/>
  <c r="CD78" i="53"/>
  <c r="FN39" i="53"/>
  <c r="EH24" i="5"/>
  <c r="FM40" i="53"/>
  <c r="FM49" i="53" s="1"/>
  <c r="FM50" i="53" s="1"/>
  <c r="FN36" i="53"/>
  <c r="EH23" i="5"/>
  <c r="EU11" i="55"/>
  <c r="ET21" i="55"/>
  <c r="ET28" i="55" s="1"/>
  <c r="AU71" i="5" l="1"/>
  <c r="AI57" i="5"/>
  <c r="AW33" i="5"/>
  <c r="AW35" i="5" s="1"/>
  <c r="AW42" i="5" s="1"/>
  <c r="AW46" i="5" s="1"/>
  <c r="AW54" i="5" s="1"/>
  <c r="CD100" i="53"/>
  <c r="CP18" i="53"/>
  <c r="CP54" i="53" s="1"/>
  <c r="CD95" i="53"/>
  <c r="CD92" i="53"/>
  <c r="CD93" i="53" s="1"/>
  <c r="CE71" i="53"/>
  <c r="CP75" i="53"/>
  <c r="CF15" i="53"/>
  <c r="CF20" i="53" s="1"/>
  <c r="CF22" i="53" s="1"/>
  <c r="CF53" i="53"/>
  <c r="CE56" i="53"/>
  <c r="CE76" i="53" s="1"/>
  <c r="CE79" i="53"/>
  <c r="CE23" i="53" s="1"/>
  <c r="CE66" i="53"/>
  <c r="AY32" i="5"/>
  <c r="FN40" i="53"/>
  <c r="FN49" i="53" s="1"/>
  <c r="FN50" i="53" s="1"/>
  <c r="EU21" i="55"/>
  <c r="EU28" i="55" s="1"/>
  <c r="EV11" i="55"/>
  <c r="EV21" i="55" s="1"/>
  <c r="EV28" i="55" s="1"/>
  <c r="AW62" i="5" l="1"/>
  <c r="AW63" i="5" s="1"/>
  <c r="CE82" i="53"/>
  <c r="CE83" i="53" s="1"/>
  <c r="CQ16" i="53" s="1"/>
  <c r="AY12" i="5"/>
  <c r="AY13" i="5" s="1"/>
  <c r="CF60" i="53"/>
  <c r="AW56" i="5"/>
  <c r="BJ11" i="5"/>
  <c r="CP88" i="53"/>
  <c r="CP89" i="53" s="1"/>
  <c r="CQ87" i="53" s="1"/>
  <c r="CD98" i="53"/>
  <c r="CD96" i="53"/>
  <c r="AX30" i="5" s="1"/>
  <c r="CE91" i="53"/>
  <c r="CE77" i="53"/>
  <c r="AK57" i="5" l="1"/>
  <c r="AX31" i="5"/>
  <c r="AW71" i="5"/>
  <c r="CF72" i="53"/>
  <c r="CE78" i="53"/>
  <c r="CF59" i="53"/>
  <c r="CF65" i="53" s="1"/>
  <c r="CF67" i="53"/>
  <c r="CF57" i="53"/>
  <c r="AZ10" i="5"/>
  <c r="AY14" i="5"/>
  <c r="AZ9" i="5" s="1"/>
  <c r="CQ17" i="53"/>
  <c r="CQ74" i="53" s="1"/>
  <c r="CQ81" i="53" s="1"/>
  <c r="CQ73" i="53"/>
  <c r="CE100" i="53" l="1"/>
  <c r="CQ75" i="53"/>
  <c r="BK11" i="5" s="1"/>
  <c r="CQ18" i="53"/>
  <c r="CQ54" i="53" s="1"/>
  <c r="AZ32" i="5"/>
  <c r="CF79" i="53"/>
  <c r="CF23" i="53" s="1"/>
  <c r="CF66" i="53"/>
  <c r="CE92" i="53"/>
  <c r="CE93" i="53" s="1"/>
  <c r="CF71" i="53"/>
  <c r="CE95" i="53"/>
  <c r="CG15" i="53"/>
  <c r="CG20" i="53" s="1"/>
  <c r="CG22" i="53" s="1"/>
  <c r="CG53" i="53"/>
  <c r="CF56" i="53"/>
  <c r="CF76" i="53" s="1"/>
  <c r="AX34" i="5"/>
  <c r="AX33" i="5"/>
  <c r="AX35" i="5" l="1"/>
  <c r="AX42" i="5" s="1"/>
  <c r="AX46" i="5" s="1"/>
  <c r="AX54" i="5" s="1"/>
  <c r="AX56" i="5" s="1"/>
  <c r="CQ88" i="53"/>
  <c r="CQ89" i="53" s="1"/>
  <c r="CR87" i="53" s="1"/>
  <c r="CG60" i="53"/>
  <c r="CE98" i="53"/>
  <c r="CF91" i="53"/>
  <c r="CE96" i="53"/>
  <c r="AY30" i="5" s="1"/>
  <c r="CF77" i="53"/>
  <c r="AZ12" i="5"/>
  <c r="AZ13" i="5" s="1"/>
  <c r="CF82" i="53"/>
  <c r="CF83" i="53" s="1"/>
  <c r="CR16" i="53" s="1"/>
  <c r="AX62" i="5" l="1"/>
  <c r="AX63" i="5" s="1"/>
  <c r="AX71" i="5" s="1"/>
  <c r="AL57" i="5"/>
  <c r="CG72" i="53"/>
  <c r="CF78" i="53"/>
  <c r="AY31" i="5"/>
  <c r="CR73" i="53"/>
  <c r="CR17" i="53"/>
  <c r="CR74" i="53" s="1"/>
  <c r="CR81" i="53" s="1"/>
  <c r="AZ14" i="5"/>
  <c r="BA9" i="5" s="1"/>
  <c r="BA10" i="5"/>
  <c r="CG59" i="53"/>
  <c r="CG65" i="53" s="1"/>
  <c r="CG67" i="53"/>
  <c r="CG57" i="53"/>
  <c r="CF100" i="53" l="1"/>
  <c r="CR18" i="53"/>
  <c r="CR54" i="53" s="1"/>
  <c r="CH15" i="53"/>
  <c r="CH20" i="53" s="1"/>
  <c r="CH22" i="53" s="1"/>
  <c r="CH53" i="53"/>
  <c r="CG56" i="53"/>
  <c r="CG76" i="53" s="1"/>
  <c r="CR75" i="53"/>
  <c r="AY34" i="5"/>
  <c r="AY33" i="5"/>
  <c r="CF92" i="53"/>
  <c r="CF93" i="53" s="1"/>
  <c r="CG71" i="53"/>
  <c r="CF95" i="53"/>
  <c r="CG66" i="53"/>
  <c r="CG79" i="53"/>
  <c r="CG23" i="53" s="1"/>
  <c r="BA32" i="5"/>
  <c r="CG77" i="53" l="1"/>
  <c r="CG78" i="53" s="1"/>
  <c r="AY35" i="5"/>
  <c r="AY42" i="5" s="1"/>
  <c r="AY62" i="5" s="1"/>
  <c r="AY63" i="5" s="1"/>
  <c r="CF96" i="53"/>
  <c r="AZ30" i="5" s="1"/>
  <c r="CF98" i="53"/>
  <c r="CG91" i="53"/>
  <c r="BL11" i="5"/>
  <c r="CR88" i="53"/>
  <c r="CR89" i="53" s="1"/>
  <c r="CS87" i="53" s="1"/>
  <c r="BA12" i="5"/>
  <c r="BA13" i="5" s="1"/>
  <c r="CG82" i="53"/>
  <c r="CG83" i="53" s="1"/>
  <c r="CS16" i="53" s="1"/>
  <c r="CH60" i="53"/>
  <c r="CH72" i="53" l="1"/>
  <c r="CG100" i="53"/>
  <c r="AY46" i="5"/>
  <c r="AY54" i="5" s="1"/>
  <c r="CS17" i="53"/>
  <c r="CS74" i="53" s="1"/>
  <c r="CS81" i="53" s="1"/>
  <c r="CS73" i="53"/>
  <c r="BB10" i="5"/>
  <c r="BA14" i="5"/>
  <c r="BB9" i="5" s="1"/>
  <c r="AZ31" i="5"/>
  <c r="CH57" i="53"/>
  <c r="CH59" i="53"/>
  <c r="CH65" i="53" s="1"/>
  <c r="CH67" i="53"/>
  <c r="CG92" i="53"/>
  <c r="CG93" i="53" s="1"/>
  <c r="CH71" i="53"/>
  <c r="CG95" i="53"/>
  <c r="AY56" i="5" l="1"/>
  <c r="CS18" i="53"/>
  <c r="CS54" i="53" s="1"/>
  <c r="CS75" i="53"/>
  <c r="CS88" i="53" s="1"/>
  <c r="CS89" i="53" s="1"/>
  <c r="CT87" i="53" s="1"/>
  <c r="AZ34" i="5"/>
  <c r="AZ33" i="5"/>
  <c r="CI53" i="53"/>
  <c r="CI15" i="53"/>
  <c r="CI20" i="53" s="1"/>
  <c r="CI22" i="53" s="1"/>
  <c r="CH56" i="53"/>
  <c r="CH76" i="53" s="1"/>
  <c r="CG98" i="53"/>
  <c r="CH91" i="53"/>
  <c r="CG96" i="53"/>
  <c r="BA30" i="5" s="1"/>
  <c r="CH79" i="53"/>
  <c r="CH23" i="53" s="1"/>
  <c r="CH66" i="53"/>
  <c r="BB32" i="5"/>
  <c r="BM11" i="5"/>
  <c r="AM57" i="5" l="1"/>
  <c r="AY71" i="5"/>
  <c r="AZ35" i="5"/>
  <c r="AZ42" i="5" s="1"/>
  <c r="AZ62" i="5" s="1"/>
  <c r="AZ63" i="5" s="1"/>
  <c r="BA31" i="5"/>
  <c r="CH82" i="53"/>
  <c r="CH83" i="53" s="1"/>
  <c r="CT16" i="53" s="1"/>
  <c r="BB12" i="5"/>
  <c r="BB13" i="5" s="1"/>
  <c r="CH77" i="53"/>
  <c r="CI60" i="53"/>
  <c r="AZ46" i="5" l="1"/>
  <c r="AZ54" i="5" s="1"/>
  <c r="CI67" i="53"/>
  <c r="CI57" i="53"/>
  <c r="CI59" i="53"/>
  <c r="CI65" i="53" s="1"/>
  <c r="CI72" i="53"/>
  <c r="CH78" i="53"/>
  <c r="BB14" i="5"/>
  <c r="BC9" i="5" s="1"/>
  <c r="BC10" i="5"/>
  <c r="CT73" i="53"/>
  <c r="CT17" i="53"/>
  <c r="CT74" i="53" s="1"/>
  <c r="CT81" i="53" s="1"/>
  <c r="BA34" i="5"/>
  <c r="BA33" i="5"/>
  <c r="AZ56" i="5" l="1"/>
  <c r="CH100" i="53"/>
  <c r="BA35" i="5"/>
  <c r="BA42" i="5" s="1"/>
  <c r="BA62" i="5" s="1"/>
  <c r="BA63" i="5" s="1"/>
  <c r="CT18" i="53"/>
  <c r="CT54" i="53" s="1"/>
  <c r="CI71" i="53"/>
  <c r="CH95" i="53"/>
  <c r="CH92" i="53"/>
  <c r="CH93" i="53" s="1"/>
  <c r="CT75" i="53"/>
  <c r="CI79" i="53"/>
  <c r="CI23" i="53" s="1"/>
  <c r="CI66" i="53"/>
  <c r="BC32" i="5"/>
  <c r="CJ53" i="53"/>
  <c r="CJ15" i="53"/>
  <c r="CJ20" i="53" s="1"/>
  <c r="CJ22" i="53" s="1"/>
  <c r="CI56" i="53"/>
  <c r="CI76" i="53" s="1"/>
  <c r="AZ71" i="5" l="1"/>
  <c r="AN57" i="5"/>
  <c r="BA46" i="5"/>
  <c r="BA54" i="5" s="1"/>
  <c r="CJ60" i="53"/>
  <c r="CI77" i="53"/>
  <c r="CI82" i="53"/>
  <c r="CI83" i="53" s="1"/>
  <c r="CU16" i="53" s="1"/>
  <c r="BC12" i="5"/>
  <c r="BC13" i="5" s="1"/>
  <c r="BN11" i="5"/>
  <c r="CT88" i="53"/>
  <c r="CT89" i="53" s="1"/>
  <c r="CU87" i="53" s="1"/>
  <c r="CH96" i="53"/>
  <c r="BB30" i="5" s="1"/>
  <c r="CI91" i="53"/>
  <c r="CH98" i="53"/>
  <c r="BA56" i="5" l="1"/>
  <c r="BD10" i="5"/>
  <c r="BC14" i="5"/>
  <c r="BD9" i="5" s="1"/>
  <c r="CU17" i="53"/>
  <c r="CU74" i="53" s="1"/>
  <c r="CU81" i="53" s="1"/>
  <c r="CU73" i="53"/>
  <c r="CI78" i="53"/>
  <c r="CJ72" i="53"/>
  <c r="BB31" i="5"/>
  <c r="CJ67" i="53"/>
  <c r="CJ59" i="53"/>
  <c r="CJ65" i="53" s="1"/>
  <c r="CJ57" i="53"/>
  <c r="AO57" i="5" l="1"/>
  <c r="BA71" i="5"/>
  <c r="CI100" i="53"/>
  <c r="CU18" i="53"/>
  <c r="CU54" i="53" s="1"/>
  <c r="CU75" i="53"/>
  <c r="CU88" i="53" s="1"/>
  <c r="CU89" i="53" s="1"/>
  <c r="CV87" i="53" s="1"/>
  <c r="CJ79" i="53"/>
  <c r="CJ23" i="53" s="1"/>
  <c r="BD32" i="5"/>
  <c r="CJ66" i="53"/>
  <c r="CJ71" i="53"/>
  <c r="CI92" i="53"/>
  <c r="CI93" i="53" s="1"/>
  <c r="CI95" i="53"/>
  <c r="BB33" i="5"/>
  <c r="BB34" i="5"/>
  <c r="CK53" i="53"/>
  <c r="CK15" i="53"/>
  <c r="CK20" i="53" s="1"/>
  <c r="CK22" i="53" s="1"/>
  <c r="CJ56" i="53"/>
  <c r="CJ76" i="53" s="1"/>
  <c r="BB35" i="5" l="1"/>
  <c r="BB42" i="5" s="1"/>
  <c r="BB46" i="5" s="1"/>
  <c r="BB54" i="5" s="1"/>
  <c r="BB56" i="5" s="1"/>
  <c r="BO11" i="5"/>
  <c r="CK60" i="53"/>
  <c r="CI98" i="53"/>
  <c r="CI96" i="53"/>
  <c r="BC30" i="5" s="1"/>
  <c r="CJ91" i="53"/>
  <c r="CJ82" i="53"/>
  <c r="CJ83" i="53" s="1"/>
  <c r="CV16" i="53" s="1"/>
  <c r="BD12" i="5"/>
  <c r="BD13" i="5" s="1"/>
  <c r="CJ77" i="53"/>
  <c r="BB62" i="5" l="1"/>
  <c r="AP57" i="5"/>
  <c r="CK72" i="53"/>
  <c r="CJ78" i="53"/>
  <c r="BE10" i="5"/>
  <c r="BD14" i="5"/>
  <c r="BE9" i="5" s="1"/>
  <c r="CV17" i="53"/>
  <c r="CV74" i="53" s="1"/>
  <c r="CV81" i="53" s="1"/>
  <c r="CV73" i="53"/>
  <c r="BC31" i="5"/>
  <c r="CK67" i="53"/>
  <c r="CK57" i="53"/>
  <c r="CK59" i="53"/>
  <c r="CK65" i="53" s="1"/>
  <c r="BB63" i="5" l="1"/>
  <c r="CJ100" i="53"/>
  <c r="CV18" i="53"/>
  <c r="CV54" i="53" s="1"/>
  <c r="CV75" i="53"/>
  <c r="CV88" i="53" s="1"/>
  <c r="CV89" i="53" s="1"/>
  <c r="CW87" i="53" s="1"/>
  <c r="CL15" i="53"/>
  <c r="CL20" i="53" s="1"/>
  <c r="CL22" i="53" s="1"/>
  <c r="CL53" i="53"/>
  <c r="CK56" i="53"/>
  <c r="CK76" i="53" s="1"/>
  <c r="CK66" i="53"/>
  <c r="CK79" i="53"/>
  <c r="CK23" i="53" s="1"/>
  <c r="BE32" i="5"/>
  <c r="BC34" i="5"/>
  <c r="BC33" i="5"/>
  <c r="CK71" i="53"/>
  <c r="CJ92" i="53"/>
  <c r="CJ93" i="53" s="1"/>
  <c r="CJ95" i="53"/>
  <c r="BB71" i="5" l="1"/>
  <c r="BC35" i="5"/>
  <c r="BP11" i="5"/>
  <c r="CJ96" i="53"/>
  <c r="BD30" i="5" s="1"/>
  <c r="CJ98" i="53"/>
  <c r="CK91" i="53"/>
  <c r="CK77" i="53"/>
  <c r="BE12" i="5"/>
  <c r="BE13" i="5" s="1"/>
  <c r="CK82" i="53"/>
  <c r="CK83" i="53" s="1"/>
  <c r="CW16" i="53" s="1"/>
  <c r="CL60" i="53"/>
  <c r="BC42" i="5" l="1"/>
  <c r="BC62" i="5" s="1"/>
  <c r="CW17" i="53"/>
  <c r="CW74" i="53" s="1"/>
  <c r="CW81" i="53" s="1"/>
  <c r="CW73" i="53"/>
  <c r="CK78" i="53"/>
  <c r="CL72" i="53"/>
  <c r="BF10" i="5"/>
  <c r="BE14" i="5"/>
  <c r="BF9" i="5" s="1"/>
  <c r="CL67" i="53"/>
  <c r="CL59" i="53"/>
  <c r="CL65" i="53" s="1"/>
  <c r="CL57" i="53"/>
  <c r="BD31" i="5"/>
  <c r="BC63" i="5" l="1"/>
  <c r="BC46" i="5"/>
  <c r="CK100" i="53"/>
  <c r="CW18" i="53"/>
  <c r="CW54" i="53" s="1"/>
  <c r="CW75" i="53"/>
  <c r="CW88" i="53" s="1"/>
  <c r="CW89" i="53" s="1"/>
  <c r="CX87" i="53" s="1"/>
  <c r="CM53" i="53"/>
  <c r="CM15" i="53"/>
  <c r="CM20" i="53" s="1"/>
  <c r="CM22" i="53" s="1"/>
  <c r="CL56" i="53"/>
  <c r="CL76" i="53" s="1"/>
  <c r="CK95" i="53"/>
  <c r="CL71" i="53"/>
  <c r="CK92" i="53"/>
  <c r="CK93" i="53" s="1"/>
  <c r="BD33" i="5"/>
  <c r="BD34" i="5"/>
  <c r="CL66" i="53"/>
  <c r="CL79" i="53"/>
  <c r="CL23" i="53" s="1"/>
  <c r="BF32" i="5"/>
  <c r="BC54" i="5" l="1"/>
  <c r="CL77" i="53"/>
  <c r="CL78" i="53" s="1"/>
  <c r="BD35" i="5"/>
  <c r="BQ11" i="5"/>
  <c r="CK96" i="53"/>
  <c r="BE30" i="5" s="1"/>
  <c r="CL91" i="53"/>
  <c r="CK98" i="53"/>
  <c r="CL82" i="53"/>
  <c r="CL83" i="53" s="1"/>
  <c r="CX16" i="53" s="1"/>
  <c r="BF12" i="5"/>
  <c r="BF13" i="5" s="1"/>
  <c r="CM60" i="53"/>
  <c r="CM72" i="53" l="1"/>
  <c r="BD42" i="5"/>
  <c r="BD62" i="5" s="1"/>
  <c r="BC56" i="5"/>
  <c r="CL100" i="53"/>
  <c r="BE31" i="5"/>
  <c r="CM59" i="53"/>
  <c r="CM65" i="53" s="1"/>
  <c r="CM67" i="53"/>
  <c r="CM57" i="53"/>
  <c r="CX73" i="53"/>
  <c r="CX17" i="53"/>
  <c r="CX74" i="53" s="1"/>
  <c r="CX81" i="53" s="1"/>
  <c r="CM71" i="53"/>
  <c r="CL95" i="53"/>
  <c r="CL92" i="53"/>
  <c r="CL93" i="53" s="1"/>
  <c r="BG10" i="5"/>
  <c r="BF14" i="5"/>
  <c r="BG9" i="5" s="1"/>
  <c r="AQ57" i="5" l="1"/>
  <c r="BC71" i="5"/>
  <c r="BD63" i="5"/>
  <c r="BD46" i="5"/>
  <c r="CX75" i="53"/>
  <c r="CX18" i="53"/>
  <c r="CX54" i="53" s="1"/>
  <c r="CN15" i="53"/>
  <c r="CN20" i="53" s="1"/>
  <c r="CN22" i="53" s="1"/>
  <c r="CN53" i="53"/>
  <c r="CM56" i="53"/>
  <c r="CM76" i="53" s="1"/>
  <c r="CL98" i="53"/>
  <c r="CM91" i="53"/>
  <c r="CL96" i="53"/>
  <c r="BF30" i="5" s="1"/>
  <c r="CM79" i="53"/>
  <c r="CM23" i="53" s="1"/>
  <c r="CM66" i="53"/>
  <c r="BG32" i="5"/>
  <c r="BE34" i="5"/>
  <c r="BE33" i="5"/>
  <c r="BD54" i="5" l="1"/>
  <c r="BE35" i="5"/>
  <c r="CM77" i="53"/>
  <c r="CM82" i="53"/>
  <c r="CM83" i="53" s="1"/>
  <c r="CY16" i="53" s="1"/>
  <c r="BG12" i="5"/>
  <c r="BG13" i="5" s="1"/>
  <c r="CN60" i="53"/>
  <c r="BF31" i="5"/>
  <c r="CX88" i="53"/>
  <c r="CX89" i="53" s="1"/>
  <c r="CY87" i="53" s="1"/>
  <c r="BR11" i="5"/>
  <c r="E43" i="32"/>
  <c r="D77" i="43" s="1"/>
  <c r="F43" i="32"/>
  <c r="E77" i="43" s="1"/>
  <c r="G43" i="32"/>
  <c r="F77" i="43" s="1"/>
  <c r="H43" i="32"/>
  <c r="G77" i="43" s="1"/>
  <c r="BE42" i="5" l="1"/>
  <c r="BE46" i="5" s="1"/>
  <c r="BD56" i="5"/>
  <c r="CN57" i="53"/>
  <c r="CN59" i="53"/>
  <c r="CN65" i="53" s="1"/>
  <c r="CN67" i="53"/>
  <c r="BH10" i="5"/>
  <c r="BG14" i="5"/>
  <c r="BH9" i="5" s="1"/>
  <c r="CY17" i="53"/>
  <c r="CY74" i="53" s="1"/>
  <c r="CY81" i="53" s="1"/>
  <c r="CY73" i="53"/>
  <c r="BF34" i="5"/>
  <c r="BF33" i="5"/>
  <c r="CM78" i="53"/>
  <c r="CN72" i="53"/>
  <c r="E44" i="32"/>
  <c r="D78" i="43" s="1"/>
  <c r="F44" i="32"/>
  <c r="E78" i="43" s="1"/>
  <c r="G44" i="32"/>
  <c r="F78" i="43" s="1"/>
  <c r="H44" i="32"/>
  <c r="G78" i="43" s="1"/>
  <c r="BE54" i="5" l="1"/>
  <c r="BE56" i="5" s="1"/>
  <c r="AR57" i="5"/>
  <c r="BD71" i="5"/>
  <c r="BE62" i="5"/>
  <c r="CM100" i="53"/>
  <c r="BF35" i="5"/>
  <c r="CY18" i="53"/>
  <c r="CY54" i="53" s="1"/>
  <c r="CY75" i="53"/>
  <c r="BS11" i="5" s="1"/>
  <c r="CN71" i="53"/>
  <c r="CM92" i="53"/>
  <c r="CM93" i="53" s="1"/>
  <c r="CM95" i="53"/>
  <c r="BH32" i="5"/>
  <c r="CN79" i="53"/>
  <c r="CN23" i="53" s="1"/>
  <c r="CN66" i="53"/>
  <c r="CO53" i="53"/>
  <c r="CO15" i="53"/>
  <c r="CO20" i="53" s="1"/>
  <c r="CO22" i="53" s="1"/>
  <c r="CN56" i="53"/>
  <c r="CN76" i="53" s="1"/>
  <c r="BE63" i="5" l="1"/>
  <c r="BE71" i="5" s="1"/>
  <c r="BF42" i="5"/>
  <c r="BF62" i="5" s="1"/>
  <c r="BF63" i="5" s="1"/>
  <c r="CN77" i="53"/>
  <c r="CN78" i="53" s="1"/>
  <c r="AS57" i="5"/>
  <c r="CY88" i="53"/>
  <c r="CY89" i="53" s="1"/>
  <c r="CZ87" i="53" s="1"/>
  <c r="CO60" i="53"/>
  <c r="CM98" i="53"/>
  <c r="CM96" i="53"/>
  <c r="BG30" i="5" s="1"/>
  <c r="CN91" i="53"/>
  <c r="CN82" i="53"/>
  <c r="CN83" i="53" s="1"/>
  <c r="CZ16" i="53" s="1"/>
  <c r="BH12" i="5"/>
  <c r="BH13" i="5" s="1"/>
  <c r="CO72" i="53" l="1"/>
  <c r="BF46" i="5"/>
  <c r="CN100" i="53"/>
  <c r="BG31" i="5"/>
  <c r="CZ73" i="53"/>
  <c r="CZ17" i="53"/>
  <c r="CZ74" i="53" s="1"/>
  <c r="CZ81" i="53" s="1"/>
  <c r="BI10" i="5"/>
  <c r="BH14" i="5"/>
  <c r="BI9" i="5" s="1"/>
  <c r="CO67" i="53"/>
  <c r="CO59" i="53"/>
  <c r="CO65" i="53" s="1"/>
  <c r="CO57" i="53"/>
  <c r="CN95" i="53"/>
  <c r="CO71" i="53"/>
  <c r="CN92" i="53"/>
  <c r="CN93" i="53" s="1"/>
  <c r="BF54" i="5" l="1"/>
  <c r="CZ18" i="53"/>
  <c r="CZ54" i="53" s="1"/>
  <c r="CP15" i="53"/>
  <c r="CP20" i="53" s="1"/>
  <c r="CP22" i="53" s="1"/>
  <c r="CP53" i="53"/>
  <c r="CO56" i="53"/>
  <c r="CO76" i="53" s="1"/>
  <c r="BI32" i="5"/>
  <c r="CO79" i="53"/>
  <c r="CO23" i="53" s="1"/>
  <c r="CO66" i="53"/>
  <c r="CO91" i="53"/>
  <c r="CN98" i="53"/>
  <c r="CN96" i="53"/>
  <c r="BH30" i="5" s="1"/>
  <c r="CZ75" i="53"/>
  <c r="BG33" i="5"/>
  <c r="BG34" i="5"/>
  <c r="BF56" i="5" l="1"/>
  <c r="BG35" i="5"/>
  <c r="BT11" i="5"/>
  <c r="CZ88" i="53"/>
  <c r="CZ89" i="53" s="1"/>
  <c r="DA87" i="53" s="1"/>
  <c r="BI12" i="5"/>
  <c r="BI13" i="5" s="1"/>
  <c r="CO82" i="53"/>
  <c r="CO83" i="53" s="1"/>
  <c r="DA16" i="53" s="1"/>
  <c r="CO77" i="53"/>
  <c r="BH31" i="5"/>
  <c r="CP60" i="53"/>
  <c r="BG42" i="5" l="1"/>
  <c r="BG62" i="5" s="1"/>
  <c r="AT57" i="5"/>
  <c r="BF71" i="5"/>
  <c r="CP72" i="53"/>
  <c r="CO78" i="53"/>
  <c r="DA73" i="53"/>
  <c r="DA17" i="53"/>
  <c r="DA74" i="53" s="1"/>
  <c r="DA81" i="53" s="1"/>
  <c r="CP59" i="53"/>
  <c r="CP65" i="53" s="1"/>
  <c r="CP67" i="53"/>
  <c r="CP57" i="53"/>
  <c r="BI14" i="5"/>
  <c r="BJ9" i="5" s="1"/>
  <c r="BJ10" i="5"/>
  <c r="BH33" i="5"/>
  <c r="BH34" i="5"/>
  <c r="BG63" i="5" l="1"/>
  <c r="BG46" i="5"/>
  <c r="CO100" i="53"/>
  <c r="BH35" i="5"/>
  <c r="BH42" i="5" s="1"/>
  <c r="BH46" i="5" s="1"/>
  <c r="BH54" i="5" s="1"/>
  <c r="BH56" i="5" s="1"/>
  <c r="CP79" i="53"/>
  <c r="CP23" i="53" s="1"/>
  <c r="CP66" i="53"/>
  <c r="BJ32" i="5"/>
  <c r="DA18" i="53"/>
  <c r="DA54" i="53" s="1"/>
  <c r="CQ15" i="53"/>
  <c r="CQ20" i="53" s="1"/>
  <c r="CQ22" i="53" s="1"/>
  <c r="CQ53" i="53"/>
  <c r="CP56" i="53"/>
  <c r="CP76" i="53" s="1"/>
  <c r="DA75" i="53"/>
  <c r="CP71" i="53"/>
  <c r="CO95" i="53"/>
  <c r="CO92" i="53"/>
  <c r="CO93" i="53" s="1"/>
  <c r="BG54" i="5" l="1"/>
  <c r="BG56" i="5" s="1"/>
  <c r="BG71" i="5" s="1"/>
  <c r="BH62" i="5"/>
  <c r="BH63" i="5" s="1"/>
  <c r="BH71" i="5" s="1"/>
  <c r="CO96" i="53"/>
  <c r="BI30" i="5" s="1"/>
  <c r="CP91" i="53"/>
  <c r="CO98" i="53"/>
  <c r="DA88" i="53"/>
  <c r="DA89" i="53" s="1"/>
  <c r="DB87" i="53" s="1"/>
  <c r="BU11" i="5"/>
  <c r="CQ60" i="53"/>
  <c r="CP82" i="53"/>
  <c r="CP83" i="53" s="1"/>
  <c r="DB16" i="53" s="1"/>
  <c r="BJ12" i="5"/>
  <c r="BJ13" i="5" s="1"/>
  <c r="CP77" i="53"/>
  <c r="AV57" i="5" l="1"/>
  <c r="AU57" i="5"/>
  <c r="CQ59" i="53"/>
  <c r="CQ65" i="53" s="1"/>
  <c r="CQ67" i="53"/>
  <c r="CQ57" i="53"/>
  <c r="BJ14" i="5"/>
  <c r="BK9" i="5" s="1"/>
  <c r="BK10" i="5"/>
  <c r="BI31" i="5"/>
  <c r="DB73" i="53"/>
  <c r="DB17" i="53"/>
  <c r="DB74" i="53" s="1"/>
  <c r="DB81" i="53" s="1"/>
  <c r="CQ72" i="53"/>
  <c r="CP78" i="53"/>
  <c r="CP100" i="53" l="1"/>
  <c r="DB18" i="53"/>
  <c r="DB54" i="53" s="1"/>
  <c r="CP92" i="53"/>
  <c r="CP93" i="53" s="1"/>
  <c r="CQ71" i="53"/>
  <c r="CP95" i="53"/>
  <c r="DB75" i="53"/>
  <c r="BI34" i="5"/>
  <c r="BI33" i="5"/>
  <c r="CR15" i="53"/>
  <c r="CR20" i="53" s="1"/>
  <c r="CR22" i="53" s="1"/>
  <c r="CR53" i="53"/>
  <c r="CQ56" i="53"/>
  <c r="CQ76" i="53" s="1"/>
  <c r="CQ66" i="53"/>
  <c r="CQ79" i="53"/>
  <c r="CQ23" i="53" s="1"/>
  <c r="BK32" i="5"/>
  <c r="BI35" i="5" l="1"/>
  <c r="BI42" i="5" s="1"/>
  <c r="BI46" i="5" s="1"/>
  <c r="BI54" i="5" s="1"/>
  <c r="BI56" i="5" s="1"/>
  <c r="BK12" i="5"/>
  <c r="BK13" i="5" s="1"/>
  <c r="CQ82" i="53"/>
  <c r="CQ83" i="53" s="1"/>
  <c r="DC16" i="53" s="1"/>
  <c r="BV11" i="5"/>
  <c r="DB88" i="53"/>
  <c r="DB89" i="53" s="1"/>
  <c r="DC87" i="53" s="1"/>
  <c r="CQ77" i="53"/>
  <c r="CR60" i="53"/>
  <c r="CP98" i="53"/>
  <c r="CQ91" i="53"/>
  <c r="CP96" i="53"/>
  <c r="BJ30" i="5" s="1"/>
  <c r="BI62" i="5" l="1"/>
  <c r="BI63" i="5" s="1"/>
  <c r="BI71" i="5" s="1"/>
  <c r="AW57" i="5"/>
  <c r="CR72" i="53"/>
  <c r="CQ78" i="53"/>
  <c r="BJ31" i="5"/>
  <c r="DC73" i="53"/>
  <c r="DC17" i="53"/>
  <c r="DC74" i="53" s="1"/>
  <c r="DC81" i="53" s="1"/>
  <c r="CR67" i="53"/>
  <c r="CR59" i="53"/>
  <c r="CR65" i="53" s="1"/>
  <c r="CR57" i="53"/>
  <c r="BK14" i="5"/>
  <c r="BL9" i="5" s="1"/>
  <c r="BL10" i="5"/>
  <c r="CQ100" i="53" l="1"/>
  <c r="BJ34" i="5"/>
  <c r="BJ33" i="5"/>
  <c r="CQ92" i="53"/>
  <c r="CQ93" i="53" s="1"/>
  <c r="CQ95" i="53"/>
  <c r="CR71" i="53"/>
  <c r="CS15" i="53"/>
  <c r="CS20" i="53" s="1"/>
  <c r="CS22" i="53" s="1"/>
  <c r="CS53" i="53"/>
  <c r="CR56" i="53"/>
  <c r="CR76" i="53" s="1"/>
  <c r="DC75" i="53"/>
  <c r="BL32" i="5"/>
  <c r="CR66" i="53"/>
  <c r="CR79" i="53"/>
  <c r="CR23" i="53" s="1"/>
  <c r="DC18" i="53"/>
  <c r="DC54" i="53" s="1"/>
  <c r="BJ35" i="5" l="1"/>
  <c r="BJ42" i="5" s="1"/>
  <c r="BJ46" i="5" s="1"/>
  <c r="BJ54" i="5" s="1"/>
  <c r="BJ56" i="5" s="1"/>
  <c r="CS60" i="53"/>
  <c r="DC88" i="53"/>
  <c r="DC89" i="53" s="1"/>
  <c r="DD87" i="53" s="1"/>
  <c r="BW11" i="5"/>
  <c r="CR77" i="53"/>
  <c r="CR82" i="53"/>
  <c r="CR83" i="53" s="1"/>
  <c r="DD16" i="53" s="1"/>
  <c r="BL12" i="5"/>
  <c r="BL13" i="5" s="1"/>
  <c r="CR91" i="53"/>
  <c r="CQ96" i="53"/>
  <c r="BK30" i="5" s="1"/>
  <c r="CQ98" i="53"/>
  <c r="BJ62" i="5" l="1"/>
  <c r="BJ63" i="5" s="1"/>
  <c r="AX57" i="5"/>
  <c r="DD73" i="53"/>
  <c r="DD17" i="53"/>
  <c r="DD74" i="53" s="1"/>
  <c r="DD81" i="53" s="1"/>
  <c r="CS72" i="53"/>
  <c r="CR78" i="53"/>
  <c r="BK31" i="5"/>
  <c r="BL14" i="5"/>
  <c r="BM9" i="5" s="1"/>
  <c r="BM10" i="5"/>
  <c r="CS57" i="53"/>
  <c r="CS59" i="53"/>
  <c r="CS65" i="53" s="1"/>
  <c r="CS67" i="53"/>
  <c r="CR100" i="53" l="1"/>
  <c r="BJ71" i="5"/>
  <c r="DD18" i="53"/>
  <c r="DD54" i="53" s="1"/>
  <c r="CR92" i="53"/>
  <c r="CR93" i="53" s="1"/>
  <c r="CS71" i="53"/>
  <c r="CR95" i="53"/>
  <c r="BM32" i="5"/>
  <c r="CS79" i="53"/>
  <c r="CS23" i="53" s="1"/>
  <c r="CS66" i="53"/>
  <c r="BK33" i="5"/>
  <c r="BK34" i="5"/>
  <c r="CT53" i="53"/>
  <c r="CT15" i="53"/>
  <c r="CT20" i="53" s="1"/>
  <c r="CT22" i="53" s="1"/>
  <c r="CS56" i="53"/>
  <c r="CS76" i="53" s="1"/>
  <c r="DD75" i="53"/>
  <c r="BK35" i="5" l="1"/>
  <c r="BK42" i="5" s="1"/>
  <c r="BK62" i="5" s="1"/>
  <c r="BK63" i="5" s="1"/>
  <c r="CS82" i="53"/>
  <c r="CS83" i="53" s="1"/>
  <c r="DE16" i="53" s="1"/>
  <c r="BM12" i="5"/>
  <c r="BM13" i="5" s="1"/>
  <c r="CT60" i="53"/>
  <c r="CS77" i="53"/>
  <c r="BX11" i="5"/>
  <c r="DD88" i="53"/>
  <c r="DD89" i="53" s="1"/>
  <c r="DE87" i="53" s="1"/>
  <c r="CS91" i="53"/>
  <c r="CR98" i="53"/>
  <c r="CR96" i="53"/>
  <c r="BL30" i="5" s="1"/>
  <c r="BK46" i="5" l="1"/>
  <c r="BK54" i="5" s="1"/>
  <c r="CS78" i="53"/>
  <c r="CT72" i="53"/>
  <c r="CT67" i="53"/>
  <c r="CT57" i="53"/>
  <c r="CT59" i="53"/>
  <c r="CT65" i="53" s="1"/>
  <c r="BL31" i="5"/>
  <c r="BM14" i="5"/>
  <c r="BN9" i="5" s="1"/>
  <c r="BN10" i="5"/>
  <c r="DE17" i="53"/>
  <c r="DE74" i="53" s="1"/>
  <c r="DE81" i="53" s="1"/>
  <c r="DE73" i="53"/>
  <c r="BK56" i="5" l="1"/>
  <c r="CS100" i="53"/>
  <c r="DE75" i="53"/>
  <c r="BY11" i="5" s="1"/>
  <c r="CT79" i="53"/>
  <c r="CT23" i="53" s="1"/>
  <c r="CT66" i="53"/>
  <c r="BN32" i="5"/>
  <c r="CU53" i="53"/>
  <c r="CU15" i="53"/>
  <c r="CU20" i="53" s="1"/>
  <c r="CU22" i="53" s="1"/>
  <c r="CT56" i="53"/>
  <c r="CT76" i="53" s="1"/>
  <c r="CT71" i="53"/>
  <c r="CS95" i="53"/>
  <c r="CS92" i="53"/>
  <c r="CS93" i="53" s="1"/>
  <c r="BL34" i="5"/>
  <c r="BL33" i="5"/>
  <c r="DE18" i="53"/>
  <c r="DE54" i="53" s="1"/>
  <c r="AY57" i="5" l="1"/>
  <c r="BK71" i="5"/>
  <c r="BL35" i="5"/>
  <c r="BL42" i="5" s="1"/>
  <c r="BL62" i="5" s="1"/>
  <c r="BL63" i="5" s="1"/>
  <c r="DE88" i="53"/>
  <c r="DE89" i="53" s="1"/>
  <c r="DF87" i="53" s="1"/>
  <c r="CS98" i="53"/>
  <c r="CT91" i="53"/>
  <c r="CS96" i="53"/>
  <c r="BM30" i="5" s="1"/>
  <c r="CT82" i="53"/>
  <c r="CT83" i="53" s="1"/>
  <c r="DF16" i="53" s="1"/>
  <c r="BN12" i="5"/>
  <c r="BN13" i="5" s="1"/>
  <c r="CT77" i="53"/>
  <c r="CU60" i="53"/>
  <c r="BL46" i="5" l="1"/>
  <c r="BL54" i="5" s="1"/>
  <c r="CU59" i="53"/>
  <c r="CU65" i="53" s="1"/>
  <c r="CU67" i="53"/>
  <c r="CU57" i="53"/>
  <c r="BO10" i="5"/>
  <c r="BN14" i="5"/>
  <c r="BO9" i="5" s="1"/>
  <c r="DF17" i="53"/>
  <c r="DF74" i="53" s="1"/>
  <c r="DF81" i="53" s="1"/>
  <c r="DF73" i="53"/>
  <c r="BM31" i="5"/>
  <c r="CT78" i="53"/>
  <c r="CU72" i="53"/>
  <c r="BL56" i="5" l="1"/>
  <c r="CT100" i="53"/>
  <c r="DF18" i="53"/>
  <c r="DF54" i="53" s="1"/>
  <c r="BM34" i="5"/>
  <c r="BM33" i="5"/>
  <c r="CU71" i="53"/>
  <c r="CT92" i="53"/>
  <c r="CT93" i="53" s="1"/>
  <c r="CT95" i="53"/>
  <c r="DF75" i="53"/>
  <c r="CV53" i="53"/>
  <c r="CV15" i="53"/>
  <c r="CV20" i="53" s="1"/>
  <c r="CV22" i="53" s="1"/>
  <c r="CU56" i="53"/>
  <c r="CU76" i="53" s="1"/>
  <c r="CU66" i="53"/>
  <c r="CU79" i="53"/>
  <c r="CU23" i="53" s="1"/>
  <c r="BO32" i="5"/>
  <c r="CU77" i="53" l="1"/>
  <c r="CV72" i="53" s="1"/>
  <c r="AZ57" i="5"/>
  <c r="BL71" i="5"/>
  <c r="BM35" i="5"/>
  <c r="BM42" i="5" s="1"/>
  <c r="BM62" i="5" s="1"/>
  <c r="BM63" i="5" s="1"/>
  <c r="CT98" i="53"/>
  <c r="CT96" i="53"/>
  <c r="BN30" i="5" s="1"/>
  <c r="CU91" i="53"/>
  <c r="DF88" i="53"/>
  <c r="DF89" i="53" s="1"/>
  <c r="DG87" i="53" s="1"/>
  <c r="BZ11" i="5"/>
  <c r="CV60" i="53"/>
  <c r="CU82" i="53"/>
  <c r="CU83" i="53" s="1"/>
  <c r="DG16" i="53" s="1"/>
  <c r="BO12" i="5"/>
  <c r="BO13" i="5" s="1"/>
  <c r="CU78" i="53" l="1"/>
  <c r="CU100" i="53" s="1"/>
  <c r="BM46" i="5"/>
  <c r="BM54" i="5" s="1"/>
  <c r="BP10" i="5"/>
  <c r="BO14" i="5"/>
  <c r="BP9" i="5" s="1"/>
  <c r="BN31" i="5"/>
  <c r="CV67" i="53"/>
  <c r="CV59" i="53"/>
  <c r="CV65" i="53" s="1"/>
  <c r="CV57" i="53"/>
  <c r="DG17" i="53"/>
  <c r="DG74" i="53" s="1"/>
  <c r="DG81" i="53" s="1"/>
  <c r="DG73" i="53"/>
  <c r="CU92" i="53" l="1"/>
  <c r="CU93" i="53" s="1"/>
  <c r="CU98" i="53" s="1"/>
  <c r="CU95" i="53"/>
  <c r="CV71" i="53"/>
  <c r="BM56" i="5"/>
  <c r="DG75" i="53"/>
  <c r="BN34" i="5"/>
  <c r="BN33" i="5"/>
  <c r="CW53" i="53"/>
  <c r="CW15" i="53"/>
  <c r="CW20" i="53" s="1"/>
  <c r="CW22" i="53" s="1"/>
  <c r="CV56" i="53"/>
  <c r="CV76" i="53" s="1"/>
  <c r="CV66" i="53"/>
  <c r="BP32" i="5"/>
  <c r="CV79" i="53"/>
  <c r="CV23" i="53" s="1"/>
  <c r="DG18" i="53"/>
  <c r="DG54" i="53" s="1"/>
  <c r="CV91" i="53" l="1"/>
  <c r="CU96" i="53"/>
  <c r="BO30" i="5" s="1"/>
  <c r="BO31" i="5" s="1"/>
  <c r="BO33" i="5" s="1"/>
  <c r="BA57" i="5"/>
  <c r="BM71" i="5"/>
  <c r="BN35" i="5"/>
  <c r="BN42" i="5" s="1"/>
  <c r="BN62" i="5" s="1"/>
  <c r="CV77" i="53"/>
  <c r="CV82" i="53"/>
  <c r="CV83" i="53" s="1"/>
  <c r="DH16" i="53" s="1"/>
  <c r="BP12" i="5"/>
  <c r="BP13" i="5" s="1"/>
  <c r="CW60" i="53"/>
  <c r="DG88" i="53"/>
  <c r="DG89" i="53" s="1"/>
  <c r="DH87" i="53" s="1"/>
  <c r="CA11" i="5"/>
  <c r="BO34" i="5" l="1"/>
  <c r="BO35" i="5" s="1"/>
  <c r="BN46" i="5"/>
  <c r="BN54" i="5" s="1"/>
  <c r="BN63" i="5"/>
  <c r="D62" i="5"/>
  <c r="I43" i="32"/>
  <c r="H77" i="43" s="1"/>
  <c r="CW59" i="53"/>
  <c r="CW65" i="53" s="1"/>
  <c r="CW67" i="53"/>
  <c r="CW57" i="53"/>
  <c r="BQ10" i="5"/>
  <c r="BP14" i="5"/>
  <c r="BQ9" i="5" s="1"/>
  <c r="DH17" i="53"/>
  <c r="DH74" i="53" s="1"/>
  <c r="DH81" i="53" s="1"/>
  <c r="DH73" i="53"/>
  <c r="CW72" i="53"/>
  <c r="CV78" i="53"/>
  <c r="BO42" i="5" l="1"/>
  <c r="BN56" i="5"/>
  <c r="AA40" i="6"/>
  <c r="AD92" i="5" s="1"/>
  <c r="F73" i="32" s="1"/>
  <c r="AA34" i="6"/>
  <c r="AD91" i="5" s="1"/>
  <c r="CV100" i="53"/>
  <c r="C34" i="6"/>
  <c r="F91" i="5" s="1"/>
  <c r="AY40" i="6"/>
  <c r="BB92" i="5" s="1"/>
  <c r="H73" i="32" s="1"/>
  <c r="AY34" i="6"/>
  <c r="BB91" i="5" s="1"/>
  <c r="D63" i="5"/>
  <c r="I44" i="32"/>
  <c r="H78" i="43" s="1"/>
  <c r="CV92" i="53"/>
  <c r="CV93" i="53" s="1"/>
  <c r="CV95" i="53"/>
  <c r="CW71" i="53"/>
  <c r="CX53" i="53"/>
  <c r="CX15" i="53"/>
  <c r="CX20" i="53" s="1"/>
  <c r="CX22" i="53" s="1"/>
  <c r="CW56" i="53"/>
  <c r="CW76" i="53" s="1"/>
  <c r="DH75" i="53"/>
  <c r="CW66" i="53"/>
  <c r="CW79" i="53"/>
  <c r="CW23" i="53" s="1"/>
  <c r="BQ32" i="5"/>
  <c r="DH18" i="53"/>
  <c r="DH54" i="53" s="1"/>
  <c r="E14" i="32"/>
  <c r="D48" i="43" s="1"/>
  <c r="D32" i="5"/>
  <c r="BA12" i="57"/>
  <c r="G14" i="32"/>
  <c r="F48" i="43" s="1"/>
  <c r="BO12" i="57"/>
  <c r="H14" i="32"/>
  <c r="G48" i="43" s="1"/>
  <c r="I14" i="32"/>
  <c r="H48" i="43" s="1"/>
  <c r="BO46" i="5" l="1"/>
  <c r="CW77" i="53"/>
  <c r="CW78" i="53" s="1"/>
  <c r="D72" i="32"/>
  <c r="F108" i="5"/>
  <c r="F72" i="32"/>
  <c r="BB57" i="5"/>
  <c r="H37" i="1" s="1"/>
  <c r="H39" i="1" s="1"/>
  <c r="H41" i="1" s="1"/>
  <c r="E37" i="1" s="1"/>
  <c r="AM34" i="6" s="1"/>
  <c r="C39" i="6"/>
  <c r="D33" i="6" s="1"/>
  <c r="D39" i="6" s="1"/>
  <c r="E33" i="6" s="1"/>
  <c r="D35" i="6"/>
  <c r="D37" i="6" s="1"/>
  <c r="G80" i="5" s="1"/>
  <c r="H72" i="32"/>
  <c r="DH88" i="53"/>
  <c r="DH89" i="53" s="1"/>
  <c r="DI87" i="53" s="1"/>
  <c r="CB11" i="5"/>
  <c r="CW82" i="53"/>
  <c r="CW83" i="53" s="1"/>
  <c r="DI16" i="53" s="1"/>
  <c r="BQ12" i="5"/>
  <c r="BQ13" i="5" s="1"/>
  <c r="CX60" i="53"/>
  <c r="CV96" i="53"/>
  <c r="BP30" i="5" s="1"/>
  <c r="CV98" i="53"/>
  <c r="CW91" i="53"/>
  <c r="BS12" i="57"/>
  <c r="BT12" i="57" s="1"/>
  <c r="BQ12" i="57"/>
  <c r="BP12" i="57"/>
  <c r="BR12" i="57"/>
  <c r="BE12" i="57"/>
  <c r="BF12" i="57" s="1"/>
  <c r="BC12" i="57"/>
  <c r="BB12" i="57"/>
  <c r="BD12" i="57"/>
  <c r="CX72" i="53" l="1"/>
  <c r="BP31" i="5"/>
  <c r="BP34" i="5" s="1"/>
  <c r="BO54" i="5"/>
  <c r="AP91" i="5"/>
  <c r="AM40" i="6"/>
  <c r="K19" i="43"/>
  <c r="CW100" i="53"/>
  <c r="E35" i="6"/>
  <c r="E37" i="6" s="1"/>
  <c r="H80" i="5" s="1"/>
  <c r="E39" i="6"/>
  <c r="F33" i="6" s="1"/>
  <c r="CX67" i="53"/>
  <c r="CX59" i="53"/>
  <c r="CX65" i="53" s="1"/>
  <c r="CX57" i="53"/>
  <c r="BR10" i="5"/>
  <c r="BQ14" i="5"/>
  <c r="BR9" i="5" s="1"/>
  <c r="DI17" i="53"/>
  <c r="DI74" i="53" s="1"/>
  <c r="DI81" i="53" s="1"/>
  <c r="DI73" i="53"/>
  <c r="CW92" i="53"/>
  <c r="CW93" i="53" s="1"/>
  <c r="CW95" i="53"/>
  <c r="CX71" i="53"/>
  <c r="D91" i="5" l="1"/>
  <c r="G72" i="32"/>
  <c r="BP33" i="5"/>
  <c r="BP35" i="5" s="1"/>
  <c r="BO56" i="5"/>
  <c r="AP92" i="5"/>
  <c r="F35" i="6"/>
  <c r="F37" i="6" s="1"/>
  <c r="I80" i="5" s="1"/>
  <c r="F39" i="6"/>
  <c r="G33" i="6" s="1"/>
  <c r="DI18" i="53"/>
  <c r="DI54" i="53" s="1"/>
  <c r="DI75" i="53"/>
  <c r="DI88" i="53" s="1"/>
  <c r="DI89" i="53" s="1"/>
  <c r="DJ87" i="53" s="1"/>
  <c r="CX91" i="53"/>
  <c r="CW96" i="53"/>
  <c r="BQ30" i="5" s="1"/>
  <c r="CW98" i="53"/>
  <c r="CY53" i="53"/>
  <c r="CY15" i="53"/>
  <c r="CY20" i="53" s="1"/>
  <c r="CY22" i="53" s="1"/>
  <c r="CX56" i="53"/>
  <c r="CX76" i="53" s="1"/>
  <c r="CX79" i="53"/>
  <c r="CX23" i="53" s="1"/>
  <c r="CX66" i="53"/>
  <c r="BR32" i="5"/>
  <c r="D31" i="5"/>
  <c r="F13" i="32"/>
  <c r="E47" i="43" s="1"/>
  <c r="G13" i="32"/>
  <c r="F47" i="43" s="1"/>
  <c r="H13" i="32"/>
  <c r="G47" i="43" s="1"/>
  <c r="I13" i="32"/>
  <c r="H47" i="43" s="1"/>
  <c r="BP42" i="5" l="1"/>
  <c r="G73" i="32"/>
  <c r="BC57" i="5"/>
  <c r="BQ31" i="5"/>
  <c r="BQ34" i="5" s="1"/>
  <c r="D92" i="5"/>
  <c r="G39" i="6"/>
  <c r="H33" i="6" s="1"/>
  <c r="G35" i="6"/>
  <c r="G37" i="6" s="1"/>
  <c r="J80" i="5" s="1"/>
  <c r="CC11" i="5"/>
  <c r="BR12" i="5"/>
  <c r="BR13" i="5" s="1"/>
  <c r="CX82" i="53"/>
  <c r="CX83" i="53" s="1"/>
  <c r="DJ16" i="53" s="1"/>
  <c r="CX77" i="53"/>
  <c r="CY60" i="53"/>
  <c r="E17" i="32"/>
  <c r="D51" i="43" s="1"/>
  <c r="D35" i="5"/>
  <c r="F17" i="32"/>
  <c r="E51" i="43" s="1"/>
  <c r="G17" i="32"/>
  <c r="F51" i="43" s="1"/>
  <c r="H17" i="32"/>
  <c r="G51" i="43" s="1"/>
  <c r="I17" i="32"/>
  <c r="H51" i="43" s="1"/>
  <c r="D34" i="5"/>
  <c r="BA13" i="57"/>
  <c r="E16" i="32"/>
  <c r="D50" i="43" s="1"/>
  <c r="BH13" i="57"/>
  <c r="F16" i="32"/>
  <c r="E50" i="43" s="1"/>
  <c r="G16" i="32"/>
  <c r="F50" i="43" s="1"/>
  <c r="BO13" i="57"/>
  <c r="H16" i="32"/>
  <c r="G50" i="43" s="1"/>
  <c r="I16" i="32"/>
  <c r="H50" i="43" s="1"/>
  <c r="D33" i="5"/>
  <c r="BA14" i="57"/>
  <c r="E15" i="32"/>
  <c r="D49" i="43" s="1"/>
  <c r="BH14" i="57"/>
  <c r="F15" i="32"/>
  <c r="E49" i="43" s="1"/>
  <c r="BO14" i="57"/>
  <c r="G15" i="32"/>
  <c r="F49" i="43" s="1"/>
  <c r="H15" i="32"/>
  <c r="G49" i="43" s="1"/>
  <c r="I15" i="32"/>
  <c r="H49" i="43" s="1"/>
  <c r="BQ33" i="5" l="1"/>
  <c r="BQ35" i="5" s="1"/>
  <c r="BP46" i="5"/>
  <c r="H39" i="6"/>
  <c r="I33" i="6" s="1"/>
  <c r="H35" i="6"/>
  <c r="H37" i="6" s="1"/>
  <c r="K80" i="5" s="1"/>
  <c r="CY67" i="53"/>
  <c r="CY57" i="53"/>
  <c r="CY59" i="53"/>
  <c r="CY65" i="53" s="1"/>
  <c r="CX78" i="53"/>
  <c r="CY72" i="53"/>
  <c r="DJ17" i="53"/>
  <c r="DJ74" i="53" s="1"/>
  <c r="DJ81" i="53" s="1"/>
  <c r="DJ73" i="53"/>
  <c r="BS10" i="5"/>
  <c r="BR14" i="5"/>
  <c r="BS9" i="5" s="1"/>
  <c r="BJ13" i="57"/>
  <c r="BK13" i="57"/>
  <c r="BI13" i="57"/>
  <c r="BL13" i="57"/>
  <c r="BM13" i="57" s="1"/>
  <c r="BR13" i="57"/>
  <c r="BS13" i="57"/>
  <c r="BT13" i="57" s="1"/>
  <c r="BQ13" i="57"/>
  <c r="BP13" i="57"/>
  <c r="BD13" i="57"/>
  <c r="BC13" i="57"/>
  <c r="BB13" i="57"/>
  <c r="BE13" i="57"/>
  <c r="BF13" i="57" s="1"/>
  <c r="BP14" i="57"/>
  <c r="BR14" i="57"/>
  <c r="BS14" i="57"/>
  <c r="BT14" i="57" s="1"/>
  <c r="BQ14" i="57"/>
  <c r="BK14" i="57"/>
  <c r="BJ14" i="57"/>
  <c r="BI14" i="57"/>
  <c r="BL14" i="57"/>
  <c r="BM14" i="57" s="1"/>
  <c r="BE14" i="57"/>
  <c r="BF14" i="57" s="1"/>
  <c r="BD14" i="57"/>
  <c r="BC14" i="57"/>
  <c r="BB14" i="57"/>
  <c r="E24" i="32"/>
  <c r="D42" i="5"/>
  <c r="F24" i="32"/>
  <c r="E58" i="43" s="1"/>
  <c r="G24" i="32"/>
  <c r="F58" i="43" s="1"/>
  <c r="H24" i="32"/>
  <c r="G58" i="43" s="1"/>
  <c r="I24" i="32"/>
  <c r="H58" i="43" s="1"/>
  <c r="BP54" i="5" l="1"/>
  <c r="BQ42" i="5"/>
  <c r="CX100" i="53"/>
  <c r="I39" i="6"/>
  <c r="J33" i="6" s="1"/>
  <c r="I35" i="6"/>
  <c r="I37" i="6" s="1"/>
  <c r="L80" i="5" s="1"/>
  <c r="DJ18" i="53"/>
  <c r="DJ54" i="53" s="1"/>
  <c r="DJ75" i="53"/>
  <c r="CD11" i="5" s="1"/>
  <c r="CX92" i="53"/>
  <c r="CX93" i="53" s="1"/>
  <c r="CY71" i="53"/>
  <c r="CX95" i="53"/>
  <c r="BS32" i="5"/>
  <c r="CY66" i="53"/>
  <c r="CY79" i="53"/>
  <c r="CY23" i="53" s="1"/>
  <c r="CZ15" i="53"/>
  <c r="CZ20" i="53" s="1"/>
  <c r="CZ22" i="53" s="1"/>
  <c r="CZ53" i="53"/>
  <c r="CY56" i="53"/>
  <c r="CY76" i="53" s="1"/>
  <c r="BA22" i="57"/>
  <c r="E28" i="32"/>
  <c r="D62" i="43" s="1"/>
  <c r="D46" i="5"/>
  <c r="F28" i="32"/>
  <c r="E62" i="43" s="1"/>
  <c r="BH22" i="57"/>
  <c r="BO22" i="57"/>
  <c r="G28" i="32"/>
  <c r="F62" i="43" s="1"/>
  <c r="H28" i="32"/>
  <c r="G62" i="43" s="1"/>
  <c r="I28" i="32"/>
  <c r="H62" i="43" s="1"/>
  <c r="D58" i="43"/>
  <c r="O35" i="1"/>
  <c r="BQ46" i="5" l="1"/>
  <c r="BP56" i="5"/>
  <c r="J39" i="6"/>
  <c r="K33" i="6" s="1"/>
  <c r="J35" i="6"/>
  <c r="J37" i="6" s="1"/>
  <c r="M80" i="5" s="1"/>
  <c r="DJ88" i="53"/>
  <c r="DJ89" i="53" s="1"/>
  <c r="DK87" i="53" s="1"/>
  <c r="CZ60" i="53"/>
  <c r="CY77" i="53"/>
  <c r="CY82" i="53"/>
  <c r="CY83" i="53" s="1"/>
  <c r="DK16" i="53" s="1"/>
  <c r="BS12" i="5"/>
  <c r="BS13" i="5" s="1"/>
  <c r="CY91" i="53"/>
  <c r="CX96" i="53"/>
  <c r="BR30" i="5" s="1"/>
  <c r="CX98" i="53"/>
  <c r="BQ22" i="57"/>
  <c r="BP22" i="57"/>
  <c r="BS22" i="57"/>
  <c r="BT22" i="57" s="1"/>
  <c r="BO30" i="57"/>
  <c r="E36" i="32"/>
  <c r="D54" i="5"/>
  <c r="F36" i="32"/>
  <c r="G36" i="32"/>
  <c r="H36" i="32"/>
  <c r="I36" i="32"/>
  <c r="BB22" i="57"/>
  <c r="BC22" i="57"/>
  <c r="BE22" i="57"/>
  <c r="BF22" i="57" s="1"/>
  <c r="BA30" i="57"/>
  <c r="BI22" i="57"/>
  <c r="BL22" i="57"/>
  <c r="BM22" i="57" s="1"/>
  <c r="BJ22" i="57"/>
  <c r="BH30" i="57"/>
  <c r="BD57" i="5" l="1"/>
  <c r="BR31" i="5"/>
  <c r="BR34" i="5" s="1"/>
  <c r="BQ54" i="5"/>
  <c r="K39" i="6"/>
  <c r="L33" i="6" s="1"/>
  <c r="K35" i="6"/>
  <c r="K37" i="6" s="1"/>
  <c r="N80" i="5" s="1"/>
  <c r="BS14" i="5"/>
  <c r="BT9" i="5" s="1"/>
  <c r="BT10" i="5"/>
  <c r="DK73" i="53"/>
  <c r="DK17" i="53"/>
  <c r="DK74" i="53" s="1"/>
  <c r="DK81" i="53" s="1"/>
  <c r="CY78" i="53"/>
  <c r="CZ72" i="53"/>
  <c r="CZ59" i="53"/>
  <c r="CZ65" i="53" s="1"/>
  <c r="CZ57" i="53"/>
  <c r="CZ67" i="53"/>
  <c r="G11" i="64"/>
  <c r="F70" i="43"/>
  <c r="F11" i="64"/>
  <c r="E70" i="43"/>
  <c r="E11" i="64"/>
  <c r="D70" i="43"/>
  <c r="O36" i="1"/>
  <c r="E38" i="32"/>
  <c r="D56" i="5"/>
  <c r="F38" i="32"/>
  <c r="G38" i="32"/>
  <c r="H38" i="32"/>
  <c r="I38" i="32"/>
  <c r="BB30" i="57"/>
  <c r="BC30" i="57"/>
  <c r="BE30" i="57"/>
  <c r="BF30" i="57" s="1"/>
  <c r="BS30" i="57"/>
  <c r="BT30" i="57" s="1"/>
  <c r="BP30" i="57"/>
  <c r="BQ30" i="57"/>
  <c r="BJ30" i="57"/>
  <c r="BI30" i="57"/>
  <c r="BL30" i="57"/>
  <c r="BM30" i="57" s="1"/>
  <c r="H70" i="43"/>
  <c r="I11" i="64"/>
  <c r="G70" i="43"/>
  <c r="H11" i="64"/>
  <c r="BR33" i="5" l="1"/>
  <c r="BR35" i="5" s="1"/>
  <c r="BQ56" i="5"/>
  <c r="CY100" i="53"/>
  <c r="L39" i="6"/>
  <c r="M33" i="6" s="1"/>
  <c r="L35" i="6"/>
  <c r="L37" i="6" s="1"/>
  <c r="O80" i="5" s="1"/>
  <c r="DK18" i="53"/>
  <c r="DK54" i="53" s="1"/>
  <c r="DA15" i="53"/>
  <c r="DA20" i="53" s="1"/>
  <c r="DA22" i="53" s="1"/>
  <c r="DA53" i="53"/>
  <c r="CZ56" i="53"/>
  <c r="CZ76" i="53" s="1"/>
  <c r="BT32" i="5"/>
  <c r="CZ79" i="53"/>
  <c r="CZ23" i="53" s="1"/>
  <c r="CZ66" i="53"/>
  <c r="CY92" i="53"/>
  <c r="CY93" i="53" s="1"/>
  <c r="CZ71" i="53"/>
  <c r="CY95" i="53"/>
  <c r="DK75" i="53"/>
  <c r="F72" i="43"/>
  <c r="AW7" i="1"/>
  <c r="AV7" i="1"/>
  <c r="E72" i="43"/>
  <c r="D72" i="43"/>
  <c r="O37" i="1"/>
  <c r="AU7" i="1"/>
  <c r="AT17" i="1"/>
  <c r="G72" i="43"/>
  <c r="AX7" i="1"/>
  <c r="AY7" i="1"/>
  <c r="H72" i="43"/>
  <c r="BR42" i="5" l="1"/>
  <c r="BR46" i="5" s="1"/>
  <c r="BE57" i="5"/>
  <c r="CZ77" i="53"/>
  <c r="DA72" i="53" s="1"/>
  <c r="M39" i="6"/>
  <c r="N33" i="6" s="1"/>
  <c r="M35" i="6"/>
  <c r="M37" i="6" s="1"/>
  <c r="P80" i="5" s="1"/>
  <c r="CE11" i="5"/>
  <c r="DK88" i="53"/>
  <c r="DK89" i="53" s="1"/>
  <c r="DL87" i="53" s="1"/>
  <c r="CZ91" i="53"/>
  <c r="CY96" i="53"/>
  <c r="BS30" i="5" s="1"/>
  <c r="CY98" i="53"/>
  <c r="CZ82" i="53"/>
  <c r="CZ83" i="53" s="1"/>
  <c r="DL16" i="53" s="1"/>
  <c r="BT12" i="5"/>
  <c r="BT13" i="5" s="1"/>
  <c r="DA60" i="53"/>
  <c r="E52" i="32"/>
  <c r="D86" i="43" s="1"/>
  <c r="F52" i="32"/>
  <c r="E86" i="43" s="1"/>
  <c r="G52" i="32"/>
  <c r="F86" i="43" s="1"/>
  <c r="H52" i="32"/>
  <c r="G86" i="43" s="1"/>
  <c r="CZ78" i="53" l="1"/>
  <c r="CZ95" i="53" s="1"/>
  <c r="BS31" i="5"/>
  <c r="BS33" i="5" s="1"/>
  <c r="N39" i="6"/>
  <c r="O33" i="6" s="1"/>
  <c r="N35" i="6"/>
  <c r="N37" i="6" s="1"/>
  <c r="Q80" i="5" s="1"/>
  <c r="BR54" i="5"/>
  <c r="DA59" i="53"/>
  <c r="DA65" i="53" s="1"/>
  <c r="DA57" i="53"/>
  <c r="DA67" i="53"/>
  <c r="BU10" i="5"/>
  <c r="BT14" i="5"/>
  <c r="BU9" i="5" s="1"/>
  <c r="DL17" i="53"/>
  <c r="DL74" i="53" s="1"/>
  <c r="DL81" i="53" s="1"/>
  <c r="DL73" i="53"/>
  <c r="DA71" i="53" l="1"/>
  <c r="CZ92" i="53"/>
  <c r="CZ93" i="53" s="1"/>
  <c r="DA91" i="53" s="1"/>
  <c r="CZ100" i="53"/>
  <c r="BS34" i="5"/>
  <c r="BS35" i="5" s="1"/>
  <c r="O39" i="6"/>
  <c r="P33" i="6" s="1"/>
  <c r="O35" i="6"/>
  <c r="O37" i="6" s="1"/>
  <c r="R80" i="5" s="1"/>
  <c r="BR56" i="5"/>
  <c r="DL18" i="53"/>
  <c r="DL54" i="53" s="1"/>
  <c r="DL75" i="53"/>
  <c r="CF11" i="5" s="1"/>
  <c r="DB53" i="53"/>
  <c r="DB15" i="53"/>
  <c r="DB20" i="53" s="1"/>
  <c r="DB22" i="53" s="1"/>
  <c r="DA56" i="53"/>
  <c r="DA76" i="53" s="1"/>
  <c r="DA66" i="53"/>
  <c r="DA79" i="53"/>
  <c r="DA23" i="53" s="1"/>
  <c r="BU32" i="5"/>
  <c r="CZ96" i="53" l="1"/>
  <c r="BT30" i="5" s="1"/>
  <c r="BT31" i="5" s="1"/>
  <c r="BT34" i="5" s="1"/>
  <c r="CZ98" i="53"/>
  <c r="BS42" i="5"/>
  <c r="BS46" i="5" s="1"/>
  <c r="P35" i="6"/>
  <c r="P37" i="6" s="1"/>
  <c r="BF57" i="5"/>
  <c r="DL88" i="53"/>
  <c r="DL89" i="53" s="1"/>
  <c r="DM87" i="53" s="1"/>
  <c r="DB60" i="53"/>
  <c r="DA77" i="53"/>
  <c r="BU12" i="5"/>
  <c r="BU13" i="5" s="1"/>
  <c r="DA82" i="53"/>
  <c r="DA83" i="53" s="1"/>
  <c r="DM16" i="53" s="1"/>
  <c r="BT33" i="5" l="1"/>
  <c r="BT35" i="5" s="1"/>
  <c r="BT42" i="5" s="1"/>
  <c r="S80" i="5"/>
  <c r="P36" i="6"/>
  <c r="P39" i="6" s="1"/>
  <c r="Q33" i="6" s="1"/>
  <c r="Q35" i="6" s="1"/>
  <c r="Q37" i="6" s="1"/>
  <c r="BS54" i="5"/>
  <c r="DM17" i="53"/>
  <c r="DM74" i="53" s="1"/>
  <c r="DM81" i="53" s="1"/>
  <c r="DM73" i="53"/>
  <c r="BU14" i="5"/>
  <c r="BV9" i="5" s="1"/>
  <c r="BV10" i="5"/>
  <c r="DA78" i="53"/>
  <c r="DB72" i="53"/>
  <c r="DB57" i="53"/>
  <c r="DB59" i="53"/>
  <c r="DB65" i="53" s="1"/>
  <c r="DB67" i="53"/>
  <c r="DA100" i="53" l="1"/>
  <c r="T80" i="5"/>
  <c r="Q36" i="6"/>
  <c r="Q39" i="6" s="1"/>
  <c r="R33" i="6" s="1"/>
  <c r="BS56" i="5"/>
  <c r="BT46" i="5"/>
  <c r="DM18" i="53"/>
  <c r="DM54" i="53" s="1"/>
  <c r="DM75" i="53"/>
  <c r="CG11" i="5" s="1"/>
  <c r="DB71" i="53"/>
  <c r="DA92" i="53"/>
  <c r="DA93" i="53" s="1"/>
  <c r="DA95" i="53"/>
  <c r="DB66" i="53"/>
  <c r="DB79" i="53"/>
  <c r="DB23" i="53" s="1"/>
  <c r="BV32" i="5"/>
  <c r="DC15" i="53"/>
  <c r="DC20" i="53" s="1"/>
  <c r="DC22" i="53" s="1"/>
  <c r="DC53" i="53"/>
  <c r="DB56" i="53"/>
  <c r="DB76" i="53" s="1"/>
  <c r="R35" i="6" l="1"/>
  <c r="R37" i="6" s="1"/>
  <c r="BT54" i="5"/>
  <c r="BG57" i="5"/>
  <c r="DM88" i="53"/>
  <c r="DM89" i="53" s="1"/>
  <c r="DN87" i="53" s="1"/>
  <c r="DB82" i="53"/>
  <c r="DB83" i="53" s="1"/>
  <c r="DN16" i="53" s="1"/>
  <c r="BV12" i="5"/>
  <c r="BV13" i="5" s="1"/>
  <c r="DB77" i="53"/>
  <c r="DC60" i="53"/>
  <c r="DA98" i="53"/>
  <c r="DA96" i="53"/>
  <c r="BU30" i="5" s="1"/>
  <c r="BU31" i="5" s="1"/>
  <c r="DB91" i="53"/>
  <c r="U80" i="5" l="1"/>
  <c r="R36" i="6"/>
  <c r="R39" i="6" s="1"/>
  <c r="S33" i="6" s="1"/>
  <c r="BT56" i="5"/>
  <c r="BU34" i="5"/>
  <c r="BU33" i="5"/>
  <c r="DC67" i="53"/>
  <c r="DC59" i="53"/>
  <c r="DC65" i="53" s="1"/>
  <c r="DC57" i="53"/>
  <c r="DC72" i="53"/>
  <c r="DB78" i="53"/>
  <c r="BW10" i="5"/>
  <c r="BV14" i="5"/>
  <c r="BW9" i="5" s="1"/>
  <c r="DN17" i="53"/>
  <c r="DN74" i="53" s="1"/>
  <c r="DN81" i="53" s="1"/>
  <c r="DN73" i="53"/>
  <c r="DB100" i="53" l="1"/>
  <c r="S35" i="6"/>
  <c r="S37" i="6" s="1"/>
  <c r="BU35" i="5"/>
  <c r="BU42" i="5" s="1"/>
  <c r="BH57" i="5"/>
  <c r="DN18" i="53"/>
  <c r="DN54" i="53" s="1"/>
  <c r="DD15" i="53"/>
  <c r="DD20" i="53" s="1"/>
  <c r="DD22" i="53" s="1"/>
  <c r="DD53" i="53"/>
  <c r="DC56" i="53"/>
  <c r="DC76" i="53" s="1"/>
  <c r="BW32" i="5"/>
  <c r="DC79" i="53"/>
  <c r="DC23" i="53" s="1"/>
  <c r="DC66" i="53"/>
  <c r="DB95" i="53"/>
  <c r="DB92" i="53"/>
  <c r="DB93" i="53" s="1"/>
  <c r="DC71" i="53"/>
  <c r="DN75" i="53"/>
  <c r="V80" i="5" l="1"/>
  <c r="S36" i="6"/>
  <c r="S39" i="6" s="1"/>
  <c r="T33" i="6" s="1"/>
  <c r="BU46" i="5"/>
  <c r="DB96" i="53"/>
  <c r="BV30" i="5" s="1"/>
  <c r="BV31" i="5" s="1"/>
  <c r="DB98" i="53"/>
  <c r="DC91" i="53"/>
  <c r="BW12" i="5"/>
  <c r="BW13" i="5" s="1"/>
  <c r="DC82" i="53"/>
  <c r="DC83" i="53" s="1"/>
  <c r="DO16" i="53" s="1"/>
  <c r="DD60" i="53"/>
  <c r="DN88" i="53"/>
  <c r="DN89" i="53" s="1"/>
  <c r="DO87" i="53" s="1"/>
  <c r="CH11" i="5"/>
  <c r="DC77" i="53"/>
  <c r="T35" i="6" l="1"/>
  <c r="T37" i="6" s="1"/>
  <c r="BU54" i="5"/>
  <c r="DD59" i="53"/>
  <c r="DD65" i="53" s="1"/>
  <c r="DD67" i="53"/>
  <c r="DD57" i="53"/>
  <c r="DO73" i="53"/>
  <c r="DO17" i="53"/>
  <c r="DO74" i="53" s="1"/>
  <c r="DO81" i="53" s="1"/>
  <c r="DD72" i="53"/>
  <c r="DC78" i="53"/>
  <c r="BX10" i="5"/>
  <c r="BW14" i="5"/>
  <c r="BX9" i="5" s="1"/>
  <c r="BV34" i="5"/>
  <c r="BV33" i="5"/>
  <c r="DC100" i="53" l="1"/>
  <c r="W80" i="5"/>
  <c r="T36" i="6"/>
  <c r="T39" i="6" s="1"/>
  <c r="U33" i="6" s="1"/>
  <c r="BV35" i="5"/>
  <c r="BV42" i="5" s="1"/>
  <c r="BU56" i="5"/>
  <c r="DO18" i="53"/>
  <c r="DO54" i="53" s="1"/>
  <c r="DO75" i="53"/>
  <c r="DE53" i="53"/>
  <c r="DE15" i="53"/>
  <c r="DE20" i="53" s="1"/>
  <c r="DE22" i="53" s="1"/>
  <c r="DD56" i="53"/>
  <c r="DD76" i="53" s="1"/>
  <c r="DD71" i="53"/>
  <c r="DC95" i="53"/>
  <c r="DC92" i="53"/>
  <c r="DC93" i="53" s="1"/>
  <c r="DD66" i="53"/>
  <c r="DD79" i="53"/>
  <c r="DD23" i="53" s="1"/>
  <c r="BX32" i="5"/>
  <c r="U35" i="6" l="1"/>
  <c r="U37" i="6" s="1"/>
  <c r="BI57" i="5"/>
  <c r="BV46" i="5"/>
  <c r="DD77" i="53"/>
  <c r="BX12" i="5"/>
  <c r="BX13" i="5" s="1"/>
  <c r="DD82" i="53"/>
  <c r="DD83" i="53" s="1"/>
  <c r="DP16" i="53" s="1"/>
  <c r="DC98" i="53"/>
  <c r="DC96" i="53"/>
  <c r="BW30" i="5" s="1"/>
  <c r="BW31" i="5" s="1"/>
  <c r="DD91" i="53"/>
  <c r="DE60" i="53"/>
  <c r="CI11" i="5"/>
  <c r="DO88" i="53"/>
  <c r="DO89" i="53" s="1"/>
  <c r="DP87" i="53" s="1"/>
  <c r="X80" i="5" l="1"/>
  <c r="U36" i="6"/>
  <c r="U39" i="6" s="1"/>
  <c r="V33" i="6" s="1"/>
  <c r="BV54" i="5"/>
  <c r="DP73" i="53"/>
  <c r="DP17" i="53"/>
  <c r="DP74" i="53" s="1"/>
  <c r="DP81" i="53" s="1"/>
  <c r="DE57" i="53"/>
  <c r="DE67" i="53"/>
  <c r="DE59" i="53"/>
  <c r="DE65" i="53" s="1"/>
  <c r="BY10" i="5"/>
  <c r="BX14" i="5"/>
  <c r="BY9" i="5" s="1"/>
  <c r="BW33" i="5"/>
  <c r="BW34" i="5"/>
  <c r="DE72" i="53"/>
  <c r="DD78" i="53"/>
  <c r="DD100" i="53" l="1"/>
  <c r="V35" i="6"/>
  <c r="V37" i="6" s="1"/>
  <c r="BW35" i="5"/>
  <c r="BW42" i="5" s="1"/>
  <c r="BW46" i="5" s="1"/>
  <c r="BW54" i="5" s="1"/>
  <c r="BW56" i="5" s="1"/>
  <c r="BV56" i="5"/>
  <c r="DP18" i="53"/>
  <c r="DP54" i="53" s="1"/>
  <c r="DE71" i="53"/>
  <c r="DD92" i="53"/>
  <c r="DD93" i="53" s="1"/>
  <c r="DD95" i="53"/>
  <c r="DE66" i="53"/>
  <c r="BY32" i="5"/>
  <c r="DE79" i="53"/>
  <c r="DE23" i="53" s="1"/>
  <c r="DF53" i="53"/>
  <c r="DF15" i="53"/>
  <c r="DF20" i="53" s="1"/>
  <c r="DF22" i="53" s="1"/>
  <c r="DE56" i="53"/>
  <c r="DE76" i="53" s="1"/>
  <c r="DP75" i="53"/>
  <c r="Y80" i="5" l="1"/>
  <c r="V36" i="6"/>
  <c r="V39" i="6" s="1"/>
  <c r="W33" i="6" s="1"/>
  <c r="BJ57" i="5"/>
  <c r="BK57" i="5"/>
  <c r="DF60" i="53"/>
  <c r="CJ11" i="5"/>
  <c r="DP88" i="53"/>
  <c r="DP89" i="53" s="1"/>
  <c r="DQ87" i="53" s="1"/>
  <c r="BY12" i="5"/>
  <c r="BY13" i="5" s="1"/>
  <c r="DE82" i="53"/>
  <c r="DE83" i="53" s="1"/>
  <c r="DQ16" i="53" s="1"/>
  <c r="DE77" i="53"/>
  <c r="DD96" i="53"/>
  <c r="BX30" i="5" s="1"/>
  <c r="BX31" i="5" s="1"/>
  <c r="DD98" i="53"/>
  <c r="DE91" i="53"/>
  <c r="W35" i="6" l="1"/>
  <c r="W37" i="6" s="1"/>
  <c r="DQ73" i="53"/>
  <c r="DQ17" i="53"/>
  <c r="DQ74" i="53" s="1"/>
  <c r="DQ81" i="53" s="1"/>
  <c r="BX34" i="5"/>
  <c r="BX33" i="5"/>
  <c r="BY14" i="5"/>
  <c r="BZ9" i="5" s="1"/>
  <c r="BZ10" i="5"/>
  <c r="DE78" i="53"/>
  <c r="DF72" i="53"/>
  <c r="DF67" i="53"/>
  <c r="DF57" i="53"/>
  <c r="DF59" i="53"/>
  <c r="DF65" i="53" s="1"/>
  <c r="DE100" i="53" l="1"/>
  <c r="Z80" i="5"/>
  <c r="W36" i="6"/>
  <c r="W39" i="6" s="1"/>
  <c r="X33" i="6" s="1"/>
  <c r="BX35" i="5"/>
  <c r="BX42" i="5" s="1"/>
  <c r="BX46" i="5" s="1"/>
  <c r="BX54" i="5" s="1"/>
  <c r="BX56" i="5" s="1"/>
  <c r="DQ18" i="53"/>
  <c r="DQ54" i="53" s="1"/>
  <c r="BZ32" i="5"/>
  <c r="DF66" i="53"/>
  <c r="DF79" i="53"/>
  <c r="DF23" i="53" s="1"/>
  <c r="DG53" i="53"/>
  <c r="DG15" i="53"/>
  <c r="DG20" i="53" s="1"/>
  <c r="DG22" i="53" s="1"/>
  <c r="DF56" i="53"/>
  <c r="DF76" i="53" s="1"/>
  <c r="DE95" i="53"/>
  <c r="DF71" i="53"/>
  <c r="DE92" i="53"/>
  <c r="DE93" i="53" s="1"/>
  <c r="DQ75" i="53"/>
  <c r="BL57" i="5" l="1"/>
  <c r="X35" i="6"/>
  <c r="X37" i="6" s="1"/>
  <c r="F14" i="32"/>
  <c r="E48" i="43" s="1"/>
  <c r="J14" i="32"/>
  <c r="I48" i="43" s="1"/>
  <c r="DG60" i="53"/>
  <c r="DE98" i="53"/>
  <c r="DF91" i="53"/>
  <c r="DE96" i="53"/>
  <c r="BY30" i="5" s="1"/>
  <c r="BY31" i="5" s="1"/>
  <c r="DQ88" i="53"/>
  <c r="DQ89" i="53" s="1"/>
  <c r="DR87" i="53" s="1"/>
  <c r="CK11" i="5"/>
  <c r="DF77" i="53"/>
  <c r="DF82" i="53"/>
  <c r="DF83" i="53" s="1"/>
  <c r="DR16" i="53" s="1"/>
  <c r="BZ12" i="5"/>
  <c r="BZ13" i="5" s="1"/>
  <c r="AA80" i="5" l="1"/>
  <c r="X36" i="6"/>
  <c r="X39" i="6" s="1"/>
  <c r="Y33" i="6" s="1"/>
  <c r="BY33" i="5"/>
  <c r="BY34" i="5"/>
  <c r="DR73" i="53"/>
  <c r="DR17" i="53"/>
  <c r="DR74" i="53" s="1"/>
  <c r="DR81" i="53" s="1"/>
  <c r="CA10" i="5"/>
  <c r="BZ14" i="5"/>
  <c r="CA9" i="5" s="1"/>
  <c r="DG72" i="53"/>
  <c r="DF78" i="53"/>
  <c r="DG59" i="53"/>
  <c r="DG65" i="53" s="1"/>
  <c r="DG67" i="53"/>
  <c r="DG57" i="53"/>
  <c r="DF100" i="53" l="1"/>
  <c r="Y35" i="6"/>
  <c r="Y37" i="6" s="1"/>
  <c r="BY35" i="5"/>
  <c r="BY42" i="5" s="1"/>
  <c r="BY46" i="5" s="1"/>
  <c r="BY54" i="5" s="1"/>
  <c r="BY56" i="5" s="1"/>
  <c r="DH15" i="53"/>
  <c r="DH20" i="53" s="1"/>
  <c r="DH22" i="53" s="1"/>
  <c r="DH53" i="53"/>
  <c r="DG56" i="53"/>
  <c r="DG76" i="53" s="1"/>
  <c r="DG79" i="53"/>
  <c r="DG23" i="53" s="1"/>
  <c r="DG66" i="53"/>
  <c r="DR18" i="53"/>
  <c r="DR54" i="53" s="1"/>
  <c r="DR75" i="53"/>
  <c r="DG71" i="53"/>
  <c r="DF92" i="53"/>
  <c r="DF93" i="53" s="1"/>
  <c r="DF95" i="53"/>
  <c r="BM57" i="5" l="1"/>
  <c r="AB80" i="5"/>
  <c r="Y36" i="6"/>
  <c r="Y39" i="6" s="1"/>
  <c r="Z33" i="6" s="1"/>
  <c r="CL11" i="5"/>
  <c r="DR88" i="53"/>
  <c r="DR89" i="53" s="1"/>
  <c r="DS87" i="53" s="1"/>
  <c r="DG82" i="53"/>
  <c r="DG83" i="53" s="1"/>
  <c r="DS16" i="53" s="1"/>
  <c r="CA12" i="5"/>
  <c r="CA13" i="5" s="1"/>
  <c r="DG77" i="53"/>
  <c r="DH60" i="53"/>
  <c r="DF98" i="53"/>
  <c r="DG91" i="53"/>
  <c r="DF96" i="53"/>
  <c r="BZ30" i="5" s="1"/>
  <c r="BZ31" i="5" s="1"/>
  <c r="E13" i="32" l="1"/>
  <c r="Z35" i="6"/>
  <c r="Z37" i="6" s="1"/>
  <c r="BZ33" i="5"/>
  <c r="BZ34" i="5"/>
  <c r="J13" i="32"/>
  <c r="I47" i="43" s="1"/>
  <c r="DG78" i="53"/>
  <c r="DH72" i="53"/>
  <c r="CB10" i="5"/>
  <c r="CA14" i="5"/>
  <c r="CB9" i="5" s="1"/>
  <c r="DS17" i="53"/>
  <c r="DS74" i="53" s="1"/>
  <c r="DS81" i="53" s="1"/>
  <c r="DS73" i="53"/>
  <c r="DH59" i="53"/>
  <c r="DH65" i="53" s="1"/>
  <c r="DH67" i="53"/>
  <c r="DH57" i="53"/>
  <c r="D47" i="43" l="1"/>
  <c r="O34" i="1"/>
  <c r="J16" i="32"/>
  <c r="I50" i="43" s="1"/>
  <c r="J15" i="32"/>
  <c r="I49" i="43" s="1"/>
  <c r="DG100" i="53"/>
  <c r="AC80" i="5"/>
  <c r="Z36" i="6"/>
  <c r="Z39" i="6" s="1"/>
  <c r="AA33" i="6" s="1"/>
  <c r="BZ35" i="5"/>
  <c r="DS18" i="53"/>
  <c r="DS54" i="53" s="1"/>
  <c r="DS75" i="53"/>
  <c r="DH79" i="53"/>
  <c r="DH23" i="53" s="1"/>
  <c r="DH66" i="53"/>
  <c r="CM11" i="5"/>
  <c r="DS88" i="53"/>
  <c r="DS89" i="53" s="1"/>
  <c r="DT87" i="53" s="1"/>
  <c r="DH71" i="53"/>
  <c r="DG92" i="53"/>
  <c r="DG93" i="53" s="1"/>
  <c r="DG95" i="53"/>
  <c r="DI53" i="53"/>
  <c r="DI15" i="53"/>
  <c r="DI20" i="53" s="1"/>
  <c r="DI22" i="53" s="1"/>
  <c r="DH56" i="53"/>
  <c r="DH76" i="53" s="1"/>
  <c r="BZ42" i="5" l="1"/>
  <c r="J24" i="32" s="1"/>
  <c r="I58" i="43" s="1"/>
  <c r="AA35" i="6"/>
  <c r="AA37" i="6" s="1"/>
  <c r="J17" i="32"/>
  <c r="I51" i="43" s="1"/>
  <c r="DG98" i="53"/>
  <c r="DH91" i="53"/>
  <c r="DG96" i="53"/>
  <c r="CA30" i="5" s="1"/>
  <c r="DH77" i="53"/>
  <c r="DH82" i="53"/>
  <c r="DH83" i="53" s="1"/>
  <c r="DT16" i="53" s="1"/>
  <c r="CB12" i="5"/>
  <c r="CB13" i="5" s="1"/>
  <c r="DI60" i="53"/>
  <c r="BZ46" i="5" l="1"/>
  <c r="BZ54" i="5" s="1"/>
  <c r="AD80" i="5"/>
  <c r="AA36" i="6"/>
  <c r="AA39" i="6" s="1"/>
  <c r="AB33" i="6" s="1"/>
  <c r="J28" i="32"/>
  <c r="I62" i="43" s="1"/>
  <c r="DI57" i="53"/>
  <c r="DI59" i="53"/>
  <c r="DI65" i="53" s="1"/>
  <c r="DI67" i="53"/>
  <c r="DT17" i="53"/>
  <c r="DT74" i="53" s="1"/>
  <c r="DT81" i="53" s="1"/>
  <c r="DT73" i="53"/>
  <c r="CC10" i="5"/>
  <c r="CB14" i="5"/>
  <c r="CC9" i="5" s="1"/>
  <c r="DH78" i="53"/>
  <c r="DI72" i="53"/>
  <c r="DH100" i="53" l="1"/>
  <c r="AB35" i="6"/>
  <c r="AB37" i="6" s="1"/>
  <c r="BZ56" i="5"/>
  <c r="J36" i="32"/>
  <c r="DT18" i="53"/>
  <c r="DT54" i="53" s="1"/>
  <c r="DH92" i="53"/>
  <c r="DH93" i="53" s="1"/>
  <c r="DH95" i="53"/>
  <c r="DI71" i="53"/>
  <c r="DT75" i="53"/>
  <c r="DI66" i="53"/>
  <c r="DI79" i="53"/>
  <c r="DI23" i="53" s="1"/>
  <c r="DJ53" i="53"/>
  <c r="DJ15" i="53"/>
  <c r="DJ20" i="53" s="1"/>
  <c r="DJ22" i="53" s="1"/>
  <c r="DI56" i="53"/>
  <c r="DI76" i="53" s="1"/>
  <c r="E40" i="1" l="1"/>
  <c r="K21" i="43" s="1"/>
  <c r="AE80" i="5"/>
  <c r="AB36" i="6"/>
  <c r="AB39" i="6" s="1"/>
  <c r="AC33" i="6" s="1"/>
  <c r="I70" i="43"/>
  <c r="J11" i="64"/>
  <c r="E41" i="1"/>
  <c r="K22" i="43" s="1"/>
  <c r="J38" i="32"/>
  <c r="I72" i="43" s="1"/>
  <c r="BN57" i="5"/>
  <c r="BN68" i="5" s="1"/>
  <c r="P47" i="1"/>
  <c r="DT88" i="53"/>
  <c r="DT89" i="53" s="1"/>
  <c r="DU87" i="53" s="1"/>
  <c r="CN11" i="5"/>
  <c r="DI82" i="53"/>
  <c r="DI83" i="53" s="1"/>
  <c r="DU16" i="53" s="1"/>
  <c r="CC12" i="5"/>
  <c r="CC13" i="5" s="1"/>
  <c r="DJ60" i="53"/>
  <c r="DI91" i="53"/>
  <c r="DH96" i="53"/>
  <c r="CB30" i="5" s="1"/>
  <c r="DH98" i="53"/>
  <c r="DI77" i="53"/>
  <c r="AC35" i="6" l="1"/>
  <c r="AC37" i="6" s="1"/>
  <c r="BN69" i="5"/>
  <c r="BN70" i="5"/>
  <c r="I49" i="32"/>
  <c r="H83" i="43" s="1"/>
  <c r="D68" i="5"/>
  <c r="P48" i="1"/>
  <c r="P50" i="1" s="1"/>
  <c r="I31" i="43"/>
  <c r="J31" i="43" s="1"/>
  <c r="DJ59" i="53"/>
  <c r="DJ65" i="53" s="1"/>
  <c r="DJ57" i="53"/>
  <c r="DJ67" i="53"/>
  <c r="CD10" i="5"/>
  <c r="CC14" i="5"/>
  <c r="CD9" i="5" s="1"/>
  <c r="DU73" i="53"/>
  <c r="DU17" i="53"/>
  <c r="DU74" i="53" s="1"/>
  <c r="DU81" i="53" s="1"/>
  <c r="DJ72" i="53"/>
  <c r="DI78" i="53"/>
  <c r="DI100" i="53" l="1"/>
  <c r="AF80" i="5"/>
  <c r="AC36" i="6"/>
  <c r="AC39" i="6" s="1"/>
  <c r="AD33" i="6" s="1"/>
  <c r="BN71" i="5"/>
  <c r="P51" i="1"/>
  <c r="I33" i="43"/>
  <c r="P49" i="1"/>
  <c r="D70" i="5"/>
  <c r="I51" i="32"/>
  <c r="H85" i="43" s="1"/>
  <c r="D69" i="5"/>
  <c r="I50" i="32"/>
  <c r="H84" i="43" s="1"/>
  <c r="DU75" i="53"/>
  <c r="DJ71" i="53"/>
  <c r="DI95" i="53"/>
  <c r="DI92" i="53"/>
  <c r="DI93" i="53" s="1"/>
  <c r="DU18" i="53"/>
  <c r="DU54" i="53" s="1"/>
  <c r="DK53" i="53"/>
  <c r="DK15" i="53"/>
  <c r="DK20" i="53" s="1"/>
  <c r="DK22" i="53" s="1"/>
  <c r="DJ56" i="53"/>
  <c r="DJ76" i="53" s="1"/>
  <c r="DJ66" i="53"/>
  <c r="DJ79" i="53"/>
  <c r="DJ23" i="53" s="1"/>
  <c r="AD35" i="6" l="1"/>
  <c r="AD37" i="6" s="1"/>
  <c r="I52" i="32"/>
  <c r="H86" i="43" s="1"/>
  <c r="J33" i="43"/>
  <c r="DJ91" i="53"/>
  <c r="DI98" i="53"/>
  <c r="DI96" i="53"/>
  <c r="CC30" i="5" s="1"/>
  <c r="DJ77" i="53"/>
  <c r="DJ82" i="53"/>
  <c r="DJ83" i="53" s="1"/>
  <c r="DV16" i="53" s="1"/>
  <c r="CD12" i="5"/>
  <c r="CD13" i="5" s="1"/>
  <c r="DK60" i="53"/>
  <c r="CO11" i="5"/>
  <c r="DU88" i="53"/>
  <c r="DU89" i="53" s="1"/>
  <c r="DV87" i="53" s="1"/>
  <c r="AG80" i="5" l="1"/>
  <c r="AD36" i="6"/>
  <c r="AD39" i="6" s="1"/>
  <c r="AE33" i="6" s="1"/>
  <c r="DV17" i="53"/>
  <c r="DV74" i="53" s="1"/>
  <c r="DV81" i="53" s="1"/>
  <c r="DV73" i="53"/>
  <c r="DK59" i="53"/>
  <c r="DK65" i="53" s="1"/>
  <c r="DK67" i="53"/>
  <c r="DK57" i="53"/>
  <c r="DK72" i="53"/>
  <c r="DJ78" i="53"/>
  <c r="CD14" i="5"/>
  <c r="CE9" i="5" s="1"/>
  <c r="CE10" i="5"/>
  <c r="DJ100" i="53" l="1"/>
  <c r="AE35" i="6"/>
  <c r="AE37" i="6" s="1"/>
  <c r="DV18" i="53"/>
  <c r="DV54" i="53" s="1"/>
  <c r="DV75" i="53"/>
  <c r="CP11" i="5" s="1"/>
  <c r="DK79" i="53"/>
  <c r="DK23" i="53" s="1"/>
  <c r="DK66" i="53"/>
  <c r="DJ92" i="53"/>
  <c r="DJ93" i="53" s="1"/>
  <c r="DK71" i="53"/>
  <c r="DJ95" i="53"/>
  <c r="DL53" i="53"/>
  <c r="DL15" i="53"/>
  <c r="DL20" i="53" s="1"/>
  <c r="DL22" i="53" s="1"/>
  <c r="DK56" i="53"/>
  <c r="DK76" i="53" s="1"/>
  <c r="AH80" i="5" l="1"/>
  <c r="AE36" i="6"/>
  <c r="AE39" i="6" s="1"/>
  <c r="AF33" i="6" s="1"/>
  <c r="DV88" i="53"/>
  <c r="DV89" i="53" s="1"/>
  <c r="DW87" i="53" s="1"/>
  <c r="DL60" i="53"/>
  <c r="DK82" i="53"/>
  <c r="DK83" i="53" s="1"/>
  <c r="DW16" i="53" s="1"/>
  <c r="CE12" i="5"/>
  <c r="CE13" i="5" s="1"/>
  <c r="DK91" i="53"/>
  <c r="DJ96" i="53"/>
  <c r="CD30" i="5" s="1"/>
  <c r="DJ98" i="53"/>
  <c r="DK77" i="53"/>
  <c r="AF35" i="6" l="1"/>
  <c r="AF37" i="6" s="1"/>
  <c r="DK78" i="53"/>
  <c r="DL72" i="53"/>
  <c r="CF10" i="5"/>
  <c r="CE14" i="5"/>
  <c r="CF9" i="5" s="1"/>
  <c r="DW17" i="53"/>
  <c r="DW74" i="53" s="1"/>
  <c r="DW81" i="53" s="1"/>
  <c r="DW73" i="53"/>
  <c r="DL59" i="53"/>
  <c r="DL65" i="53" s="1"/>
  <c r="DL57" i="53"/>
  <c r="DL67" i="53"/>
  <c r="DK100" i="53" l="1"/>
  <c r="AI80" i="5"/>
  <c r="AF36" i="6"/>
  <c r="AF39" i="6" s="1"/>
  <c r="AG33" i="6" s="1"/>
  <c r="DW18" i="53"/>
  <c r="DW54" i="53" s="1"/>
  <c r="DW75" i="53"/>
  <c r="DM53" i="53"/>
  <c r="DM15" i="53"/>
  <c r="DM20" i="53" s="1"/>
  <c r="DM22" i="53" s="1"/>
  <c r="DL56" i="53"/>
  <c r="DL76" i="53" s="1"/>
  <c r="DL79" i="53"/>
  <c r="DL23" i="53" s="1"/>
  <c r="DL66" i="53"/>
  <c r="CQ11" i="5"/>
  <c r="DW88" i="53"/>
  <c r="DW89" i="53" s="1"/>
  <c r="DX87" i="53" s="1"/>
  <c r="DK95" i="53"/>
  <c r="DK92" i="53"/>
  <c r="DK93" i="53" s="1"/>
  <c r="DL71" i="53"/>
  <c r="AG35" i="6" l="1"/>
  <c r="AG37" i="6" s="1"/>
  <c r="DL91" i="53"/>
  <c r="DK98" i="53"/>
  <c r="DK96" i="53"/>
  <c r="CE30" i="5" s="1"/>
  <c r="DL77" i="53"/>
  <c r="CF12" i="5"/>
  <c r="CF13" i="5" s="1"/>
  <c r="DL82" i="53"/>
  <c r="DL83" i="53" s="1"/>
  <c r="DX16" i="53" s="1"/>
  <c r="DM60" i="53"/>
  <c r="AJ80" i="5" l="1"/>
  <c r="AG36" i="6"/>
  <c r="AG39" i="6" s="1"/>
  <c r="AH33" i="6" s="1"/>
  <c r="CF14" i="5"/>
  <c r="CG9" i="5" s="1"/>
  <c r="CG10" i="5"/>
  <c r="DX17" i="53"/>
  <c r="DX74" i="53" s="1"/>
  <c r="DX81" i="53" s="1"/>
  <c r="DX73" i="53"/>
  <c r="DM72" i="53"/>
  <c r="DL78" i="53"/>
  <c r="DM67" i="53"/>
  <c r="DM59" i="53"/>
  <c r="DM65" i="53" s="1"/>
  <c r="DM57" i="53"/>
  <c r="DL100" i="53" l="1"/>
  <c r="AH35" i="6"/>
  <c r="AH37" i="6" s="1"/>
  <c r="DX18" i="53"/>
  <c r="DX54" i="53" s="1"/>
  <c r="DM66" i="53"/>
  <c r="DM79" i="53"/>
  <c r="DM23" i="53" s="1"/>
  <c r="DM71" i="53"/>
  <c r="DL92" i="53"/>
  <c r="DL93" i="53" s="1"/>
  <c r="DL95" i="53"/>
  <c r="DX75" i="53"/>
  <c r="DN15" i="53"/>
  <c r="DN20" i="53" s="1"/>
  <c r="DN22" i="53" s="1"/>
  <c r="DN53" i="53"/>
  <c r="DM56" i="53"/>
  <c r="DM76" i="53" s="1"/>
  <c r="DM77" i="53" l="1"/>
  <c r="DM78" i="53" s="1"/>
  <c r="AK80" i="5"/>
  <c r="AH36" i="6"/>
  <c r="AH39" i="6" s="1"/>
  <c r="AI33" i="6" s="1"/>
  <c r="CR11" i="5"/>
  <c r="DX88" i="53"/>
  <c r="DX89" i="53" s="1"/>
  <c r="DY87" i="53" s="1"/>
  <c r="DN60" i="53"/>
  <c r="DL98" i="53"/>
  <c r="DL96" i="53"/>
  <c r="CF30" i="5" s="1"/>
  <c r="DM91" i="53"/>
  <c r="CG12" i="5"/>
  <c r="CG13" i="5" s="1"/>
  <c r="DM82" i="53"/>
  <c r="DM83" i="53" s="1"/>
  <c r="DY16" i="53" s="1"/>
  <c r="DN72" i="53" l="1"/>
  <c r="DM100" i="53"/>
  <c r="AI35" i="6"/>
  <c r="AI37" i="6" s="1"/>
  <c r="CH10" i="5"/>
  <c r="CG14" i="5"/>
  <c r="CH9" i="5" s="1"/>
  <c r="DN57" i="53"/>
  <c r="DN59" i="53"/>
  <c r="DN65" i="53" s="1"/>
  <c r="DN67" i="53"/>
  <c r="DY17" i="53"/>
  <c r="DY74" i="53" s="1"/>
  <c r="DY81" i="53" s="1"/>
  <c r="DY73" i="53"/>
  <c r="DN71" i="53"/>
  <c r="DM95" i="53"/>
  <c r="DM92" i="53"/>
  <c r="DM93" i="53" s="1"/>
  <c r="AL80" i="5" l="1"/>
  <c r="AI36" i="6"/>
  <c r="AI39" i="6" s="1"/>
  <c r="AJ33" i="6" s="1"/>
  <c r="DY75" i="53"/>
  <c r="DY88" i="53" s="1"/>
  <c r="DY89" i="53" s="1"/>
  <c r="DZ87" i="53" s="1"/>
  <c r="DY18" i="53"/>
  <c r="DY54" i="53" s="1"/>
  <c r="DM98" i="53"/>
  <c r="DN91" i="53"/>
  <c r="DM96" i="53"/>
  <c r="CG30" i="5" s="1"/>
  <c r="DN79" i="53"/>
  <c r="DN23" i="53" s="1"/>
  <c r="DN66" i="53"/>
  <c r="DO15" i="53"/>
  <c r="DO20" i="53" s="1"/>
  <c r="DO22" i="53" s="1"/>
  <c r="DO53" i="53"/>
  <c r="DN56" i="53"/>
  <c r="DN76" i="53" s="1"/>
  <c r="AJ35" i="6" l="1"/>
  <c r="AJ37" i="6" s="1"/>
  <c r="CS11" i="5"/>
  <c r="DN77" i="53"/>
  <c r="DN82" i="53"/>
  <c r="DN83" i="53" s="1"/>
  <c r="DZ16" i="53" s="1"/>
  <c r="CH12" i="5"/>
  <c r="CH13" i="5" s="1"/>
  <c r="DO60" i="53"/>
  <c r="AM80" i="5" l="1"/>
  <c r="AJ36" i="6"/>
  <c r="AJ39" i="6" s="1"/>
  <c r="AK33" i="6" s="1"/>
  <c r="DO59" i="53"/>
  <c r="DO65" i="53" s="1"/>
  <c r="DO67" i="53"/>
  <c r="DO57" i="53"/>
  <c r="CI10" i="5"/>
  <c r="CH14" i="5"/>
  <c r="CI9" i="5" s="1"/>
  <c r="DZ17" i="53"/>
  <c r="DZ74" i="53" s="1"/>
  <c r="DZ81" i="53" s="1"/>
  <c r="DZ73" i="53"/>
  <c r="DO72" i="53"/>
  <c r="DN78" i="53"/>
  <c r="DN100" i="53" l="1"/>
  <c r="AK35" i="6"/>
  <c r="AK37" i="6" s="1"/>
  <c r="DZ18" i="53"/>
  <c r="DZ54" i="53" s="1"/>
  <c r="DZ75" i="53"/>
  <c r="CT11" i="5" s="1"/>
  <c r="DN92" i="53"/>
  <c r="DN93" i="53" s="1"/>
  <c r="DN95" i="53"/>
  <c r="DO71" i="53"/>
  <c r="DP15" i="53"/>
  <c r="DP20" i="53" s="1"/>
  <c r="DP22" i="53" s="1"/>
  <c r="DP53" i="53"/>
  <c r="DO56" i="53"/>
  <c r="DO76" i="53" s="1"/>
  <c r="DZ88" i="53"/>
  <c r="DZ89" i="53" s="1"/>
  <c r="EA87" i="53" s="1"/>
  <c r="DO79" i="53"/>
  <c r="DO23" i="53" s="1"/>
  <c r="DO66" i="53"/>
  <c r="AN80" i="5" l="1"/>
  <c r="AK36" i="6"/>
  <c r="AK39" i="6" s="1"/>
  <c r="AL33" i="6" s="1"/>
  <c r="CI12" i="5"/>
  <c r="CI13" i="5" s="1"/>
  <c r="DO82" i="53"/>
  <c r="DO83" i="53" s="1"/>
  <c r="EA16" i="53" s="1"/>
  <c r="DO77" i="53"/>
  <c r="DP60" i="53"/>
  <c r="DN96" i="53"/>
  <c r="CH30" i="5" s="1"/>
  <c r="DN98" i="53"/>
  <c r="DO91" i="53"/>
  <c r="AL35" i="6" l="1"/>
  <c r="AL37" i="6" s="1"/>
  <c r="DP59" i="53"/>
  <c r="DP65" i="53" s="1"/>
  <c r="DP67" i="53"/>
  <c r="DP57" i="53"/>
  <c r="DO78" i="53"/>
  <c r="DP72" i="53"/>
  <c r="EA17" i="53"/>
  <c r="EA74" i="53" s="1"/>
  <c r="EA81" i="53" s="1"/>
  <c r="EA73" i="53"/>
  <c r="CJ10" i="5"/>
  <c r="CI14" i="5"/>
  <c r="CJ9" i="5" s="1"/>
  <c r="DO100" i="53" l="1"/>
  <c r="AO80" i="5"/>
  <c r="AL36" i="6"/>
  <c r="AL39" i="6" s="1"/>
  <c r="AM33" i="6" s="1"/>
  <c r="EA18" i="53"/>
  <c r="EA54" i="53" s="1"/>
  <c r="EA75" i="53"/>
  <c r="DO92" i="53"/>
  <c r="DO93" i="53" s="1"/>
  <c r="DO95" i="53"/>
  <c r="DP71" i="53"/>
  <c r="DQ15" i="53"/>
  <c r="DQ20" i="53" s="1"/>
  <c r="DQ22" i="53" s="1"/>
  <c r="DQ53" i="53"/>
  <c r="DP56" i="53"/>
  <c r="DP76" i="53" s="1"/>
  <c r="DP66" i="53"/>
  <c r="DP79" i="53"/>
  <c r="DP23" i="53" s="1"/>
  <c r="AM35" i="6" l="1"/>
  <c r="AM37" i="6" s="1"/>
  <c r="DQ60" i="53"/>
  <c r="DO98" i="53"/>
  <c r="DO96" i="53"/>
  <c r="CI30" i="5" s="1"/>
  <c r="DP91" i="53"/>
  <c r="CJ12" i="5"/>
  <c r="CJ13" i="5" s="1"/>
  <c r="DP82" i="53"/>
  <c r="DP83" i="53" s="1"/>
  <c r="EB16" i="53" s="1"/>
  <c r="CU11" i="5"/>
  <c r="EA88" i="53"/>
  <c r="EA89" i="53" s="1"/>
  <c r="EB87" i="53" s="1"/>
  <c r="DP77" i="53"/>
  <c r="AP80" i="5" l="1"/>
  <c r="AM36" i="6"/>
  <c r="AM39" i="6" s="1"/>
  <c r="AN33" i="6" s="1"/>
  <c r="AN35" i="6" s="1"/>
  <c r="AN37" i="6" s="1"/>
  <c r="DQ72" i="53"/>
  <c r="DP78" i="53"/>
  <c r="CK10" i="5"/>
  <c r="CJ14" i="5"/>
  <c r="CK9" i="5" s="1"/>
  <c r="EB73" i="53"/>
  <c r="EB17" i="53"/>
  <c r="EB74" i="53" s="1"/>
  <c r="EB81" i="53" s="1"/>
  <c r="DQ57" i="53"/>
  <c r="DQ67" i="53"/>
  <c r="DQ59" i="53"/>
  <c r="DQ65" i="53" s="1"/>
  <c r="DP100" i="53" l="1"/>
  <c r="AQ80" i="5"/>
  <c r="AN36" i="6"/>
  <c r="AN39" i="6" s="1"/>
  <c r="AO33" i="6" s="1"/>
  <c r="AO35" i="6" s="1"/>
  <c r="AO37" i="6" s="1"/>
  <c r="EB18" i="53"/>
  <c r="EB54" i="53" s="1"/>
  <c r="DR53" i="53"/>
  <c r="DR15" i="53"/>
  <c r="DR20" i="53" s="1"/>
  <c r="DR22" i="53" s="1"/>
  <c r="DQ56" i="53"/>
  <c r="DQ76" i="53" s="1"/>
  <c r="DQ66" i="53"/>
  <c r="DQ79" i="53"/>
  <c r="DQ23" i="53" s="1"/>
  <c r="DP92" i="53"/>
  <c r="DP93" i="53" s="1"/>
  <c r="DP95" i="53"/>
  <c r="DQ71" i="53"/>
  <c r="EB75" i="53"/>
  <c r="DQ77" i="53" l="1"/>
  <c r="DR72" i="53" s="1"/>
  <c r="AR80" i="5"/>
  <c r="AO36" i="6"/>
  <c r="AO39" i="6" s="1"/>
  <c r="AP33" i="6" s="1"/>
  <c r="AP35" i="6" s="1"/>
  <c r="AP37" i="6" s="1"/>
  <c r="DP98" i="53"/>
  <c r="DQ91" i="53"/>
  <c r="DP96" i="53"/>
  <c r="CJ30" i="5" s="1"/>
  <c r="DQ82" i="53"/>
  <c r="DQ83" i="53" s="1"/>
  <c r="EC16" i="53" s="1"/>
  <c r="CK12" i="5"/>
  <c r="CK13" i="5" s="1"/>
  <c r="EB88" i="53"/>
  <c r="EB89" i="53" s="1"/>
  <c r="EC87" i="53" s="1"/>
  <c r="CV11" i="5"/>
  <c r="DR60" i="53"/>
  <c r="DQ78" i="53" l="1"/>
  <c r="DR71" i="53" s="1"/>
  <c r="AS80" i="5"/>
  <c r="AP36" i="6"/>
  <c r="AP39" i="6" s="1"/>
  <c r="AQ33" i="6" s="1"/>
  <c r="AQ35" i="6" s="1"/>
  <c r="AQ37" i="6" s="1"/>
  <c r="DR57" i="53"/>
  <c r="DR59" i="53"/>
  <c r="DR65" i="53" s="1"/>
  <c r="DR67" i="53"/>
  <c r="EC17" i="53"/>
  <c r="EC74" i="53" s="1"/>
  <c r="EC81" i="53" s="1"/>
  <c r="EC73" i="53"/>
  <c r="CL10" i="5"/>
  <c r="CK14" i="5"/>
  <c r="CL9" i="5" s="1"/>
  <c r="DQ100" i="53" l="1"/>
  <c r="DQ92" i="53"/>
  <c r="DQ93" i="53" s="1"/>
  <c r="DR91" i="53" s="1"/>
  <c r="DQ95" i="53"/>
  <c r="AT80" i="5"/>
  <c r="AQ36" i="6"/>
  <c r="AQ39" i="6" s="1"/>
  <c r="AR33" i="6" s="1"/>
  <c r="AR35" i="6" s="1"/>
  <c r="AR37" i="6" s="1"/>
  <c r="EC18" i="53"/>
  <c r="EC54" i="53" s="1"/>
  <c r="EC75" i="53"/>
  <c r="DR66" i="53"/>
  <c r="DR79" i="53"/>
  <c r="DR23" i="53" s="1"/>
  <c r="DS15" i="53"/>
  <c r="DS20" i="53" s="1"/>
  <c r="DS22" i="53" s="1"/>
  <c r="DS53" i="53"/>
  <c r="DR56" i="53"/>
  <c r="DR76" i="53" s="1"/>
  <c r="DQ98" i="53" l="1"/>
  <c r="DQ96" i="53"/>
  <c r="CK30" i="5" s="1"/>
  <c r="AU80" i="5"/>
  <c r="AR36" i="6"/>
  <c r="AR39" i="6" s="1"/>
  <c r="AS33" i="6" s="1"/>
  <c r="AS35" i="6" s="1"/>
  <c r="AS37" i="6" s="1"/>
  <c r="DS60" i="53"/>
  <c r="CW11" i="5"/>
  <c r="EC88" i="53"/>
  <c r="EC89" i="53" s="1"/>
  <c r="ED87" i="53" s="1"/>
  <c r="DR77" i="53"/>
  <c r="DR82" i="53"/>
  <c r="DR83" i="53" s="1"/>
  <c r="ED16" i="53" s="1"/>
  <c r="CL12" i="5"/>
  <c r="CL13" i="5" s="1"/>
  <c r="AS36" i="6" l="1"/>
  <c r="AS39" i="6" s="1"/>
  <c r="AT33" i="6" s="1"/>
  <c r="AT35" i="6" s="1"/>
  <c r="AT37" i="6" s="1"/>
  <c r="AV80" i="5"/>
  <c r="ED17" i="53"/>
  <c r="ED74" i="53" s="1"/>
  <c r="ED81" i="53" s="1"/>
  <c r="ED73" i="53"/>
  <c r="DR78" i="53"/>
  <c r="DS72" i="53"/>
  <c r="CL14" i="5"/>
  <c r="CM9" i="5" s="1"/>
  <c r="CM10" i="5"/>
  <c r="DS67" i="53"/>
  <c r="DS57" i="53"/>
  <c r="DS59" i="53"/>
  <c r="DS65" i="53" s="1"/>
  <c r="DR100" i="53" l="1"/>
  <c r="AW80" i="5"/>
  <c r="AT36" i="6"/>
  <c r="AT39" i="6" s="1"/>
  <c r="AU33" i="6" s="1"/>
  <c r="AU35" i="6" s="1"/>
  <c r="AU37" i="6" s="1"/>
  <c r="ED18" i="53"/>
  <c r="ED54" i="53" s="1"/>
  <c r="ED75" i="53"/>
  <c r="DT15" i="53"/>
  <c r="DT20" i="53" s="1"/>
  <c r="DT22" i="53" s="1"/>
  <c r="DT53" i="53"/>
  <c r="DS56" i="53"/>
  <c r="DS76" i="53" s="1"/>
  <c r="DS71" i="53"/>
  <c r="DR92" i="53"/>
  <c r="DR93" i="53" s="1"/>
  <c r="DR95" i="53"/>
  <c r="DS79" i="53"/>
  <c r="DS23" i="53" s="1"/>
  <c r="DS66" i="53"/>
  <c r="CX11" i="5"/>
  <c r="ED88" i="53"/>
  <c r="ED89" i="53" s="1"/>
  <c r="EE87" i="53" s="1"/>
  <c r="DS77" i="53" l="1"/>
  <c r="DT72" i="53" s="1"/>
  <c r="AX80" i="5"/>
  <c r="AU36" i="6"/>
  <c r="AU39" i="6" s="1"/>
  <c r="AV33" i="6" s="1"/>
  <c r="AV35" i="6" s="1"/>
  <c r="AV37" i="6" s="1"/>
  <c r="DS82" i="53"/>
  <c r="DS83" i="53" s="1"/>
  <c r="EE16" i="53" s="1"/>
  <c r="CM12" i="5"/>
  <c r="CM13" i="5" s="1"/>
  <c r="DT60" i="53"/>
  <c r="DR98" i="53"/>
  <c r="DR96" i="53"/>
  <c r="CL30" i="5" s="1"/>
  <c r="DS91" i="53"/>
  <c r="DS78" i="53" l="1"/>
  <c r="DS100" i="53" s="1"/>
  <c r="AY80" i="5"/>
  <c r="AV36" i="6"/>
  <c r="AV39" i="6" s="1"/>
  <c r="AW33" i="6" s="1"/>
  <c r="AW35" i="6" s="1"/>
  <c r="AW37" i="6" s="1"/>
  <c r="CM14" i="5"/>
  <c r="CN9" i="5" s="1"/>
  <c r="CN10" i="5"/>
  <c r="EE73" i="53"/>
  <c r="EE17" i="53"/>
  <c r="EE74" i="53" s="1"/>
  <c r="EE81" i="53" s="1"/>
  <c r="DT57" i="53"/>
  <c r="DT67" i="53"/>
  <c r="DT59" i="53"/>
  <c r="DT65" i="53" s="1"/>
  <c r="DS92" i="53" l="1"/>
  <c r="DS93" i="53" s="1"/>
  <c r="DT91" i="53" s="1"/>
  <c r="DS95" i="53"/>
  <c r="DT71" i="53"/>
  <c r="AZ80" i="5"/>
  <c r="AW36" i="6"/>
  <c r="AW39" i="6" s="1"/>
  <c r="AX33" i="6" s="1"/>
  <c r="AX35" i="6" s="1"/>
  <c r="AX37" i="6" s="1"/>
  <c r="EE18" i="53"/>
  <c r="EE54" i="53" s="1"/>
  <c r="DU15" i="53"/>
  <c r="DU20" i="53" s="1"/>
  <c r="DU22" i="53" s="1"/>
  <c r="DU53" i="53"/>
  <c r="DT56" i="53"/>
  <c r="DT76" i="53" s="1"/>
  <c r="DT66" i="53"/>
  <c r="DT79" i="53"/>
  <c r="DT23" i="53" s="1"/>
  <c r="EE75" i="53"/>
  <c r="DS96" i="53" l="1"/>
  <c r="CM30" i="5" s="1"/>
  <c r="DS98" i="53"/>
  <c r="BA80" i="5"/>
  <c r="AX36" i="6"/>
  <c r="AX39" i="6" s="1"/>
  <c r="AY33" i="6" s="1"/>
  <c r="AY35" i="6" s="1"/>
  <c r="AY37" i="6" s="1"/>
  <c r="DT77" i="53"/>
  <c r="CN12" i="5"/>
  <c r="CN13" i="5" s="1"/>
  <c r="DT82" i="53"/>
  <c r="DT83" i="53" s="1"/>
  <c r="EF16" i="53" s="1"/>
  <c r="CY11" i="5"/>
  <c r="EE88" i="53"/>
  <c r="EE89" i="53" s="1"/>
  <c r="EF87" i="53" s="1"/>
  <c r="DU60" i="53"/>
  <c r="BB80" i="5" l="1"/>
  <c r="AY36" i="6"/>
  <c r="AY39" i="6" s="1"/>
  <c r="AZ33" i="6" s="1"/>
  <c r="DU59" i="53"/>
  <c r="DU65" i="53" s="1"/>
  <c r="DU67" i="53"/>
  <c r="DU57" i="53"/>
  <c r="EF73" i="53"/>
  <c r="EF17" i="53"/>
  <c r="EF74" i="53" s="1"/>
  <c r="EF81" i="53" s="1"/>
  <c r="CO10" i="5"/>
  <c r="CN14" i="5"/>
  <c r="CO9" i="5" s="1"/>
  <c r="DU72" i="53"/>
  <c r="DT78" i="53"/>
  <c r="DT100" i="53" l="1"/>
  <c r="AZ35" i="6"/>
  <c r="AZ37" i="6" s="1"/>
  <c r="EF18" i="53"/>
  <c r="EF54" i="53" s="1"/>
  <c r="EF75" i="53"/>
  <c r="DT95" i="53"/>
  <c r="DT92" i="53"/>
  <c r="DT93" i="53" s="1"/>
  <c r="DU71" i="53"/>
  <c r="DV53" i="53"/>
  <c r="DV15" i="53"/>
  <c r="DV20" i="53" s="1"/>
  <c r="DV22" i="53" s="1"/>
  <c r="DU56" i="53"/>
  <c r="DU76" i="53" s="1"/>
  <c r="DU79" i="53"/>
  <c r="DU23" i="53" s="1"/>
  <c r="DU66" i="53"/>
  <c r="DU77" i="53" l="1"/>
  <c r="DU78" i="53" s="1"/>
  <c r="BC80" i="5"/>
  <c r="AZ36" i="6"/>
  <c r="AZ39" i="6" s="1"/>
  <c r="BA33" i="6" s="1"/>
  <c r="DU82" i="53"/>
  <c r="DU83" i="53" s="1"/>
  <c r="EG16" i="53" s="1"/>
  <c r="CO12" i="5"/>
  <c r="CO13" i="5" s="1"/>
  <c r="DT96" i="53"/>
  <c r="CN30" i="5" s="1"/>
  <c r="DT98" i="53"/>
  <c r="DU91" i="53"/>
  <c r="DV60" i="53"/>
  <c r="CZ11" i="5"/>
  <c r="EF88" i="53"/>
  <c r="EF89" i="53" s="1"/>
  <c r="EG87" i="53" s="1"/>
  <c r="DV72" i="53" l="1"/>
  <c r="DU100" i="53"/>
  <c r="BA35" i="6"/>
  <c r="BA37" i="6" s="1"/>
  <c r="CP10" i="5"/>
  <c r="CO14" i="5"/>
  <c r="CP9" i="5" s="1"/>
  <c r="EG73" i="53"/>
  <c r="EG17" i="53"/>
  <c r="EG74" i="53" s="1"/>
  <c r="EG81" i="53" s="1"/>
  <c r="DV57" i="53"/>
  <c r="DV67" i="53"/>
  <c r="DV59" i="53"/>
  <c r="DV65" i="53" s="1"/>
  <c r="DV71" i="53"/>
  <c r="DU95" i="53"/>
  <c r="DU92" i="53"/>
  <c r="DU93" i="53" s="1"/>
  <c r="BD80" i="5" l="1"/>
  <c r="BA36" i="6"/>
  <c r="BA39" i="6" s="1"/>
  <c r="BB33" i="6" s="1"/>
  <c r="DW15" i="53"/>
  <c r="DW20" i="53" s="1"/>
  <c r="DW22" i="53" s="1"/>
  <c r="DW53" i="53"/>
  <c r="DV56" i="53"/>
  <c r="DV76" i="53" s="1"/>
  <c r="DV79" i="53"/>
  <c r="DV23" i="53" s="1"/>
  <c r="DV66" i="53"/>
  <c r="EG18" i="53"/>
  <c r="EG54" i="53" s="1"/>
  <c r="DV91" i="53"/>
  <c r="DU98" i="53"/>
  <c r="DU96" i="53"/>
  <c r="CO30" i="5" s="1"/>
  <c r="EG75" i="53"/>
  <c r="BB35" i="6" l="1"/>
  <c r="BB37" i="6" s="1"/>
  <c r="CP12" i="5"/>
  <c r="CP13" i="5" s="1"/>
  <c r="DV82" i="53"/>
  <c r="DV83" i="53" s="1"/>
  <c r="EH16" i="53" s="1"/>
  <c r="DV77" i="53"/>
  <c r="DW60" i="53"/>
  <c r="DA11" i="5"/>
  <c r="EG88" i="53"/>
  <c r="EG89" i="53" s="1"/>
  <c r="EH87" i="53" s="1"/>
  <c r="BB36" i="6" l="1"/>
  <c r="BB39" i="6" s="1"/>
  <c r="BC33" i="6" s="1"/>
  <c r="BC35" i="6" s="1"/>
  <c r="BC37" i="6" s="1"/>
  <c r="BE80" i="5"/>
  <c r="DW67" i="53"/>
  <c r="DW59" i="53"/>
  <c r="DW65" i="53" s="1"/>
  <c r="DW57" i="53"/>
  <c r="DW72" i="53"/>
  <c r="DV78" i="53"/>
  <c r="EH73" i="53"/>
  <c r="EH17" i="53"/>
  <c r="EH74" i="53" s="1"/>
  <c r="EH81" i="53" s="1"/>
  <c r="CP14" i="5"/>
  <c r="CQ9" i="5" s="1"/>
  <c r="CQ10" i="5"/>
  <c r="DV100" i="53" l="1"/>
  <c r="BF80" i="5"/>
  <c r="BC36" i="6"/>
  <c r="BC39" i="6" s="1"/>
  <c r="BD33" i="6" s="1"/>
  <c r="BD35" i="6" s="1"/>
  <c r="BD37" i="6" s="1"/>
  <c r="EH75" i="53"/>
  <c r="DW71" i="53"/>
  <c r="DV95" i="53"/>
  <c r="DV92" i="53"/>
  <c r="DV93" i="53" s="1"/>
  <c r="DX53" i="53"/>
  <c r="DX15" i="53"/>
  <c r="DX20" i="53" s="1"/>
  <c r="DX22" i="53" s="1"/>
  <c r="DW56" i="53"/>
  <c r="DW76" i="53" s="1"/>
  <c r="EH18" i="53"/>
  <c r="EH54" i="53" s="1"/>
  <c r="DW66" i="53"/>
  <c r="DW79" i="53"/>
  <c r="DW23" i="53" s="1"/>
  <c r="DW77" i="53" l="1"/>
  <c r="DW78" i="53" s="1"/>
  <c r="BG80" i="5"/>
  <c r="BD36" i="6"/>
  <c r="BD39" i="6" s="1"/>
  <c r="BE33" i="6" s="1"/>
  <c r="BE35" i="6" s="1"/>
  <c r="BE37" i="6" s="1"/>
  <c r="CQ12" i="5"/>
  <c r="CQ13" i="5" s="1"/>
  <c r="DW82" i="53"/>
  <c r="DW83" i="53" s="1"/>
  <c r="EI16" i="53" s="1"/>
  <c r="DW91" i="53"/>
  <c r="DV96" i="53"/>
  <c r="CP30" i="5" s="1"/>
  <c r="DV98" i="53"/>
  <c r="DX60" i="53"/>
  <c r="EH88" i="53"/>
  <c r="EH89" i="53" s="1"/>
  <c r="EI87" i="53" s="1"/>
  <c r="DB11" i="5"/>
  <c r="DX72" i="53" l="1"/>
  <c r="DW100" i="53"/>
  <c r="BH80" i="5"/>
  <c r="BE36" i="6"/>
  <c r="BE39" i="6" s="1"/>
  <c r="BF33" i="6" s="1"/>
  <c r="BF35" i="6" s="1"/>
  <c r="BF37" i="6" s="1"/>
  <c r="EI73" i="53"/>
  <c r="EI17" i="53"/>
  <c r="EI74" i="53" s="1"/>
  <c r="EI81" i="53" s="1"/>
  <c r="CQ14" i="5"/>
  <c r="CR9" i="5" s="1"/>
  <c r="CR10" i="5"/>
  <c r="DX71" i="53"/>
  <c r="DW95" i="53"/>
  <c r="DW92" i="53"/>
  <c r="DW93" i="53" s="1"/>
  <c r="DX57" i="53"/>
  <c r="DX67" i="53"/>
  <c r="DX59" i="53"/>
  <c r="DX65" i="53" s="1"/>
  <c r="BI80" i="5" l="1"/>
  <c r="BF36" i="6"/>
  <c r="BF39" i="6" s="1"/>
  <c r="BG33" i="6" s="1"/>
  <c r="BG35" i="6" s="1"/>
  <c r="BG37" i="6" s="1"/>
  <c r="EI18" i="53"/>
  <c r="EI54" i="53" s="1"/>
  <c r="DY53" i="53"/>
  <c r="DY15" i="53"/>
  <c r="DY20" i="53" s="1"/>
  <c r="DY22" i="53" s="1"/>
  <c r="DX56" i="53"/>
  <c r="DX76" i="53" s="1"/>
  <c r="DX79" i="53"/>
  <c r="DX23" i="53" s="1"/>
  <c r="DX66" i="53"/>
  <c r="DW98" i="53"/>
  <c r="DW96" i="53"/>
  <c r="CQ30" i="5" s="1"/>
  <c r="DX91" i="53"/>
  <c r="EI75" i="53"/>
  <c r="BJ80" i="5" l="1"/>
  <c r="BG36" i="6"/>
  <c r="BG39" i="6" s="1"/>
  <c r="BH33" i="6" s="1"/>
  <c r="BH35" i="6" s="1"/>
  <c r="BH37" i="6" s="1"/>
  <c r="EI88" i="53"/>
  <c r="EI89" i="53" s="1"/>
  <c r="EJ87" i="53" s="1"/>
  <c r="DC11" i="5"/>
  <c r="DX82" i="53"/>
  <c r="DX83" i="53" s="1"/>
  <c r="EJ16" i="53" s="1"/>
  <c r="CR12" i="5"/>
  <c r="CR13" i="5" s="1"/>
  <c r="DX77" i="53"/>
  <c r="DY60" i="53"/>
  <c r="BK80" i="5" l="1"/>
  <c r="BH36" i="6"/>
  <c r="BH39" i="6" s="1"/>
  <c r="BI33" i="6" s="1"/>
  <c r="BI35" i="6" s="1"/>
  <c r="BI37" i="6" s="1"/>
  <c r="DY67" i="53"/>
  <c r="DY59" i="53"/>
  <c r="DY65" i="53" s="1"/>
  <c r="DY57" i="53"/>
  <c r="DY72" i="53"/>
  <c r="DX78" i="53"/>
  <c r="CS10" i="5"/>
  <c r="CR14" i="5"/>
  <c r="CS9" i="5" s="1"/>
  <c r="EJ73" i="53"/>
  <c r="EJ17" i="53"/>
  <c r="EJ74" i="53" s="1"/>
  <c r="EJ81" i="53" s="1"/>
  <c r="DX100" i="53" l="1"/>
  <c r="BL80" i="5"/>
  <c r="BI36" i="6"/>
  <c r="BI39" i="6" s="1"/>
  <c r="BJ33" i="6" s="1"/>
  <c r="BJ35" i="6" s="1"/>
  <c r="BJ37" i="6" s="1"/>
  <c r="EJ18" i="53"/>
  <c r="EJ54" i="53" s="1"/>
  <c r="DX92" i="53"/>
  <c r="DX93" i="53" s="1"/>
  <c r="DX95" i="53"/>
  <c r="DY71" i="53"/>
  <c r="DZ15" i="53"/>
  <c r="DZ20" i="53" s="1"/>
  <c r="DZ22" i="53" s="1"/>
  <c r="DZ53" i="53"/>
  <c r="DY56" i="53"/>
  <c r="DY76" i="53" s="1"/>
  <c r="DY79" i="53"/>
  <c r="DY23" i="53" s="1"/>
  <c r="DY66" i="53"/>
  <c r="EJ75" i="53"/>
  <c r="BM80" i="5" l="1"/>
  <c r="BJ36" i="6"/>
  <c r="BJ39" i="6" s="1"/>
  <c r="BK33" i="6" s="1"/>
  <c r="DY77" i="53"/>
  <c r="DY82" i="53"/>
  <c r="DY83" i="53" s="1"/>
  <c r="EK16" i="53" s="1"/>
  <c r="CS12" i="5"/>
  <c r="CS13" i="5" s="1"/>
  <c r="DD11" i="5"/>
  <c r="EJ88" i="53"/>
  <c r="EJ89" i="53" s="1"/>
  <c r="EK87" i="53" s="1"/>
  <c r="DX96" i="53"/>
  <c r="CR30" i="5" s="1"/>
  <c r="DY91" i="53"/>
  <c r="DX98" i="53"/>
  <c r="DZ60" i="53"/>
  <c r="BK35" i="6" l="1"/>
  <c r="BK37" i="6" s="1"/>
  <c r="DZ67" i="53"/>
  <c r="DZ57" i="53"/>
  <c r="DZ59" i="53"/>
  <c r="DZ65" i="53" s="1"/>
  <c r="CT10" i="5"/>
  <c r="CS14" i="5"/>
  <c r="CT9" i="5" s="1"/>
  <c r="EK73" i="53"/>
  <c r="EK17" i="53"/>
  <c r="EK74" i="53" s="1"/>
  <c r="EK81" i="53" s="1"/>
  <c r="DZ72" i="53"/>
  <c r="DY78" i="53"/>
  <c r="DY100" i="53" l="1"/>
  <c r="BN80" i="5"/>
  <c r="BK36" i="6"/>
  <c r="EK18" i="53"/>
  <c r="EK54" i="53" s="1"/>
  <c r="EK75" i="53"/>
  <c r="DZ71" i="53"/>
  <c r="DY92" i="53"/>
  <c r="DY93" i="53" s="1"/>
  <c r="DY95" i="53"/>
  <c r="DZ79" i="53"/>
  <c r="DZ23" i="53" s="1"/>
  <c r="DZ66" i="53"/>
  <c r="EA15" i="53"/>
  <c r="EA20" i="53" s="1"/>
  <c r="EA22" i="53" s="1"/>
  <c r="EA53" i="53"/>
  <c r="DZ56" i="53"/>
  <c r="DZ76" i="53" s="1"/>
  <c r="DZ77" i="53" l="1"/>
  <c r="EA72" i="53" s="1"/>
  <c r="E61" i="32"/>
  <c r="F61" i="32"/>
  <c r="G61" i="32"/>
  <c r="H61" i="32"/>
  <c r="I61" i="32"/>
  <c r="BK38" i="6"/>
  <c r="D80" i="5"/>
  <c r="EA60" i="53"/>
  <c r="DY96" i="53"/>
  <c r="CS30" i="5" s="1"/>
  <c r="DZ91" i="53"/>
  <c r="DY98" i="53"/>
  <c r="CT12" i="5"/>
  <c r="CT13" i="5" s="1"/>
  <c r="DZ82" i="53"/>
  <c r="DZ83" i="53" s="1"/>
  <c r="EL16" i="53" s="1"/>
  <c r="DE11" i="5"/>
  <c r="EK88" i="53"/>
  <c r="EK89" i="53" s="1"/>
  <c r="EL87" i="53" s="1"/>
  <c r="DZ78" i="53" l="1"/>
  <c r="EA71" i="53" s="1"/>
  <c r="BK39" i="6"/>
  <c r="BL33" i="6" s="1"/>
  <c r="BL39" i="6" s="1"/>
  <c r="BM33" i="6" s="1"/>
  <c r="BM39" i="6" s="1"/>
  <c r="BN33" i="6" s="1"/>
  <c r="BN39" i="6" s="1"/>
  <c r="BO33" i="6" s="1"/>
  <c r="BO39" i="6" s="1"/>
  <c r="BP33" i="6" s="1"/>
  <c r="BP39" i="6" s="1"/>
  <c r="BQ33" i="6" s="1"/>
  <c r="BQ39" i="6" s="1"/>
  <c r="BR33" i="6" s="1"/>
  <c r="BR39" i="6" s="1"/>
  <c r="BS33" i="6" s="1"/>
  <c r="BS39" i="6" s="1"/>
  <c r="BT33" i="6" s="1"/>
  <c r="BT39" i="6" s="1"/>
  <c r="BU33" i="6" s="1"/>
  <c r="BU39" i="6" s="1"/>
  <c r="BV33" i="6" s="1"/>
  <c r="BV39" i="6" s="1"/>
  <c r="BW33" i="6" s="1"/>
  <c r="BW39" i="6" s="1"/>
  <c r="BX33" i="6" s="1"/>
  <c r="BX39" i="6" s="1"/>
  <c r="BY33" i="6" s="1"/>
  <c r="BY39" i="6" s="1"/>
  <c r="BZ33" i="6" s="1"/>
  <c r="BZ39" i="6" s="1"/>
  <c r="CA33" i="6" s="1"/>
  <c r="CA39" i="6" s="1"/>
  <c r="CB33" i="6" s="1"/>
  <c r="CB39" i="6" s="1"/>
  <c r="CC33" i="6" s="1"/>
  <c r="CC39" i="6" s="1"/>
  <c r="CD33" i="6" s="1"/>
  <c r="CD39" i="6" s="1"/>
  <c r="CE33" i="6" s="1"/>
  <c r="CE39" i="6" s="1"/>
  <c r="CF33" i="6" s="1"/>
  <c r="CF39" i="6" s="1"/>
  <c r="CG33" i="6" s="1"/>
  <c r="CG39" i="6" s="1"/>
  <c r="CH33" i="6" s="1"/>
  <c r="CH39" i="6" s="1"/>
  <c r="CI33" i="6" s="1"/>
  <c r="CI39" i="6" s="1"/>
  <c r="CJ33" i="6" s="1"/>
  <c r="CJ39" i="6" s="1"/>
  <c r="CK33" i="6" s="1"/>
  <c r="CK39" i="6" s="1"/>
  <c r="CL33" i="6" s="1"/>
  <c r="CL39" i="6" s="1"/>
  <c r="CM33" i="6" s="1"/>
  <c r="CM39" i="6" s="1"/>
  <c r="CN33" i="6" s="1"/>
  <c r="CN39" i="6" s="1"/>
  <c r="CO33" i="6" s="1"/>
  <c r="CO39" i="6" s="1"/>
  <c r="CP33" i="6" s="1"/>
  <c r="CP39" i="6" s="1"/>
  <c r="CQ33" i="6" s="1"/>
  <c r="CQ39" i="6" s="1"/>
  <c r="CR33" i="6" s="1"/>
  <c r="CR39" i="6" s="1"/>
  <c r="CS33" i="6" s="1"/>
  <c r="CS39" i="6" s="1"/>
  <c r="CT33" i="6" s="1"/>
  <c r="CT39" i="6" s="1"/>
  <c r="CU33" i="6" s="1"/>
  <c r="CU39" i="6" s="1"/>
  <c r="CV33" i="6" s="1"/>
  <c r="CV39" i="6" s="1"/>
  <c r="CW33" i="6" s="1"/>
  <c r="CW39" i="6" s="1"/>
  <c r="CX33" i="6" s="1"/>
  <c r="CX39" i="6" s="1"/>
  <c r="CY33" i="6" s="1"/>
  <c r="CY39" i="6" s="1"/>
  <c r="CZ33" i="6" s="1"/>
  <c r="CZ39" i="6" s="1"/>
  <c r="DA33" i="6" s="1"/>
  <c r="DA39" i="6" s="1"/>
  <c r="DB33" i="6" s="1"/>
  <c r="DB39" i="6" s="1"/>
  <c r="DC33" i="6" s="1"/>
  <c r="DC39" i="6" s="1"/>
  <c r="DD33" i="6" s="1"/>
  <c r="DD39" i="6" s="1"/>
  <c r="DE33" i="6" s="1"/>
  <c r="DE39" i="6" s="1"/>
  <c r="DF33" i="6" s="1"/>
  <c r="DF39" i="6" s="1"/>
  <c r="DG33" i="6" s="1"/>
  <c r="DG39" i="6" s="1"/>
  <c r="DH33" i="6" s="1"/>
  <c r="DH39" i="6" s="1"/>
  <c r="DI33" i="6" s="1"/>
  <c r="DI39" i="6" s="1"/>
  <c r="DJ33" i="6" s="1"/>
  <c r="DJ39" i="6" s="1"/>
  <c r="DK33" i="6" s="1"/>
  <c r="DK39" i="6" s="1"/>
  <c r="DL33" i="6" s="1"/>
  <c r="DL39" i="6" s="1"/>
  <c r="DM33" i="6" s="1"/>
  <c r="DM39" i="6" s="1"/>
  <c r="DN33" i="6" s="1"/>
  <c r="DN39" i="6" s="1"/>
  <c r="DO33" i="6" s="1"/>
  <c r="DO39" i="6" s="1"/>
  <c r="DP33" i="6" s="1"/>
  <c r="DP39" i="6" s="1"/>
  <c r="DQ33" i="6" s="1"/>
  <c r="DQ39" i="6" s="1"/>
  <c r="DR33" i="6" s="1"/>
  <c r="DR39" i="6" s="1"/>
  <c r="DS33" i="6" s="1"/>
  <c r="DS39" i="6" s="1"/>
  <c r="DT33" i="6" s="1"/>
  <c r="DT39" i="6" s="1"/>
  <c r="DU33" i="6" s="1"/>
  <c r="DU39" i="6" s="1"/>
  <c r="DV33" i="6" s="1"/>
  <c r="DV39" i="6" s="1"/>
  <c r="DW33" i="6" s="1"/>
  <c r="DW39" i="6" s="1"/>
  <c r="DX33" i="6" s="1"/>
  <c r="DX39" i="6" s="1"/>
  <c r="DY33" i="6" s="1"/>
  <c r="DY39" i="6" s="1"/>
  <c r="DZ33" i="6" s="1"/>
  <c r="DZ39" i="6" s="1"/>
  <c r="EA33" i="6" s="1"/>
  <c r="EA39" i="6" s="1"/>
  <c r="EB33" i="6" s="1"/>
  <c r="EB39" i="6" s="1"/>
  <c r="EC33" i="6" s="1"/>
  <c r="EC39" i="6" s="1"/>
  <c r="ED33" i="6" s="1"/>
  <c r="ED39" i="6" s="1"/>
  <c r="EE33" i="6" s="1"/>
  <c r="EE39" i="6" s="1"/>
  <c r="BN94" i="5"/>
  <c r="BK41" i="6"/>
  <c r="EA59" i="53"/>
  <c r="EA65" i="53" s="1"/>
  <c r="EA67" i="53"/>
  <c r="EA57" i="53"/>
  <c r="EL17" i="53"/>
  <c r="EL74" i="53" s="1"/>
  <c r="EL81" i="53" s="1"/>
  <c r="EL73" i="53"/>
  <c r="CU10" i="5"/>
  <c r="CT14" i="5"/>
  <c r="CU9" i="5" s="1"/>
  <c r="DZ95" i="53" l="1"/>
  <c r="DZ92" i="53"/>
  <c r="DZ93" i="53" s="1"/>
  <c r="DZ96" i="53" s="1"/>
  <c r="DZ100" i="53"/>
  <c r="BN93" i="5"/>
  <c r="I74" i="32" s="1"/>
  <c r="B42" i="6"/>
  <c r="I75" i="32"/>
  <c r="D94" i="5"/>
  <c r="EL18" i="53"/>
  <c r="EL54" i="53" s="1"/>
  <c r="EL75" i="53"/>
  <c r="DF11" i="5" s="1"/>
  <c r="EB53" i="53"/>
  <c r="EB15" i="53"/>
  <c r="EB20" i="53" s="1"/>
  <c r="EB22" i="53" s="1"/>
  <c r="EA56" i="53"/>
  <c r="EA76" i="53" s="1"/>
  <c r="EA79" i="53"/>
  <c r="EA23" i="53" s="1"/>
  <c r="EA66" i="53"/>
  <c r="CT30" i="5" l="1"/>
  <c r="EA91" i="53"/>
  <c r="DZ98" i="53"/>
  <c r="P52" i="1"/>
  <c r="I35" i="43" s="1"/>
  <c r="J35" i="43" s="1"/>
  <c r="D93" i="5"/>
  <c r="EL88" i="53"/>
  <c r="EL89" i="53" s="1"/>
  <c r="EM87" i="53" s="1"/>
  <c r="EA77" i="53"/>
  <c r="EA82" i="53"/>
  <c r="EA83" i="53" s="1"/>
  <c r="EM16" i="53" s="1"/>
  <c r="CU12" i="5"/>
  <c r="CU13" i="5" s="1"/>
  <c r="EB60" i="53"/>
  <c r="CU14" i="5" l="1"/>
  <c r="CV9" i="5" s="1"/>
  <c r="CV10" i="5"/>
  <c r="EM73" i="53"/>
  <c r="EM17" i="53"/>
  <c r="EM74" i="53" s="1"/>
  <c r="EM81" i="53" s="1"/>
  <c r="EB57" i="53"/>
  <c r="EB67" i="53"/>
  <c r="EB59" i="53"/>
  <c r="EB65" i="53" s="1"/>
  <c r="EB72" i="53"/>
  <c r="EA78" i="53"/>
  <c r="EA100" i="53" l="1"/>
  <c r="EC15" i="53"/>
  <c r="EC20" i="53" s="1"/>
  <c r="EC22" i="53" s="1"/>
  <c r="EC53" i="53"/>
  <c r="EB56" i="53"/>
  <c r="EB76" i="53" s="1"/>
  <c r="EB66" i="53"/>
  <c r="EB79" i="53"/>
  <c r="EB23" i="53" s="1"/>
  <c r="EM18" i="53"/>
  <c r="EM54" i="53" s="1"/>
  <c r="EM75" i="53"/>
  <c r="EB71" i="53"/>
  <c r="EA92" i="53"/>
  <c r="EA93" i="53" s="1"/>
  <c r="EA95" i="53"/>
  <c r="EB77" i="53" l="1"/>
  <c r="EB78" i="53" s="1"/>
  <c r="EA98" i="53"/>
  <c r="EA96" i="53"/>
  <c r="CU30" i="5" s="1"/>
  <c r="EB91" i="53"/>
  <c r="DG11" i="5"/>
  <c r="EM88" i="53"/>
  <c r="EM89" i="53" s="1"/>
  <c r="EN87" i="53" s="1"/>
  <c r="CV12" i="5"/>
  <c r="CV13" i="5" s="1"/>
  <c r="EB82" i="53"/>
  <c r="EB83" i="53" s="1"/>
  <c r="EN16" i="53" s="1"/>
  <c r="EC60" i="53"/>
  <c r="EC72" i="53" l="1"/>
  <c r="EB100" i="53"/>
  <c r="EC57" i="53"/>
  <c r="EC67" i="53"/>
  <c r="EC59" i="53"/>
  <c r="EC65" i="53" s="1"/>
  <c r="EN73" i="53"/>
  <c r="EN17" i="53"/>
  <c r="EN74" i="53" s="1"/>
  <c r="EN81" i="53" s="1"/>
  <c r="EC71" i="53"/>
  <c r="EB95" i="53"/>
  <c r="EB92" i="53"/>
  <c r="EB93" i="53" s="1"/>
  <c r="CW10" i="5"/>
  <c r="CV14" i="5"/>
  <c r="CW9" i="5" s="1"/>
  <c r="EN75" i="53" l="1"/>
  <c r="EC79" i="53"/>
  <c r="EC23" i="53" s="1"/>
  <c r="EC66" i="53"/>
  <c r="EB96" i="53"/>
  <c r="CV30" i="5" s="1"/>
  <c r="EB98" i="53"/>
  <c r="EC91" i="53"/>
  <c r="EN18" i="53"/>
  <c r="EN54" i="53" s="1"/>
  <c r="ED15" i="53"/>
  <c r="ED20" i="53" s="1"/>
  <c r="ED22" i="53" s="1"/>
  <c r="ED53" i="53"/>
  <c r="EC56" i="53"/>
  <c r="EC76" i="53" s="1"/>
  <c r="EC82" i="53" l="1"/>
  <c r="EC83" i="53" s="1"/>
  <c r="EO16" i="53" s="1"/>
  <c r="CW12" i="5"/>
  <c r="CW13" i="5" s="1"/>
  <c r="EC77" i="53"/>
  <c r="ED60" i="53"/>
  <c r="EN88" i="53"/>
  <c r="EN89" i="53" s="1"/>
  <c r="EO87" i="53" s="1"/>
  <c r="DH11" i="5"/>
  <c r="ED57" i="53" l="1"/>
  <c r="ED59" i="53"/>
  <c r="ED65" i="53" s="1"/>
  <c r="ED67" i="53"/>
  <c r="ED72" i="53"/>
  <c r="EC78" i="53"/>
  <c r="CW14" i="5"/>
  <c r="CX9" i="5" s="1"/>
  <c r="CX10" i="5"/>
  <c r="EO17" i="53"/>
  <c r="EO74" i="53" s="1"/>
  <c r="EO81" i="53" s="1"/>
  <c r="EO73" i="53"/>
  <c r="EC100" i="53" l="1"/>
  <c r="EO18" i="53"/>
  <c r="EO54" i="53" s="1"/>
  <c r="EO75" i="53"/>
  <c r="EC92" i="53"/>
  <c r="EC93" i="53" s="1"/>
  <c r="EC95" i="53"/>
  <c r="ED71" i="53"/>
  <c r="ED66" i="53"/>
  <c r="ED79" i="53"/>
  <c r="ED23" i="53" s="1"/>
  <c r="EE53" i="53"/>
  <c r="EE15" i="53"/>
  <c r="EE20" i="53" s="1"/>
  <c r="EE22" i="53" s="1"/>
  <c r="ED56" i="53"/>
  <c r="ED76" i="53" s="1"/>
  <c r="ED77" i="53" l="1"/>
  <c r="CX12" i="5"/>
  <c r="CX13" i="5" s="1"/>
  <c r="ED82" i="53"/>
  <c r="ED83" i="53" s="1"/>
  <c r="EP16" i="53" s="1"/>
  <c r="EE60" i="53"/>
  <c r="EC96" i="53"/>
  <c r="CW30" i="5" s="1"/>
  <c r="EC98" i="53"/>
  <c r="ED91" i="53"/>
  <c r="DI11" i="5"/>
  <c r="EO88" i="53"/>
  <c r="EO89" i="53" s="1"/>
  <c r="EP87" i="53" s="1"/>
  <c r="EE59" i="53" l="1"/>
  <c r="EE65" i="53" s="1"/>
  <c r="EE57" i="53"/>
  <c r="EE67" i="53"/>
  <c r="EP17" i="53"/>
  <c r="EP74" i="53" s="1"/>
  <c r="EP81" i="53" s="1"/>
  <c r="EP73" i="53"/>
  <c r="CY10" i="5"/>
  <c r="CX14" i="5"/>
  <c r="CY9" i="5" s="1"/>
  <c r="ED78" i="53"/>
  <c r="EE72" i="53"/>
  <c r="ED100" i="53" l="1"/>
  <c r="EP18" i="53"/>
  <c r="EP54" i="53" s="1"/>
  <c r="EP75" i="53"/>
  <c r="EP88" i="53" s="1"/>
  <c r="EP89" i="53" s="1"/>
  <c r="EQ87" i="53" s="1"/>
  <c r="ED92" i="53"/>
  <c r="ED93" i="53" s="1"/>
  <c r="ED95" i="53"/>
  <c r="EE71" i="53"/>
  <c r="EF15" i="53"/>
  <c r="EF20" i="53" s="1"/>
  <c r="EF22" i="53" s="1"/>
  <c r="EF53" i="53"/>
  <c r="EE56" i="53"/>
  <c r="EE76" i="53" s="1"/>
  <c r="EE66" i="53"/>
  <c r="EE79" i="53"/>
  <c r="EE23" i="53" s="1"/>
  <c r="DJ11" i="5" l="1"/>
  <c r="CY12" i="5"/>
  <c r="CY13" i="5" s="1"/>
  <c r="EE82" i="53"/>
  <c r="EE83" i="53" s="1"/>
  <c r="EQ16" i="53" s="1"/>
  <c r="ED98" i="53"/>
  <c r="ED96" i="53"/>
  <c r="CX30" i="5" s="1"/>
  <c r="EE91" i="53"/>
  <c r="EE77" i="53"/>
  <c r="EF60" i="53"/>
  <c r="EE78" i="53" l="1"/>
  <c r="EF72" i="53"/>
  <c r="EF57" i="53"/>
  <c r="EF67" i="53"/>
  <c r="EF59" i="53"/>
  <c r="EF65" i="53" s="1"/>
  <c r="EQ17" i="53"/>
  <c r="EQ74" i="53" s="1"/>
  <c r="EQ81" i="53" s="1"/>
  <c r="EQ73" i="53"/>
  <c r="CZ10" i="5"/>
  <c r="CY14" i="5"/>
  <c r="CZ9" i="5" s="1"/>
  <c r="EE100" i="53" l="1"/>
  <c r="EQ18" i="53"/>
  <c r="EQ54" i="53" s="1"/>
  <c r="EF79" i="53"/>
  <c r="EF23" i="53" s="1"/>
  <c r="EF66" i="53"/>
  <c r="EG15" i="53"/>
  <c r="EG20" i="53" s="1"/>
  <c r="EG22" i="53" s="1"/>
  <c r="EG53" i="53"/>
  <c r="EF56" i="53"/>
  <c r="EF76" i="53" s="1"/>
  <c r="EQ75" i="53"/>
  <c r="EF71" i="53"/>
  <c r="EE92" i="53"/>
  <c r="EE93" i="53" s="1"/>
  <c r="EE95" i="53"/>
  <c r="EE98" i="53" l="1"/>
  <c r="EE96" i="53"/>
  <c r="CY30" i="5" s="1"/>
  <c r="EF91" i="53"/>
  <c r="EQ88" i="53"/>
  <c r="EQ89" i="53" s="1"/>
  <c r="ER87" i="53" s="1"/>
  <c r="DK11" i="5"/>
  <c r="EF77" i="53"/>
  <c r="CZ12" i="5"/>
  <c r="CZ13" i="5" s="1"/>
  <c r="EF82" i="53"/>
  <c r="EF83" i="53" s="1"/>
  <c r="ER16" i="53" s="1"/>
  <c r="EG60" i="53"/>
  <c r="EG72" i="53" l="1"/>
  <c r="EF78" i="53"/>
  <c r="ER73" i="53"/>
  <c r="ER17" i="53"/>
  <c r="ER74" i="53" s="1"/>
  <c r="ER81" i="53" s="1"/>
  <c r="EG59" i="53"/>
  <c r="EG65" i="53" s="1"/>
  <c r="EG67" i="53"/>
  <c r="EG57" i="53"/>
  <c r="CZ14" i="5"/>
  <c r="DA9" i="5" s="1"/>
  <c r="DA10" i="5"/>
  <c r="EF100" i="53" l="1"/>
  <c r="EH53" i="53"/>
  <c r="EH15" i="53"/>
  <c r="EH20" i="53" s="1"/>
  <c r="EH22" i="53" s="1"/>
  <c r="EG56" i="53"/>
  <c r="EG76" i="53" s="1"/>
  <c r="ER18" i="53"/>
  <c r="ER54" i="53" s="1"/>
  <c r="ER75" i="53"/>
  <c r="EG66" i="53"/>
  <c r="EG79" i="53"/>
  <c r="EG23" i="53" s="1"/>
  <c r="EF95" i="53"/>
  <c r="EF92" i="53"/>
  <c r="EF93" i="53" s="1"/>
  <c r="EG71" i="53"/>
  <c r="EG77" i="53" l="1"/>
  <c r="EH72" i="53" s="1"/>
  <c r="ER88" i="53"/>
  <c r="ER89" i="53" s="1"/>
  <c r="ES87" i="53" s="1"/>
  <c r="DL11" i="5"/>
  <c r="EG91" i="53"/>
  <c r="EF98" i="53"/>
  <c r="EF96" i="53"/>
  <c r="CZ30" i="5" s="1"/>
  <c r="EG82" i="53"/>
  <c r="EG83" i="53" s="1"/>
  <c r="ES16" i="53" s="1"/>
  <c r="DA12" i="5"/>
  <c r="DA13" i="5" s="1"/>
  <c r="EH60" i="53"/>
  <c r="EG78" i="53" l="1"/>
  <c r="EG100" i="53" s="1"/>
  <c r="DA14" i="5"/>
  <c r="DB9" i="5" s="1"/>
  <c r="DB10" i="5"/>
  <c r="ES17" i="53"/>
  <c r="ES74" i="53" s="1"/>
  <c r="ES81" i="53" s="1"/>
  <c r="ES73" i="53"/>
  <c r="EH59" i="53"/>
  <c r="EH65" i="53" s="1"/>
  <c r="EH57" i="53"/>
  <c r="EH67" i="53"/>
  <c r="EG92" i="53" l="1"/>
  <c r="EG93" i="53" s="1"/>
  <c r="EG98" i="53" s="1"/>
  <c r="EH71" i="53"/>
  <c r="EG95" i="53"/>
  <c r="ES75" i="53"/>
  <c r="EI15" i="53"/>
  <c r="EI20" i="53" s="1"/>
  <c r="EI22" i="53" s="1"/>
  <c r="EI53" i="53"/>
  <c r="EH56" i="53"/>
  <c r="EH76" i="53" s="1"/>
  <c r="EH66" i="53"/>
  <c r="EH79" i="53"/>
  <c r="EH23" i="53" s="1"/>
  <c r="ES18" i="53"/>
  <c r="ES54" i="53" s="1"/>
  <c r="EG96" i="53" l="1"/>
  <c r="DA30" i="5" s="1"/>
  <c r="EH91" i="53"/>
  <c r="DB12" i="5"/>
  <c r="DB13" i="5" s="1"/>
  <c r="EH82" i="53"/>
  <c r="EH83" i="53" s="1"/>
  <c r="ET16" i="53" s="1"/>
  <c r="EH77" i="53"/>
  <c r="EI60" i="53"/>
  <c r="DM11" i="5"/>
  <c r="ES88" i="53"/>
  <c r="ES89" i="53" s="1"/>
  <c r="ET87" i="53" s="1"/>
  <c r="EI57" i="53" l="1"/>
  <c r="EI59" i="53"/>
  <c r="EI65" i="53" s="1"/>
  <c r="EI67" i="53"/>
  <c r="EH78" i="53"/>
  <c r="EI72" i="53"/>
  <c r="ET17" i="53"/>
  <c r="ET74" i="53" s="1"/>
  <c r="ET81" i="53" s="1"/>
  <c r="ET73" i="53"/>
  <c r="DB14" i="5"/>
  <c r="DC9" i="5" s="1"/>
  <c r="DC10" i="5"/>
  <c r="EH100" i="53" l="1"/>
  <c r="ET18" i="53"/>
  <c r="ET54" i="53" s="1"/>
  <c r="ET75" i="53"/>
  <c r="ET88" i="53" s="1"/>
  <c r="ET89" i="53" s="1"/>
  <c r="EU87" i="53" s="1"/>
  <c r="EI71" i="53"/>
  <c r="EH95" i="53"/>
  <c r="EH92" i="53"/>
  <c r="EH93" i="53" s="1"/>
  <c r="EI66" i="53"/>
  <c r="EI79" i="53"/>
  <c r="EI23" i="53" s="1"/>
  <c r="EJ53" i="53"/>
  <c r="EJ15" i="53"/>
  <c r="EJ20" i="53" s="1"/>
  <c r="EJ22" i="53" s="1"/>
  <c r="EI56" i="53"/>
  <c r="EI76" i="53" s="1"/>
  <c r="DN11" i="5" l="1"/>
  <c r="DC12" i="5"/>
  <c r="DC13" i="5" s="1"/>
  <c r="EI82" i="53"/>
  <c r="EI83" i="53" s="1"/>
  <c r="EU16" i="53" s="1"/>
  <c r="EI77" i="53"/>
  <c r="EJ60" i="53"/>
  <c r="EH96" i="53"/>
  <c r="DB30" i="5" s="1"/>
  <c r="EI91" i="53"/>
  <c r="EH98" i="53"/>
  <c r="EJ67" i="53" l="1"/>
  <c r="EJ59" i="53"/>
  <c r="EJ65" i="53" s="1"/>
  <c r="EJ57" i="53"/>
  <c r="EJ72" i="53"/>
  <c r="EI78" i="53"/>
  <c r="EU73" i="53"/>
  <c r="EU17" i="53"/>
  <c r="EU74" i="53" s="1"/>
  <c r="EU81" i="53" s="1"/>
  <c r="DC14" i="5"/>
  <c r="DD9" i="5" s="1"/>
  <c r="DD10" i="5"/>
  <c r="EI100" i="53" l="1"/>
  <c r="EU75" i="53"/>
  <c r="EU18" i="53"/>
  <c r="EU54" i="53" s="1"/>
  <c r="EI95" i="53"/>
  <c r="EJ71" i="53"/>
  <c r="EI92" i="53"/>
  <c r="EI93" i="53" s="1"/>
  <c r="EK53" i="53"/>
  <c r="EK15" i="53"/>
  <c r="EK20" i="53" s="1"/>
  <c r="EK22" i="53" s="1"/>
  <c r="EJ56" i="53"/>
  <c r="EJ76" i="53" s="1"/>
  <c r="EJ79" i="53"/>
  <c r="EJ23" i="53" s="1"/>
  <c r="EJ66" i="53"/>
  <c r="EI98" i="53" l="1"/>
  <c r="EI96" i="53"/>
  <c r="DC30" i="5" s="1"/>
  <c r="EJ91" i="53"/>
  <c r="EJ77" i="53"/>
  <c r="EJ82" i="53"/>
  <c r="EJ83" i="53" s="1"/>
  <c r="EV16" i="53" s="1"/>
  <c r="DD12" i="5"/>
  <c r="DD13" i="5" s="1"/>
  <c r="EK60" i="53"/>
  <c r="DO11" i="5"/>
  <c r="EU88" i="53"/>
  <c r="EU89" i="53" s="1"/>
  <c r="EV87" i="53" s="1"/>
  <c r="EK57" i="53" l="1"/>
  <c r="EK67" i="53"/>
  <c r="EK59" i="53"/>
  <c r="EK65" i="53" s="1"/>
  <c r="DD14" i="5"/>
  <c r="DE9" i="5" s="1"/>
  <c r="DE10" i="5"/>
  <c r="EK72" i="53"/>
  <c r="EJ78" i="53"/>
  <c r="EV73" i="53"/>
  <c r="EV17" i="53"/>
  <c r="EV74" i="53" s="1"/>
  <c r="EV81" i="53" s="1"/>
  <c r="EJ100" i="53" l="1"/>
  <c r="EV75" i="53"/>
  <c r="EK71" i="53"/>
  <c r="EJ92" i="53"/>
  <c r="EJ93" i="53" s="1"/>
  <c r="EJ95" i="53"/>
  <c r="EK79" i="53"/>
  <c r="EK23" i="53" s="1"/>
  <c r="EK66" i="53"/>
  <c r="EV18" i="53"/>
  <c r="EV54" i="53" s="1"/>
  <c r="EL15" i="53"/>
  <c r="EL20" i="53" s="1"/>
  <c r="EL22" i="53" s="1"/>
  <c r="EL53" i="53"/>
  <c r="EK56" i="53"/>
  <c r="EK76" i="53" s="1"/>
  <c r="EK82" i="53" l="1"/>
  <c r="EK83" i="53" s="1"/>
  <c r="EW16" i="53" s="1"/>
  <c r="DE12" i="5"/>
  <c r="DE13" i="5" s="1"/>
  <c r="EK77" i="53"/>
  <c r="EJ96" i="53"/>
  <c r="DD30" i="5" s="1"/>
  <c r="EK91" i="53"/>
  <c r="EJ98" i="53"/>
  <c r="EL60" i="53"/>
  <c r="EV88" i="53"/>
  <c r="EV89" i="53" s="1"/>
  <c r="EW87" i="53" s="1"/>
  <c r="DP11" i="5"/>
  <c r="EL57" i="53" l="1"/>
  <c r="EL67" i="53"/>
  <c r="EL59" i="53"/>
  <c r="EL65" i="53" s="1"/>
  <c r="EL72" i="53"/>
  <c r="EK78" i="53"/>
  <c r="DE14" i="5"/>
  <c r="DF9" i="5" s="1"/>
  <c r="DF10" i="5"/>
  <c r="EW73" i="53"/>
  <c r="EW17" i="53"/>
  <c r="EW74" i="53" s="1"/>
  <c r="EW81" i="53" s="1"/>
  <c r="EK100" i="53" l="1"/>
  <c r="EL71" i="53"/>
  <c r="EK92" i="53"/>
  <c r="EK93" i="53" s="1"/>
  <c r="EK95" i="53"/>
  <c r="EL66" i="53"/>
  <c r="EL79" i="53"/>
  <c r="EL23" i="53" s="1"/>
  <c r="EW18" i="53"/>
  <c r="EW54" i="53" s="1"/>
  <c r="EW75" i="53"/>
  <c r="EM53" i="53"/>
  <c r="EM15" i="53"/>
  <c r="EM20" i="53" s="1"/>
  <c r="EM22" i="53" s="1"/>
  <c r="EL56" i="53"/>
  <c r="EL76" i="53" s="1"/>
  <c r="EM60" i="53" l="1"/>
  <c r="EW88" i="53"/>
  <c r="EW89" i="53" s="1"/>
  <c r="EX87" i="53" s="1"/>
  <c r="DQ11" i="5"/>
  <c r="EK96" i="53"/>
  <c r="DE30" i="5" s="1"/>
  <c r="EL91" i="53"/>
  <c r="EK98" i="53"/>
  <c r="EL77" i="53"/>
  <c r="EL82" i="53"/>
  <c r="EL83" i="53" s="1"/>
  <c r="EX16" i="53" s="1"/>
  <c r="DF12" i="5"/>
  <c r="DF13" i="5" s="1"/>
  <c r="EX17" i="53" l="1"/>
  <c r="EX74" i="53" s="1"/>
  <c r="EX81" i="53" s="1"/>
  <c r="EX73" i="53"/>
  <c r="EM72" i="53"/>
  <c r="EL78" i="53"/>
  <c r="DG10" i="5"/>
  <c r="DF14" i="5"/>
  <c r="DG9" i="5" s="1"/>
  <c r="EM59" i="53"/>
  <c r="EM65" i="53" s="1"/>
  <c r="EM57" i="53"/>
  <c r="EM67" i="53"/>
  <c r="EL100" i="53" l="1"/>
  <c r="EX18" i="53"/>
  <c r="EX54" i="53" s="1"/>
  <c r="EX75" i="53"/>
  <c r="EN15" i="53"/>
  <c r="EN20" i="53" s="1"/>
  <c r="EN22" i="53" s="1"/>
  <c r="EN53" i="53"/>
  <c r="EM56" i="53"/>
  <c r="EM76" i="53" s="1"/>
  <c r="EM79" i="53"/>
  <c r="EM23" i="53" s="1"/>
  <c r="EM66" i="53"/>
  <c r="EX88" i="53"/>
  <c r="EX89" i="53" s="1"/>
  <c r="EY87" i="53" s="1"/>
  <c r="DR11" i="5"/>
  <c r="EM71" i="53"/>
  <c r="EL92" i="53"/>
  <c r="EL93" i="53" s="1"/>
  <c r="EL95" i="53"/>
  <c r="EM77" i="53" l="1"/>
  <c r="EM78" i="53" s="1"/>
  <c r="DG12" i="5"/>
  <c r="DG13" i="5" s="1"/>
  <c r="EM82" i="53"/>
  <c r="EM83" i="53" s="1"/>
  <c r="EY16" i="53" s="1"/>
  <c r="EL98" i="53"/>
  <c r="EM91" i="53"/>
  <c r="EL96" i="53"/>
  <c r="DF30" i="5" s="1"/>
  <c r="EN60" i="53"/>
  <c r="EN72" i="53" l="1"/>
  <c r="EM100" i="53"/>
  <c r="EN71" i="53"/>
  <c r="EM95" i="53"/>
  <c r="EM92" i="53"/>
  <c r="EM93" i="53" s="1"/>
  <c r="EN57" i="53"/>
  <c r="EN67" i="53"/>
  <c r="EN59" i="53"/>
  <c r="EN65" i="53" s="1"/>
  <c r="EY73" i="53"/>
  <c r="EY17" i="53"/>
  <c r="EY74" i="53" s="1"/>
  <c r="EY81" i="53" s="1"/>
  <c r="DG14" i="5"/>
  <c r="DH9" i="5" s="1"/>
  <c r="DH10" i="5"/>
  <c r="EN79" i="53" l="1"/>
  <c r="EN23" i="53" s="1"/>
  <c r="EN66" i="53"/>
  <c r="EO15" i="53"/>
  <c r="EO20" i="53" s="1"/>
  <c r="EO22" i="53" s="1"/>
  <c r="EO53" i="53"/>
  <c r="EN56" i="53"/>
  <c r="EN76" i="53" s="1"/>
  <c r="EY18" i="53"/>
  <c r="EY54" i="53" s="1"/>
  <c r="EY75" i="53"/>
  <c r="EM96" i="53"/>
  <c r="DG30" i="5" s="1"/>
  <c r="EN91" i="53"/>
  <c r="EM98" i="53"/>
  <c r="EN77" i="53" l="1"/>
  <c r="EN82" i="53"/>
  <c r="EN83" i="53" s="1"/>
  <c r="EZ16" i="53" s="1"/>
  <c r="DH12" i="5"/>
  <c r="DH13" i="5" s="1"/>
  <c r="EO60" i="53"/>
  <c r="EY88" i="53"/>
  <c r="EY89" i="53" s="1"/>
  <c r="EZ87" i="53" s="1"/>
  <c r="DS11" i="5"/>
  <c r="EO57" i="53" l="1"/>
  <c r="EO59" i="53"/>
  <c r="EO65" i="53" s="1"/>
  <c r="EO67" i="53"/>
  <c r="DI10" i="5"/>
  <c r="DH14" i="5"/>
  <c r="DI9" i="5" s="1"/>
  <c r="EZ73" i="53"/>
  <c r="EZ17" i="53"/>
  <c r="EZ74" i="53" s="1"/>
  <c r="EZ81" i="53" s="1"/>
  <c r="EO72" i="53"/>
  <c r="EN78" i="53"/>
  <c r="EN100" i="53" l="1"/>
  <c r="EZ75" i="53"/>
  <c r="EO71" i="53"/>
  <c r="EN92" i="53"/>
  <c r="EN93" i="53" s="1"/>
  <c r="EN95" i="53"/>
  <c r="EZ18" i="53"/>
  <c r="EZ54" i="53" s="1"/>
  <c r="EO79" i="53"/>
  <c r="EO23" i="53" s="1"/>
  <c r="EO66" i="53"/>
  <c r="EP15" i="53"/>
  <c r="EP20" i="53" s="1"/>
  <c r="EP22" i="53" s="1"/>
  <c r="EP53" i="53"/>
  <c r="EO56" i="53"/>
  <c r="EO76" i="53" s="1"/>
  <c r="EO77" i="53" l="1"/>
  <c r="EO78" i="53" s="1"/>
  <c r="EN96" i="53"/>
  <c r="DH30" i="5" s="1"/>
  <c r="EO91" i="53"/>
  <c r="EN98" i="53"/>
  <c r="EP60" i="53"/>
  <c r="EO82" i="53"/>
  <c r="EO83" i="53" s="1"/>
  <c r="FA16" i="53" s="1"/>
  <c r="DI12" i="5"/>
  <c r="DI13" i="5" s="1"/>
  <c r="EZ88" i="53"/>
  <c r="EZ89" i="53" s="1"/>
  <c r="FA87" i="53" s="1"/>
  <c r="DT11" i="5"/>
  <c r="EP72" i="53" l="1"/>
  <c r="EO100" i="53"/>
  <c r="FA17" i="53"/>
  <c r="FA74" i="53" s="1"/>
  <c r="FA81" i="53" s="1"/>
  <c r="FA73" i="53"/>
  <c r="DJ10" i="5"/>
  <c r="DI14" i="5"/>
  <c r="DJ9" i="5" s="1"/>
  <c r="EP59" i="53"/>
  <c r="EP65" i="53" s="1"/>
  <c r="EP57" i="53"/>
  <c r="EP67" i="53"/>
  <c r="EO95" i="53"/>
  <c r="EO92" i="53"/>
  <c r="EO93" i="53" s="1"/>
  <c r="EP71" i="53"/>
  <c r="FA75" i="53" l="1"/>
  <c r="DU11" i="5" s="1"/>
  <c r="FA18" i="53"/>
  <c r="FA54" i="53" s="1"/>
  <c r="EO98" i="53"/>
  <c r="EP91" i="53"/>
  <c r="EO96" i="53"/>
  <c r="DI30" i="5" s="1"/>
  <c r="EP79" i="53"/>
  <c r="EP23" i="53" s="1"/>
  <c r="EP66" i="53"/>
  <c r="EQ53" i="53"/>
  <c r="EQ15" i="53"/>
  <c r="EQ20" i="53" s="1"/>
  <c r="EQ22" i="53" s="1"/>
  <c r="EP56" i="53"/>
  <c r="EP76" i="53" s="1"/>
  <c r="FA88" i="53" l="1"/>
  <c r="FA89" i="53" s="1"/>
  <c r="FB87" i="53" s="1"/>
  <c r="EP82" i="53"/>
  <c r="EP83" i="53" s="1"/>
  <c r="FB16" i="53" s="1"/>
  <c r="DJ12" i="5"/>
  <c r="DJ13" i="5" s="1"/>
  <c r="EP77" i="53"/>
  <c r="EQ60" i="53"/>
  <c r="EQ57" i="53" l="1"/>
  <c r="EQ67" i="53"/>
  <c r="EQ59" i="53"/>
  <c r="EQ65" i="53" s="1"/>
  <c r="EP78" i="53"/>
  <c r="EQ72" i="53"/>
  <c r="DJ14" i="5"/>
  <c r="DK9" i="5" s="1"/>
  <c r="DK10" i="5"/>
  <c r="FB17" i="53"/>
  <c r="FB74" i="53" s="1"/>
  <c r="FB81" i="53" s="1"/>
  <c r="FB73" i="53"/>
  <c r="EP100" i="53" l="1"/>
  <c r="FB75" i="53"/>
  <c r="DV11" i="5" s="1"/>
  <c r="FB18" i="53"/>
  <c r="FB54" i="53" s="1"/>
  <c r="EP95" i="53"/>
  <c r="EQ71" i="53"/>
  <c r="EP92" i="53"/>
  <c r="EP93" i="53" s="1"/>
  <c r="EQ66" i="53"/>
  <c r="EQ79" i="53"/>
  <c r="EQ23" i="53" s="1"/>
  <c r="ER15" i="53"/>
  <c r="ER20" i="53" s="1"/>
  <c r="ER22" i="53" s="1"/>
  <c r="ER53" i="53"/>
  <c r="EQ56" i="53"/>
  <c r="EQ76" i="53" s="1"/>
  <c r="FB88" i="53" l="1"/>
  <c r="FB89" i="53" s="1"/>
  <c r="FC87" i="53" s="1"/>
  <c r="ER60" i="53"/>
  <c r="DK12" i="5"/>
  <c r="DK13" i="5" s="1"/>
  <c r="EQ82" i="53"/>
  <c r="EQ83" i="53" s="1"/>
  <c r="FC16" i="53" s="1"/>
  <c r="EP96" i="53"/>
  <c r="DJ30" i="5" s="1"/>
  <c r="EQ91" i="53"/>
  <c r="EP98" i="53"/>
  <c r="EQ77" i="53"/>
  <c r="FC17" i="53" l="1"/>
  <c r="FC74" i="53" s="1"/>
  <c r="FC81" i="53" s="1"/>
  <c r="FC73" i="53"/>
  <c r="ER72" i="53"/>
  <c r="EQ78" i="53"/>
  <c r="DL10" i="5"/>
  <c r="DK14" i="5"/>
  <c r="DL9" i="5" s="1"/>
  <c r="ER67" i="53"/>
  <c r="ER57" i="53"/>
  <c r="ER59" i="53"/>
  <c r="ER65" i="53" s="1"/>
  <c r="EQ100" i="53" l="1"/>
  <c r="FC18" i="53"/>
  <c r="FC54" i="53" s="1"/>
  <c r="FC75" i="53"/>
  <c r="ER66" i="53"/>
  <c r="ER79" i="53"/>
  <c r="ER23" i="53" s="1"/>
  <c r="EQ92" i="53"/>
  <c r="EQ93" i="53" s="1"/>
  <c r="EQ95" i="53"/>
  <c r="ER71" i="53"/>
  <c r="ES15" i="53"/>
  <c r="ES20" i="53" s="1"/>
  <c r="ES22" i="53" s="1"/>
  <c r="ES53" i="53"/>
  <c r="ER56" i="53"/>
  <c r="ER76" i="53" s="1"/>
  <c r="FC88" i="53"/>
  <c r="FC89" i="53" s="1"/>
  <c r="FD87" i="53" s="1"/>
  <c r="DW11" i="5"/>
  <c r="ER77" i="53" l="1"/>
  <c r="ER82" i="53"/>
  <c r="ER83" i="53" s="1"/>
  <c r="FD16" i="53" s="1"/>
  <c r="DL12" i="5"/>
  <c r="DL13" i="5" s="1"/>
  <c r="EQ98" i="53"/>
  <c r="ER91" i="53"/>
  <c r="EQ96" i="53"/>
  <c r="DK30" i="5" s="1"/>
  <c r="ES60" i="53"/>
  <c r="ES67" i="53" l="1"/>
  <c r="ES57" i="53"/>
  <c r="ES59" i="53"/>
  <c r="ES65" i="53" s="1"/>
  <c r="DM10" i="5"/>
  <c r="DL14" i="5"/>
  <c r="DM9" i="5" s="1"/>
  <c r="FD73" i="53"/>
  <c r="FD17" i="53"/>
  <c r="FD74" i="53" s="1"/>
  <c r="FD81" i="53" s="1"/>
  <c r="ES72" i="53"/>
  <c r="ER78" i="53"/>
  <c r="ER100" i="53" l="1"/>
  <c r="FD18" i="53"/>
  <c r="FD54" i="53" s="1"/>
  <c r="FD75" i="53"/>
  <c r="ES66" i="53"/>
  <c r="ES79" i="53"/>
  <c r="ES23" i="53" s="1"/>
  <c r="ER95" i="53"/>
  <c r="ES71" i="53"/>
  <c r="ER92" i="53"/>
  <c r="ER93" i="53" s="1"/>
  <c r="ET15" i="53"/>
  <c r="ET20" i="53" s="1"/>
  <c r="ET22" i="53" s="1"/>
  <c r="ET53" i="53"/>
  <c r="ES56" i="53"/>
  <c r="ES76" i="53" s="1"/>
  <c r="ET60" i="53" l="1"/>
  <c r="ES82" i="53"/>
  <c r="ES83" i="53" s="1"/>
  <c r="FE16" i="53" s="1"/>
  <c r="DM12" i="5"/>
  <c r="DM13" i="5" s="1"/>
  <c r="ES91" i="53"/>
  <c r="ER98" i="53"/>
  <c r="ER96" i="53"/>
  <c r="DL30" i="5" s="1"/>
  <c r="ES77" i="53"/>
  <c r="FD88" i="53"/>
  <c r="FD89" i="53" s="1"/>
  <c r="FE87" i="53" s="1"/>
  <c r="DX11" i="5"/>
  <c r="ES78" i="53" l="1"/>
  <c r="ET72" i="53"/>
  <c r="DN10" i="5"/>
  <c r="DM14" i="5"/>
  <c r="DN9" i="5" s="1"/>
  <c r="FE17" i="53"/>
  <c r="FE74" i="53" s="1"/>
  <c r="FE81" i="53" s="1"/>
  <c r="FE73" i="53"/>
  <c r="ET59" i="53"/>
  <c r="ET65" i="53" s="1"/>
  <c r="ET57" i="53"/>
  <c r="ET67" i="53"/>
  <c r="ES100" i="53" l="1"/>
  <c r="FE18" i="53"/>
  <c r="FE54" i="53" s="1"/>
  <c r="ET66" i="53"/>
  <c r="ET79" i="53"/>
  <c r="ET23" i="53" s="1"/>
  <c r="FE75" i="53"/>
  <c r="EU53" i="53"/>
  <c r="EU15" i="53"/>
  <c r="EU20" i="53" s="1"/>
  <c r="EU22" i="53" s="1"/>
  <c r="ET56" i="53"/>
  <c r="ET76" i="53" s="1"/>
  <c r="ET71" i="53"/>
  <c r="ES92" i="53"/>
  <c r="ES93" i="53" s="1"/>
  <c r="ES95" i="53"/>
  <c r="ES98" i="53" l="1"/>
  <c r="ET91" i="53"/>
  <c r="ES96" i="53"/>
  <c r="DM30" i="5" s="1"/>
  <c r="EU60" i="53"/>
  <c r="ET82" i="53"/>
  <c r="ET83" i="53" s="1"/>
  <c r="FF16" i="53" s="1"/>
  <c r="DN12" i="5"/>
  <c r="DN13" i="5" s="1"/>
  <c r="ET77" i="53"/>
  <c r="FE88" i="53"/>
  <c r="FE89" i="53" s="1"/>
  <c r="FF87" i="53" s="1"/>
  <c r="DY11" i="5"/>
  <c r="EU59" i="53" l="1"/>
  <c r="EU65" i="53" s="1"/>
  <c r="EU67" i="53"/>
  <c r="EU57" i="53"/>
  <c r="FF17" i="53"/>
  <c r="FF74" i="53" s="1"/>
  <c r="FF81" i="53" s="1"/>
  <c r="FF73" i="53"/>
  <c r="DN14" i="5"/>
  <c r="DO9" i="5" s="1"/>
  <c r="DO10" i="5"/>
  <c r="ET78" i="53"/>
  <c r="EU72" i="53"/>
  <c r="ET100" i="53" l="1"/>
  <c r="FF18" i="53"/>
  <c r="FF54" i="53" s="1"/>
  <c r="FF75" i="53"/>
  <c r="EU71" i="53"/>
  <c r="ET92" i="53"/>
  <c r="ET93" i="53" s="1"/>
  <c r="ET95" i="53"/>
  <c r="FF88" i="53"/>
  <c r="FF89" i="53" s="1"/>
  <c r="FG87" i="53" s="1"/>
  <c r="DZ11" i="5"/>
  <c r="EV15" i="53"/>
  <c r="EV20" i="53" s="1"/>
  <c r="EV22" i="53" s="1"/>
  <c r="EV53" i="53"/>
  <c r="EU56" i="53"/>
  <c r="EU76" i="53" s="1"/>
  <c r="EU79" i="53"/>
  <c r="EU23" i="53" s="1"/>
  <c r="EU66" i="53"/>
  <c r="EU82" i="53" l="1"/>
  <c r="EU83" i="53" s="1"/>
  <c r="FG16" i="53" s="1"/>
  <c r="DO12" i="5"/>
  <c r="DO13" i="5" s="1"/>
  <c r="EU77" i="53"/>
  <c r="EV60" i="53"/>
  <c r="ET98" i="53"/>
  <c r="ET96" i="53"/>
  <c r="DN30" i="5" s="1"/>
  <c r="EU91" i="53"/>
  <c r="EV59" i="53" l="1"/>
  <c r="EV65" i="53" s="1"/>
  <c r="EV67" i="53"/>
  <c r="EV57" i="53"/>
  <c r="EU78" i="53"/>
  <c r="EV72" i="53"/>
  <c r="DO14" i="5"/>
  <c r="DP9" i="5" s="1"/>
  <c r="DP10" i="5"/>
  <c r="FG73" i="53"/>
  <c r="FG17" i="53"/>
  <c r="FG74" i="53" s="1"/>
  <c r="FG81" i="53" s="1"/>
  <c r="EU100" i="53" l="1"/>
  <c r="FG75" i="53"/>
  <c r="EU92" i="53"/>
  <c r="EU93" i="53" s="1"/>
  <c r="EU95" i="53"/>
  <c r="EV71" i="53"/>
  <c r="EW53" i="53"/>
  <c r="EW15" i="53"/>
  <c r="EW20" i="53" s="1"/>
  <c r="EW22" i="53" s="1"/>
  <c r="EV56" i="53"/>
  <c r="EV76" i="53" s="1"/>
  <c r="FG18" i="53"/>
  <c r="FG54" i="53" s="1"/>
  <c r="EV66" i="53"/>
  <c r="EV79" i="53"/>
  <c r="EV23" i="53" s="1"/>
  <c r="EV91" i="53" l="1"/>
  <c r="EU98" i="53"/>
  <c r="EU96" i="53"/>
  <c r="DO30" i="5" s="1"/>
  <c r="DP12" i="5"/>
  <c r="DP13" i="5" s="1"/>
  <c r="EV82" i="53"/>
  <c r="EV83" i="53" s="1"/>
  <c r="FH16" i="53" s="1"/>
  <c r="EW60" i="53"/>
  <c r="FG88" i="53"/>
  <c r="FG89" i="53" s="1"/>
  <c r="FH87" i="53" s="1"/>
  <c r="EA11" i="5"/>
  <c r="EV77" i="53"/>
  <c r="EW72" i="53" l="1"/>
  <c r="EV78" i="53"/>
  <c r="DP14" i="5"/>
  <c r="DQ9" i="5" s="1"/>
  <c r="DQ10" i="5"/>
  <c r="EW57" i="53"/>
  <c r="EW59" i="53"/>
  <c r="EW65" i="53" s="1"/>
  <c r="EW67" i="53"/>
  <c r="FH17" i="53"/>
  <c r="FH74" i="53" s="1"/>
  <c r="FH81" i="53" s="1"/>
  <c r="FH73" i="53"/>
  <c r="EV100" i="53" l="1"/>
  <c r="FH18" i="53"/>
  <c r="FH54" i="53" s="1"/>
  <c r="FH75" i="53"/>
  <c r="FH88" i="53" s="1"/>
  <c r="FH89" i="53" s="1"/>
  <c r="FI87" i="53" s="1"/>
  <c r="EX53" i="53"/>
  <c r="EX15" i="53"/>
  <c r="EX20" i="53" s="1"/>
  <c r="EX22" i="53" s="1"/>
  <c r="EW56" i="53"/>
  <c r="EW76" i="53" s="1"/>
  <c r="EV92" i="53"/>
  <c r="EV93" i="53" s="1"/>
  <c r="EV95" i="53"/>
  <c r="EW71" i="53"/>
  <c r="EW79" i="53"/>
  <c r="EW23" i="53" s="1"/>
  <c r="EW66" i="53"/>
  <c r="EB11" i="5" l="1"/>
  <c r="EW77" i="53"/>
  <c r="EW82" i="53"/>
  <c r="EW83" i="53" s="1"/>
  <c r="FI16" i="53" s="1"/>
  <c r="DQ12" i="5"/>
  <c r="DQ13" i="5" s="1"/>
  <c r="EX60" i="53"/>
  <c r="EW91" i="53"/>
  <c r="EV98" i="53"/>
  <c r="EV96" i="53"/>
  <c r="DP30" i="5" s="1"/>
  <c r="EX59" i="53" l="1"/>
  <c r="EX65" i="53" s="1"/>
  <c r="EX57" i="53"/>
  <c r="EX67" i="53"/>
  <c r="DQ14" i="5"/>
  <c r="DR9" i="5" s="1"/>
  <c r="DR10" i="5"/>
  <c r="FI73" i="53"/>
  <c r="FI17" i="53"/>
  <c r="FI74" i="53" s="1"/>
  <c r="FI81" i="53" s="1"/>
  <c r="EX72" i="53"/>
  <c r="EW78" i="53"/>
  <c r="EW100" i="53" l="1"/>
  <c r="FI75" i="53"/>
  <c r="FI18" i="53"/>
  <c r="FI54" i="53" s="1"/>
  <c r="EX71" i="53"/>
  <c r="EW92" i="53"/>
  <c r="EW93" i="53" s="1"/>
  <c r="EW95" i="53"/>
  <c r="EY15" i="53"/>
  <c r="EY20" i="53" s="1"/>
  <c r="EY22" i="53" s="1"/>
  <c r="EY53" i="53"/>
  <c r="EX56" i="53"/>
  <c r="EX76" i="53" s="1"/>
  <c r="EX66" i="53"/>
  <c r="EX79" i="53"/>
  <c r="EX23" i="53" s="1"/>
  <c r="EX77" i="53" l="1"/>
  <c r="EY72" i="53" s="1"/>
  <c r="EX82" i="53"/>
  <c r="EX83" i="53" s="1"/>
  <c r="FJ16" i="53" s="1"/>
  <c r="DR12" i="5"/>
  <c r="DR13" i="5" s="1"/>
  <c r="EY60" i="53"/>
  <c r="EX91" i="53"/>
  <c r="EW98" i="53"/>
  <c r="EW96" i="53"/>
  <c r="DQ30" i="5" s="1"/>
  <c r="EC11" i="5"/>
  <c r="FI88" i="53"/>
  <c r="FI89" i="53" s="1"/>
  <c r="FJ87" i="53" s="1"/>
  <c r="EX78" i="53" l="1"/>
  <c r="EX100" i="53" s="1"/>
  <c r="DS10" i="5"/>
  <c r="DR14" i="5"/>
  <c r="DS9" i="5" s="1"/>
  <c r="FJ17" i="53"/>
  <c r="FJ74" i="53" s="1"/>
  <c r="FJ81" i="53" s="1"/>
  <c r="FJ73" i="53"/>
  <c r="EY57" i="53"/>
  <c r="EY59" i="53"/>
  <c r="EY65" i="53" s="1"/>
  <c r="EY67" i="53"/>
  <c r="EX92" i="53" l="1"/>
  <c r="EX93" i="53" s="1"/>
  <c r="EY91" i="53" s="1"/>
  <c r="EX95" i="53"/>
  <c r="EY71" i="53"/>
  <c r="FJ18" i="53"/>
  <c r="FJ54" i="53" s="1"/>
  <c r="FJ75" i="53"/>
  <c r="FJ88" i="53"/>
  <c r="FJ89" i="53" s="1"/>
  <c r="FK87" i="53" s="1"/>
  <c r="ED11" i="5"/>
  <c r="EY66" i="53"/>
  <c r="EY79" i="53"/>
  <c r="EY23" i="53" s="1"/>
  <c r="EZ53" i="53"/>
  <c r="EZ15" i="53"/>
  <c r="EZ20" i="53" s="1"/>
  <c r="EZ22" i="53" s="1"/>
  <c r="EY56" i="53"/>
  <c r="EY76" i="53" s="1"/>
  <c r="EX96" i="53" l="1"/>
  <c r="DR30" i="5" s="1"/>
  <c r="EX98" i="53"/>
  <c r="EY82" i="53"/>
  <c r="EY83" i="53" s="1"/>
  <c r="FK16" i="53" s="1"/>
  <c r="DS12" i="5"/>
  <c r="DS13" i="5" s="1"/>
  <c r="EY77" i="53"/>
  <c r="EZ60" i="53"/>
  <c r="EZ59" i="53" l="1"/>
  <c r="EZ65" i="53" s="1"/>
  <c r="EZ57" i="53"/>
  <c r="EZ67" i="53"/>
  <c r="EY78" i="53"/>
  <c r="EZ72" i="53"/>
  <c r="DS14" i="5"/>
  <c r="DT9" i="5" s="1"/>
  <c r="DT10" i="5"/>
  <c r="FK73" i="53"/>
  <c r="FK17" i="53"/>
  <c r="FK74" i="53" s="1"/>
  <c r="FK81" i="53" s="1"/>
  <c r="EY100" i="53" l="1"/>
  <c r="FK18" i="53"/>
  <c r="FK54" i="53" s="1"/>
  <c r="EY95" i="53"/>
  <c r="EZ71" i="53"/>
  <c r="EY92" i="53"/>
  <c r="EY93" i="53" s="1"/>
  <c r="FK75" i="53"/>
  <c r="FA53" i="53"/>
  <c r="FA15" i="53"/>
  <c r="FA20" i="53" s="1"/>
  <c r="FA22" i="53" s="1"/>
  <c r="EZ56" i="53"/>
  <c r="EZ76" i="53" s="1"/>
  <c r="EZ79" i="53"/>
  <c r="EZ23" i="53" s="1"/>
  <c r="EZ66" i="53"/>
  <c r="EZ82" i="53" l="1"/>
  <c r="EZ83" i="53" s="1"/>
  <c r="FL16" i="53" s="1"/>
  <c r="DT12" i="5"/>
  <c r="DT13" i="5" s="1"/>
  <c r="FA60" i="53"/>
  <c r="EY96" i="53"/>
  <c r="DS30" i="5" s="1"/>
  <c r="EY98" i="53"/>
  <c r="EZ91" i="53"/>
  <c r="EZ77" i="53"/>
  <c r="EE11" i="5"/>
  <c r="FK88" i="53"/>
  <c r="FK89" i="53" s="1"/>
  <c r="FL87" i="53" s="1"/>
  <c r="FA72" i="53" l="1"/>
  <c r="EZ78" i="53"/>
  <c r="FA57" i="53"/>
  <c r="FA67" i="53"/>
  <c r="FA59" i="53"/>
  <c r="FA65" i="53" s="1"/>
  <c r="DU10" i="5"/>
  <c r="DT14" i="5"/>
  <c r="DU9" i="5" s="1"/>
  <c r="FL17" i="53"/>
  <c r="FL74" i="53" s="1"/>
  <c r="FL81" i="53" s="1"/>
  <c r="FL73" i="53"/>
  <c r="EZ100" i="53" l="1"/>
  <c r="FL18" i="53"/>
  <c r="FL54" i="53" s="1"/>
  <c r="FL75" i="53"/>
  <c r="EF11" i="5" s="1"/>
  <c r="FB53" i="53"/>
  <c r="FB15" i="53"/>
  <c r="FB20" i="53" s="1"/>
  <c r="FB22" i="53" s="1"/>
  <c r="FA56" i="53"/>
  <c r="FA76" i="53" s="1"/>
  <c r="FA79" i="53"/>
  <c r="FA23" i="53" s="1"/>
  <c r="FA66" i="53"/>
  <c r="FA71" i="53"/>
  <c r="EZ92" i="53"/>
  <c r="EZ93" i="53" s="1"/>
  <c r="EZ95" i="53"/>
  <c r="FL88" i="53" l="1"/>
  <c r="FL89" i="53" s="1"/>
  <c r="FM87" i="53" s="1"/>
  <c r="FA77" i="53"/>
  <c r="DU12" i="5"/>
  <c r="DU13" i="5" s="1"/>
  <c r="FA82" i="53"/>
  <c r="FA83" i="53" s="1"/>
  <c r="FM16" i="53" s="1"/>
  <c r="EZ96" i="53"/>
  <c r="DT30" i="5" s="1"/>
  <c r="EZ98" i="53"/>
  <c r="FA91" i="53"/>
  <c r="FB60" i="53"/>
  <c r="FB57" i="53" l="1"/>
  <c r="FB67" i="53"/>
  <c r="FB59" i="53"/>
  <c r="FB65" i="53" s="1"/>
  <c r="FM17" i="53"/>
  <c r="FM74" i="53" s="1"/>
  <c r="FM81" i="53" s="1"/>
  <c r="FM73" i="53"/>
  <c r="DU14" i="5"/>
  <c r="DV9" i="5" s="1"/>
  <c r="DV10" i="5"/>
  <c r="FB72" i="53"/>
  <c r="FA78" i="53"/>
  <c r="FA100" i="53" l="1"/>
  <c r="FM18" i="53"/>
  <c r="FM54" i="53" s="1"/>
  <c r="FM75" i="53"/>
  <c r="FM88" i="53" s="1"/>
  <c r="FM89" i="53" s="1"/>
  <c r="FN87" i="53" s="1"/>
  <c r="FB79" i="53"/>
  <c r="FB23" i="53" s="1"/>
  <c r="FB66" i="53"/>
  <c r="FB71" i="53"/>
  <c r="FA95" i="53"/>
  <c r="FA92" i="53"/>
  <c r="FA93" i="53" s="1"/>
  <c r="FC53" i="53"/>
  <c r="FC15" i="53"/>
  <c r="FC20" i="53" s="1"/>
  <c r="FC22" i="53" s="1"/>
  <c r="FB56" i="53"/>
  <c r="FB76" i="53" s="1"/>
  <c r="EG11" i="5" l="1"/>
  <c r="FB82" i="53"/>
  <c r="FB83" i="53" s="1"/>
  <c r="FN16" i="53" s="1"/>
  <c r="DV12" i="5"/>
  <c r="DV13" i="5" s="1"/>
  <c r="FB77" i="53"/>
  <c r="FC60" i="53"/>
  <c r="FB91" i="53"/>
  <c r="FA98" i="53"/>
  <c r="FA96" i="53"/>
  <c r="DU30" i="5" s="1"/>
  <c r="FC57" i="53" l="1"/>
  <c r="FC59" i="53"/>
  <c r="FC65" i="53" s="1"/>
  <c r="FC67" i="53"/>
  <c r="FB78" i="53"/>
  <c r="FC72" i="53"/>
  <c r="DV14" i="5"/>
  <c r="DW9" i="5" s="1"/>
  <c r="DW10" i="5"/>
  <c r="FN17" i="53"/>
  <c r="FN74" i="53" s="1"/>
  <c r="FN81" i="53" s="1"/>
  <c r="FN73" i="53"/>
  <c r="FB100" i="53" l="1"/>
  <c r="FN18" i="53"/>
  <c r="FN54" i="53" s="1"/>
  <c r="FN75" i="53"/>
  <c r="FC71" i="53"/>
  <c r="FB95" i="53"/>
  <c r="FB92" i="53"/>
  <c r="FB93" i="53" s="1"/>
  <c r="FC66" i="53"/>
  <c r="FC79" i="53"/>
  <c r="FC23" i="53" s="1"/>
  <c r="FD53" i="53"/>
  <c r="FD15" i="53"/>
  <c r="FD20" i="53" s="1"/>
  <c r="FD22" i="53" s="1"/>
  <c r="FC56" i="53"/>
  <c r="FC76" i="53" s="1"/>
  <c r="DW12" i="5" l="1"/>
  <c r="DW13" i="5" s="1"/>
  <c r="FC82" i="53"/>
  <c r="FC83" i="53" s="1"/>
  <c r="FD60" i="53"/>
  <c r="FB96" i="53"/>
  <c r="DV30" i="5" s="1"/>
  <c r="FB98" i="53"/>
  <c r="FC91" i="53"/>
  <c r="FN88" i="53"/>
  <c r="FN89" i="53" s="1"/>
  <c r="EH11" i="5"/>
  <c r="FC77" i="53"/>
  <c r="FD72" i="53" l="1"/>
  <c r="FC78" i="53"/>
  <c r="FD57" i="53"/>
  <c r="FD59" i="53"/>
  <c r="FD65" i="53" s="1"/>
  <c r="FD67" i="53"/>
  <c r="DX10" i="5"/>
  <c r="DW14" i="5"/>
  <c r="DX9" i="5" s="1"/>
  <c r="FC100" i="53" l="1"/>
  <c r="FD66" i="53"/>
  <c r="FD79" i="53"/>
  <c r="FD23" i="53" s="1"/>
  <c r="FE15" i="53"/>
  <c r="FE20" i="53" s="1"/>
  <c r="FE22" i="53" s="1"/>
  <c r="FE53" i="53"/>
  <c r="FD56" i="53"/>
  <c r="FD76" i="53" s="1"/>
  <c r="FC92" i="53"/>
  <c r="FC93" i="53" s="1"/>
  <c r="FD71" i="53"/>
  <c r="FC95" i="53"/>
  <c r="FC96" i="53" l="1"/>
  <c r="DW30" i="5" s="1"/>
  <c r="FD91" i="53"/>
  <c r="FC98" i="53"/>
  <c r="FD77" i="53"/>
  <c r="FD82" i="53"/>
  <c r="FD83" i="53" s="1"/>
  <c r="DX12" i="5"/>
  <c r="DX13" i="5" s="1"/>
  <c r="FE60" i="53"/>
  <c r="FE72" i="53" l="1"/>
  <c r="FD78" i="53"/>
  <c r="DX14" i="5"/>
  <c r="DY9" i="5" s="1"/>
  <c r="DY10" i="5"/>
  <c r="FE59" i="53"/>
  <c r="FE65" i="53" s="1"/>
  <c r="FE67" i="53"/>
  <c r="FE57" i="53"/>
  <c r="FD100" i="53" l="1"/>
  <c r="FF53" i="53"/>
  <c r="FF15" i="53"/>
  <c r="FF20" i="53" s="1"/>
  <c r="FF22" i="53" s="1"/>
  <c r="FE56" i="53"/>
  <c r="FE76" i="53" s="1"/>
  <c r="FD92" i="53"/>
  <c r="FD93" i="53" s="1"/>
  <c r="FD95" i="53"/>
  <c r="FE71" i="53"/>
  <c r="FE79" i="53"/>
  <c r="FE23" i="53" s="1"/>
  <c r="FE66" i="53"/>
  <c r="FE77" i="53" l="1"/>
  <c r="FF72" i="53" s="1"/>
  <c r="FD96" i="53"/>
  <c r="DX30" i="5" s="1"/>
  <c r="FD98" i="53"/>
  <c r="FE91" i="53"/>
  <c r="FE82" i="53"/>
  <c r="FE83" i="53" s="1"/>
  <c r="DY12" i="5"/>
  <c r="DY13" i="5" s="1"/>
  <c r="FF60" i="53"/>
  <c r="FE78" i="53" l="1"/>
  <c r="FF71" i="53" s="1"/>
  <c r="DZ10" i="5"/>
  <c r="DY14" i="5"/>
  <c r="DZ9" i="5" s="1"/>
  <c r="FF59" i="53"/>
  <c r="FF65" i="53" s="1"/>
  <c r="FF67" i="53"/>
  <c r="FF57" i="53"/>
  <c r="FE100" i="53" l="1"/>
  <c r="FE92" i="53"/>
  <c r="FE93" i="53" s="1"/>
  <c r="FE98" i="53" s="1"/>
  <c r="FE95" i="53"/>
  <c r="FG15" i="53"/>
  <c r="FG20" i="53" s="1"/>
  <c r="FG22" i="53" s="1"/>
  <c r="FG53" i="53"/>
  <c r="FF56" i="53"/>
  <c r="FF76" i="53" s="1"/>
  <c r="FF66" i="53"/>
  <c r="FF79" i="53"/>
  <c r="FF23" i="53" s="1"/>
  <c r="D30" i="5"/>
  <c r="BA10" i="57"/>
  <c r="E12" i="32"/>
  <c r="BH10" i="57"/>
  <c r="F12" i="32"/>
  <c r="BO10" i="57"/>
  <c r="G12" i="32"/>
  <c r="H12" i="32"/>
  <c r="I12" i="32"/>
  <c r="J12" i="32"/>
  <c r="K12" i="32"/>
  <c r="J46" i="43" s="1"/>
  <c r="L12" i="32"/>
  <c r="K46" i="43" s="1"/>
  <c r="M12" i="32"/>
  <c r="L46" i="43" s="1"/>
  <c r="N12" i="32"/>
  <c r="M46" i="43" s="1"/>
  <c r="FF91" i="53" l="1"/>
  <c r="FE96" i="53"/>
  <c r="DY30" i="5" s="1"/>
  <c r="FF77" i="53"/>
  <c r="FF82" i="53"/>
  <c r="FF83" i="53" s="1"/>
  <c r="DZ12" i="5"/>
  <c r="DZ13" i="5" s="1"/>
  <c r="FG60" i="53"/>
  <c r="BL10" i="57"/>
  <c r="BM10" i="57" s="1"/>
  <c r="BK10" i="57"/>
  <c r="BI10" i="57"/>
  <c r="BJ10" i="57"/>
  <c r="BH11" i="57"/>
  <c r="BH15" i="57" s="1"/>
  <c r="D46" i="43"/>
  <c r="E8" i="64"/>
  <c r="BE10" i="57"/>
  <c r="BF10" i="57" s="1"/>
  <c r="BD10" i="57"/>
  <c r="BC10" i="57"/>
  <c r="BB10" i="57"/>
  <c r="BA11" i="57"/>
  <c r="BA15" i="57" s="1"/>
  <c r="I46" i="43"/>
  <c r="J8" i="64"/>
  <c r="H46" i="43"/>
  <c r="I8" i="64"/>
  <c r="G46" i="43"/>
  <c r="H8" i="64"/>
  <c r="F46" i="43"/>
  <c r="G8" i="64"/>
  <c r="E46" i="43"/>
  <c r="F8" i="64"/>
  <c r="BQ10" i="57"/>
  <c r="BP10" i="57"/>
  <c r="BR10" i="57"/>
  <c r="BS10" i="57"/>
  <c r="BT10" i="57" s="1"/>
  <c r="BO11" i="57"/>
  <c r="BO15" i="57" s="1"/>
  <c r="FG67" i="53" l="1"/>
  <c r="FG59" i="53"/>
  <c r="FG65" i="53" s="1"/>
  <c r="FG57" i="53"/>
  <c r="DZ14" i="5"/>
  <c r="EA9" i="5" s="1"/>
  <c r="EA10" i="5"/>
  <c r="FG72" i="53"/>
  <c r="FF78" i="53"/>
  <c r="BD11" i="57"/>
  <c r="BE11" i="57"/>
  <c r="BF11" i="57" s="1"/>
  <c r="BB11" i="57"/>
  <c r="BC11" i="57"/>
  <c r="E16" i="64"/>
  <c r="E10" i="64"/>
  <c r="I16" i="64"/>
  <c r="I10" i="64"/>
  <c r="F16" i="64"/>
  <c r="F10" i="64"/>
  <c r="BK11" i="57"/>
  <c r="BL11" i="57"/>
  <c r="BM11" i="57" s="1"/>
  <c r="BI11" i="57"/>
  <c r="BJ11" i="57"/>
  <c r="H16" i="64"/>
  <c r="H10" i="64"/>
  <c r="G16" i="64"/>
  <c r="G10" i="64"/>
  <c r="BS11" i="57"/>
  <c r="BT11" i="57" s="1"/>
  <c r="BR11" i="57"/>
  <c r="BQ11" i="57"/>
  <c r="BP11" i="57"/>
  <c r="J16" i="64"/>
  <c r="J10" i="64"/>
  <c r="FF100" i="53" l="1"/>
  <c r="FF92" i="53"/>
  <c r="FF93" i="53" s="1"/>
  <c r="FG71" i="53"/>
  <c r="FF95" i="53"/>
  <c r="FH53" i="53"/>
  <c r="FH15" i="53"/>
  <c r="FH20" i="53" s="1"/>
  <c r="FH22" i="53" s="1"/>
  <c r="FG56" i="53"/>
  <c r="FG76" i="53" s="1"/>
  <c r="FG79" i="53"/>
  <c r="FG23" i="53" s="1"/>
  <c r="FG66" i="53"/>
  <c r="BS15" i="57"/>
  <c r="BT15" i="57" s="1"/>
  <c r="BQ15" i="57"/>
  <c r="BP15" i="57"/>
  <c r="BO18" i="57"/>
  <c r="BR15" i="57"/>
  <c r="E12" i="64"/>
  <c r="E15" i="64"/>
  <c r="G12" i="64"/>
  <c r="G15" i="64"/>
  <c r="H12" i="64"/>
  <c r="H15" i="64"/>
  <c r="BE15" i="57"/>
  <c r="BF15" i="57" s="1"/>
  <c r="BA18" i="57"/>
  <c r="BD15" i="57"/>
  <c r="BB15" i="57"/>
  <c r="BC15" i="57"/>
  <c r="F12" i="64"/>
  <c r="F15" i="64"/>
  <c r="I12" i="64"/>
  <c r="I15" i="64"/>
  <c r="BH18" i="57"/>
  <c r="BK15" i="57"/>
  <c r="BL15" i="57"/>
  <c r="BM15" i="57" s="1"/>
  <c r="BI15" i="57"/>
  <c r="BJ15" i="57"/>
  <c r="J12" i="64"/>
  <c r="I40" i="64" s="1"/>
  <c r="J15" i="64"/>
  <c r="FG82" i="53" l="1"/>
  <c r="FG83" i="53" s="1"/>
  <c r="EA12" i="5"/>
  <c r="EA13" i="5" s="1"/>
  <c r="FH60" i="53"/>
  <c r="FG77" i="53"/>
  <c r="FF96" i="53"/>
  <c r="DZ30" i="5" s="1"/>
  <c r="FF98" i="53"/>
  <c r="FG91" i="53"/>
  <c r="D40" i="64"/>
  <c r="E36" i="64"/>
  <c r="G40" i="64"/>
  <c r="H36" i="64"/>
  <c r="BI18" i="57"/>
  <c r="BK29" i="57"/>
  <c r="BJ18" i="57"/>
  <c r="BL18" i="57"/>
  <c r="BM18" i="57" s="1"/>
  <c r="BK18" i="57"/>
  <c r="BH32" i="57"/>
  <c r="BK33" i="57"/>
  <c r="BK21" i="57"/>
  <c r="BK28" i="57"/>
  <c r="BK24" i="57"/>
  <c r="BK27" i="57"/>
  <c r="BK25" i="57"/>
  <c r="BK23" i="57"/>
  <c r="BK26" i="57"/>
  <c r="BK22" i="57"/>
  <c r="BK30" i="57"/>
  <c r="BP18" i="57"/>
  <c r="BQ18" i="57"/>
  <c r="BR29" i="57"/>
  <c r="BO32" i="57"/>
  <c r="BR18" i="57"/>
  <c r="BS18" i="57"/>
  <c r="BT18" i="57" s="1"/>
  <c r="BR33" i="57"/>
  <c r="BR21" i="57"/>
  <c r="BR23" i="57"/>
  <c r="BR28" i="57"/>
  <c r="BR25" i="57"/>
  <c r="BR27" i="57"/>
  <c r="BR24" i="57"/>
  <c r="BR26" i="57"/>
  <c r="BR22" i="57"/>
  <c r="BR30" i="57"/>
  <c r="H40" i="64"/>
  <c r="I36" i="64"/>
  <c r="F40" i="64"/>
  <c r="G36" i="64"/>
  <c r="E40" i="64"/>
  <c r="F36" i="64"/>
  <c r="L16" i="55"/>
  <c r="BB18" i="57"/>
  <c r="BC18" i="57"/>
  <c r="BD18" i="57"/>
  <c r="BD29" i="57"/>
  <c r="L8" i="55"/>
  <c r="I9" i="55"/>
  <c r="BE18" i="57"/>
  <c r="BF18" i="57" s="1"/>
  <c r="BA32" i="57"/>
  <c r="L14" i="55"/>
  <c r="L13" i="55"/>
  <c r="L11" i="55"/>
  <c r="L12" i="55"/>
  <c r="L15" i="55"/>
  <c r="L10" i="55"/>
  <c r="BD33" i="57"/>
  <c r="BD21" i="57"/>
  <c r="BD25" i="57"/>
  <c r="BD23" i="57"/>
  <c r="BD24" i="57"/>
  <c r="BD26" i="57"/>
  <c r="BD27" i="57"/>
  <c r="BD28" i="57"/>
  <c r="BD22" i="57"/>
  <c r="BD30" i="57"/>
  <c r="FH72" i="53" l="1"/>
  <c r="FG78" i="53"/>
  <c r="FH57" i="53"/>
  <c r="FH67" i="53"/>
  <c r="FH59" i="53"/>
  <c r="FH65" i="53" s="1"/>
  <c r="EB10" i="5"/>
  <c r="EA14" i="5"/>
  <c r="EB9" i="5" s="1"/>
  <c r="BO34" i="57"/>
  <c r="BP32" i="57"/>
  <c r="BQ32" i="57"/>
  <c r="BS32" i="57"/>
  <c r="BT32" i="57" s="1"/>
  <c r="BR32" i="57"/>
  <c r="BC32" i="57"/>
  <c r="BE32" i="57"/>
  <c r="BF32" i="57" s="1"/>
  <c r="BD32" i="57"/>
  <c r="BB32" i="57"/>
  <c r="BA34" i="57"/>
  <c r="BK32" i="57"/>
  <c r="BI32" i="57"/>
  <c r="BL32" i="57"/>
  <c r="BM32" i="57" s="1"/>
  <c r="BJ32" i="57"/>
  <c r="BH34" i="57"/>
  <c r="I17" i="55"/>
  <c r="J9" i="55"/>
  <c r="K9" i="55"/>
  <c r="E24" i="1" l="1"/>
  <c r="FG100" i="53"/>
  <c r="FH66" i="53"/>
  <c r="FH79" i="53"/>
  <c r="FH23" i="53" s="1"/>
  <c r="FI15" i="53"/>
  <c r="FI20" i="53" s="1"/>
  <c r="FI22" i="53" s="1"/>
  <c r="FI53" i="53"/>
  <c r="FH56" i="53"/>
  <c r="FH76" i="53" s="1"/>
  <c r="FG92" i="53"/>
  <c r="FG93" i="53" s="1"/>
  <c r="FH71" i="53"/>
  <c r="FG95" i="53"/>
  <c r="BL34" i="57"/>
  <c r="BM34" i="57" s="1"/>
  <c r="BI34" i="57"/>
  <c r="BJ34" i="57"/>
  <c r="BK34" i="57"/>
  <c r="L17" i="55"/>
  <c r="J17" i="55"/>
  <c r="K17" i="55"/>
  <c r="BD34" i="57"/>
  <c r="BE34" i="57"/>
  <c r="BF34" i="57" s="1"/>
  <c r="BB34" i="57"/>
  <c r="BC34" i="57"/>
  <c r="BP34" i="57"/>
  <c r="BS34" i="57"/>
  <c r="BT34" i="57" s="1"/>
  <c r="BQ34" i="57"/>
  <c r="BR34" i="57"/>
  <c r="FH77" i="53" l="1"/>
  <c r="FH82" i="53"/>
  <c r="FH83" i="53" s="1"/>
  <c r="EB12" i="5"/>
  <c r="EB13" i="5" s="1"/>
  <c r="FI60" i="53"/>
  <c r="FG96" i="53"/>
  <c r="EA30" i="5" s="1"/>
  <c r="FH91" i="53"/>
  <c r="FG98" i="53"/>
  <c r="FI57" i="53" l="1"/>
  <c r="FI67" i="53"/>
  <c r="FI59" i="53"/>
  <c r="FI65" i="53" s="1"/>
  <c r="EC10" i="5"/>
  <c r="EB14" i="5"/>
  <c r="EC9" i="5" s="1"/>
  <c r="FI72" i="53"/>
  <c r="FH78" i="53"/>
  <c r="FH100" i="53" l="1"/>
  <c r="FI79" i="53"/>
  <c r="FI23" i="53" s="1"/>
  <c r="FI66" i="53"/>
  <c r="FH95" i="53"/>
  <c r="FH92" i="53"/>
  <c r="FH93" i="53" s="1"/>
  <c r="FI71" i="53"/>
  <c r="FJ15" i="53"/>
  <c r="FJ20" i="53" s="1"/>
  <c r="FJ22" i="53" s="1"/>
  <c r="FJ53" i="53"/>
  <c r="FI56" i="53"/>
  <c r="FI76" i="53" s="1"/>
  <c r="EC12" i="5" l="1"/>
  <c r="EC13" i="5" s="1"/>
  <c r="FI82" i="53"/>
  <c r="FI83" i="53" s="1"/>
  <c r="FJ60" i="53"/>
  <c r="FI77" i="53"/>
  <c r="FH98" i="53"/>
  <c r="FH96" i="53"/>
  <c r="EB30" i="5" s="1"/>
  <c r="FI91" i="53"/>
  <c r="FJ67" i="53" l="1"/>
  <c r="FJ57" i="53"/>
  <c r="FJ59" i="53"/>
  <c r="FJ65" i="53" s="1"/>
  <c r="FJ72" i="53"/>
  <c r="FI78" i="53"/>
  <c r="ED10" i="5"/>
  <c r="EC14" i="5"/>
  <c r="ED9" i="5" s="1"/>
  <c r="FI100" i="53" l="1"/>
  <c r="FJ66" i="53"/>
  <c r="FJ79" i="53"/>
  <c r="FJ23" i="53" s="1"/>
  <c r="FK15" i="53"/>
  <c r="FK20" i="53" s="1"/>
  <c r="FK22" i="53" s="1"/>
  <c r="FK53" i="53"/>
  <c r="FJ56" i="53"/>
  <c r="FJ76" i="53" s="1"/>
  <c r="FI95" i="53"/>
  <c r="FI92" i="53"/>
  <c r="FI93" i="53" s="1"/>
  <c r="FJ71" i="53"/>
  <c r="FI98" i="53" l="1"/>
  <c r="FJ91" i="53"/>
  <c r="FI96" i="53"/>
  <c r="EC30" i="5" s="1"/>
  <c r="FJ82" i="53"/>
  <c r="FJ83" i="53" s="1"/>
  <c r="ED12" i="5"/>
  <c r="ED13" i="5" s="1"/>
  <c r="FK60" i="53"/>
  <c r="FJ77" i="53"/>
  <c r="ED14" i="5" l="1"/>
  <c r="EE9" i="5" s="1"/>
  <c r="EE10" i="5"/>
  <c r="FK57" i="53"/>
  <c r="FK67" i="53"/>
  <c r="FK59" i="53"/>
  <c r="FK65" i="53" s="1"/>
  <c r="FJ78" i="53"/>
  <c r="FK72" i="53"/>
  <c r="FJ100" i="53" l="1"/>
  <c r="FJ92" i="53"/>
  <c r="FJ93" i="53" s="1"/>
  <c r="FJ95" i="53"/>
  <c r="FK71" i="53"/>
  <c r="FL15" i="53"/>
  <c r="FL20" i="53" s="1"/>
  <c r="FL22" i="53" s="1"/>
  <c r="FL53" i="53"/>
  <c r="FK56" i="53"/>
  <c r="FK76" i="53" s="1"/>
  <c r="FK66" i="53"/>
  <c r="FK79" i="53"/>
  <c r="FK23" i="53" s="1"/>
  <c r="FL60" i="53" l="1"/>
  <c r="EE12" i="5"/>
  <c r="EE13" i="5" s="1"/>
  <c r="FK82" i="53"/>
  <c r="FK83" i="53" s="1"/>
  <c r="FJ96" i="53"/>
  <c r="ED30" i="5" s="1"/>
  <c r="FK91" i="53"/>
  <c r="FJ98" i="53"/>
  <c r="FK77" i="53"/>
  <c r="FK78" i="53" l="1"/>
  <c r="FL72" i="53"/>
  <c r="EF10" i="5"/>
  <c r="EE14" i="5"/>
  <c r="EF9" i="5" s="1"/>
  <c r="FL67" i="53"/>
  <c r="FL57" i="53"/>
  <c r="FL59" i="53"/>
  <c r="FL65" i="53" s="1"/>
  <c r="FK100" i="53" l="1"/>
  <c r="FL66" i="53"/>
  <c r="FL79" i="53"/>
  <c r="FL23" i="53" s="1"/>
  <c r="FM53" i="53"/>
  <c r="FM15" i="53"/>
  <c r="FM20" i="53" s="1"/>
  <c r="FM22" i="53" s="1"/>
  <c r="FL56" i="53"/>
  <c r="FL76" i="53" s="1"/>
  <c r="FL71" i="53"/>
  <c r="FK95" i="53"/>
  <c r="FK92" i="53"/>
  <c r="FK93" i="53" s="1"/>
  <c r="FM60" i="53" l="1"/>
  <c r="FL77" i="53"/>
  <c r="EF12" i="5"/>
  <c r="EF13" i="5" s="1"/>
  <c r="FL82" i="53"/>
  <c r="FL83" i="53" s="1"/>
  <c r="FK96" i="53"/>
  <c r="EE30" i="5" s="1"/>
  <c r="FL91" i="53"/>
  <c r="FK98" i="53"/>
  <c r="EG10" i="5" l="1"/>
  <c r="EF14" i="5"/>
  <c r="EG9" i="5" s="1"/>
  <c r="FL78" i="53"/>
  <c r="FM72" i="53"/>
  <c r="FM57" i="53"/>
  <c r="FM59" i="53"/>
  <c r="FM65" i="53" s="1"/>
  <c r="FM67" i="53"/>
  <c r="FL100" i="53" l="1"/>
  <c r="FM79" i="53"/>
  <c r="FM23" i="53" s="1"/>
  <c r="FM66" i="53"/>
  <c r="FN15" i="53"/>
  <c r="FN20" i="53" s="1"/>
  <c r="FN22" i="53" s="1"/>
  <c r="AI22" i="53" s="1"/>
  <c r="FN53" i="53"/>
  <c r="FN60" i="53" s="1"/>
  <c r="FM56" i="53"/>
  <c r="FM76" i="53" s="1"/>
  <c r="FL92" i="53"/>
  <c r="FL93" i="53" s="1"/>
  <c r="FL95" i="53"/>
  <c r="FM71" i="53"/>
  <c r="FM77" i="53" l="1"/>
  <c r="FN72" i="53" s="1"/>
  <c r="FL98" i="53"/>
  <c r="FL96" i="53"/>
  <c r="EF30" i="5" s="1"/>
  <c r="FM91" i="53"/>
  <c r="FN57" i="53"/>
  <c r="FN56" i="53" s="1"/>
  <c r="FN76" i="53" s="1"/>
  <c r="FN59" i="53"/>
  <c r="FN65" i="53" s="1"/>
  <c r="FN67" i="53"/>
  <c r="AI67" i="53" s="1"/>
  <c r="EG12" i="5"/>
  <c r="EG13" i="5" s="1"/>
  <c r="FM82" i="53"/>
  <c r="FM83" i="53" s="1"/>
  <c r="FM78" i="53" l="1"/>
  <c r="FM92" i="53" s="1"/>
  <c r="FM93" i="53" s="1"/>
  <c r="EH10" i="5"/>
  <c r="EG14" i="5"/>
  <c r="EH9" i="5" s="1"/>
  <c r="EH12" i="5"/>
  <c r="FN82" i="53"/>
  <c r="FN83" i="53" s="1"/>
  <c r="FN66" i="53"/>
  <c r="AI66" i="53" s="1"/>
  <c r="AJ67" i="53" s="1"/>
  <c r="FN79" i="53"/>
  <c r="FN23" i="53" s="1"/>
  <c r="FN77" i="53"/>
  <c r="FN78" i="53" s="1"/>
  <c r="FM95" i="53" l="1"/>
  <c r="FM100" i="53"/>
  <c r="FN71" i="53"/>
  <c r="FN100" i="53"/>
  <c r="EH13" i="5"/>
  <c r="EH14" i="5" s="1"/>
  <c r="FN95" i="53"/>
  <c r="FN91" i="53"/>
  <c r="FN92" i="53" s="1"/>
  <c r="FN93" i="53" s="1"/>
  <c r="FM98" i="53"/>
  <c r="FM96" i="53"/>
  <c r="EG30" i="5" l="1"/>
  <c r="FN96" i="53"/>
  <c r="EH30" i="5" s="1"/>
  <c r="FN98" i="53"/>
  <c r="AJ98" i="53" s="1"/>
  <c r="O12" i="32" l="1"/>
  <c r="AZ15" i="6"/>
  <c r="AZ13" i="6"/>
  <c r="AZ14" i="6" l="1"/>
  <c r="BC78" i="5"/>
  <c r="BC101" i="5" l="1"/>
  <c r="BC81" i="5"/>
  <c r="BA15" i="6"/>
  <c r="BA13" i="6"/>
  <c r="BC100" i="5" l="1"/>
  <c r="BA14" i="6"/>
  <c r="BD78" i="5"/>
  <c r="BD101" i="5" l="1"/>
  <c r="BD81" i="5"/>
  <c r="BB15" i="6"/>
  <c r="BB13" i="6"/>
  <c r="BD100" i="5" l="1"/>
  <c r="BB14" i="6"/>
  <c r="BE78" i="5"/>
  <c r="BE101" i="5" l="1"/>
  <c r="BE81" i="5"/>
  <c r="BC13" i="6"/>
  <c r="BC15" i="6"/>
  <c r="BE100" i="5" l="1"/>
  <c r="BC14" i="6"/>
  <c r="BF78" i="5"/>
  <c r="BF101" i="5" l="1"/>
  <c r="BF81" i="5"/>
  <c r="BD13" i="6"/>
  <c r="BD15" i="6"/>
  <c r="BF100" i="5" l="1"/>
  <c r="BD14" i="6"/>
  <c r="BG78" i="5"/>
  <c r="BG101" i="5" l="1"/>
  <c r="BG81" i="5"/>
  <c r="BE15" i="6"/>
  <c r="BE13" i="6"/>
  <c r="BG100" i="5" l="1"/>
  <c r="BE14" i="6"/>
  <c r="BH78" i="5"/>
  <c r="BH101" i="5" s="1"/>
  <c r="BH81" i="5" l="1"/>
  <c r="BF13" i="6"/>
  <c r="BF15" i="6"/>
  <c r="BH100" i="5" l="1"/>
  <c r="BF14" i="6"/>
  <c r="BI78" i="5"/>
  <c r="BI101" i="5" s="1"/>
  <c r="BI81" i="5" l="1"/>
  <c r="BG13" i="6"/>
  <c r="BG15" i="6"/>
  <c r="BI100" i="5" l="1"/>
  <c r="BG14" i="6"/>
  <c r="BJ78" i="5"/>
  <c r="BJ101" i="5" s="1"/>
  <c r="BJ81" i="5" l="1"/>
  <c r="BH13" i="6"/>
  <c r="BH15" i="6"/>
  <c r="BJ100" i="5" l="1"/>
  <c r="BH14" i="6"/>
  <c r="BK78" i="5"/>
  <c r="BK101" i="5" s="1"/>
  <c r="BK81" i="5" l="1"/>
  <c r="BI15" i="6"/>
  <c r="BI13" i="6"/>
  <c r="BK100" i="5" l="1"/>
  <c r="BI14" i="6"/>
  <c r="BL78" i="5"/>
  <c r="BL101" i="5" s="1"/>
  <c r="BL81" i="5" l="1"/>
  <c r="BJ13" i="6"/>
  <c r="BJ15" i="6"/>
  <c r="BL100" i="5" l="1"/>
  <c r="BJ14" i="6"/>
  <c r="BM78" i="5"/>
  <c r="BM101" i="5" s="1"/>
  <c r="BM81" i="5" l="1"/>
  <c r="BK13" i="6"/>
  <c r="BK15" i="6"/>
  <c r="BM100" i="5" l="1"/>
  <c r="BK14" i="6"/>
  <c r="BN78" i="5"/>
  <c r="BW16" i="6"/>
  <c r="BN101" i="5" l="1"/>
  <c r="I59" i="32"/>
  <c r="BN81" i="5"/>
  <c r="BZ87" i="5"/>
  <c r="BW19" i="6"/>
  <c r="BZ86" i="5" s="1"/>
  <c r="BZ108" i="5" s="1"/>
  <c r="BN100" i="5" l="1"/>
  <c r="J68" i="32"/>
  <c r="I62" i="32"/>
  <c r="J67" i="32"/>
  <c r="F27" i="43" l="1"/>
  <c r="C50" i="43" l="1"/>
  <c r="AJ13" i="57"/>
  <c r="AL13" i="57"/>
  <c r="AO13" i="57" a="1"/>
  <c r="AO13" i="57" s="1"/>
  <c r="AJ14" i="57"/>
  <c r="AL14" i="57"/>
  <c r="AO14" i="57" a="1"/>
  <c r="AO14" i="57" s="1"/>
  <c r="AH15" i="57"/>
  <c r="AH18" i="57" s="1"/>
  <c r="F33" i="55"/>
  <c r="H33" i="55"/>
  <c r="AM14" i="57" l="1"/>
  <c r="E34" i="5"/>
  <c r="AM13" i="57"/>
  <c r="E33" i="5"/>
  <c r="E35" i="5" s="1"/>
  <c r="E42" i="5" s="1"/>
  <c r="E56" i="5" s="1"/>
  <c r="E57" i="5" s="1"/>
  <c r="AK21" i="57"/>
  <c r="G8" i="55" s="1"/>
  <c r="AK26" i="57"/>
  <c r="G13" i="55" s="1"/>
  <c r="AK33" i="57"/>
  <c r="AI18" i="57"/>
  <c r="AK22" i="57"/>
  <c r="G9" i="55" s="1"/>
  <c r="AH32" i="57"/>
  <c r="AJ18" i="57"/>
  <c r="AK27" i="57"/>
  <c r="G14" i="55" s="1"/>
  <c r="AK18" i="57"/>
  <c r="AL18" i="57"/>
  <c r="AM18" i="57" s="1"/>
  <c r="AK28" i="57"/>
  <c r="G15" i="55" s="1"/>
  <c r="AK23" i="57"/>
  <c r="G10" i="55" s="1"/>
  <c r="AK29" i="57"/>
  <c r="G16" i="55" s="1"/>
  <c r="AK24" i="57"/>
  <c r="G11" i="55" s="1"/>
  <c r="AK30" i="57"/>
  <c r="G17" i="55" s="1"/>
  <c r="AK25" i="57"/>
  <c r="G12" i="55" s="1"/>
  <c r="AP14" i="57"/>
  <c r="AQ14" i="57"/>
  <c r="AR14" i="57"/>
  <c r="AW14" i="57" s="1"/>
  <c r="AT14" i="57" s="1"/>
  <c r="AP13" i="57"/>
  <c r="AQ13" i="57"/>
  <c r="AR13" i="57"/>
  <c r="AO15" i="57"/>
  <c r="AL15" i="57"/>
  <c r="AM15" i="57" s="1"/>
  <c r="AK15" i="57"/>
  <c r="AJ15" i="57"/>
  <c r="AI15" i="57"/>
  <c r="AI32" i="57" l="1"/>
  <c r="AH34" i="57"/>
  <c r="AJ32" i="57"/>
  <c r="AK32" i="57"/>
  <c r="AL32" i="57"/>
  <c r="AM32" i="57" s="1"/>
  <c r="AO18" i="57"/>
  <c r="AP15" i="57"/>
  <c r="AQ15" i="57"/>
  <c r="AR15" i="57"/>
  <c r="AU14" i="57"/>
  <c r="AV14" i="57"/>
  <c r="AT15" i="57"/>
  <c r="C49" i="43"/>
  <c r="D8" i="64"/>
  <c r="D24" i="32" l="1"/>
  <c r="C51" i="43"/>
  <c r="AI34" i="57"/>
  <c r="AJ34" i="57"/>
  <c r="AK34" i="57"/>
  <c r="AL34" i="57"/>
  <c r="AM34" i="57" s="1"/>
  <c r="E25" i="1"/>
  <c r="D16" i="64"/>
  <c r="D10" i="64"/>
  <c r="AV15" i="57"/>
  <c r="AW15" i="57"/>
  <c r="AT18" i="57"/>
  <c r="AU15" i="57"/>
  <c r="AR21" i="57"/>
  <c r="AR26" i="57"/>
  <c r="AR33" i="57"/>
  <c r="AR22" i="57"/>
  <c r="AR27" i="57"/>
  <c r="AR28" i="57"/>
  <c r="AP18" i="57"/>
  <c r="AR23" i="57"/>
  <c r="AO32" i="57"/>
  <c r="AQ18" i="57"/>
  <c r="AR18" i="57"/>
  <c r="AR29" i="57"/>
  <c r="AR24" i="57"/>
  <c r="AR30" i="57"/>
  <c r="AR25" i="57"/>
  <c r="D12" i="64" l="1"/>
  <c r="D15" i="64"/>
  <c r="AW25" i="57"/>
  <c r="AW21" i="57"/>
  <c r="AW26" i="57"/>
  <c r="AW33" i="57"/>
  <c r="AT22" i="57"/>
  <c r="AW27" i="57"/>
  <c r="AW28" i="57"/>
  <c r="AW23" i="57"/>
  <c r="AW29" i="57"/>
  <c r="AU18" i="57"/>
  <c r="AW24" i="57"/>
  <c r="AV18" i="57"/>
  <c r="AW18" i="57"/>
  <c r="AP32" i="57"/>
  <c r="AO34" i="57"/>
  <c r="AQ32" i="57"/>
  <c r="AR32" i="57"/>
  <c r="P26" i="43"/>
  <c r="AT7" i="1"/>
  <c r="P27" i="43"/>
  <c r="AT16" i="1"/>
  <c r="AT15" i="1" s="1"/>
  <c r="AS15" i="1" s="1"/>
  <c r="D38" i="32"/>
  <c r="C72" i="43" s="1"/>
  <c r="C58" i="43"/>
  <c r="AU22" i="57" l="1"/>
  <c r="AV22" i="57"/>
  <c r="AT30" i="57"/>
  <c r="AT8" i="1"/>
  <c r="AT11" i="1"/>
  <c r="AP34" i="57"/>
  <c r="AQ34" i="57"/>
  <c r="AR34" i="57"/>
  <c r="D36" i="64"/>
  <c r="AT12" i="1" l="1"/>
  <c r="AU30" i="57"/>
  <c r="AV30" i="57"/>
  <c r="AW30" i="57"/>
  <c r="AT32" i="57"/>
  <c r="AW32" i="57" l="1"/>
  <c r="AU32" i="57"/>
  <c r="AT34" i="57"/>
  <c r="AV32" i="57"/>
  <c r="AV34" i="57" l="1"/>
  <c r="AW34" i="57"/>
  <c r="AU47" i="57"/>
  <c r="AU34" i="57"/>
  <c r="AW47" i="57" l="1"/>
  <c r="AU49" i="57"/>
  <c r="AU58" i="57"/>
  <c r="AU60" i="57" s="1"/>
  <c r="AW60" i="57" s="1"/>
  <c r="AU61" i="57" s="1"/>
  <c r="AU65" i="57"/>
  <c r="AW49" i="57" l="1"/>
  <c r="AU53" i="57"/>
  <c r="AU55" i="57" l="1"/>
  <c r="AU69" i="57" l="1"/>
  <c r="C37" i="1"/>
  <c r="C40" i="1" s="1"/>
  <c r="I21" i="43" s="1"/>
  <c r="AW70" i="57"/>
  <c r="AU70" i="57" s="1"/>
  <c r="AU72" i="57" s="1"/>
  <c r="AU71" i="57"/>
  <c r="AW71" i="57" s="1"/>
  <c r="I37" i="63"/>
  <c r="I65" i="63"/>
  <c r="I19" i="43"/>
  <c r="I78" i="63"/>
  <c r="D60" i="63" s="1"/>
  <c r="C44" i="1" s="1"/>
  <c r="I25" i="43" s="1"/>
  <c r="D40" i="1"/>
  <c r="J21" i="43" s="1"/>
  <c r="C57" i="1"/>
  <c r="C38" i="1"/>
  <c r="I20" i="43" s="1"/>
  <c r="D8" i="43" l="1"/>
  <c r="E57" i="1"/>
  <c r="F8" i="43" s="1"/>
  <c r="D57" i="1"/>
  <c r="E8" i="43" s="1"/>
  <c r="E65" i="63"/>
  <c r="G65" i="63" s="1"/>
  <c r="D78" i="63"/>
  <c r="E78" i="63"/>
  <c r="E37" i="63"/>
  <c r="G37" i="63" s="1"/>
  <c r="P8" i="63" s="1"/>
  <c r="I40" i="63"/>
  <c r="C62" i="1"/>
  <c r="E18" i="1"/>
  <c r="C18" i="6"/>
  <c r="E60" i="63"/>
  <c r="G60" i="63" s="1"/>
  <c r="P11" i="63" s="1"/>
  <c r="I71" i="63"/>
  <c r="C65" i="1"/>
  <c r="P12" i="63" l="1"/>
  <c r="G71" i="63"/>
  <c r="G40" i="63"/>
  <c r="G42" i="63" s="1"/>
  <c r="G57" i="63" s="1"/>
  <c r="D17" i="43"/>
  <c r="D65" i="1"/>
  <c r="E17" i="43" s="1"/>
  <c r="E65" i="1"/>
  <c r="F17" i="43" s="1"/>
  <c r="M84" i="5"/>
  <c r="C12" i="6"/>
  <c r="J71" i="63"/>
  <c r="E21" i="1"/>
  <c r="E23" i="1" s="1"/>
  <c r="P25" i="43" s="1"/>
  <c r="G78" i="63"/>
  <c r="P15" i="63" s="1"/>
  <c r="O11" i="63"/>
  <c r="E71" i="63"/>
  <c r="F85" i="5"/>
  <c r="D66" i="32" s="1"/>
  <c r="J40" i="63"/>
  <c r="I42" i="63"/>
  <c r="O8" i="63"/>
  <c r="E40" i="63"/>
  <c r="E42" i="63" s="1"/>
  <c r="E57" i="63" s="1"/>
  <c r="P20" i="43"/>
  <c r="F67" i="5"/>
  <c r="D18" i="1"/>
  <c r="O20" i="43" s="1"/>
  <c r="D13" i="43"/>
  <c r="D62" i="1"/>
  <c r="E13" i="43" s="1"/>
  <c r="C66" i="1"/>
  <c r="E62" i="1"/>
  <c r="F13" i="43" s="1"/>
  <c r="R11" i="63" l="1"/>
  <c r="Q11" i="63"/>
  <c r="R8" i="63"/>
  <c r="Q8" i="63"/>
  <c r="I57" i="63"/>
  <c r="I73" i="63" s="1"/>
  <c r="J73" i="63" s="1"/>
  <c r="O12" i="63"/>
  <c r="D48" i="32"/>
  <c r="D67" i="5"/>
  <c r="F71" i="5"/>
  <c r="C17" i="6"/>
  <c r="D11" i="6" s="1"/>
  <c r="F84" i="5"/>
  <c r="D25" i="64"/>
  <c r="E25" i="64" s="1"/>
  <c r="F25" i="64" s="1"/>
  <c r="G25" i="64" s="1"/>
  <c r="H25" i="64" s="1"/>
  <c r="I25" i="64" s="1"/>
  <c r="D85" i="5"/>
  <c r="F81" i="5"/>
  <c r="F107" i="5" s="1"/>
  <c r="E79" i="63"/>
  <c r="I79" i="63" s="1"/>
  <c r="I80" i="63" s="1"/>
  <c r="K80" i="63" s="1"/>
  <c r="G80" i="63"/>
  <c r="D21" i="43"/>
  <c r="E66" i="1"/>
  <c r="F21" i="43" s="1"/>
  <c r="D66" i="1"/>
  <c r="E21" i="43" s="1"/>
  <c r="P22" i="43"/>
  <c r="D21" i="1"/>
  <c r="E65" i="32"/>
  <c r="E73" i="63"/>
  <c r="G73" i="63"/>
  <c r="E39" i="1"/>
  <c r="C39" i="1"/>
  <c r="Q12" i="63" l="1"/>
  <c r="R12" i="63"/>
  <c r="S8" i="63"/>
  <c r="S9" i="63"/>
  <c r="S11" i="63"/>
  <c r="S12" i="63"/>
  <c r="S7" i="63"/>
  <c r="S10" i="63"/>
  <c r="G82" i="63"/>
  <c r="I82" i="63"/>
  <c r="K82" i="63" s="1"/>
  <c r="K10" i="63"/>
  <c r="K32" i="63"/>
  <c r="K40" i="63"/>
  <c r="K71" i="63"/>
  <c r="K73" i="63"/>
  <c r="D62" i="32"/>
  <c r="D65" i="32"/>
  <c r="D84" i="5"/>
  <c r="J80" i="63"/>
  <c r="D13" i="6"/>
  <c r="D15" i="6" s="1"/>
  <c r="D17" i="6"/>
  <c r="E11" i="6" s="1"/>
  <c r="O15" i="63"/>
  <c r="Q15" i="63" s="1"/>
  <c r="E80" i="63"/>
  <c r="E82" i="63" s="1"/>
  <c r="D52" i="32"/>
  <c r="C86" i="43" s="1"/>
  <c r="D71" i="5"/>
  <c r="C72" i="5"/>
  <c r="C73" i="5"/>
  <c r="C74" i="5"/>
  <c r="C82" i="43"/>
  <c r="D21" i="64"/>
  <c r="C53" i="32" l="1"/>
  <c r="D29" i="64"/>
  <c r="E29" i="64" s="1"/>
  <c r="F29" i="64" s="1"/>
  <c r="R15" i="63"/>
  <c r="S15" i="63"/>
  <c r="G84" i="63"/>
  <c r="G88" i="63"/>
  <c r="G89" i="63"/>
  <c r="E88" i="63"/>
  <c r="E84" i="63"/>
  <c r="E21" i="64"/>
  <c r="D22" i="64"/>
  <c r="D24" i="64" s="1"/>
  <c r="E13" i="6"/>
  <c r="E15" i="6" s="1"/>
  <c r="H78" i="5" s="1"/>
  <c r="H101" i="5" s="1"/>
  <c r="E17" i="6"/>
  <c r="F11" i="6" s="1"/>
  <c r="G78" i="5"/>
  <c r="I84" i="63"/>
  <c r="C67" i="1" s="1"/>
  <c r="I88" i="63"/>
  <c r="L89" i="63"/>
  <c r="J82" i="63"/>
  <c r="F28" i="43"/>
  <c r="C55" i="32"/>
  <c r="C54" i="32"/>
  <c r="C75" i="5"/>
  <c r="C56" i="32" l="1"/>
  <c r="G101" i="5"/>
  <c r="G89" i="5"/>
  <c r="P16" i="63"/>
  <c r="K84" i="63"/>
  <c r="I85" i="63"/>
  <c r="I90" i="63"/>
  <c r="H81" i="5"/>
  <c r="D26" i="64"/>
  <c r="D37" i="64"/>
  <c r="J84" i="63"/>
  <c r="G81" i="5"/>
  <c r="G29" i="64"/>
  <c r="F21" i="64"/>
  <c r="E22" i="64"/>
  <c r="E24" i="64" s="1"/>
  <c r="D66" i="63"/>
  <c r="E89" i="63"/>
  <c r="D69" i="63"/>
  <c r="J89" i="63"/>
  <c r="K89" i="63"/>
  <c r="F13" i="6"/>
  <c r="F15" i="6" s="1"/>
  <c r="I78" i="5" s="1"/>
  <c r="I101" i="5" s="1"/>
  <c r="F17" i="6"/>
  <c r="G11" i="6" s="1"/>
  <c r="C55" i="1" l="1"/>
  <c r="G95" i="5"/>
  <c r="G98" i="5" s="1"/>
  <c r="G107" i="5"/>
  <c r="H89" i="5"/>
  <c r="O16" i="63"/>
  <c r="R16" i="63" s="1"/>
  <c r="F88" i="5"/>
  <c r="C40" i="41" s="1"/>
  <c r="H100" i="5"/>
  <c r="G100" i="5"/>
  <c r="J90" i="63"/>
  <c r="I93" i="63"/>
  <c r="K90" i="63"/>
  <c r="D38" i="64"/>
  <c r="P62" i="1"/>
  <c r="F25" i="43" s="1"/>
  <c r="G17" i="6"/>
  <c r="H11" i="6" s="1"/>
  <c r="G13" i="6"/>
  <c r="G15" i="6" s="1"/>
  <c r="J78" i="5" s="1"/>
  <c r="C56" i="1"/>
  <c r="E90" i="63"/>
  <c r="O17" i="63" s="1"/>
  <c r="S17" i="63" s="1"/>
  <c r="I81" i="5"/>
  <c r="G21" i="64"/>
  <c r="F22" i="64"/>
  <c r="F24" i="64" s="1"/>
  <c r="E37" i="64"/>
  <c r="E26" i="64"/>
  <c r="H29" i="64"/>
  <c r="O40" i="41" l="1"/>
  <c r="C44" i="41"/>
  <c r="F95" i="5"/>
  <c r="F98" i="5" s="1"/>
  <c r="D78" i="32" s="1"/>
  <c r="D69" i="32"/>
  <c r="D76" i="32" s="1"/>
  <c r="J101" i="5"/>
  <c r="G106" i="5"/>
  <c r="G109" i="5" s="1"/>
  <c r="G117" i="5"/>
  <c r="H95" i="5"/>
  <c r="H98" i="5" s="1"/>
  <c r="H117" i="5" s="1"/>
  <c r="H107" i="5"/>
  <c r="S16" i="63"/>
  <c r="Q16" i="63"/>
  <c r="D88" i="5"/>
  <c r="I89" i="5"/>
  <c r="D54" i="1"/>
  <c r="I94" i="63"/>
  <c r="J94" i="63" s="1"/>
  <c r="I100" i="5"/>
  <c r="R17" i="63"/>
  <c r="O18" i="63"/>
  <c r="E93" i="63"/>
  <c r="G90" i="63"/>
  <c r="P17" i="63" s="1"/>
  <c r="J81" i="5"/>
  <c r="H17" i="6"/>
  <c r="I11" i="6" s="1"/>
  <c r="H13" i="6"/>
  <c r="H15" i="6" s="1"/>
  <c r="K78" i="5" s="1"/>
  <c r="K101" i="5" s="1"/>
  <c r="E38" i="64"/>
  <c r="F37" i="64"/>
  <c r="F26" i="64"/>
  <c r="I29" i="64"/>
  <c r="H21" i="64"/>
  <c r="G22" i="64"/>
  <c r="G24" i="64" s="1"/>
  <c r="F106" i="5" l="1"/>
  <c r="F109" i="5" s="1"/>
  <c r="I95" i="63"/>
  <c r="J95" i="63" s="1"/>
  <c r="H106" i="5"/>
  <c r="H109" i="5" s="1"/>
  <c r="I95" i="5"/>
  <c r="I107" i="5"/>
  <c r="E54" i="1"/>
  <c r="J89" i="5"/>
  <c r="P18" i="63"/>
  <c r="Q17" i="63"/>
  <c r="Q18" i="63" s="1"/>
  <c r="G93" i="63"/>
  <c r="J100" i="5"/>
  <c r="R18" i="63"/>
  <c r="S18" i="63"/>
  <c r="D29" i="1"/>
  <c r="E29" i="1" s="1"/>
  <c r="D30" i="1"/>
  <c r="E30" i="1" s="1"/>
  <c r="D30" i="64"/>
  <c r="K81" i="5"/>
  <c r="I17" i="6"/>
  <c r="J11" i="6" s="1"/>
  <c r="I13" i="6"/>
  <c r="I15" i="6" s="1"/>
  <c r="I21" i="64"/>
  <c r="I22" i="64" s="1"/>
  <c r="I24" i="64" s="1"/>
  <c r="H22" i="64"/>
  <c r="H24" i="64" s="1"/>
  <c r="G26" i="64"/>
  <c r="G37" i="64"/>
  <c r="F38" i="64"/>
  <c r="D31" i="64"/>
  <c r="E31" i="64" s="1"/>
  <c r="F31" i="64" s="1"/>
  <c r="G31" i="64" s="1"/>
  <c r="H31" i="64" s="1"/>
  <c r="I31" i="64" s="1"/>
  <c r="D7" i="43"/>
  <c r="D56" i="1"/>
  <c r="E7" i="43" s="1"/>
  <c r="E56" i="1"/>
  <c r="F7" i="43" s="1"/>
  <c r="I98" i="5" l="1"/>
  <c r="J95" i="5"/>
  <c r="J98" i="5" s="1"/>
  <c r="J117" i="5" s="1"/>
  <c r="J107" i="5"/>
  <c r="K89" i="5"/>
  <c r="K107" i="5" s="1"/>
  <c r="K100" i="5"/>
  <c r="G38" i="64"/>
  <c r="D32" i="64"/>
  <c r="D33" i="64" s="1"/>
  <c r="D6" i="43"/>
  <c r="D55" i="1"/>
  <c r="E6" i="43" s="1"/>
  <c r="E55" i="1"/>
  <c r="F6" i="43" s="1"/>
  <c r="G95" i="63"/>
  <c r="E95" i="63" s="1"/>
  <c r="G94" i="63"/>
  <c r="E94" i="63" s="1"/>
  <c r="D5" i="43"/>
  <c r="C53" i="1"/>
  <c r="E5" i="43"/>
  <c r="F5" i="43"/>
  <c r="L78" i="5"/>
  <c r="H37" i="64"/>
  <c r="H26" i="64"/>
  <c r="J13" i="6"/>
  <c r="J15" i="6" s="1"/>
  <c r="M78" i="5" s="1"/>
  <c r="M101" i="5" s="1"/>
  <c r="J17" i="6"/>
  <c r="K11" i="6" s="1"/>
  <c r="I37" i="64"/>
  <c r="I26" i="64"/>
  <c r="I106" i="5" l="1"/>
  <c r="I109" i="5" s="1"/>
  <c r="I117" i="5"/>
  <c r="L101" i="5"/>
  <c r="J106" i="5"/>
  <c r="J109" i="5" s="1"/>
  <c r="K95" i="5"/>
  <c r="K98" i="5" s="1"/>
  <c r="L89" i="5"/>
  <c r="I38" i="64"/>
  <c r="L81" i="5"/>
  <c r="M81" i="5"/>
  <c r="H38" i="64"/>
  <c r="K13" i="6"/>
  <c r="K15" i="6" s="1"/>
  <c r="N78" i="5" s="1"/>
  <c r="N101" i="5" s="1"/>
  <c r="K17" i="6"/>
  <c r="L11" i="6" s="1"/>
  <c r="D4" i="43"/>
  <c r="D53" i="1"/>
  <c r="E4" i="43" s="1"/>
  <c r="C59" i="1"/>
  <c r="C60" i="1" s="1"/>
  <c r="E53" i="1"/>
  <c r="F4" i="43" s="1"/>
  <c r="L95" i="5" l="1"/>
  <c r="L98" i="5" s="1"/>
  <c r="L107" i="5"/>
  <c r="K117" i="5"/>
  <c r="K106" i="5"/>
  <c r="K109" i="5" s="1"/>
  <c r="M89" i="5"/>
  <c r="M107" i="5" s="1"/>
  <c r="L100" i="5"/>
  <c r="M100" i="5"/>
  <c r="D10" i="43"/>
  <c r="D59" i="1"/>
  <c r="E10" i="43" s="1"/>
  <c r="E59" i="1"/>
  <c r="F10" i="43" s="1"/>
  <c r="L13" i="6"/>
  <c r="L15" i="6" s="1"/>
  <c r="O78" i="5" s="1"/>
  <c r="O101" i="5" s="1"/>
  <c r="L17" i="6"/>
  <c r="M11" i="6" s="1"/>
  <c r="N81" i="5"/>
  <c r="L106" i="5" l="1"/>
  <c r="L109" i="5" s="1"/>
  <c r="L117" i="5"/>
  <c r="N89" i="5"/>
  <c r="O89" i="5" s="1"/>
  <c r="M95" i="5"/>
  <c r="M98" i="5" s="1"/>
  <c r="N100" i="5"/>
  <c r="M13" i="6"/>
  <c r="M15" i="6" s="1"/>
  <c r="P78" i="5" s="1"/>
  <c r="P101" i="5" s="1"/>
  <c r="M17" i="6"/>
  <c r="N11" i="6" s="1"/>
  <c r="O81" i="5"/>
  <c r="O95" i="5" l="1"/>
  <c r="O98" i="5" s="1"/>
  <c r="O106" i="5" s="1"/>
  <c r="O107" i="5"/>
  <c r="N95" i="5"/>
  <c r="N98" i="5" s="1"/>
  <c r="N106" i="5" s="1"/>
  <c r="N107" i="5"/>
  <c r="M117" i="5"/>
  <c r="M106" i="5"/>
  <c r="M109" i="5" s="1"/>
  <c r="P89" i="5"/>
  <c r="Q89" i="5" s="1"/>
  <c r="O100" i="5"/>
  <c r="N13" i="6"/>
  <c r="N15" i="6" s="1"/>
  <c r="Q78" i="5" s="1"/>
  <c r="Q101" i="5" s="1"/>
  <c r="N17" i="6"/>
  <c r="O11" i="6" s="1"/>
  <c r="P81" i="5"/>
  <c r="N117" i="5" l="1"/>
  <c r="N109" i="5"/>
  <c r="O109" i="5"/>
  <c r="Q95" i="5"/>
  <c r="P95" i="5"/>
  <c r="P98" i="5" s="1"/>
  <c r="P107" i="5"/>
  <c r="O117" i="5"/>
  <c r="R89" i="5"/>
  <c r="P100" i="5"/>
  <c r="O13" i="6"/>
  <c r="O15" i="6" s="1"/>
  <c r="O17" i="6"/>
  <c r="P11" i="6" s="1"/>
  <c r="Q81" i="5"/>
  <c r="Q107" i="5" s="1"/>
  <c r="P106" i="5" l="1"/>
  <c r="P109" i="5" s="1"/>
  <c r="P117" i="5"/>
  <c r="Q98" i="5"/>
  <c r="Q106" i="5" s="1"/>
  <c r="Q109" i="5" s="1"/>
  <c r="R95" i="5"/>
  <c r="S89" i="5"/>
  <c r="Q100" i="5"/>
  <c r="P13" i="6"/>
  <c r="P15" i="6" s="1"/>
  <c r="S78" i="5" s="1"/>
  <c r="P17" i="6"/>
  <c r="Q11" i="6" s="1"/>
  <c r="R78" i="5"/>
  <c r="R101" i="5" s="1"/>
  <c r="D41" i="1"/>
  <c r="J22" i="43" s="1"/>
  <c r="C41" i="1"/>
  <c r="I22" i="43" s="1"/>
  <c r="S101" i="5" l="1"/>
  <c r="Q117" i="5"/>
  <c r="S95" i="5"/>
  <c r="T89" i="5"/>
  <c r="Q13" i="6"/>
  <c r="Q15" i="6" s="1"/>
  <c r="T78" i="5" s="1"/>
  <c r="T101" i="5" s="1"/>
  <c r="Q17" i="6"/>
  <c r="R11" i="6" s="1"/>
  <c r="S81" i="5"/>
  <c r="R81" i="5"/>
  <c r="S98" i="5" l="1"/>
  <c r="S106" i="5" s="1"/>
  <c r="S107" i="5"/>
  <c r="R98" i="5"/>
  <c r="R106" i="5" s="1"/>
  <c r="R107" i="5"/>
  <c r="T95" i="5"/>
  <c r="U89" i="5"/>
  <c r="R100" i="5"/>
  <c r="S100" i="5"/>
  <c r="E30" i="64"/>
  <c r="E32" i="64" s="1"/>
  <c r="E33" i="64" s="1"/>
  <c r="R13" i="6"/>
  <c r="R15" i="6" s="1"/>
  <c r="U78" i="5" s="1"/>
  <c r="U101" i="5" s="1"/>
  <c r="R17" i="6"/>
  <c r="S11" i="6" s="1"/>
  <c r="T81" i="5"/>
  <c r="T107" i="5" s="1"/>
  <c r="S117" i="5" l="1"/>
  <c r="S109" i="5"/>
  <c r="R117" i="5"/>
  <c r="R109" i="5"/>
  <c r="T98" i="5"/>
  <c r="U95" i="5"/>
  <c r="V89" i="5"/>
  <c r="T100" i="5"/>
  <c r="S13" i="6"/>
  <c r="S15" i="6" s="1"/>
  <c r="V78" i="5" s="1"/>
  <c r="V101" i="5" s="1"/>
  <c r="S17" i="6"/>
  <c r="T11" i="6" s="1"/>
  <c r="U81" i="5"/>
  <c r="U107" i="5" s="1"/>
  <c r="T106" i="5" l="1"/>
  <c r="T109" i="5" s="1"/>
  <c r="T117" i="5"/>
  <c r="V95" i="5"/>
  <c r="U98" i="5"/>
  <c r="U106" i="5" s="1"/>
  <c r="U109" i="5" s="1"/>
  <c r="W89" i="5"/>
  <c r="U100" i="5"/>
  <c r="V81" i="5"/>
  <c r="V98" i="5" s="1"/>
  <c r="V106" i="5" s="1"/>
  <c r="T13" i="6"/>
  <c r="T15" i="6" s="1"/>
  <c r="W78" i="5" s="1"/>
  <c r="W101" i="5" s="1"/>
  <c r="T17" i="6"/>
  <c r="U11" i="6" s="1"/>
  <c r="V107" i="5" l="1"/>
  <c r="V109" i="5" s="1"/>
  <c r="U117" i="5"/>
  <c r="W95" i="5"/>
  <c r="X89" i="5"/>
  <c r="V117" i="5"/>
  <c r="V100" i="5"/>
  <c r="U13" i="6"/>
  <c r="U15" i="6" s="1"/>
  <c r="X78" i="5" s="1"/>
  <c r="X101" i="5" s="1"/>
  <c r="U17" i="6"/>
  <c r="V11" i="6" s="1"/>
  <c r="W81" i="5"/>
  <c r="W107" i="5" s="1"/>
  <c r="X95" i="5" l="1"/>
  <c r="W98" i="5"/>
  <c r="Y89" i="5"/>
  <c r="W100" i="5"/>
  <c r="V13" i="6"/>
  <c r="V15" i="6" s="1"/>
  <c r="Y78" i="5" s="1"/>
  <c r="Y101" i="5" s="1"/>
  <c r="V17" i="6"/>
  <c r="W11" i="6" s="1"/>
  <c r="X81" i="5"/>
  <c r="X107" i="5" s="1"/>
  <c r="W106" i="5" l="1"/>
  <c r="W109" i="5" s="1"/>
  <c r="W117" i="5"/>
  <c r="X98" i="5"/>
  <c r="X106" i="5" s="1"/>
  <c r="X109" i="5" s="1"/>
  <c r="Y95" i="5"/>
  <c r="Y107" i="5"/>
  <c r="Z89" i="5"/>
  <c r="X100" i="5"/>
  <c r="W17" i="6"/>
  <c r="X11" i="6" s="1"/>
  <c r="W13" i="6"/>
  <c r="W15" i="6" s="1"/>
  <c r="Z78" i="5" s="1"/>
  <c r="Z101" i="5" s="1"/>
  <c r="Y81" i="5"/>
  <c r="X117" i="5" l="1"/>
  <c r="Z95" i="5"/>
  <c r="Y98" i="5"/>
  <c r="AA89" i="5"/>
  <c r="Y100" i="5"/>
  <c r="X17" i="6"/>
  <c r="Y11" i="6" s="1"/>
  <c r="X13" i="6"/>
  <c r="X15" i="6" s="1"/>
  <c r="AA78" i="5" s="1"/>
  <c r="AA101" i="5" s="1"/>
  <c r="Z81" i="5"/>
  <c r="Z107" i="5" s="1"/>
  <c r="Y106" i="5" l="1"/>
  <c r="Y109" i="5" s="1"/>
  <c r="Y117" i="5"/>
  <c r="AA95" i="5"/>
  <c r="Z98" i="5"/>
  <c r="Z106" i="5" s="1"/>
  <c r="Z109" i="5" s="1"/>
  <c r="AB89" i="5"/>
  <c r="Z100" i="5"/>
  <c r="Y17" i="6"/>
  <c r="Z11" i="6" s="1"/>
  <c r="Y13" i="6"/>
  <c r="Y15" i="6" s="1"/>
  <c r="AB78" i="5" s="1"/>
  <c r="AB101" i="5" s="1"/>
  <c r="AA81" i="5"/>
  <c r="AA107" i="5" s="1"/>
  <c r="Z117" i="5" l="1"/>
  <c r="AB95" i="5"/>
  <c r="AA98" i="5"/>
  <c r="AC89" i="5"/>
  <c r="AA100" i="5"/>
  <c r="Z13" i="6"/>
  <c r="Z15" i="6" s="1"/>
  <c r="AC78" i="5" s="1"/>
  <c r="AC101" i="5" s="1"/>
  <c r="Z17" i="6"/>
  <c r="AA11" i="6" s="1"/>
  <c r="AA16" i="6" s="1"/>
  <c r="AB81" i="5"/>
  <c r="AB107" i="5" s="1"/>
  <c r="AA106" i="5" l="1"/>
  <c r="AA109" i="5" s="1"/>
  <c r="AA117" i="5"/>
  <c r="AC95" i="5"/>
  <c r="AB98" i="5"/>
  <c r="AB106" i="5" s="1"/>
  <c r="AB109" i="5" s="1"/>
  <c r="AD89" i="5"/>
  <c r="AB100" i="5"/>
  <c r="AA19" i="6"/>
  <c r="AD86" i="5" s="1"/>
  <c r="AD108" i="5" s="1"/>
  <c r="AD87" i="5"/>
  <c r="F68" i="32" s="1"/>
  <c r="AA13" i="6"/>
  <c r="AA15" i="6" s="1"/>
  <c r="AD78" i="5" s="1"/>
  <c r="AD101" i="5" s="1"/>
  <c r="AA17" i="6"/>
  <c r="AB11" i="6" s="1"/>
  <c r="AC81" i="5"/>
  <c r="AC107" i="5" s="1"/>
  <c r="AB117" i="5" l="1"/>
  <c r="AE89" i="5"/>
  <c r="AC98" i="5"/>
  <c r="AC106" i="5" s="1"/>
  <c r="AC109" i="5" s="1"/>
  <c r="AD95" i="5"/>
  <c r="AC100" i="5"/>
  <c r="F67" i="32"/>
  <c r="AD81" i="5"/>
  <c r="AD107" i="5" s="1"/>
  <c r="AB13" i="6"/>
  <c r="AB15" i="6" s="1"/>
  <c r="AF89" i="5" l="1"/>
  <c r="AF95" i="5" s="1"/>
  <c r="AC117" i="5"/>
  <c r="AE95" i="5"/>
  <c r="AD98" i="5"/>
  <c r="AD106" i="5" s="1"/>
  <c r="AD109" i="5" s="1"/>
  <c r="AG89" i="5"/>
  <c r="AD100" i="5"/>
  <c r="AE78" i="5"/>
  <c r="AB14" i="6"/>
  <c r="AB17" i="6" s="1"/>
  <c r="AC11" i="6" s="1"/>
  <c r="AC13" i="6" s="1"/>
  <c r="AC15" i="6" s="1"/>
  <c r="AD117" i="5" l="1"/>
  <c r="AG95" i="5"/>
  <c r="AE81" i="5"/>
  <c r="AE101" i="5"/>
  <c r="AH89" i="5"/>
  <c r="AE100" i="5"/>
  <c r="AF78" i="5"/>
  <c r="AC14" i="6"/>
  <c r="AC17" i="6" s="1"/>
  <c r="AD11" i="6" s="1"/>
  <c r="AD13" i="6" s="1"/>
  <c r="AD15" i="6" s="1"/>
  <c r="AE98" i="5" l="1"/>
  <c r="AE107" i="5"/>
  <c r="AH95" i="5"/>
  <c r="AF81" i="5"/>
  <c r="AF101" i="5"/>
  <c r="AI89" i="5"/>
  <c r="AG78" i="5"/>
  <c r="AG101" i="5" s="1"/>
  <c r="AD14" i="6"/>
  <c r="AD17" i="6" s="1"/>
  <c r="AE11" i="6" s="1"/>
  <c r="AE13" i="6" s="1"/>
  <c r="AE15" i="6" s="1"/>
  <c r="AE106" i="5" l="1"/>
  <c r="AE109" i="5" s="1"/>
  <c r="AE117" i="5"/>
  <c r="AF98" i="5"/>
  <c r="AF106" i="5" s="1"/>
  <c r="AF107" i="5"/>
  <c r="AF100" i="5"/>
  <c r="AI95" i="5"/>
  <c r="AJ89" i="5"/>
  <c r="AG81" i="5"/>
  <c r="AH78" i="5"/>
  <c r="AE14" i="6"/>
  <c r="AE17" i="6" s="1"/>
  <c r="AF11" i="6" s="1"/>
  <c r="AF13" i="6" s="1"/>
  <c r="AF15" i="6" s="1"/>
  <c r="AH81" i="5"/>
  <c r="AF117" i="5" l="1"/>
  <c r="AH98" i="5"/>
  <c r="AH106" i="5" s="1"/>
  <c r="AH107" i="5"/>
  <c r="AG98" i="5"/>
  <c r="AG107" i="5"/>
  <c r="AH101" i="5"/>
  <c r="AF109" i="5"/>
  <c r="AJ95" i="5"/>
  <c r="AK89" i="5"/>
  <c r="AH100" i="5"/>
  <c r="AG100" i="5"/>
  <c r="AI78" i="5"/>
  <c r="AI101" i="5" s="1"/>
  <c r="AF14" i="6"/>
  <c r="AF17" i="6" s="1"/>
  <c r="AG11" i="6" s="1"/>
  <c r="AH117" i="5" l="1"/>
  <c r="AG106" i="5"/>
  <c r="AG109" i="5" s="1"/>
  <c r="AG117" i="5"/>
  <c r="AH109" i="5"/>
  <c r="AK95" i="5"/>
  <c r="AI81" i="5"/>
  <c r="AL89" i="5"/>
  <c r="AI100" i="5"/>
  <c r="AG13" i="6"/>
  <c r="AG15" i="6" s="1"/>
  <c r="AI98" i="5" l="1"/>
  <c r="AI107" i="5"/>
  <c r="AL95" i="5"/>
  <c r="AM89" i="5"/>
  <c r="AJ78" i="5"/>
  <c r="AJ101" i="5" s="1"/>
  <c r="AG14" i="6"/>
  <c r="AG17" i="6" s="1"/>
  <c r="AH11" i="6" s="1"/>
  <c r="AI106" i="5" l="1"/>
  <c r="AI109" i="5" s="1"/>
  <c r="AI117" i="5"/>
  <c r="AM95" i="5"/>
  <c r="AN89" i="5"/>
  <c r="AJ81" i="5"/>
  <c r="AH13" i="6"/>
  <c r="AH15" i="6" s="1"/>
  <c r="AJ98" i="5" l="1"/>
  <c r="AJ107" i="5"/>
  <c r="AN95" i="5"/>
  <c r="AO89" i="5"/>
  <c r="AJ100" i="5"/>
  <c r="AK78" i="5"/>
  <c r="AK101" i="5" s="1"/>
  <c r="AH14" i="6"/>
  <c r="AH17" i="6" s="1"/>
  <c r="AI11" i="6" s="1"/>
  <c r="AJ106" i="5" l="1"/>
  <c r="AJ109" i="5" s="1"/>
  <c r="AJ117" i="5"/>
  <c r="AO95" i="5"/>
  <c r="AP89" i="5"/>
  <c r="AI13" i="6"/>
  <c r="AI15" i="6" s="1"/>
  <c r="AK81" i="5"/>
  <c r="AK98" i="5" l="1"/>
  <c r="AK107" i="5"/>
  <c r="AQ89" i="5"/>
  <c r="AK100" i="5"/>
  <c r="AL78" i="5"/>
  <c r="AL101" i="5" s="1"/>
  <c r="AI14" i="6"/>
  <c r="AI17" i="6" s="1"/>
  <c r="AJ11" i="6" s="1"/>
  <c r="AR89" i="5" l="1"/>
  <c r="AR95" i="5" s="1"/>
  <c r="AK106" i="5"/>
  <c r="AK109" i="5" s="1"/>
  <c r="AK117" i="5"/>
  <c r="AQ95" i="5"/>
  <c r="AJ13" i="6"/>
  <c r="AJ15" i="6" s="1"/>
  <c r="AL81" i="5"/>
  <c r="AN13" i="6"/>
  <c r="AN15" i="6" s="1"/>
  <c r="AS89" i="5" l="1"/>
  <c r="AS95" i="5" s="1"/>
  <c r="AL98" i="5"/>
  <c r="AL106" i="5" s="1"/>
  <c r="AL107" i="5"/>
  <c r="AT89" i="5"/>
  <c r="AL100" i="5"/>
  <c r="AM78" i="5"/>
  <c r="AM101" i="5" s="1"/>
  <c r="AJ14" i="6"/>
  <c r="AJ17" i="6" s="1"/>
  <c r="AK11" i="6" s="1"/>
  <c r="AQ78" i="5"/>
  <c r="AN14" i="6"/>
  <c r="AL117" i="5" l="1"/>
  <c r="AT95" i="5"/>
  <c r="AQ101" i="5"/>
  <c r="AL109" i="5"/>
  <c r="AU89" i="5"/>
  <c r="AU95" i="5" s="1"/>
  <c r="AK13" i="6"/>
  <c r="AK15" i="6" s="1"/>
  <c r="AM81" i="5"/>
  <c r="AO13" i="6"/>
  <c r="AO15" i="6" s="1"/>
  <c r="AR78" i="5" s="1"/>
  <c r="AR101" i="5" s="1"/>
  <c r="AQ81" i="5"/>
  <c r="AQ107" i="5" l="1"/>
  <c r="AM98" i="5"/>
  <c r="AM106" i="5" s="1"/>
  <c r="AM107" i="5"/>
  <c r="AQ98" i="5"/>
  <c r="AV89" i="5"/>
  <c r="AV95" i="5" s="1"/>
  <c r="AM100" i="5"/>
  <c r="AQ100" i="5"/>
  <c r="AN78" i="5"/>
  <c r="AN101" i="5" s="1"/>
  <c r="AK14" i="6"/>
  <c r="AK17" i="6" s="1"/>
  <c r="AL11" i="6" s="1"/>
  <c r="AR81" i="5"/>
  <c r="AR107" i="5" s="1"/>
  <c r="AO14" i="6"/>
  <c r="AQ106" i="5" l="1"/>
  <c r="AQ109" i="5" s="1"/>
  <c r="AM117" i="5"/>
  <c r="AM109" i="5"/>
  <c r="AQ117" i="5"/>
  <c r="AR98" i="5"/>
  <c r="AR106" i="5" s="1"/>
  <c r="AR109" i="5" s="1"/>
  <c r="AW89" i="5"/>
  <c r="AW95" i="5" s="1"/>
  <c r="AR100" i="5"/>
  <c r="AL13" i="6"/>
  <c r="AL15" i="6" s="1"/>
  <c r="AN81" i="5"/>
  <c r="AP13" i="6"/>
  <c r="AP15" i="6" s="1"/>
  <c r="AN98" i="5" l="1"/>
  <c r="AN106" i="5" s="1"/>
  <c r="AN107" i="5"/>
  <c r="AR117" i="5"/>
  <c r="AX89" i="5"/>
  <c r="AN100" i="5"/>
  <c r="AO78" i="5"/>
  <c r="AO101" i="5" s="1"/>
  <c r="AL14" i="6"/>
  <c r="AL17" i="6" s="1"/>
  <c r="AM11" i="6" s="1"/>
  <c r="AS78" i="5"/>
  <c r="AP14" i="6"/>
  <c r="AN117" i="5" l="1"/>
  <c r="AX95" i="5"/>
  <c r="AS101" i="5"/>
  <c r="AN109" i="5"/>
  <c r="AY89" i="5"/>
  <c r="AY95" i="5" s="1"/>
  <c r="AM13" i="6"/>
  <c r="AM15" i="6" s="1"/>
  <c r="AO81" i="5"/>
  <c r="AQ13" i="6"/>
  <c r="AQ15" i="6" s="1"/>
  <c r="AS81" i="5"/>
  <c r="AS107" i="5" l="1"/>
  <c r="AO98" i="5"/>
  <c r="AO106" i="5" s="1"/>
  <c r="AO107" i="5"/>
  <c r="AS98" i="5"/>
  <c r="AZ89" i="5"/>
  <c r="AZ95" i="5" s="1"/>
  <c r="AO100" i="5"/>
  <c r="AS100" i="5"/>
  <c r="AP78" i="5"/>
  <c r="AP101" i="5" s="1"/>
  <c r="AM14" i="6"/>
  <c r="AT78" i="5"/>
  <c r="AQ14" i="6"/>
  <c r="AS106" i="5" l="1"/>
  <c r="AS109" i="5" s="1"/>
  <c r="AO117" i="5"/>
  <c r="AT101" i="5"/>
  <c r="AO109" i="5"/>
  <c r="AS117" i="5"/>
  <c r="BA89" i="5"/>
  <c r="BA95" i="5" s="1"/>
  <c r="AM16" i="6"/>
  <c r="AP81" i="5"/>
  <c r="AP107" i="5" s="1"/>
  <c r="AR13" i="6"/>
  <c r="AR15" i="6" s="1"/>
  <c r="AT81" i="5"/>
  <c r="AT107" i="5" l="1"/>
  <c r="AT98" i="5"/>
  <c r="BB89" i="5"/>
  <c r="BC89" i="5" s="1"/>
  <c r="AP100" i="5"/>
  <c r="AT100" i="5"/>
  <c r="AM19" i="6"/>
  <c r="AP86" i="5" s="1"/>
  <c r="AP108" i="5" s="1"/>
  <c r="AP87" i="5"/>
  <c r="G68" i="32" s="1"/>
  <c r="AM17" i="6"/>
  <c r="AN11" i="6" s="1"/>
  <c r="AR14" i="6"/>
  <c r="AU78" i="5"/>
  <c r="AT106" i="5" l="1"/>
  <c r="AT109" i="5" s="1"/>
  <c r="AU101" i="5"/>
  <c r="BC95" i="5"/>
  <c r="BC98" i="5" s="1"/>
  <c r="BC107" i="5"/>
  <c r="AT117" i="5"/>
  <c r="AP95" i="5"/>
  <c r="AP98" i="5" s="1"/>
  <c r="AP106" i="5" s="1"/>
  <c r="AP109" i="5" s="1"/>
  <c r="BD89" i="5"/>
  <c r="AN17" i="6"/>
  <c r="AO11" i="6" s="1"/>
  <c r="G67" i="32"/>
  <c r="AU81" i="5"/>
  <c r="AS13" i="6"/>
  <c r="AS15" i="6" s="1"/>
  <c r="AU107" i="5" l="1"/>
  <c r="BC106" i="5"/>
  <c r="BC109" i="5" s="1"/>
  <c r="BC117" i="5"/>
  <c r="BD95" i="5"/>
  <c r="BD98" i="5" s="1"/>
  <c r="BD106" i="5" s="1"/>
  <c r="BD107" i="5"/>
  <c r="AP117" i="5"/>
  <c r="AU98" i="5"/>
  <c r="BE89" i="5"/>
  <c r="AU100" i="5"/>
  <c r="AO17" i="6"/>
  <c r="AP11" i="6" s="1"/>
  <c r="AV78" i="5"/>
  <c r="AS14" i="6"/>
  <c r="AU106" i="5" l="1"/>
  <c r="AU109" i="5" s="1"/>
  <c r="BD117" i="5"/>
  <c r="AV101" i="5"/>
  <c r="BE95" i="5"/>
  <c r="BE98" i="5" s="1"/>
  <c r="BE107" i="5"/>
  <c r="BD109" i="5"/>
  <c r="AU117" i="5"/>
  <c r="BF89" i="5"/>
  <c r="AP17" i="6"/>
  <c r="AQ11" i="6" s="1"/>
  <c r="AT13" i="6"/>
  <c r="AT15" i="6" s="1"/>
  <c r="AV81" i="5"/>
  <c r="AV107" i="5" l="1"/>
  <c r="BE106" i="5"/>
  <c r="BE109" i="5" s="1"/>
  <c r="BE117" i="5"/>
  <c r="BF95" i="5"/>
  <c r="BF98" i="5" s="1"/>
  <c r="BF106" i="5" s="1"/>
  <c r="BF107" i="5"/>
  <c r="AV98" i="5"/>
  <c r="BG89" i="5"/>
  <c r="AV100" i="5"/>
  <c r="AQ17" i="6"/>
  <c r="AR11" i="6" s="1"/>
  <c r="AW78" i="5"/>
  <c r="AW101" i="5" s="1"/>
  <c r="AT14" i="6"/>
  <c r="O39" i="1"/>
  <c r="O40" i="1" s="1"/>
  <c r="E62" i="32"/>
  <c r="F62" i="32"/>
  <c r="G62" i="32"/>
  <c r="AV106" i="5" l="1"/>
  <c r="AV109" i="5" s="1"/>
  <c r="BF117" i="5"/>
  <c r="BF109" i="5"/>
  <c r="BG95" i="5"/>
  <c r="BG98" i="5" s="1"/>
  <c r="BG107" i="5"/>
  <c r="AV117" i="5"/>
  <c r="BH89" i="5"/>
  <c r="AR17" i="6"/>
  <c r="AS11" i="6" s="1"/>
  <c r="AU13" i="6"/>
  <c r="AU15" i="6" s="1"/>
  <c r="AW81" i="5"/>
  <c r="AW107" i="5" s="1"/>
  <c r="BG106" i="5" l="1"/>
  <c r="BG109" i="5" s="1"/>
  <c r="BG117" i="5"/>
  <c r="BH95" i="5"/>
  <c r="BH98" i="5" s="1"/>
  <c r="BH106" i="5" s="1"/>
  <c r="BH107" i="5"/>
  <c r="AW98" i="5"/>
  <c r="AW106" i="5" s="1"/>
  <c r="BI89" i="5"/>
  <c r="AW100" i="5"/>
  <c r="AS17" i="6"/>
  <c r="AT11" i="6" s="1"/>
  <c r="AX78" i="5"/>
  <c r="AX101" i="5" s="1"/>
  <c r="AU14" i="6"/>
  <c r="BH117" i="5" l="1"/>
  <c r="BI95" i="5"/>
  <c r="BI98" i="5" s="1"/>
  <c r="BI107" i="5"/>
  <c r="BH109" i="5"/>
  <c r="AW117" i="5"/>
  <c r="AW109" i="5"/>
  <c r="BJ89" i="5"/>
  <c r="AT17" i="6"/>
  <c r="AU11" i="6" s="1"/>
  <c r="AV13" i="6"/>
  <c r="AV15" i="6" s="1"/>
  <c r="AX81" i="5"/>
  <c r="AX107" i="5" s="1"/>
  <c r="BI106" i="5" l="1"/>
  <c r="BI109" i="5" s="1"/>
  <c r="BI117" i="5"/>
  <c r="BJ95" i="5"/>
  <c r="BJ98" i="5" s="1"/>
  <c r="BJ106" i="5" s="1"/>
  <c r="BJ107" i="5"/>
  <c r="AX98" i="5"/>
  <c r="AX106" i="5" s="1"/>
  <c r="BK89" i="5"/>
  <c r="AX100" i="5"/>
  <c r="AU17" i="6"/>
  <c r="AV11" i="6" s="1"/>
  <c r="AY78" i="5"/>
  <c r="AY101" i="5" s="1"/>
  <c r="AV14" i="6"/>
  <c r="AV17" i="6" l="1"/>
  <c r="AW11" i="6" s="1"/>
  <c r="BJ117" i="5"/>
  <c r="BK95" i="5"/>
  <c r="BK98" i="5" s="1"/>
  <c r="BK107" i="5"/>
  <c r="BJ109" i="5"/>
  <c r="AX117" i="5"/>
  <c r="AX109" i="5"/>
  <c r="BL89" i="5"/>
  <c r="AW13" i="6"/>
  <c r="AW15" i="6" s="1"/>
  <c r="AY81" i="5"/>
  <c r="AY107" i="5" s="1"/>
  <c r="BK106" i="5" l="1"/>
  <c r="BK109" i="5" s="1"/>
  <c r="BK117" i="5"/>
  <c r="BL95" i="5"/>
  <c r="BL98" i="5" s="1"/>
  <c r="BL106" i="5" s="1"/>
  <c r="BL107" i="5"/>
  <c r="AY98" i="5"/>
  <c r="AY106" i="5" s="1"/>
  <c r="BM89" i="5"/>
  <c r="AY100" i="5"/>
  <c r="AW14" i="6"/>
  <c r="AW17" i="6" s="1"/>
  <c r="AX11" i="6" s="1"/>
  <c r="AZ78" i="5"/>
  <c r="AZ101" i="5" s="1"/>
  <c r="BL117" i="5" l="1"/>
  <c r="BM95" i="5"/>
  <c r="BM98" i="5" s="1"/>
  <c r="BM106" i="5" s="1"/>
  <c r="BM107" i="5"/>
  <c r="BL109" i="5"/>
  <c r="AY117" i="5"/>
  <c r="AY109" i="5"/>
  <c r="BN89" i="5"/>
  <c r="AZ81" i="5"/>
  <c r="AZ107" i="5" s="1"/>
  <c r="AX13" i="6"/>
  <c r="AX15" i="6" s="1"/>
  <c r="BM117" i="5" l="1"/>
  <c r="BO89" i="5"/>
  <c r="BP89" i="5" s="1"/>
  <c r="BP95" i="5" s="1"/>
  <c r="BP98" i="5" s="1"/>
  <c r="BP106" i="5" s="1"/>
  <c r="BP109" i="5" s="1"/>
  <c r="BN107" i="5"/>
  <c r="BM109" i="5"/>
  <c r="AZ98" i="5"/>
  <c r="AZ106" i="5" s="1"/>
  <c r="AZ100" i="5"/>
  <c r="BA78" i="5"/>
  <c r="BA101" i="5" s="1"/>
  <c r="AX14" i="6"/>
  <c r="AX17" i="6" s="1"/>
  <c r="AY11" i="6" s="1"/>
  <c r="BO95" i="5" l="1"/>
  <c r="BO98" i="5" s="1"/>
  <c r="BO106" i="5" s="1"/>
  <c r="BO109" i="5" s="1"/>
  <c r="AZ117" i="5"/>
  <c r="AZ109" i="5"/>
  <c r="BQ89" i="5"/>
  <c r="BQ95" i="5" s="1"/>
  <c r="BQ98" i="5" s="1"/>
  <c r="BQ106" i="5" s="1"/>
  <c r="BQ109" i="5" s="1"/>
  <c r="AY13" i="6"/>
  <c r="AY15" i="6" s="1"/>
  <c r="H36" i="1"/>
  <c r="BA81" i="5"/>
  <c r="BA107" i="5" s="1"/>
  <c r="BO117" i="5" l="1"/>
  <c r="BA98" i="5"/>
  <c r="BA106" i="5" s="1"/>
  <c r="BP117" i="5"/>
  <c r="BR89" i="5"/>
  <c r="BA100" i="5"/>
  <c r="BB78" i="5"/>
  <c r="AY14" i="6"/>
  <c r="BB101" i="5" l="1"/>
  <c r="E59" i="32"/>
  <c r="F59" i="32"/>
  <c r="G59" i="32"/>
  <c r="H59" i="32"/>
  <c r="BR95" i="5"/>
  <c r="BR98" i="5" s="1"/>
  <c r="BR106" i="5" s="1"/>
  <c r="BR109" i="5" s="1"/>
  <c r="BA117" i="5"/>
  <c r="BA109" i="5"/>
  <c r="BQ117" i="5"/>
  <c r="BS89" i="5"/>
  <c r="BS95" i="5" s="1"/>
  <c r="BS98" i="5" s="1"/>
  <c r="BS106" i="5" s="1"/>
  <c r="BS109" i="5" s="1"/>
  <c r="AY16" i="6"/>
  <c r="AY17" i="6" s="1"/>
  <c r="AZ11" i="6" s="1"/>
  <c r="BB81" i="5"/>
  <c r="D78" i="5"/>
  <c r="BB107" i="5" l="1"/>
  <c r="D107" i="5" s="1"/>
  <c r="BR117" i="5"/>
  <c r="BT89" i="5"/>
  <c r="BB100" i="5"/>
  <c r="AZ17" i="6"/>
  <c r="BA11" i="6" s="1"/>
  <c r="O59" i="1"/>
  <c r="P59" i="1"/>
  <c r="H62" i="32"/>
  <c r="D81" i="5"/>
  <c r="AY19" i="6"/>
  <c r="BB86" i="5" s="1"/>
  <c r="BB87" i="5"/>
  <c r="H68" i="32" s="1"/>
  <c r="P57" i="1" l="1"/>
  <c r="BT95" i="5"/>
  <c r="BT98" i="5" s="1"/>
  <c r="BT106" i="5" s="1"/>
  <c r="BT109" i="5" s="1"/>
  <c r="BB95" i="5"/>
  <c r="BB98" i="5" s="1"/>
  <c r="BB106" i="5" s="1"/>
  <c r="BB108" i="5"/>
  <c r="BS117" i="5"/>
  <c r="BU89" i="5"/>
  <c r="BU95" i="5" s="1"/>
  <c r="BU98" i="5" s="1"/>
  <c r="BU106" i="5" s="1"/>
  <c r="BU109" i="5" s="1"/>
  <c r="O57" i="1"/>
  <c r="H67" i="32"/>
  <c r="BA17" i="6"/>
  <c r="BB11" i="6" s="1"/>
  <c r="E78" i="32"/>
  <c r="F78" i="32"/>
  <c r="G78" i="32"/>
  <c r="BB109" i="5" l="1"/>
  <c r="BB117" i="5"/>
  <c r="BT117" i="5"/>
  <c r="H78" i="32"/>
  <c r="BV89" i="5"/>
  <c r="BV95" i="5" s="1"/>
  <c r="BV98" i="5" s="1"/>
  <c r="BV106" i="5" s="1"/>
  <c r="BV109" i="5" s="1"/>
  <c r="BB17" i="6"/>
  <c r="BC11" i="6" s="1"/>
  <c r="BU117" i="5" l="1"/>
  <c r="BW89" i="5"/>
  <c r="BC17" i="6"/>
  <c r="BD11" i="6" s="1"/>
  <c r="BW95" i="5" l="1"/>
  <c r="BW98" i="5" s="1"/>
  <c r="BW106" i="5" s="1"/>
  <c r="BW109" i="5" s="1"/>
  <c r="BV117" i="5"/>
  <c r="BX89" i="5"/>
  <c r="BX95" i="5" s="1"/>
  <c r="BX98" i="5" s="1"/>
  <c r="BX106" i="5" s="1"/>
  <c r="BX109" i="5" s="1"/>
  <c r="BD17" i="6"/>
  <c r="BE11" i="6" s="1"/>
  <c r="BW117" i="5" l="1"/>
  <c r="BY89" i="5"/>
  <c r="BY95" i="5" s="1"/>
  <c r="BY98" i="5" s="1"/>
  <c r="BY106" i="5" s="1"/>
  <c r="BY109" i="5" s="1"/>
  <c r="BE17" i="6"/>
  <c r="BF11" i="6" s="1"/>
  <c r="BX117" i="5" l="1"/>
  <c r="BZ89" i="5"/>
  <c r="BZ95" i="5" s="1"/>
  <c r="BZ98" i="5" s="1"/>
  <c r="BZ106" i="5" s="1"/>
  <c r="BZ109" i="5" s="1"/>
  <c r="BF17" i="6"/>
  <c r="BG11" i="6" s="1"/>
  <c r="BY117" i="5" l="1"/>
  <c r="CA89" i="5"/>
  <c r="BG17" i="6"/>
  <c r="BH11" i="6" s="1"/>
  <c r="CA95" i="5" l="1"/>
  <c r="CA98" i="5" s="1"/>
  <c r="CA106" i="5" s="1"/>
  <c r="CA109" i="5" s="1"/>
  <c r="BZ117" i="5"/>
  <c r="CB89" i="5"/>
  <c r="CB95" i="5" s="1"/>
  <c r="CB98" i="5" s="1"/>
  <c r="CB106" i="5" s="1"/>
  <c r="CB109" i="5" s="1"/>
  <c r="BH17" i="6"/>
  <c r="BI11" i="6" s="1"/>
  <c r="CA117" i="5" l="1"/>
  <c r="CC89" i="5"/>
  <c r="BI17" i="6"/>
  <c r="BJ11" i="6" s="1"/>
  <c r="CC95" i="5" l="1"/>
  <c r="CC98" i="5" s="1"/>
  <c r="CC106" i="5" s="1"/>
  <c r="CC109" i="5" s="1"/>
  <c r="CB117" i="5"/>
  <c r="CD89" i="5"/>
  <c r="CD95" i="5" s="1"/>
  <c r="CD98" i="5" s="1"/>
  <c r="CD106" i="5" s="1"/>
  <c r="CD109" i="5" s="1"/>
  <c r="BJ17" i="6"/>
  <c r="BK11" i="6" s="1"/>
  <c r="CC117" i="5" l="1"/>
  <c r="CE89" i="5"/>
  <c r="BK16" i="6"/>
  <c r="O58" i="1"/>
  <c r="CE95" i="5" l="1"/>
  <c r="CE98" i="5" s="1"/>
  <c r="CE106" i="5" s="1"/>
  <c r="CE109" i="5" s="1"/>
  <c r="CD117" i="5"/>
  <c r="CF89" i="5"/>
  <c r="CF95" i="5" s="1"/>
  <c r="CF98" i="5" s="1"/>
  <c r="CF106" i="5" s="1"/>
  <c r="CF109" i="5" s="1"/>
  <c r="BK17" i="6"/>
  <c r="BL11" i="6" s="1"/>
  <c r="BN87" i="5"/>
  <c r="BK19" i="6"/>
  <c r="BN86" i="5" s="1"/>
  <c r="P58" i="1"/>
  <c r="BN95" i="5" l="1"/>
  <c r="BN98" i="5" s="1"/>
  <c r="BN108" i="5"/>
  <c r="D108" i="5" s="1"/>
  <c r="CE117" i="5"/>
  <c r="CG89" i="5"/>
  <c r="I67" i="32"/>
  <c r="D86" i="5"/>
  <c r="D87" i="5"/>
  <c r="P53" i="1" s="1"/>
  <c r="I68" i="32"/>
  <c r="BL17" i="6"/>
  <c r="BM11" i="6" s="1"/>
  <c r="BM17" i="6" s="1"/>
  <c r="BN11" i="6" s="1"/>
  <c r="BN17" i="6" s="1"/>
  <c r="BO11" i="6" s="1"/>
  <c r="BO17" i="6" s="1"/>
  <c r="BP11" i="6" s="1"/>
  <c r="BP17" i="6" s="1"/>
  <c r="BQ11" i="6" s="1"/>
  <c r="BQ17" i="6" s="1"/>
  <c r="BR11" i="6" s="1"/>
  <c r="BR17" i="6" s="1"/>
  <c r="BS11" i="6" s="1"/>
  <c r="BS17" i="6" s="1"/>
  <c r="BT11" i="6" s="1"/>
  <c r="BT17" i="6" s="1"/>
  <c r="BU11" i="6" s="1"/>
  <c r="BU17" i="6" s="1"/>
  <c r="BV11" i="6" s="1"/>
  <c r="BV17" i="6" s="1"/>
  <c r="BW11" i="6" s="1"/>
  <c r="BW17" i="6" s="1"/>
  <c r="BX11" i="6" s="1"/>
  <c r="BX17" i="6" s="1"/>
  <c r="BY11" i="6" s="1"/>
  <c r="BY17" i="6" s="1"/>
  <c r="BZ11" i="6" s="1"/>
  <c r="BZ17" i="6" s="1"/>
  <c r="CA11" i="6" s="1"/>
  <c r="CA17" i="6" s="1"/>
  <c r="CB11" i="6" s="1"/>
  <c r="CB17" i="6" s="1"/>
  <c r="CC11" i="6" s="1"/>
  <c r="CC17" i="6" s="1"/>
  <c r="CD11" i="6" s="1"/>
  <c r="CD17" i="6" s="1"/>
  <c r="CE11" i="6" s="1"/>
  <c r="CE17" i="6" s="1"/>
  <c r="CF11" i="6" s="1"/>
  <c r="CF17" i="6" s="1"/>
  <c r="CG11" i="6" s="1"/>
  <c r="CG17" i="6" s="1"/>
  <c r="CH11" i="6" s="1"/>
  <c r="CH17" i="6" s="1"/>
  <c r="CI11" i="6" s="1"/>
  <c r="CI17" i="6" s="1"/>
  <c r="CJ11" i="6" s="1"/>
  <c r="CJ17" i="6" s="1"/>
  <c r="CK11" i="6" s="1"/>
  <c r="CK17" i="6" s="1"/>
  <c r="CL11" i="6" s="1"/>
  <c r="CL17" i="6" s="1"/>
  <c r="CM11" i="6" s="1"/>
  <c r="CM17" i="6" s="1"/>
  <c r="CN11" i="6" s="1"/>
  <c r="CN17" i="6" s="1"/>
  <c r="CO11" i="6" s="1"/>
  <c r="CO17" i="6" s="1"/>
  <c r="CP11" i="6" s="1"/>
  <c r="CP17" i="6" s="1"/>
  <c r="CQ11" i="6" s="1"/>
  <c r="CQ17" i="6" s="1"/>
  <c r="CR11" i="6" s="1"/>
  <c r="CR17" i="6" s="1"/>
  <c r="CS11" i="6" s="1"/>
  <c r="CS17" i="6" s="1"/>
  <c r="CT11" i="6" s="1"/>
  <c r="CT17" i="6" s="1"/>
  <c r="CU11" i="6" s="1"/>
  <c r="CU17" i="6" s="1"/>
  <c r="CV11" i="6" s="1"/>
  <c r="CV17" i="6" s="1"/>
  <c r="CW11" i="6" s="1"/>
  <c r="CW17" i="6" s="1"/>
  <c r="CX11" i="6" s="1"/>
  <c r="CX17" i="6" s="1"/>
  <c r="CY11" i="6" s="1"/>
  <c r="CY17" i="6" s="1"/>
  <c r="CZ11" i="6" s="1"/>
  <c r="CZ17" i="6" s="1"/>
  <c r="DA11" i="6" s="1"/>
  <c r="DA17" i="6" s="1"/>
  <c r="DB11" i="6" s="1"/>
  <c r="DB17" i="6" s="1"/>
  <c r="DC11" i="6" s="1"/>
  <c r="DC17" i="6" s="1"/>
  <c r="DD11" i="6" s="1"/>
  <c r="DD17" i="6" s="1"/>
  <c r="DE11" i="6" s="1"/>
  <c r="DE17" i="6" s="1"/>
  <c r="DF11" i="6" s="1"/>
  <c r="DF17" i="6" s="1"/>
  <c r="DG11" i="6" s="1"/>
  <c r="DG17" i="6" s="1"/>
  <c r="DH11" i="6" s="1"/>
  <c r="DH17" i="6" s="1"/>
  <c r="DI11" i="6" s="1"/>
  <c r="DI17" i="6" s="1"/>
  <c r="DJ11" i="6" s="1"/>
  <c r="DJ17" i="6" s="1"/>
  <c r="DK11" i="6" s="1"/>
  <c r="DK17" i="6" s="1"/>
  <c r="DL11" i="6" s="1"/>
  <c r="DL17" i="6" s="1"/>
  <c r="DM11" i="6" s="1"/>
  <c r="DM17" i="6" s="1"/>
  <c r="DN11" i="6" s="1"/>
  <c r="DN17" i="6" s="1"/>
  <c r="DO11" i="6" s="1"/>
  <c r="DO17" i="6" s="1"/>
  <c r="DP11" i="6" s="1"/>
  <c r="DP17" i="6" s="1"/>
  <c r="DQ11" i="6" s="1"/>
  <c r="DQ17" i="6" s="1"/>
  <c r="DR11" i="6" s="1"/>
  <c r="DR17" i="6" s="1"/>
  <c r="DS11" i="6" s="1"/>
  <c r="DS17" i="6" s="1"/>
  <c r="DT11" i="6" s="1"/>
  <c r="DT17" i="6" s="1"/>
  <c r="DU11" i="6" s="1"/>
  <c r="DU17" i="6" s="1"/>
  <c r="DV11" i="6" s="1"/>
  <c r="DV17" i="6" s="1"/>
  <c r="DW11" i="6" s="1"/>
  <c r="DW17" i="6" s="1"/>
  <c r="DX11" i="6" s="1"/>
  <c r="DX17" i="6" s="1"/>
  <c r="DY11" i="6" s="1"/>
  <c r="DY17" i="6" s="1"/>
  <c r="DZ11" i="6" s="1"/>
  <c r="DZ17" i="6" s="1"/>
  <c r="EA11" i="6" s="1"/>
  <c r="EA17" i="6" s="1"/>
  <c r="EB11" i="6" s="1"/>
  <c r="EB17" i="6" s="1"/>
  <c r="EC11" i="6" s="1"/>
  <c r="EC17" i="6" s="1"/>
  <c r="ED11" i="6" s="1"/>
  <c r="ED17" i="6" s="1"/>
  <c r="EE11" i="6" s="1"/>
  <c r="EE17" i="6" s="1"/>
  <c r="D95" i="5" l="1"/>
  <c r="BN106" i="5"/>
  <c r="BN109" i="5" s="1"/>
  <c r="CG95" i="5"/>
  <c r="CG98" i="5" s="1"/>
  <c r="CG106" i="5" s="1"/>
  <c r="CG109" i="5" s="1"/>
  <c r="BN117" i="5"/>
  <c r="CF117" i="5"/>
  <c r="CH89" i="5"/>
  <c r="CH95" i="5" s="1"/>
  <c r="CH98" i="5" s="1"/>
  <c r="CH106" i="5" s="1"/>
  <c r="CH109" i="5" s="1"/>
  <c r="I34" i="43"/>
  <c r="I36" i="43" s="1"/>
  <c r="J36" i="43" s="1"/>
  <c r="P54" i="1"/>
  <c r="D98" i="5"/>
  <c r="I78" i="32"/>
  <c r="B20" i="6"/>
  <c r="CG117" i="5" l="1"/>
  <c r="CI89" i="5"/>
  <c r="CI95" i="5" s="1"/>
  <c r="CI98" i="5" s="1"/>
  <c r="CI106" i="5" s="1"/>
  <c r="CI109" i="5" s="1"/>
  <c r="J34" i="43"/>
  <c r="CH117" i="5" l="1"/>
  <c r="CJ89" i="5"/>
  <c r="CJ95" i="5" s="1"/>
  <c r="CJ98" i="5" s="1"/>
  <c r="CJ106" i="5" s="1"/>
  <c r="CJ109" i="5" s="1"/>
  <c r="CI117" i="5" l="1"/>
  <c r="CK89" i="5"/>
  <c r="CK95" i="5" s="1"/>
  <c r="CK98" i="5" s="1"/>
  <c r="CK106" i="5" s="1"/>
  <c r="CK109" i="5" s="1"/>
  <c r="CJ117" i="5" l="1"/>
  <c r="CL89" i="5"/>
  <c r="CL95" i="5" s="1"/>
  <c r="CL98" i="5" s="1"/>
  <c r="CL106" i="5" s="1"/>
  <c r="CL109" i="5" s="1"/>
  <c r="CK117" i="5" l="1"/>
  <c r="CM89" i="5"/>
  <c r="CM95" i="5" l="1"/>
  <c r="CM98" i="5" s="1"/>
  <c r="CL117" i="5"/>
  <c r="CN89" i="5"/>
  <c r="CN95" i="5" s="1"/>
  <c r="CN98" i="5" s="1"/>
  <c r="CN106" i="5" s="1"/>
  <c r="CN109" i="5" s="1"/>
  <c r="CM106" i="5" l="1"/>
  <c r="CM109" i="5" s="1"/>
  <c r="CM117" i="5"/>
  <c r="CO89" i="5"/>
  <c r="CO95" i="5" l="1"/>
  <c r="CO98" i="5" s="1"/>
  <c r="CN117" i="5"/>
  <c r="CP89" i="5"/>
  <c r="CP95" i="5" s="1"/>
  <c r="CP98" i="5" s="1"/>
  <c r="CP106" i="5" s="1"/>
  <c r="CP109" i="5" s="1"/>
  <c r="CO106" i="5" l="1"/>
  <c r="CO109" i="5" s="1"/>
  <c r="CO117" i="5"/>
  <c r="CQ89" i="5"/>
  <c r="CQ95" i="5" l="1"/>
  <c r="CQ98" i="5" s="1"/>
  <c r="CP117" i="5"/>
  <c r="CR89" i="5"/>
  <c r="CR95" i="5" s="1"/>
  <c r="CR98" i="5" s="1"/>
  <c r="CR106" i="5" s="1"/>
  <c r="CR109" i="5" s="1"/>
  <c r="CQ106" i="5" l="1"/>
  <c r="CQ109" i="5" s="1"/>
  <c r="CQ117" i="5"/>
  <c r="CS89" i="5"/>
  <c r="CS95" i="5" l="1"/>
  <c r="CS98" i="5" s="1"/>
  <c r="CR117" i="5"/>
  <c r="CT89" i="5"/>
  <c r="CT95" i="5" s="1"/>
  <c r="CT98" i="5" s="1"/>
  <c r="CT106" i="5" s="1"/>
  <c r="CT109" i="5" s="1"/>
  <c r="CS106" i="5" l="1"/>
  <c r="CS109" i="5" s="1"/>
  <c r="CS117" i="5"/>
  <c r="CU89" i="5"/>
  <c r="CU95" i="5" l="1"/>
  <c r="CU98" i="5" s="1"/>
  <c r="CT117" i="5"/>
  <c r="CV89" i="5"/>
  <c r="CV95" i="5" s="1"/>
  <c r="CV98" i="5" s="1"/>
  <c r="CV106" i="5" s="1"/>
  <c r="CV109" i="5" s="1"/>
  <c r="CU106" i="5" l="1"/>
  <c r="CU109" i="5" s="1"/>
  <c r="CU117" i="5"/>
  <c r="CW89" i="5"/>
  <c r="CW95" i="5" s="1"/>
  <c r="CW98" i="5" s="1"/>
  <c r="CW106" i="5" s="1"/>
  <c r="CW109" i="5" s="1"/>
  <c r="CV117" i="5" l="1"/>
  <c r="CX89" i="5"/>
  <c r="CX95" i="5" s="1"/>
  <c r="CX98" i="5" s="1"/>
  <c r="CX106" i="5" s="1"/>
  <c r="CX109" i="5" s="1"/>
  <c r="CW117" i="5" l="1"/>
  <c r="CY89" i="5"/>
  <c r="CY95" i="5" l="1"/>
  <c r="CY98" i="5" s="1"/>
  <c r="CX117" i="5"/>
  <c r="CZ89" i="5"/>
  <c r="CZ95" i="5" s="1"/>
  <c r="CZ98" i="5" s="1"/>
  <c r="CZ106" i="5" s="1"/>
  <c r="CZ109" i="5" s="1"/>
  <c r="CY106" i="5" l="1"/>
  <c r="CY109" i="5" s="1"/>
  <c r="CY117" i="5"/>
  <c r="DA89" i="5"/>
  <c r="DA95" i="5" l="1"/>
  <c r="DA98" i="5" s="1"/>
  <c r="CZ117" i="5"/>
  <c r="DB89" i="5"/>
  <c r="DB95" i="5" l="1"/>
  <c r="DB98" i="5" s="1"/>
  <c r="DB106" i="5" s="1"/>
  <c r="DB109" i="5" s="1"/>
  <c r="DA106" i="5"/>
  <c r="DA109" i="5" s="1"/>
  <c r="DA117" i="5"/>
  <c r="DC89" i="5"/>
  <c r="DC95" i="5" l="1"/>
  <c r="DC98" i="5" s="1"/>
  <c r="DB117" i="5"/>
  <c r="DD89" i="5"/>
  <c r="DD95" i="5" l="1"/>
  <c r="DD98" i="5" s="1"/>
  <c r="DD106" i="5" s="1"/>
  <c r="DD109" i="5" s="1"/>
  <c r="DC106" i="5"/>
  <c r="DC109" i="5" s="1"/>
  <c r="DC117" i="5"/>
  <c r="DE89" i="5"/>
  <c r="DE95" i="5" l="1"/>
  <c r="DE98" i="5" s="1"/>
  <c r="DD117" i="5"/>
  <c r="DF89" i="5"/>
  <c r="DF95" i="5" s="1"/>
  <c r="DF98" i="5" s="1"/>
  <c r="DF106" i="5" s="1"/>
  <c r="DF109" i="5" s="1"/>
  <c r="DE106" i="5" l="1"/>
  <c r="DE109" i="5" s="1"/>
  <c r="DE117" i="5"/>
  <c r="DG89" i="5"/>
  <c r="DG95" i="5" l="1"/>
  <c r="DG98" i="5" s="1"/>
  <c r="DF117" i="5"/>
  <c r="DH89" i="5"/>
  <c r="DH95" i="5" s="1"/>
  <c r="DH98" i="5" s="1"/>
  <c r="DH106" i="5" s="1"/>
  <c r="DH109" i="5" s="1"/>
  <c r="DG106" i="5" l="1"/>
  <c r="DG109" i="5" s="1"/>
  <c r="DG117" i="5"/>
  <c r="DI89" i="5"/>
  <c r="DI95" i="5" s="1"/>
  <c r="DI98" i="5" s="1"/>
  <c r="DI106" i="5" s="1"/>
  <c r="DI109" i="5" s="1"/>
  <c r="DH117" i="5" l="1"/>
  <c r="DJ89" i="5"/>
  <c r="DJ95" i="5" s="1"/>
  <c r="DJ98" i="5" s="1"/>
  <c r="DJ106" i="5" s="1"/>
  <c r="DJ109" i="5" s="1"/>
  <c r="DI117" i="5" l="1"/>
  <c r="DK89" i="5"/>
  <c r="DK95" i="5" l="1"/>
  <c r="DK98" i="5" s="1"/>
  <c r="DJ117" i="5"/>
  <c r="DL89" i="5"/>
  <c r="DL95" i="5" s="1"/>
  <c r="DL98" i="5" s="1"/>
  <c r="DL106" i="5" s="1"/>
  <c r="DL109" i="5" s="1"/>
  <c r="DK106" i="5" l="1"/>
  <c r="DK109" i="5" s="1"/>
  <c r="DK117" i="5"/>
  <c r="DM89" i="5"/>
  <c r="DM95" i="5" l="1"/>
  <c r="DM98" i="5" s="1"/>
  <c r="DL117" i="5"/>
  <c r="DN89" i="5"/>
  <c r="DN95" i="5" s="1"/>
  <c r="DN98" i="5" s="1"/>
  <c r="DN106" i="5" s="1"/>
  <c r="DN109" i="5" s="1"/>
  <c r="DM106" i="5" l="1"/>
  <c r="DM109" i="5" s="1"/>
  <c r="DM117" i="5"/>
  <c r="DO89" i="5"/>
  <c r="DO95" i="5" l="1"/>
  <c r="DO98" i="5" s="1"/>
  <c r="DN117" i="5"/>
  <c r="DP89" i="5"/>
  <c r="DP95" i="5" s="1"/>
  <c r="DP98" i="5" s="1"/>
  <c r="DP106" i="5" s="1"/>
  <c r="DP109" i="5" s="1"/>
  <c r="DO106" i="5" l="1"/>
  <c r="DO109" i="5" s="1"/>
  <c r="DO117" i="5"/>
  <c r="DQ89" i="5"/>
  <c r="DQ95" i="5" l="1"/>
  <c r="DQ98" i="5" s="1"/>
  <c r="DP117" i="5"/>
  <c r="DR89" i="5"/>
  <c r="DR95" i="5" s="1"/>
  <c r="DR98" i="5" s="1"/>
  <c r="DR106" i="5" s="1"/>
  <c r="DR109" i="5" s="1"/>
  <c r="DQ106" i="5" l="1"/>
  <c r="DQ109" i="5" s="1"/>
  <c r="DQ117" i="5"/>
  <c r="DS89" i="5"/>
  <c r="DS95" i="5" l="1"/>
  <c r="DS98" i="5" s="1"/>
  <c r="DR117" i="5"/>
  <c r="DT89" i="5"/>
  <c r="DT95" i="5" s="1"/>
  <c r="DT98" i="5" s="1"/>
  <c r="DT106" i="5" s="1"/>
  <c r="DT109" i="5" s="1"/>
  <c r="DS106" i="5" l="1"/>
  <c r="DS109" i="5" s="1"/>
  <c r="DS117" i="5"/>
  <c r="DU89" i="5"/>
  <c r="DU95" i="5" s="1"/>
  <c r="DU98" i="5" s="1"/>
  <c r="DU106" i="5" s="1"/>
  <c r="DU109" i="5" s="1"/>
  <c r="DT117" i="5" l="1"/>
  <c r="DV89" i="5"/>
  <c r="DV95" i="5" s="1"/>
  <c r="DV98" i="5" s="1"/>
  <c r="DV106" i="5" s="1"/>
  <c r="DV109" i="5" s="1"/>
  <c r="DU117" i="5" l="1"/>
  <c r="DW89" i="5"/>
  <c r="DW95" i="5" l="1"/>
  <c r="DW98" i="5" s="1"/>
  <c r="DV117" i="5"/>
  <c r="DX89" i="5"/>
  <c r="DX95" i="5" s="1"/>
  <c r="DX98" i="5" s="1"/>
  <c r="DX106" i="5" s="1"/>
  <c r="DX109" i="5" s="1"/>
  <c r="DW106" i="5" l="1"/>
  <c r="DW109" i="5" s="1"/>
  <c r="DW117" i="5"/>
  <c r="DY89" i="5"/>
  <c r="DY95" i="5" l="1"/>
  <c r="DY98" i="5" s="1"/>
  <c r="DX117" i="5"/>
  <c r="DZ89" i="5"/>
  <c r="DZ95" i="5" s="1"/>
  <c r="DZ98" i="5" s="1"/>
  <c r="DZ106" i="5" s="1"/>
  <c r="DZ109" i="5" s="1"/>
  <c r="DY106" i="5" l="1"/>
  <c r="DY109" i="5" s="1"/>
  <c r="DY117" i="5"/>
  <c r="EA89" i="5"/>
  <c r="EA95" i="5" l="1"/>
  <c r="EA98" i="5" s="1"/>
  <c r="DZ117" i="5"/>
  <c r="EB89" i="5"/>
  <c r="EB95" i="5" s="1"/>
  <c r="EB98" i="5" s="1"/>
  <c r="EB106" i="5" s="1"/>
  <c r="EB109" i="5" s="1"/>
  <c r="EA106" i="5" l="1"/>
  <c r="EA109" i="5" s="1"/>
  <c r="EA117" i="5"/>
  <c r="EC89" i="5"/>
  <c r="EC95" i="5" l="1"/>
  <c r="EC98" i="5" s="1"/>
  <c r="EB117" i="5"/>
  <c r="ED89" i="5"/>
  <c r="ED95" i="5" s="1"/>
  <c r="ED98" i="5" s="1"/>
  <c r="ED106" i="5" s="1"/>
  <c r="ED109" i="5" s="1"/>
  <c r="EC106" i="5" l="1"/>
  <c r="EC109" i="5" s="1"/>
  <c r="EC117" i="5"/>
  <c r="EE89" i="5"/>
  <c r="EE95" i="5" l="1"/>
  <c r="EE98" i="5" s="1"/>
  <c r="ED117" i="5"/>
  <c r="EF89" i="5"/>
  <c r="EF95" i="5" s="1"/>
  <c r="EF98" i="5" s="1"/>
  <c r="EF106" i="5" s="1"/>
  <c r="EF109" i="5" s="1"/>
  <c r="EE106" i="5" l="1"/>
  <c r="EE109" i="5" s="1"/>
  <c r="EE117" i="5"/>
  <c r="EG89" i="5"/>
  <c r="EG95" i="5" s="1"/>
  <c r="EG98" i="5" s="1"/>
  <c r="EG106" i="5" s="1"/>
  <c r="EG109" i="5" s="1"/>
  <c r="EF117" i="5" l="1"/>
  <c r="EH89" i="5"/>
  <c r="D41" i="41" l="1"/>
  <c r="E41" i="41"/>
  <c r="E44" i="41" s="1"/>
  <c r="F41" i="41"/>
  <c r="F44" i="41" s="1"/>
  <c r="G41" i="41"/>
  <c r="G44" i="41" s="1"/>
  <c r="H41" i="41"/>
  <c r="H44" i="41" s="1"/>
  <c r="I41" i="41"/>
  <c r="I44" i="41" s="1"/>
  <c r="J41" i="41"/>
  <c r="J44" i="41" s="1"/>
  <c r="K41" i="41"/>
  <c r="K44" i="41" s="1"/>
  <c r="L41" i="41"/>
  <c r="L44" i="41" s="1"/>
  <c r="M41" i="41"/>
  <c r="M44" i="41" s="1"/>
  <c r="EH95" i="5"/>
  <c r="EH98" i="5" s="1"/>
  <c r="E70" i="32"/>
  <c r="E76" i="32" s="1"/>
  <c r="F70" i="32"/>
  <c r="F76" i="32" s="1"/>
  <c r="G70" i="32"/>
  <c r="G76" i="32" s="1"/>
  <c r="H70" i="32"/>
  <c r="H76" i="32" s="1"/>
  <c r="I70" i="32"/>
  <c r="I76" i="32" s="1"/>
  <c r="J70" i="32"/>
  <c r="J76" i="32" s="1"/>
  <c r="K70" i="32"/>
  <c r="K76" i="32" s="1"/>
  <c r="L70" i="32"/>
  <c r="L76" i="32" s="1"/>
  <c r="M70" i="32"/>
  <c r="M76" i="32" s="1"/>
  <c r="N70" i="32"/>
  <c r="N76" i="32" s="1"/>
  <c r="O70" i="32"/>
  <c r="O76" i="32" s="1"/>
  <c r="EG117" i="5"/>
  <c r="EC116" i="5"/>
  <c r="EG116" i="5"/>
  <c r="EG128" i="5" s="1"/>
  <c r="D89" i="5"/>
  <c r="D44" i="41" l="1"/>
  <c r="O41" i="41"/>
  <c r="C50" i="41" s="1"/>
  <c r="O66" i="1" s="1"/>
  <c r="EH106" i="5"/>
  <c r="EC118" i="5"/>
  <c r="EC128" i="5"/>
  <c r="EF116" i="5"/>
  <c r="EF128" i="5" s="1"/>
  <c r="EH117" i="5"/>
  <c r="D117" i="5" s="1"/>
  <c r="EH116" i="5"/>
  <c r="EH128" i="5" s="1"/>
  <c r="BO116" i="5"/>
  <c r="BP116" i="5"/>
  <c r="BQ116" i="5"/>
  <c r="BR116" i="5"/>
  <c r="BS116" i="5"/>
  <c r="BV116" i="5"/>
  <c r="BU116" i="5"/>
  <c r="BT116" i="5"/>
  <c r="BW116" i="5"/>
  <c r="BY116" i="5"/>
  <c r="BX116" i="5"/>
  <c r="BZ116" i="5"/>
  <c r="CA116" i="5"/>
  <c r="CB116" i="5"/>
  <c r="CD116" i="5"/>
  <c r="CC116" i="5"/>
  <c r="CF116" i="5"/>
  <c r="CE116" i="5"/>
  <c r="AF116" i="5"/>
  <c r="BB116" i="5"/>
  <c r="AH116" i="5"/>
  <c r="BG116" i="5"/>
  <c r="AR116" i="5"/>
  <c r="AX116" i="5"/>
  <c r="AO116" i="5"/>
  <c r="CG116" i="5"/>
  <c r="J116" i="5"/>
  <c r="AP116" i="5"/>
  <c r="S116" i="5"/>
  <c r="AJ116" i="5"/>
  <c r="Q116" i="5"/>
  <c r="P116" i="5"/>
  <c r="R116" i="5"/>
  <c r="BM116" i="5"/>
  <c r="AW116" i="5"/>
  <c r="AB116" i="5"/>
  <c r="I116" i="5"/>
  <c r="V116" i="5"/>
  <c r="BL116" i="5"/>
  <c r="K116" i="5"/>
  <c r="U116" i="5"/>
  <c r="CI116" i="5"/>
  <c r="H116" i="5"/>
  <c r="BI116" i="5"/>
  <c r="AS116" i="5"/>
  <c r="AQ116" i="5"/>
  <c r="AA116" i="5"/>
  <c r="AI116" i="5"/>
  <c r="AU116" i="5"/>
  <c r="O116" i="5"/>
  <c r="AN116" i="5"/>
  <c r="T116" i="5"/>
  <c r="BD116" i="5"/>
  <c r="Y116" i="5"/>
  <c r="AC116" i="5"/>
  <c r="BJ116" i="5"/>
  <c r="G116" i="5"/>
  <c r="AT116" i="5"/>
  <c r="BH116" i="5"/>
  <c r="AY116" i="5"/>
  <c r="BC116" i="5"/>
  <c r="AL116" i="5"/>
  <c r="X116" i="5"/>
  <c r="CH116" i="5"/>
  <c r="AE116" i="5"/>
  <c r="BA116" i="5"/>
  <c r="AD116" i="5"/>
  <c r="BE116" i="5"/>
  <c r="AK116" i="5"/>
  <c r="CK116" i="5"/>
  <c r="CJ116" i="5"/>
  <c r="BF116" i="5"/>
  <c r="BK116" i="5"/>
  <c r="M116" i="5"/>
  <c r="BN116" i="5"/>
  <c r="AV116" i="5"/>
  <c r="CL116" i="5"/>
  <c r="W116" i="5"/>
  <c r="L116" i="5"/>
  <c r="AG116" i="5"/>
  <c r="AM116" i="5"/>
  <c r="AZ116" i="5"/>
  <c r="N116" i="5"/>
  <c r="Z116" i="5"/>
  <c r="CN116" i="5"/>
  <c r="CM116" i="5"/>
  <c r="CP116" i="5"/>
  <c r="CO116" i="5"/>
  <c r="CQ116" i="5"/>
  <c r="CR116" i="5"/>
  <c r="CS116" i="5"/>
  <c r="CT116" i="5"/>
  <c r="CU116" i="5"/>
  <c r="CV116" i="5"/>
  <c r="CW116" i="5"/>
  <c r="CX116" i="5"/>
  <c r="CY116" i="5"/>
  <c r="CZ116" i="5"/>
  <c r="DB116" i="5"/>
  <c r="DA116" i="5"/>
  <c r="DC116" i="5"/>
  <c r="DD116" i="5"/>
  <c r="DE116" i="5"/>
  <c r="DF116" i="5"/>
  <c r="DG116" i="5"/>
  <c r="DH116" i="5"/>
  <c r="DI116" i="5"/>
  <c r="DK116" i="5"/>
  <c r="DJ116" i="5"/>
  <c r="DM116" i="5"/>
  <c r="DL116" i="5"/>
  <c r="DN116" i="5"/>
  <c r="DO116" i="5"/>
  <c r="DP116" i="5"/>
  <c r="DQ116" i="5"/>
  <c r="DR116" i="5"/>
  <c r="DS116" i="5"/>
  <c r="DU116" i="5"/>
  <c r="DT116" i="5"/>
  <c r="DV116" i="5"/>
  <c r="DW116" i="5"/>
  <c r="DZ116" i="5"/>
  <c r="DX116" i="5"/>
  <c r="DY116" i="5"/>
  <c r="EA116" i="5"/>
  <c r="EB116" i="5"/>
  <c r="ED116" i="5"/>
  <c r="EE116" i="5"/>
  <c r="EE128" i="5" s="1"/>
  <c r="O78" i="32"/>
  <c r="J78" i="32"/>
  <c r="C80" i="32" s="1"/>
  <c r="K78" i="32"/>
  <c r="C101" i="5"/>
  <c r="C100" i="5"/>
  <c r="C99" i="5"/>
  <c r="F116" i="5"/>
  <c r="L78" i="32"/>
  <c r="M78" i="32"/>
  <c r="N78" i="32"/>
  <c r="C48" i="41" l="1"/>
  <c r="O65" i="1" s="1"/>
  <c r="C45" i="41"/>
  <c r="C46" i="41"/>
  <c r="O64" i="1" s="1"/>
  <c r="EH109" i="5"/>
  <c r="D109" i="5" s="1"/>
  <c r="D106" i="5"/>
  <c r="F128" i="5"/>
  <c r="F142" i="5" s="1"/>
  <c r="C79" i="32"/>
  <c r="P67" i="1"/>
  <c r="F32" i="43" s="1"/>
  <c r="BX118" i="5"/>
  <c r="BX128" i="5"/>
  <c r="CI118" i="5"/>
  <c r="CI128" i="5"/>
  <c r="CG118" i="5"/>
  <c r="CG128" i="5"/>
  <c r="BY118" i="5"/>
  <c r="BY128" i="5"/>
  <c r="DI118" i="5"/>
  <c r="DI128" i="5"/>
  <c r="CQ118" i="5"/>
  <c r="CQ128" i="5"/>
  <c r="BW118" i="5"/>
  <c r="BW128" i="5"/>
  <c r="DH118" i="5"/>
  <c r="DH128" i="5"/>
  <c r="BT118" i="5"/>
  <c r="BT128" i="5"/>
  <c r="CS118" i="5"/>
  <c r="CS128" i="5"/>
  <c r="DG118" i="5"/>
  <c r="DG128" i="5"/>
  <c r="DV118" i="5"/>
  <c r="DV128" i="5"/>
  <c r="CJ118" i="5"/>
  <c r="CJ128" i="5"/>
  <c r="BU118" i="5"/>
  <c r="BU128" i="5"/>
  <c r="DW118" i="5"/>
  <c r="DW128" i="5"/>
  <c r="DF118" i="5"/>
  <c r="DF128" i="5"/>
  <c r="CK118" i="5"/>
  <c r="CK128" i="5"/>
  <c r="BV118" i="5"/>
  <c r="BV128" i="5"/>
  <c r="DX118" i="5"/>
  <c r="DX128" i="5"/>
  <c r="CP118" i="5"/>
  <c r="CP128" i="5"/>
  <c r="DC118" i="5"/>
  <c r="DC128" i="5"/>
  <c r="BS118" i="5"/>
  <c r="BS128" i="5"/>
  <c r="CO118" i="5"/>
  <c r="CO128" i="5"/>
  <c r="CM118" i="5"/>
  <c r="CM128" i="5"/>
  <c r="BR118" i="5"/>
  <c r="BR128" i="5"/>
  <c r="BQ118" i="5"/>
  <c r="BQ128" i="5"/>
  <c r="CE118" i="5"/>
  <c r="CE128" i="5"/>
  <c r="BP118" i="5"/>
  <c r="BP128" i="5"/>
  <c r="DZ118" i="5"/>
  <c r="DZ128" i="5"/>
  <c r="CN118" i="5"/>
  <c r="CN128" i="5"/>
  <c r="DO118" i="5"/>
  <c r="DO128" i="5"/>
  <c r="CF118" i="5"/>
  <c r="CF128" i="5"/>
  <c r="BO118" i="5"/>
  <c r="BO128" i="5"/>
  <c r="DU118" i="5"/>
  <c r="DU128" i="5"/>
  <c r="DN118" i="5"/>
  <c r="DN128" i="5"/>
  <c r="CH118" i="5"/>
  <c r="CH128" i="5"/>
  <c r="CC118" i="5"/>
  <c r="CC128" i="5"/>
  <c r="DE118" i="5"/>
  <c r="DE128" i="5"/>
  <c r="DA118" i="5"/>
  <c r="DA128" i="5"/>
  <c r="DQ118" i="5"/>
  <c r="DQ128" i="5"/>
  <c r="CZ118" i="5"/>
  <c r="CZ128" i="5"/>
  <c r="CW118" i="5"/>
  <c r="CW128" i="5"/>
  <c r="CD118" i="5"/>
  <c r="CD128" i="5"/>
  <c r="CR118" i="5"/>
  <c r="CR128" i="5"/>
  <c r="EE118" i="5"/>
  <c r="ED118" i="5"/>
  <c r="ED128" i="5"/>
  <c r="EB118" i="5"/>
  <c r="EB128" i="5"/>
  <c r="CV118" i="5"/>
  <c r="CV128" i="5"/>
  <c r="CB118" i="5"/>
  <c r="CB128" i="5"/>
  <c r="CY118" i="5"/>
  <c r="CY128" i="5"/>
  <c r="DL118" i="5"/>
  <c r="DL128" i="5"/>
  <c r="EA118" i="5"/>
  <c r="EA128" i="5"/>
  <c r="DJ118" i="5"/>
  <c r="DJ128" i="5"/>
  <c r="CU118" i="5"/>
  <c r="CU128" i="5"/>
  <c r="CL118" i="5"/>
  <c r="CL128" i="5"/>
  <c r="CA118" i="5"/>
  <c r="CA128" i="5"/>
  <c r="DT118" i="5"/>
  <c r="DT128" i="5"/>
  <c r="DD118" i="5"/>
  <c r="DD128" i="5"/>
  <c r="DS118" i="5"/>
  <c r="DS128" i="5"/>
  <c r="DR118" i="5"/>
  <c r="DR128" i="5"/>
  <c r="DB118" i="5"/>
  <c r="DB128" i="5"/>
  <c r="DP118" i="5"/>
  <c r="DP128" i="5"/>
  <c r="CX118" i="5"/>
  <c r="CX128" i="5"/>
  <c r="DM118" i="5"/>
  <c r="DM128" i="5"/>
  <c r="DY118" i="5"/>
  <c r="DY128" i="5"/>
  <c r="DK118" i="5"/>
  <c r="DK128" i="5"/>
  <c r="CT118" i="5"/>
  <c r="CT128" i="5"/>
  <c r="BZ118" i="5"/>
  <c r="BZ128" i="5"/>
  <c r="S118" i="5"/>
  <c r="S128" i="5"/>
  <c r="S142" i="5" s="1"/>
  <c r="AP118" i="5"/>
  <c r="AP128" i="5"/>
  <c r="J118" i="5"/>
  <c r="J128" i="5"/>
  <c r="J142" i="5" s="1"/>
  <c r="AT118" i="5"/>
  <c r="AT128" i="5"/>
  <c r="M118" i="5"/>
  <c r="M128" i="5"/>
  <c r="M142" i="5" s="1"/>
  <c r="AO118" i="5"/>
  <c r="AO128" i="5"/>
  <c r="AV118" i="5"/>
  <c r="AV128" i="5"/>
  <c r="K118" i="5"/>
  <c r="K128" i="5"/>
  <c r="K142" i="5" s="1"/>
  <c r="AX118" i="5"/>
  <c r="AX128" i="5"/>
  <c r="G118" i="5"/>
  <c r="G128" i="5"/>
  <c r="G142" i="5" s="1"/>
  <c r="BL118" i="5"/>
  <c r="BL128" i="5"/>
  <c r="AR118" i="5"/>
  <c r="AR128" i="5"/>
  <c r="U118" i="5"/>
  <c r="U128" i="5"/>
  <c r="U142" i="5" s="1"/>
  <c r="V118" i="5"/>
  <c r="V128" i="5"/>
  <c r="V142" i="5" s="1"/>
  <c r="BG118" i="5"/>
  <c r="BG128" i="5"/>
  <c r="AS118" i="5"/>
  <c r="AS128" i="5"/>
  <c r="I118" i="5"/>
  <c r="I128" i="5"/>
  <c r="I142" i="5" s="1"/>
  <c r="AH118" i="5"/>
  <c r="AH128" i="5"/>
  <c r="BC118" i="5"/>
  <c r="BC128" i="5"/>
  <c r="T118" i="5"/>
  <c r="T128" i="5"/>
  <c r="T142" i="5" s="1"/>
  <c r="BB118" i="5"/>
  <c r="BB128" i="5"/>
  <c r="AN118" i="5"/>
  <c r="AN128" i="5"/>
  <c r="AW118" i="5"/>
  <c r="AW128" i="5"/>
  <c r="AF118" i="5"/>
  <c r="AF128" i="5"/>
  <c r="BH118" i="5"/>
  <c r="BH128" i="5"/>
  <c r="Y118" i="5"/>
  <c r="Y128" i="5"/>
  <c r="Y142" i="5" s="1"/>
  <c r="Z118" i="5"/>
  <c r="Z128" i="5"/>
  <c r="O118" i="5"/>
  <c r="O128" i="5"/>
  <c r="O142" i="5" s="1"/>
  <c r="BM118" i="5"/>
  <c r="BM128" i="5"/>
  <c r="H118" i="5"/>
  <c r="H128" i="5"/>
  <c r="H142" i="5" s="1"/>
  <c r="BF118" i="5"/>
  <c r="BF128" i="5"/>
  <c r="BD118" i="5"/>
  <c r="BD128" i="5"/>
  <c r="AD118" i="5"/>
  <c r="AD128" i="5"/>
  <c r="AE118" i="5"/>
  <c r="AE128" i="5"/>
  <c r="AU118" i="5"/>
  <c r="AU128" i="5"/>
  <c r="R118" i="5"/>
  <c r="R128" i="5"/>
  <c r="R142" i="5" s="1"/>
  <c r="AY118" i="5"/>
  <c r="AY128" i="5"/>
  <c r="BK118" i="5"/>
  <c r="BK128" i="5"/>
  <c r="AK118" i="5"/>
  <c r="AK128" i="5"/>
  <c r="N118" i="5"/>
  <c r="N128" i="5"/>
  <c r="N142" i="5" s="1"/>
  <c r="AM118" i="5"/>
  <c r="AM128" i="5"/>
  <c r="AG118" i="5"/>
  <c r="AG128" i="5"/>
  <c r="AI118" i="5"/>
  <c r="AI128" i="5"/>
  <c r="P118" i="5"/>
  <c r="P128" i="5"/>
  <c r="P142" i="5" s="1"/>
  <c r="BI118" i="5"/>
  <c r="BI128" i="5"/>
  <c r="BJ118" i="5"/>
  <c r="BJ128" i="5"/>
  <c r="BE118" i="5"/>
  <c r="BE128" i="5"/>
  <c r="AZ118" i="5"/>
  <c r="AZ128" i="5"/>
  <c r="L118" i="5"/>
  <c r="L128" i="5"/>
  <c r="L142" i="5" s="1"/>
  <c r="X118" i="5"/>
  <c r="X128" i="5"/>
  <c r="X142" i="5" s="1"/>
  <c r="AA118" i="5"/>
  <c r="AA128" i="5"/>
  <c r="Q118" i="5"/>
  <c r="Q128" i="5"/>
  <c r="Q142" i="5" s="1"/>
  <c r="BN118" i="5"/>
  <c r="BN128" i="5"/>
  <c r="AC118" i="5"/>
  <c r="AC128" i="5"/>
  <c r="AB118" i="5"/>
  <c r="AB128" i="5"/>
  <c r="BA118" i="5"/>
  <c r="BA128" i="5"/>
  <c r="W118" i="5"/>
  <c r="W128" i="5"/>
  <c r="W142" i="5" s="1"/>
  <c r="AL118" i="5"/>
  <c r="AL128" i="5"/>
  <c r="AQ118" i="5"/>
  <c r="AQ128" i="5"/>
  <c r="AJ118" i="5"/>
  <c r="AJ128" i="5"/>
  <c r="F118" i="5"/>
  <c r="C12" i="41"/>
  <c r="C14" i="41" s="1"/>
  <c r="C102" i="5"/>
  <c r="C16" i="41"/>
  <c r="C81" i="32"/>
  <c r="EF118" i="5"/>
  <c r="F131" i="5" l="1"/>
  <c r="G127" i="5" s="1"/>
  <c r="G129" i="5" s="1"/>
  <c r="G130" i="5" s="1"/>
  <c r="G133" i="5" s="1"/>
  <c r="P64" i="1"/>
  <c r="AQ19" i="1" s="1"/>
  <c r="K13" i="41"/>
  <c r="J13" i="41"/>
  <c r="M13" i="41"/>
  <c r="L13" i="41"/>
  <c r="I13" i="41"/>
  <c r="H13" i="41"/>
  <c r="G13" i="41"/>
  <c r="E13" i="41"/>
  <c r="F13" i="41"/>
  <c r="D13" i="41"/>
  <c r="C22" i="41"/>
  <c r="F144" i="5"/>
  <c r="P65" i="1"/>
  <c r="C82" i="32"/>
  <c r="EG118" i="5"/>
  <c r="F29" i="43" l="1"/>
  <c r="AX8" i="1"/>
  <c r="AU8" i="1"/>
  <c r="AW8" i="1"/>
  <c r="AV8" i="1"/>
  <c r="AY8" i="1"/>
  <c r="G131" i="5"/>
  <c r="H127" i="5" s="1"/>
  <c r="G137" i="5"/>
  <c r="G149" i="5" s="1"/>
  <c r="G136" i="5"/>
  <c r="G143" i="5" s="1"/>
  <c r="D30" i="41"/>
  <c r="C24" i="41"/>
  <c r="Z142" i="5"/>
  <c r="EH118" i="5"/>
  <c r="D116" i="5"/>
  <c r="D12" i="41"/>
  <c r="D14" i="41" s="1"/>
  <c r="E12" i="41"/>
  <c r="E14" i="41" s="1"/>
  <c r="F12" i="41"/>
  <c r="F14" i="41" s="1"/>
  <c r="G12" i="41"/>
  <c r="G14" i="41" s="1"/>
  <c r="H12" i="41"/>
  <c r="H14" i="41" s="1"/>
  <c r="I12" i="41"/>
  <c r="I14" i="41" s="1"/>
  <c r="J12" i="41"/>
  <c r="J14" i="41" s="1"/>
  <c r="K12" i="41"/>
  <c r="K14" i="41" s="1"/>
  <c r="L12" i="41"/>
  <c r="L14" i="41" s="1"/>
  <c r="M12" i="41"/>
  <c r="M14" i="41" s="1"/>
  <c r="E31" i="43"/>
  <c r="F30" i="64"/>
  <c r="G30" i="64" s="1"/>
  <c r="H30" i="64" s="1"/>
  <c r="I30" i="64" s="1"/>
  <c r="G144" i="5" l="1"/>
  <c r="D120" i="5"/>
  <c r="H129" i="5"/>
  <c r="H130" i="5" s="1"/>
  <c r="H133" i="5" s="1"/>
  <c r="I32" i="64"/>
  <c r="I33" i="64" s="1"/>
  <c r="C18" i="41"/>
  <c r="C15" i="41"/>
  <c r="C17" i="41" s="1"/>
  <c r="P66" i="1"/>
  <c r="D118" i="5"/>
  <c r="D119" i="5"/>
  <c r="F32" i="64"/>
  <c r="F33" i="64" s="1"/>
  <c r="H32" i="64"/>
  <c r="H33" i="64" s="1"/>
  <c r="G32" i="64"/>
  <c r="G33" i="64" s="1"/>
  <c r="P63" i="1" l="1"/>
  <c r="F26" i="43" s="1"/>
  <c r="H131" i="5"/>
  <c r="I127" i="5" s="1"/>
  <c r="I129" i="5" s="1"/>
  <c r="F30" i="43"/>
  <c r="F31" i="43"/>
  <c r="F33" i="43" s="1"/>
  <c r="P68" i="1"/>
  <c r="H136" i="5" l="1"/>
  <c r="H143" i="5" s="1"/>
  <c r="H137" i="5"/>
  <c r="H149" i="5" s="1"/>
  <c r="I130" i="5"/>
  <c r="I133" i="5" s="1"/>
  <c r="AA142" i="5"/>
  <c r="H144" i="5" l="1"/>
  <c r="I137" i="5"/>
  <c r="I149" i="5" s="1"/>
  <c r="I136" i="5"/>
  <c r="I143" i="5" s="1"/>
  <c r="I144" i="5" s="1"/>
  <c r="I131" i="5"/>
  <c r="J127" i="5" s="1"/>
  <c r="J129" i="5" l="1"/>
  <c r="AB142" i="5"/>
  <c r="J130" i="5" l="1"/>
  <c r="J131" i="5" l="1"/>
  <c r="K127" i="5" s="1"/>
  <c r="K129" i="5" s="1"/>
  <c r="J133" i="5"/>
  <c r="AC142" i="5"/>
  <c r="J137" i="5" l="1"/>
  <c r="J149" i="5" s="1"/>
  <c r="J136" i="5"/>
  <c r="J143" i="5" s="1"/>
  <c r="K130" i="5"/>
  <c r="J144" i="5" l="1"/>
  <c r="K131" i="5"/>
  <c r="L127" i="5" s="1"/>
  <c r="L129" i="5" s="1"/>
  <c r="K133" i="5"/>
  <c r="K136" i="5" l="1"/>
  <c r="K143" i="5" s="1"/>
  <c r="K137" i="5"/>
  <c r="K149" i="5" s="1"/>
  <c r="L130" i="5"/>
  <c r="AD142" i="5"/>
  <c r="K144" i="5" l="1"/>
  <c r="L131" i="5"/>
  <c r="M127" i="5" s="1"/>
  <c r="M129" i="5" s="1"/>
  <c r="L133" i="5"/>
  <c r="L137" i="5" l="1"/>
  <c r="L149" i="5" s="1"/>
  <c r="L136" i="5"/>
  <c r="L143" i="5" s="1"/>
  <c r="L144" i="5" s="1"/>
  <c r="M130" i="5"/>
  <c r="AE142" i="5"/>
  <c r="M131" i="5" l="1"/>
  <c r="N127" i="5" s="1"/>
  <c r="N129" i="5" s="1"/>
  <c r="M133" i="5"/>
  <c r="M136" i="5" l="1"/>
  <c r="M143" i="5" s="1"/>
  <c r="M144" i="5" s="1"/>
  <c r="M137" i="5"/>
  <c r="M149" i="5" s="1"/>
  <c r="N130" i="5"/>
  <c r="AF142" i="5"/>
  <c r="N131" i="5" l="1"/>
  <c r="O127" i="5" s="1"/>
  <c r="O129" i="5" s="1"/>
  <c r="N133" i="5"/>
  <c r="N136" i="5" l="1"/>
  <c r="N143" i="5" s="1"/>
  <c r="N144" i="5" s="1"/>
  <c r="N137" i="5"/>
  <c r="N149" i="5" s="1"/>
  <c r="O130" i="5"/>
  <c r="O131" i="5" l="1"/>
  <c r="P127" i="5" s="1"/>
  <c r="P129" i="5" s="1"/>
  <c r="O133" i="5"/>
  <c r="AG142" i="5"/>
  <c r="O136" i="5" l="1"/>
  <c r="O143" i="5" s="1"/>
  <c r="O144" i="5" s="1"/>
  <c r="O137" i="5"/>
  <c r="O149" i="5" s="1"/>
  <c r="P130" i="5"/>
  <c r="P131" i="5" l="1"/>
  <c r="Q127" i="5" s="1"/>
  <c r="Q129" i="5" s="1"/>
  <c r="P133" i="5"/>
  <c r="P137" i="5" l="1"/>
  <c r="P149" i="5" s="1"/>
  <c r="P136" i="5"/>
  <c r="P143" i="5" s="1"/>
  <c r="P144" i="5" s="1"/>
  <c r="Q130" i="5"/>
  <c r="Q131" i="5" l="1"/>
  <c r="R127" i="5" s="1"/>
  <c r="R129" i="5" s="1"/>
  <c r="Q133" i="5"/>
  <c r="AH142" i="5"/>
  <c r="Q136" i="5" l="1"/>
  <c r="Q143" i="5" s="1"/>
  <c r="Q144" i="5" s="1"/>
  <c r="Q137" i="5"/>
  <c r="Q149" i="5" s="1"/>
  <c r="R130" i="5"/>
  <c r="R131" i="5" l="1"/>
  <c r="S127" i="5" s="1"/>
  <c r="S129" i="5" s="1"/>
  <c r="R133" i="5"/>
  <c r="R136" i="5" l="1"/>
  <c r="R143" i="5" s="1"/>
  <c r="R144" i="5" s="1"/>
  <c r="R137" i="5"/>
  <c r="R149" i="5" s="1"/>
  <c r="S130" i="5"/>
  <c r="AI142" i="5"/>
  <c r="S131" i="5" l="1"/>
  <c r="T127" i="5" s="1"/>
  <c r="T129" i="5" s="1"/>
  <c r="S133" i="5"/>
  <c r="S137" i="5" l="1"/>
  <c r="S149" i="5" s="1"/>
  <c r="S136" i="5"/>
  <c r="S143" i="5" s="1"/>
  <c r="T130" i="5"/>
  <c r="S144" i="5" l="1"/>
  <c r="T131" i="5"/>
  <c r="U127" i="5" s="1"/>
  <c r="U129" i="5" s="1"/>
  <c r="T133" i="5"/>
  <c r="AJ142" i="5"/>
  <c r="T136" i="5" l="1"/>
  <c r="T143" i="5" s="1"/>
  <c r="T137" i="5"/>
  <c r="T149" i="5" s="1"/>
  <c r="U130" i="5"/>
  <c r="T144" i="5" l="1"/>
  <c r="U131" i="5"/>
  <c r="V127" i="5" s="1"/>
  <c r="V129" i="5" s="1"/>
  <c r="U133" i="5"/>
  <c r="U137" i="5" l="1"/>
  <c r="U149" i="5" s="1"/>
  <c r="U136" i="5"/>
  <c r="U143" i="5" s="1"/>
  <c r="V130" i="5"/>
  <c r="AK142" i="5"/>
  <c r="U144" i="5" l="1"/>
  <c r="V131" i="5"/>
  <c r="W127" i="5" s="1"/>
  <c r="W129" i="5" s="1"/>
  <c r="V133" i="5"/>
  <c r="V136" i="5" l="1"/>
  <c r="V143" i="5" s="1"/>
  <c r="V137" i="5"/>
  <c r="V149" i="5" s="1"/>
  <c r="W130" i="5"/>
  <c r="AL142" i="5"/>
  <c r="V144" i="5" l="1"/>
  <c r="W131" i="5"/>
  <c r="X127" i="5" s="1"/>
  <c r="X129" i="5" s="1"/>
  <c r="W133" i="5"/>
  <c r="W136" i="5" l="1"/>
  <c r="W143" i="5" s="1"/>
  <c r="W137" i="5"/>
  <c r="W149" i="5" s="1"/>
  <c r="X130" i="5"/>
  <c r="X133" i="5" s="1"/>
  <c r="AM142" i="5"/>
  <c r="W144" i="5" l="1"/>
  <c r="X136" i="5"/>
  <c r="X143" i="5" s="1"/>
  <c r="X144" i="5" s="1"/>
  <c r="X137" i="5"/>
  <c r="X149" i="5" s="1"/>
  <c r="X131" i="5"/>
  <c r="Y127" i="5" s="1"/>
  <c r="Y129" i="5" l="1"/>
  <c r="AN142" i="5"/>
  <c r="Y130" i="5" l="1"/>
  <c r="Y131" i="5" l="1"/>
  <c r="Z127" i="5" s="1"/>
  <c r="Z129" i="5" s="1"/>
  <c r="Y133" i="5"/>
  <c r="AO142" i="5"/>
  <c r="Y136" i="5" l="1"/>
  <c r="Y143" i="5" s="1"/>
  <c r="Y144" i="5" s="1"/>
  <c r="Y137" i="5"/>
  <c r="Y149" i="5" s="1"/>
  <c r="Z130" i="5"/>
  <c r="Z131" i="5" l="1"/>
  <c r="AA127" i="5" s="1"/>
  <c r="AA129" i="5" s="1"/>
  <c r="Z133" i="5"/>
  <c r="AP142" i="5"/>
  <c r="Z137" i="5" l="1"/>
  <c r="Z149" i="5" s="1"/>
  <c r="Z136" i="5"/>
  <c r="Z143" i="5" s="1"/>
  <c r="Z144" i="5" s="1"/>
  <c r="AA130" i="5"/>
  <c r="AA131" i="5" l="1"/>
  <c r="AB127" i="5" s="1"/>
  <c r="AB129" i="5" s="1"/>
  <c r="AA133" i="5"/>
  <c r="AA137" i="5" l="1"/>
  <c r="AA149" i="5" s="1"/>
  <c r="AA136" i="5"/>
  <c r="AA143" i="5" s="1"/>
  <c r="AA144" i="5" s="1"/>
  <c r="AB130" i="5"/>
  <c r="AB131" i="5" l="1"/>
  <c r="AC127" i="5" s="1"/>
  <c r="AC129" i="5" s="1"/>
  <c r="AB133" i="5"/>
  <c r="AB137" i="5" l="1"/>
  <c r="AB149" i="5" s="1"/>
  <c r="AB136" i="5"/>
  <c r="AB143" i="5" s="1"/>
  <c r="AB144" i="5" s="1"/>
  <c r="AC130" i="5"/>
  <c r="E27" i="43"/>
  <c r="AC131" i="5" l="1"/>
  <c r="AD127" i="5" s="1"/>
  <c r="AD129" i="5" s="1"/>
  <c r="AD130" i="5" s="1"/>
  <c r="AD133" i="5" s="1"/>
  <c r="AC133" i="5"/>
  <c r="D23" i="41"/>
  <c r="D32" i="41" l="1"/>
  <c r="AD131" i="5"/>
  <c r="AE127" i="5" s="1"/>
  <c r="AC137" i="5"/>
  <c r="AC149" i="5" s="1"/>
  <c r="AC136" i="5"/>
  <c r="AC143" i="5" s="1"/>
  <c r="O41" i="1"/>
  <c r="O42" i="1" s="1"/>
  <c r="AC144" i="5" l="1"/>
  <c r="AE129" i="5"/>
  <c r="AD136" i="5"/>
  <c r="AD143" i="5" s="1"/>
  <c r="AD144" i="5" s="1"/>
  <c r="AD137" i="5"/>
  <c r="AD149" i="5" s="1"/>
  <c r="E23" i="41" l="1"/>
  <c r="E32" i="41" s="1"/>
  <c r="AE130" i="5"/>
  <c r="AQ142" i="5"/>
  <c r="AE131" i="5" l="1"/>
  <c r="AF127" i="5" s="1"/>
  <c r="AF129" i="5" s="1"/>
  <c r="AE133" i="5"/>
  <c r="AE136" i="5" l="1"/>
  <c r="AE143" i="5" s="1"/>
  <c r="AE137" i="5"/>
  <c r="AE149" i="5" s="1"/>
  <c r="AF130" i="5"/>
  <c r="AR142" i="5"/>
  <c r="AF131" i="5" l="1"/>
  <c r="AG127" i="5" s="1"/>
  <c r="AG129" i="5" s="1"/>
  <c r="AF133" i="5"/>
  <c r="AE144" i="5"/>
  <c r="AF137" i="5" l="1"/>
  <c r="AF149" i="5" s="1"/>
  <c r="AF136" i="5"/>
  <c r="AF143" i="5" s="1"/>
  <c r="AG130" i="5"/>
  <c r="AG131" i="5" l="1"/>
  <c r="AH127" i="5" s="1"/>
  <c r="AH129" i="5" s="1"/>
  <c r="AG133" i="5"/>
  <c r="AF144" i="5"/>
  <c r="AS142" i="5"/>
  <c r="AG136" i="5" l="1"/>
  <c r="AG143" i="5" s="1"/>
  <c r="AG137" i="5"/>
  <c r="AG149" i="5" s="1"/>
  <c r="AH130" i="5"/>
  <c r="AH131" i="5" l="1"/>
  <c r="AI127" i="5" s="1"/>
  <c r="AI129" i="5" s="1"/>
  <c r="AI130" i="5" s="1"/>
  <c r="AI133" i="5" s="1"/>
  <c r="AH133" i="5"/>
  <c r="AG144" i="5"/>
  <c r="AI131" i="5" l="1"/>
  <c r="AJ127" i="5" s="1"/>
  <c r="AJ129" i="5" s="1"/>
  <c r="AH136" i="5"/>
  <c r="AH143" i="5" s="1"/>
  <c r="AH137" i="5"/>
  <c r="AH149" i="5" s="1"/>
  <c r="AH144" i="5" l="1"/>
  <c r="AI137" i="5"/>
  <c r="AI149" i="5" s="1"/>
  <c r="AI136" i="5"/>
  <c r="AI143" i="5" s="1"/>
  <c r="AI144" i="5" s="1"/>
  <c r="AJ130" i="5"/>
  <c r="AT142" i="5"/>
  <c r="AJ131" i="5" l="1"/>
  <c r="AK127" i="5" s="1"/>
  <c r="AK129" i="5" s="1"/>
  <c r="AJ133" i="5"/>
  <c r="AJ136" i="5" l="1"/>
  <c r="AJ143" i="5" s="1"/>
  <c r="AJ137" i="5"/>
  <c r="AJ149" i="5" s="1"/>
  <c r="AK130" i="5"/>
  <c r="AU142" i="5"/>
  <c r="AK131" i="5" l="1"/>
  <c r="AL127" i="5" s="1"/>
  <c r="AL129" i="5" s="1"/>
  <c r="AK133" i="5"/>
  <c r="AJ144" i="5"/>
  <c r="AK136" i="5" l="1"/>
  <c r="AK143" i="5" s="1"/>
  <c r="AK137" i="5"/>
  <c r="AK149" i="5" s="1"/>
  <c r="AL130" i="5"/>
  <c r="AL131" i="5" l="1"/>
  <c r="AM127" i="5" s="1"/>
  <c r="AM129" i="5" s="1"/>
  <c r="AL133" i="5"/>
  <c r="AK144" i="5"/>
  <c r="AL137" i="5" l="1"/>
  <c r="AL149" i="5" s="1"/>
  <c r="AL136" i="5"/>
  <c r="AL143" i="5" s="1"/>
  <c r="AL144" i="5" s="1"/>
  <c r="AM130" i="5"/>
  <c r="AV142" i="5"/>
  <c r="AM131" i="5" l="1"/>
  <c r="AN127" i="5" s="1"/>
  <c r="AN129" i="5" s="1"/>
  <c r="AM133" i="5"/>
  <c r="AM136" i="5" l="1"/>
  <c r="AM143" i="5" s="1"/>
  <c r="AM144" i="5" s="1"/>
  <c r="AM137" i="5"/>
  <c r="AM149" i="5" s="1"/>
  <c r="AN130" i="5"/>
  <c r="AW142" i="5"/>
  <c r="AN131" i="5" l="1"/>
  <c r="AO127" i="5" s="1"/>
  <c r="AO129" i="5" s="1"/>
  <c r="AN133" i="5"/>
  <c r="AN137" i="5" l="1"/>
  <c r="AN149" i="5" s="1"/>
  <c r="AN136" i="5"/>
  <c r="AN143" i="5" s="1"/>
  <c r="AN144" i="5" s="1"/>
  <c r="AO130" i="5"/>
  <c r="AO131" i="5" l="1"/>
  <c r="AP127" i="5" s="1"/>
  <c r="AP129" i="5" s="1"/>
  <c r="AO133" i="5"/>
  <c r="AO137" i="5" l="1"/>
  <c r="AO149" i="5" s="1"/>
  <c r="AO136" i="5"/>
  <c r="AO143" i="5" s="1"/>
  <c r="AO144" i="5" s="1"/>
  <c r="AP130" i="5"/>
  <c r="AX142" i="5"/>
  <c r="AP131" i="5" l="1"/>
  <c r="AQ127" i="5" s="1"/>
  <c r="AQ129" i="5" s="1"/>
  <c r="AQ130" i="5" s="1"/>
  <c r="AQ133" i="5" s="1"/>
  <c r="AP133" i="5"/>
  <c r="AY142" i="5"/>
  <c r="AQ131" i="5" l="1"/>
  <c r="AR127" i="5" s="1"/>
  <c r="AP136" i="5"/>
  <c r="AP143" i="5" s="1"/>
  <c r="AP144" i="5" s="1"/>
  <c r="AP137" i="5"/>
  <c r="AP149" i="5" s="1"/>
  <c r="AR129" i="5" l="1"/>
  <c r="AR130" i="5" s="1"/>
  <c r="AR133" i="5" s="1"/>
  <c r="AQ137" i="5"/>
  <c r="AQ149" i="5" s="1"/>
  <c r="AQ136" i="5"/>
  <c r="AQ143" i="5" s="1"/>
  <c r="AQ144" i="5" l="1"/>
  <c r="AR131" i="5"/>
  <c r="AS127" i="5" s="1"/>
  <c r="AS129" i="5" l="1"/>
  <c r="AS130" i="5" s="1"/>
  <c r="AS133" i="5" s="1"/>
  <c r="AR137" i="5"/>
  <c r="AR149" i="5" s="1"/>
  <c r="AR136" i="5"/>
  <c r="AR143" i="5" s="1"/>
  <c r="AR144" i="5" l="1"/>
  <c r="AS131" i="5"/>
  <c r="AT127" i="5" s="1"/>
  <c r="AZ142" i="5"/>
  <c r="AT129" i="5" l="1"/>
  <c r="AT130" i="5" s="1"/>
  <c r="AT133" i="5" s="1"/>
  <c r="AS136" i="5"/>
  <c r="AS143" i="5" s="1"/>
  <c r="AS137" i="5"/>
  <c r="AS149" i="5" s="1"/>
  <c r="AS144" i="5" l="1"/>
  <c r="AT131" i="5"/>
  <c r="AU127" i="5" s="1"/>
  <c r="AU129" i="5" s="1"/>
  <c r="AU130" i="5" s="1"/>
  <c r="AU133" i="5" s="1"/>
  <c r="AT136" i="5"/>
  <c r="AT143" i="5" s="1"/>
  <c r="AT144" i="5" s="1"/>
  <c r="AT137" i="5"/>
  <c r="AT149" i="5" s="1"/>
  <c r="AU131" i="5" l="1"/>
  <c r="AV127" i="5" s="1"/>
  <c r="AV129" i="5" l="1"/>
  <c r="AV130" i="5" s="1"/>
  <c r="AU136" i="5"/>
  <c r="AU143" i="5" s="1"/>
  <c r="AU137" i="5"/>
  <c r="AU149" i="5" s="1"/>
  <c r="BA142" i="5"/>
  <c r="AU144" i="5" l="1"/>
  <c r="AV133" i="5"/>
  <c r="AV136" i="5" s="1"/>
  <c r="AV143" i="5" s="1"/>
  <c r="AV144" i="5" s="1"/>
  <c r="AV131" i="5"/>
  <c r="AW127" i="5" s="1"/>
  <c r="AW129" i="5" s="1"/>
  <c r="AW130" i="5" s="1"/>
  <c r="AW133" i="5" s="1"/>
  <c r="AV137" i="5" l="1"/>
  <c r="AV149" i="5" s="1"/>
  <c r="AW131" i="5"/>
  <c r="AX127" i="5" s="1"/>
  <c r="BB142" i="5"/>
  <c r="AX129" i="5" l="1"/>
  <c r="AX130" i="5" s="1"/>
  <c r="AX133" i="5" s="1"/>
  <c r="AW136" i="5"/>
  <c r="AW143" i="5" s="1"/>
  <c r="AW137" i="5"/>
  <c r="AW149" i="5" s="1"/>
  <c r="AW144" i="5" l="1"/>
  <c r="AX131" i="5"/>
  <c r="AY127" i="5" s="1"/>
  <c r="AY129" i="5" s="1"/>
  <c r="AY130" i="5" s="1"/>
  <c r="AY133" i="5" s="1"/>
  <c r="AX136" i="5"/>
  <c r="AX143" i="5" s="1"/>
  <c r="AX144" i="5" s="1"/>
  <c r="AX137" i="5"/>
  <c r="AX149" i="5" s="1"/>
  <c r="AY131" i="5" l="1"/>
  <c r="AZ127" i="5" s="1"/>
  <c r="BC142" i="5"/>
  <c r="AZ129" i="5" l="1"/>
  <c r="AZ130" i="5" s="1"/>
  <c r="AZ133" i="5" s="1"/>
  <c r="AY136" i="5"/>
  <c r="AY143" i="5" s="1"/>
  <c r="AY144" i="5" s="1"/>
  <c r="AY137" i="5"/>
  <c r="AY149" i="5" s="1"/>
  <c r="AZ131" i="5" l="1"/>
  <c r="BA127" i="5" s="1"/>
  <c r="BA129" i="5" s="1"/>
  <c r="BA130" i="5" s="1"/>
  <c r="BA133" i="5" s="1"/>
  <c r="AZ136" i="5"/>
  <c r="AZ143" i="5" s="1"/>
  <c r="AZ144" i="5" s="1"/>
  <c r="AZ137" i="5"/>
  <c r="AZ149" i="5" s="1"/>
  <c r="BA131" i="5" l="1"/>
  <c r="BB127" i="5" s="1"/>
  <c r="BD142" i="5"/>
  <c r="BB129" i="5" l="1"/>
  <c r="BB130" i="5" s="1"/>
  <c r="BB133" i="5" s="1"/>
  <c r="BA136" i="5"/>
  <c r="BA143" i="5" s="1"/>
  <c r="BA144" i="5" s="1"/>
  <c r="BA137" i="5"/>
  <c r="BA149" i="5" s="1"/>
  <c r="BB131" i="5" l="1"/>
  <c r="BC127" i="5" s="1"/>
  <c r="BE142" i="5"/>
  <c r="BC129" i="5" l="1"/>
  <c r="BC130" i="5" s="1"/>
  <c r="BC133" i="5" s="1"/>
  <c r="BB136" i="5"/>
  <c r="BB143" i="5" s="1"/>
  <c r="BB144" i="5" s="1"/>
  <c r="BB137" i="5"/>
  <c r="BB149" i="5" s="1"/>
  <c r="BC131" i="5" l="1"/>
  <c r="BD127" i="5" s="1"/>
  <c r="BD129" i="5" l="1"/>
  <c r="BD130" i="5" s="1"/>
  <c r="BD133" i="5" s="1"/>
  <c r="BC137" i="5"/>
  <c r="BC149" i="5" s="1"/>
  <c r="BC136" i="5"/>
  <c r="BC143" i="5" s="1"/>
  <c r="BC144" i="5" l="1"/>
  <c r="BD131" i="5"/>
  <c r="BE127" i="5" s="1"/>
  <c r="BE129" i="5" l="1"/>
  <c r="BD136" i="5"/>
  <c r="BD143" i="5" s="1"/>
  <c r="BD137" i="5"/>
  <c r="BD149" i="5" s="1"/>
  <c r="BF142" i="5"/>
  <c r="BD144" i="5" l="1"/>
  <c r="BE130" i="5"/>
  <c r="BE131" i="5" l="1"/>
  <c r="BF127" i="5" s="1"/>
  <c r="BF129" i="5" s="1"/>
  <c r="BE133" i="5"/>
  <c r="BG142" i="5"/>
  <c r="BE136" i="5" l="1"/>
  <c r="BE143" i="5" s="1"/>
  <c r="BE137" i="5"/>
  <c r="BE149" i="5" s="1"/>
  <c r="BF130" i="5"/>
  <c r="BF133" i="5" s="1"/>
  <c r="BE144" i="5" l="1"/>
  <c r="BF137" i="5"/>
  <c r="BF149" i="5" s="1"/>
  <c r="BF136" i="5"/>
  <c r="BF143" i="5" s="1"/>
  <c r="BF144" i="5" s="1"/>
  <c r="BF131" i="5"/>
  <c r="BG127" i="5" s="1"/>
  <c r="BG129" i="5" l="1"/>
  <c r="BH142" i="5"/>
  <c r="BG130" i="5" l="1"/>
  <c r="BG133" i="5" s="1"/>
  <c r="BG137" i="5" l="1"/>
  <c r="BG149" i="5" s="1"/>
  <c r="BG136" i="5"/>
  <c r="BG143" i="5" s="1"/>
  <c r="BG131" i="5"/>
  <c r="BH127" i="5" s="1"/>
  <c r="BG144" i="5" l="1"/>
  <c r="BH129" i="5"/>
  <c r="BI142" i="5"/>
  <c r="BH130" i="5" l="1"/>
  <c r="BH133" i="5" s="1"/>
  <c r="BH137" i="5" l="1"/>
  <c r="BH149" i="5" s="1"/>
  <c r="BH136" i="5"/>
  <c r="BH143" i="5" s="1"/>
  <c r="BH131" i="5"/>
  <c r="BI127" i="5" s="1"/>
  <c r="BH144" i="5" l="1"/>
  <c r="BI129" i="5"/>
  <c r="BJ142" i="5"/>
  <c r="BI130" i="5" l="1"/>
  <c r="BI133" i="5" s="1"/>
  <c r="BI136" i="5" l="1"/>
  <c r="BI143" i="5" s="1"/>
  <c r="BI144" i="5" s="1"/>
  <c r="BI137" i="5"/>
  <c r="BI149" i="5" s="1"/>
  <c r="BI131" i="5"/>
  <c r="BJ127" i="5" s="1"/>
  <c r="BJ129" i="5" l="1"/>
  <c r="BK142" i="5"/>
  <c r="BJ130" i="5" l="1"/>
  <c r="BJ133" i="5" s="1"/>
  <c r="BJ136" i="5" l="1"/>
  <c r="BJ143" i="5" s="1"/>
  <c r="BJ144" i="5" s="1"/>
  <c r="BJ137" i="5"/>
  <c r="BJ149" i="5" s="1"/>
  <c r="BJ131" i="5"/>
  <c r="BK127" i="5" s="1"/>
  <c r="BK129" i="5" l="1"/>
  <c r="BK130" i="5" s="1"/>
  <c r="BK133" i="5" s="1"/>
  <c r="BL142" i="5"/>
  <c r="BK131" i="5" l="1"/>
  <c r="BL127" i="5" s="1"/>
  <c r="BL129" i="5" l="1"/>
  <c r="BL130" i="5" s="1"/>
  <c r="BL133" i="5" s="1"/>
  <c r="BK136" i="5"/>
  <c r="BK143" i="5" s="1"/>
  <c r="BK144" i="5" s="1"/>
  <c r="BK137" i="5"/>
  <c r="BK149" i="5" s="1"/>
  <c r="BL136" i="5" l="1"/>
  <c r="BL143" i="5" s="1"/>
  <c r="BL144" i="5" s="1"/>
  <c r="BL131" i="5"/>
  <c r="BM127" i="5" s="1"/>
  <c r="BM129" i="5" s="1"/>
  <c r="BL137" i="5"/>
  <c r="BL149" i="5" s="1"/>
  <c r="BM142" i="5"/>
  <c r="BM130" i="5" l="1"/>
  <c r="BM133" i="5" s="1"/>
  <c r="BM136" i="5" l="1"/>
  <c r="BM143" i="5" s="1"/>
  <c r="BM144" i="5" s="1"/>
  <c r="BM131" i="5"/>
  <c r="BN127" i="5" s="1"/>
  <c r="BN142" i="5"/>
  <c r="BM137" i="5" l="1"/>
  <c r="BM149" i="5" s="1"/>
  <c r="BN129" i="5"/>
  <c r="BN130" i="5" l="1"/>
  <c r="BN133" i="5" s="1"/>
  <c r="BO142" i="5"/>
  <c r="BN131" i="5" l="1"/>
  <c r="BO127" i="5" s="1"/>
  <c r="BO129" i="5" s="1"/>
  <c r="BN136" i="5"/>
  <c r="BN143" i="5" s="1"/>
  <c r="BN144" i="5" s="1"/>
  <c r="BN137" i="5"/>
  <c r="BN149" i="5" s="1"/>
  <c r="BO130" i="5" l="1"/>
  <c r="BO133" i="5" s="1"/>
  <c r="BO131" i="5" l="1"/>
  <c r="BP127" i="5" s="1"/>
  <c r="BP129" i="5" s="1"/>
  <c r="BP130" i="5" s="1"/>
  <c r="BP133" i="5" s="1"/>
  <c r="BO136" i="5"/>
  <c r="BO143" i="5" s="1"/>
  <c r="BO137" i="5"/>
  <c r="BO149" i="5" s="1"/>
  <c r="BP142" i="5" l="1"/>
  <c r="BO144" i="5"/>
  <c r="BP136" i="5" l="1"/>
  <c r="BP143" i="5" s="1"/>
  <c r="BP131" i="5"/>
  <c r="BQ127" i="5" s="1"/>
  <c r="BP137" i="5" l="1"/>
  <c r="BP149" i="5" s="1"/>
  <c r="BQ129" i="5"/>
  <c r="BQ130" i="5" s="1"/>
  <c r="BQ133" i="5" s="1"/>
  <c r="BP144" i="5"/>
  <c r="BQ142" i="5" l="1"/>
  <c r="BQ131" i="5" l="1"/>
  <c r="BR127" i="5" s="1"/>
  <c r="BR129" i="5" l="1"/>
  <c r="BR130" i="5" s="1"/>
  <c r="BR133" i="5" s="1"/>
  <c r="BQ136" i="5"/>
  <c r="BQ143" i="5" s="1"/>
  <c r="BQ137" i="5"/>
  <c r="BQ149" i="5" s="1"/>
  <c r="BR142" i="5"/>
  <c r="BQ144" i="5" l="1"/>
  <c r="BR131" i="5" l="1"/>
  <c r="BS127" i="5" s="1"/>
  <c r="BR137" i="5" l="1"/>
  <c r="BR149" i="5" s="1"/>
  <c r="BR136" i="5"/>
  <c r="BR143" i="5" s="1"/>
  <c r="BS129" i="5"/>
  <c r="BS130" i="5" s="1"/>
  <c r="BS133" i="5" s="1"/>
  <c r="BS142" i="5"/>
  <c r="BR144" i="5" l="1"/>
  <c r="BS131" i="5" l="1"/>
  <c r="BT127" i="5" s="1"/>
  <c r="BT142" i="5"/>
  <c r="BS136" i="5" l="1"/>
  <c r="BS143" i="5" s="1"/>
  <c r="BS137" i="5"/>
  <c r="BS149" i="5" s="1"/>
  <c r="BT129" i="5"/>
  <c r="BT130" i="5" l="1"/>
  <c r="BT133" i="5" s="1"/>
  <c r="BS144" i="5"/>
  <c r="BT131" i="5" l="1"/>
  <c r="BU127" i="5" s="1"/>
  <c r="BU129" i="5" s="1"/>
  <c r="BU130" i="5" s="1"/>
  <c r="BU133" i="5" s="1"/>
  <c r="BT137" i="5"/>
  <c r="BT149" i="5" s="1"/>
  <c r="BT136" i="5"/>
  <c r="BT143" i="5" s="1"/>
  <c r="BT144" i="5" s="1"/>
  <c r="BU142" i="5"/>
  <c r="BU131" i="5" l="1"/>
  <c r="BV127" i="5" s="1"/>
  <c r="BV129" i="5" l="1"/>
  <c r="BV130" i="5" s="1"/>
  <c r="BV133" i="5" s="1"/>
  <c r="BU137" i="5"/>
  <c r="BU149" i="5" s="1"/>
  <c r="BU136" i="5"/>
  <c r="BU143" i="5" s="1"/>
  <c r="BU144" i="5" s="1"/>
  <c r="BV142" i="5" l="1"/>
  <c r="BV131" i="5" l="1"/>
  <c r="BW127" i="5" s="1"/>
  <c r="BW142" i="5"/>
  <c r="BW129" i="5" l="1"/>
  <c r="BV137" i="5"/>
  <c r="BV149" i="5" s="1"/>
  <c r="BV136" i="5"/>
  <c r="BV143" i="5" s="1"/>
  <c r="BV144" i="5" s="1"/>
  <c r="BW130" i="5" l="1"/>
  <c r="BW133" i="5" s="1"/>
  <c r="BW131" i="5" l="1"/>
  <c r="BX127" i="5" s="1"/>
  <c r="BX129" i="5" s="1"/>
  <c r="BX130" i="5" s="1"/>
  <c r="BX133" i="5" s="1"/>
  <c r="BW136" i="5"/>
  <c r="BW143" i="5" s="1"/>
  <c r="BW144" i="5" s="1"/>
  <c r="BW137" i="5"/>
  <c r="BW149" i="5" s="1"/>
  <c r="BX142" i="5"/>
  <c r="BX131" i="5" l="1"/>
  <c r="BY127" i="5" s="1"/>
  <c r="BY129" i="5" l="1"/>
  <c r="BY130" i="5" s="1"/>
  <c r="BY133" i="5" s="1"/>
  <c r="BX137" i="5"/>
  <c r="BX149" i="5" s="1"/>
  <c r="BX136" i="5"/>
  <c r="BX143" i="5" s="1"/>
  <c r="BX144" i="5" s="1"/>
  <c r="BY142" i="5"/>
  <c r="BY131" i="5" l="1"/>
  <c r="BZ127" i="5" s="1"/>
  <c r="BZ129" i="5" l="1"/>
  <c r="BZ130" i="5" s="1"/>
  <c r="BZ133" i="5" s="1"/>
  <c r="BY136" i="5"/>
  <c r="BY143" i="5" s="1"/>
  <c r="BY144" i="5" s="1"/>
  <c r="BY137" i="5"/>
  <c r="BY149" i="5" s="1"/>
  <c r="BZ142" i="5"/>
  <c r="BZ131" i="5" l="1"/>
  <c r="CA127" i="5" s="1"/>
  <c r="CA129" i="5" l="1"/>
  <c r="CA130" i="5" s="1"/>
  <c r="CA133" i="5" s="1"/>
  <c r="BZ136" i="5"/>
  <c r="BZ143" i="5" s="1"/>
  <c r="BZ144" i="5" s="1"/>
  <c r="BZ137" i="5"/>
  <c r="BZ149" i="5" s="1"/>
  <c r="CA142" i="5"/>
  <c r="CB142" i="5" l="1"/>
  <c r="CA131" i="5"/>
  <c r="CB127" i="5" s="1"/>
  <c r="CB129" i="5" l="1"/>
  <c r="CA136" i="5"/>
  <c r="CA143" i="5" s="1"/>
  <c r="CA137" i="5"/>
  <c r="CA149" i="5" s="1"/>
  <c r="CB130" i="5" l="1"/>
  <c r="CB133" i="5" s="1"/>
  <c r="CA144" i="5"/>
  <c r="CB131" i="5" l="1"/>
  <c r="CC127" i="5" s="1"/>
  <c r="CC129" i="5" s="1"/>
  <c r="CC130" i="5" s="1"/>
  <c r="CC133" i="5" s="1"/>
  <c r="CB136" i="5"/>
  <c r="CB143" i="5" s="1"/>
  <c r="CB137" i="5"/>
  <c r="CB149" i="5" s="1"/>
  <c r="CC142" i="5" l="1"/>
  <c r="CB144" i="5"/>
  <c r="CC131" i="5" l="1"/>
  <c r="CD127" i="5" s="1"/>
  <c r="CD129" i="5" l="1"/>
  <c r="CD130" i="5" s="1"/>
  <c r="CD133" i="5" s="1"/>
  <c r="CC136" i="5"/>
  <c r="CC143" i="5" s="1"/>
  <c r="CC137" i="5"/>
  <c r="CC149" i="5" s="1"/>
  <c r="CD142" i="5"/>
  <c r="CC144" i="5" l="1"/>
  <c r="CE142" i="5" l="1"/>
  <c r="CD131" i="5"/>
  <c r="CE127" i="5" s="1"/>
  <c r="CD137" i="5" l="1"/>
  <c r="CD149" i="5" s="1"/>
  <c r="CD136" i="5"/>
  <c r="CD143" i="5" s="1"/>
  <c r="CE129" i="5"/>
  <c r="CE130" i="5" l="1"/>
  <c r="CE133" i="5" s="1"/>
  <c r="CD144" i="5"/>
  <c r="CE131" i="5" l="1"/>
  <c r="CF127" i="5" s="1"/>
  <c r="CF129" i="5" s="1"/>
  <c r="CF130" i="5" s="1"/>
  <c r="CF133" i="5" s="1"/>
  <c r="CE136" i="5"/>
  <c r="CE143" i="5" s="1"/>
  <c r="CE137" i="5"/>
  <c r="CE149" i="5" s="1"/>
  <c r="CF142" i="5"/>
  <c r="CE144" i="5" l="1"/>
  <c r="CF131" i="5" l="1"/>
  <c r="CG127" i="5" s="1"/>
  <c r="CG142" i="5"/>
  <c r="CG129" i="5" l="1"/>
  <c r="CG130" i="5" s="1"/>
  <c r="CG133" i="5" s="1"/>
  <c r="CF137" i="5"/>
  <c r="CF149" i="5" s="1"/>
  <c r="CF136" i="5"/>
  <c r="CF143" i="5" s="1"/>
  <c r="CF144" i="5" s="1"/>
  <c r="CG131" i="5" l="1"/>
  <c r="CH127" i="5" s="1"/>
  <c r="CH142" i="5"/>
  <c r="CH129" i="5" l="1"/>
  <c r="CG137" i="5"/>
  <c r="CG149" i="5" s="1"/>
  <c r="CG136" i="5"/>
  <c r="CG143" i="5" s="1"/>
  <c r="CG144" i="5" s="1"/>
  <c r="CH130" i="5" l="1"/>
  <c r="CH133" i="5" s="1"/>
  <c r="CH131" i="5" l="1"/>
  <c r="CI127" i="5" s="1"/>
  <c r="CI129" i="5" s="1"/>
  <c r="CI130" i="5" s="1"/>
  <c r="CI133" i="5" s="1"/>
  <c r="CH136" i="5"/>
  <c r="CH143" i="5" s="1"/>
  <c r="CH144" i="5" s="1"/>
  <c r="CH137" i="5"/>
  <c r="CH149" i="5" s="1"/>
  <c r="CI142" i="5"/>
  <c r="CI131" i="5" l="1"/>
  <c r="CJ127" i="5" s="1"/>
  <c r="CJ129" i="5" l="1"/>
  <c r="CJ130" i="5" s="1"/>
  <c r="CJ133" i="5" s="1"/>
  <c r="CI136" i="5"/>
  <c r="CI143" i="5" s="1"/>
  <c r="CI144" i="5" s="1"/>
  <c r="CI137" i="5"/>
  <c r="CI149" i="5" s="1"/>
  <c r="CJ142" i="5"/>
  <c r="CJ136" i="5" l="1"/>
  <c r="CJ143" i="5" s="1"/>
  <c r="CJ144" i="5" s="1"/>
  <c r="CJ131" i="5"/>
  <c r="CK127" i="5" s="1"/>
  <c r="CJ137" i="5" l="1"/>
  <c r="CJ149" i="5" s="1"/>
  <c r="CK129" i="5"/>
  <c r="CK130" i="5" s="1"/>
  <c r="CK133" i="5" s="1"/>
  <c r="CK142" i="5"/>
  <c r="CK131" i="5" l="1"/>
  <c r="CL127" i="5" s="1"/>
  <c r="CL129" i="5" l="1"/>
  <c r="CL130" i="5" s="1"/>
  <c r="CL133" i="5" s="1"/>
  <c r="CK137" i="5"/>
  <c r="CK149" i="5" s="1"/>
  <c r="CK136" i="5"/>
  <c r="CK143" i="5" s="1"/>
  <c r="CK144" i="5" s="1"/>
  <c r="CL142" i="5"/>
  <c r="CL131" i="5" l="1"/>
  <c r="CM127" i="5" s="1"/>
  <c r="CM129" i="5" l="1"/>
  <c r="CM130" i="5" s="1"/>
  <c r="CM133" i="5" s="1"/>
  <c r="CL137" i="5"/>
  <c r="CL149" i="5" s="1"/>
  <c r="CL136" i="5"/>
  <c r="CL143" i="5" s="1"/>
  <c r="CL144" i="5" s="1"/>
  <c r="CM142" i="5"/>
  <c r="CM131" i="5" l="1"/>
  <c r="CN127" i="5" s="1"/>
  <c r="CN129" i="5" l="1"/>
  <c r="CN130" i="5" s="1"/>
  <c r="CN133" i="5" s="1"/>
  <c r="CM137" i="5"/>
  <c r="CM149" i="5" s="1"/>
  <c r="CM136" i="5"/>
  <c r="CM143" i="5" s="1"/>
  <c r="CN142" i="5"/>
  <c r="CM144" i="5" l="1"/>
  <c r="CN131" i="5" l="1"/>
  <c r="CO127" i="5" s="1"/>
  <c r="CN137" i="5"/>
  <c r="CN149" i="5" s="1"/>
  <c r="CN136" i="5"/>
  <c r="CN143" i="5" s="1"/>
  <c r="CO129" i="5" l="1"/>
  <c r="CO130" i="5" s="1"/>
  <c r="CO133" i="5" s="1"/>
  <c r="CN144" i="5"/>
  <c r="CO142" i="5" l="1"/>
  <c r="CO131" i="5" l="1"/>
  <c r="CP127" i="5" s="1"/>
  <c r="CP129" i="5" l="1"/>
  <c r="CP130" i="5" s="1"/>
  <c r="CP133" i="5" s="1"/>
  <c r="CO136" i="5"/>
  <c r="CO143" i="5" s="1"/>
  <c r="CO137" i="5"/>
  <c r="CO149" i="5" s="1"/>
  <c r="CP142" i="5" l="1"/>
  <c r="CO144" i="5"/>
  <c r="CP131" i="5" l="1"/>
  <c r="CQ127" i="5" s="1"/>
  <c r="CQ129" i="5" l="1"/>
  <c r="CQ130" i="5" s="1"/>
  <c r="CQ133" i="5" s="1"/>
  <c r="CP136" i="5"/>
  <c r="CP143" i="5" s="1"/>
  <c r="CP137" i="5"/>
  <c r="CP149" i="5" s="1"/>
  <c r="CQ142" i="5"/>
  <c r="CP144" i="5" l="1"/>
  <c r="CQ131" i="5" l="1"/>
  <c r="CR127" i="5" s="1"/>
  <c r="CR129" i="5" l="1"/>
  <c r="CR130" i="5" s="1"/>
  <c r="CR133" i="5" s="1"/>
  <c r="CQ136" i="5"/>
  <c r="CQ143" i="5" s="1"/>
  <c r="CQ137" i="5"/>
  <c r="CQ149" i="5" s="1"/>
  <c r="CR142" i="5"/>
  <c r="CQ144" i="5" l="1"/>
  <c r="CR131" i="5" l="1"/>
  <c r="CS127" i="5" s="1"/>
  <c r="CR136" i="5" l="1"/>
  <c r="CR143" i="5" s="1"/>
  <c r="CR144" i="5" s="1"/>
  <c r="CR137" i="5"/>
  <c r="CR149" i="5" s="1"/>
  <c r="CS129" i="5"/>
  <c r="CS130" i="5" s="1"/>
  <c r="CS133" i="5" s="1"/>
  <c r="CS142" i="5"/>
  <c r="CS137" i="5" l="1"/>
  <c r="CS149" i="5" s="1"/>
  <c r="CS131" i="5"/>
  <c r="CT127" i="5" s="1"/>
  <c r="CS136" i="5" l="1"/>
  <c r="CS143" i="5" s="1"/>
  <c r="CS144" i="5" s="1"/>
  <c r="CT129" i="5"/>
  <c r="CT130" i="5" s="1"/>
  <c r="CT133" i="5" s="1"/>
  <c r="CT142" i="5"/>
  <c r="CT136" i="5" l="1"/>
  <c r="CT143" i="5" s="1"/>
  <c r="CT144" i="5" s="1"/>
  <c r="CT137" i="5"/>
  <c r="CT149" i="5" s="1"/>
  <c r="CT131" i="5"/>
  <c r="CU127" i="5" s="1"/>
  <c r="CU129" i="5" l="1"/>
  <c r="CU130" i="5" s="1"/>
  <c r="CU133" i="5" s="1"/>
  <c r="CU142" i="5"/>
  <c r="CU131" i="5" l="1"/>
  <c r="CV127" i="5" s="1"/>
  <c r="CU136" i="5" l="1"/>
  <c r="CU143" i="5" s="1"/>
  <c r="CU144" i="5" s="1"/>
  <c r="CU137" i="5"/>
  <c r="CU149" i="5" s="1"/>
  <c r="CV129" i="5"/>
  <c r="CV130" i="5" s="1"/>
  <c r="CV133" i="5" s="1"/>
  <c r="CV142" i="5"/>
  <c r="CV131" i="5" l="1"/>
  <c r="CW127" i="5" s="1"/>
  <c r="CW129" i="5" l="1"/>
  <c r="CW130" i="5" s="1"/>
  <c r="CW133" i="5" s="1"/>
  <c r="CV136" i="5"/>
  <c r="CV143" i="5" s="1"/>
  <c r="CV144" i="5" s="1"/>
  <c r="CV137" i="5"/>
  <c r="CV149" i="5" s="1"/>
  <c r="CW142" i="5"/>
  <c r="CW131" i="5" l="1"/>
  <c r="CX127" i="5" s="1"/>
  <c r="CW136" i="5" l="1"/>
  <c r="CW143" i="5" s="1"/>
  <c r="CW144" i="5" s="1"/>
  <c r="CW137" i="5"/>
  <c r="CW149" i="5" s="1"/>
  <c r="CX129" i="5"/>
  <c r="CX130" i="5" s="1"/>
  <c r="CX133" i="5" s="1"/>
  <c r="CX142" i="5"/>
  <c r="CX137" i="5" l="1"/>
  <c r="CX149" i="5" s="1"/>
  <c r="CX136" i="5"/>
  <c r="CX143" i="5" s="1"/>
  <c r="CX144" i="5" s="1"/>
  <c r="CX131" i="5"/>
  <c r="CY127" i="5" s="1"/>
  <c r="CY129" i="5" l="1"/>
  <c r="CY130" i="5" s="1"/>
  <c r="CY133" i="5" s="1"/>
  <c r="CY142" i="5"/>
  <c r="CY131" i="5" l="1"/>
  <c r="CZ127" i="5" s="1"/>
  <c r="CZ129" i="5" l="1"/>
  <c r="CZ130" i="5" s="1"/>
  <c r="CZ133" i="5" s="1"/>
  <c r="CY136" i="5"/>
  <c r="CY143" i="5" s="1"/>
  <c r="CY137" i="5"/>
  <c r="CY149" i="5" s="1"/>
  <c r="CZ142" i="5"/>
  <c r="CY144" i="5" l="1"/>
  <c r="CZ131" i="5" l="1"/>
  <c r="DA127" i="5" s="1"/>
  <c r="DA129" i="5" l="1"/>
  <c r="DA130" i="5" s="1"/>
  <c r="DA133" i="5" s="1"/>
  <c r="CZ137" i="5"/>
  <c r="CZ149" i="5" s="1"/>
  <c r="CZ136" i="5"/>
  <c r="CZ143" i="5" s="1"/>
  <c r="DA142" i="5"/>
  <c r="CZ144" i="5" l="1"/>
  <c r="DA131" i="5" l="1"/>
  <c r="DB127" i="5" s="1"/>
  <c r="DB142" i="5"/>
  <c r="DA136" i="5" l="1"/>
  <c r="DA143" i="5" s="1"/>
  <c r="DA137" i="5"/>
  <c r="DA149" i="5" s="1"/>
  <c r="DB129" i="5"/>
  <c r="DB130" i="5" l="1"/>
  <c r="DB131" i="5" s="1"/>
  <c r="DC127" i="5" s="1"/>
  <c r="DA144" i="5"/>
  <c r="DB133" i="5" l="1"/>
  <c r="DB136" i="5" s="1"/>
  <c r="DB143" i="5" s="1"/>
  <c r="DB144" i="5" s="1"/>
  <c r="DC129" i="5"/>
  <c r="DC130" i="5" s="1"/>
  <c r="DC133" i="5" s="1"/>
  <c r="DC142" i="5"/>
  <c r="DB137" i="5" l="1"/>
  <c r="DB149" i="5" s="1"/>
  <c r="DC131" i="5"/>
  <c r="DD127" i="5" s="1"/>
  <c r="DD129" i="5" l="1"/>
  <c r="DD130" i="5" s="1"/>
  <c r="DD133" i="5" s="1"/>
  <c r="DC137" i="5"/>
  <c r="DC149" i="5" s="1"/>
  <c r="DC136" i="5"/>
  <c r="DC143" i="5" s="1"/>
  <c r="DD142" i="5"/>
  <c r="DC144" i="5" l="1"/>
  <c r="DD131" i="5" l="1"/>
  <c r="DE127" i="5" s="1"/>
  <c r="DE142" i="5"/>
  <c r="DD137" i="5" l="1"/>
  <c r="DD149" i="5" s="1"/>
  <c r="DD136" i="5"/>
  <c r="DD143" i="5" s="1"/>
  <c r="DE129" i="5"/>
  <c r="DE130" i="5" l="1"/>
  <c r="DE133" i="5" s="1"/>
  <c r="DD144" i="5"/>
  <c r="DE131" i="5" l="1"/>
  <c r="DF127" i="5" s="1"/>
  <c r="DF129" i="5" s="1"/>
  <c r="DF130" i="5" s="1"/>
  <c r="DF133" i="5" s="1"/>
  <c r="DE136" i="5"/>
  <c r="DE143" i="5" s="1"/>
  <c r="DE144" i="5" s="1"/>
  <c r="DE137" i="5"/>
  <c r="DE149" i="5" s="1"/>
  <c r="DF142" i="5" l="1"/>
  <c r="DF131" i="5" l="1"/>
  <c r="DG127" i="5" s="1"/>
  <c r="DG129" i="5" l="1"/>
  <c r="DG130" i="5" s="1"/>
  <c r="DG133" i="5" s="1"/>
  <c r="DF136" i="5"/>
  <c r="DF143" i="5" s="1"/>
  <c r="DF144" i="5" s="1"/>
  <c r="DF137" i="5"/>
  <c r="DF149" i="5" s="1"/>
  <c r="DG142" i="5"/>
  <c r="DG131" i="5" l="1"/>
  <c r="DH127" i="5" s="1"/>
  <c r="DH129" i="5" l="1"/>
  <c r="DH130" i="5" s="1"/>
  <c r="DH133" i="5" s="1"/>
  <c r="DG136" i="5"/>
  <c r="DG143" i="5" s="1"/>
  <c r="DG144" i="5" s="1"/>
  <c r="DG137" i="5"/>
  <c r="DG149" i="5" s="1"/>
  <c r="DH142" i="5"/>
  <c r="DH131" i="5" l="1"/>
  <c r="DI127" i="5" s="1"/>
  <c r="DI129" i="5" l="1"/>
  <c r="DI130" i="5" s="1"/>
  <c r="DI133" i="5" s="1"/>
  <c r="DH136" i="5"/>
  <c r="DH143" i="5" s="1"/>
  <c r="DH144" i="5" s="1"/>
  <c r="DH137" i="5"/>
  <c r="DH149" i="5" s="1"/>
  <c r="DI142" i="5"/>
  <c r="DI131" i="5" l="1"/>
  <c r="DJ127" i="5" s="1"/>
  <c r="DJ129" i="5" l="1"/>
  <c r="DJ130" i="5" s="1"/>
  <c r="DJ133" i="5" s="1"/>
  <c r="DI136" i="5"/>
  <c r="DI143" i="5" s="1"/>
  <c r="DI144" i="5" s="1"/>
  <c r="DI137" i="5"/>
  <c r="DI149" i="5" s="1"/>
  <c r="DJ142" i="5" l="1"/>
  <c r="DJ131" i="5" l="1"/>
  <c r="DK127" i="5" s="1"/>
  <c r="DK129" i="5" l="1"/>
  <c r="DK130" i="5" s="1"/>
  <c r="DK133" i="5" s="1"/>
  <c r="DJ137" i="5"/>
  <c r="DJ149" i="5" s="1"/>
  <c r="DJ136" i="5"/>
  <c r="DJ143" i="5" s="1"/>
  <c r="DJ144" i="5" s="1"/>
  <c r="DK142" i="5"/>
  <c r="DK131" i="5" l="1"/>
  <c r="DL127" i="5" s="1"/>
  <c r="DK136" i="5" l="1"/>
  <c r="DK143" i="5" s="1"/>
  <c r="DK137" i="5"/>
  <c r="DK149" i="5" s="1"/>
  <c r="DL129" i="5"/>
  <c r="DL130" i="5" s="1"/>
  <c r="DL133" i="5" s="1"/>
  <c r="DL142" i="5"/>
  <c r="DK144" i="5" l="1"/>
  <c r="DL136" i="5" l="1"/>
  <c r="DL143" i="5" s="1"/>
  <c r="DL131" i="5"/>
  <c r="DM127" i="5" s="1"/>
  <c r="DM129" i="5" l="1"/>
  <c r="DM130" i="5" s="1"/>
  <c r="DM133" i="5" s="1"/>
  <c r="DL137" i="5"/>
  <c r="DL149" i="5" s="1"/>
  <c r="DL144" i="5"/>
  <c r="DM142" i="5" l="1"/>
  <c r="DM131" i="5" l="1"/>
  <c r="DN127" i="5" s="1"/>
  <c r="DN129" i="5" l="1"/>
  <c r="DN130" i="5" s="1"/>
  <c r="DN133" i="5" s="1"/>
  <c r="DM136" i="5"/>
  <c r="DM143" i="5" s="1"/>
  <c r="DM137" i="5"/>
  <c r="DM149" i="5" s="1"/>
  <c r="DN142" i="5"/>
  <c r="DM144" i="5" l="1"/>
  <c r="DN131" i="5" l="1"/>
  <c r="DO127" i="5" s="1"/>
  <c r="DO142" i="5"/>
  <c r="DP142" i="5" l="1"/>
  <c r="DN136" i="5"/>
  <c r="DN143" i="5" s="1"/>
  <c r="DN137" i="5"/>
  <c r="DN149" i="5" s="1"/>
  <c r="DO129" i="5"/>
  <c r="DO130" i="5" s="1"/>
  <c r="DO133" i="5" s="1"/>
  <c r="DN144" i="5" l="1"/>
  <c r="DO131" i="5" l="1"/>
  <c r="DP127" i="5" s="1"/>
  <c r="DO136" i="5"/>
  <c r="DO143" i="5" s="1"/>
  <c r="DO144" i="5" s="1"/>
  <c r="DO137" i="5"/>
  <c r="DO149" i="5" s="1"/>
  <c r="DP129" i="5" l="1"/>
  <c r="DP130" i="5" s="1"/>
  <c r="DP133" i="5" s="1"/>
  <c r="DP131" i="5" l="1"/>
  <c r="DQ127" i="5" s="1"/>
  <c r="DQ129" i="5" s="1"/>
  <c r="DQ130" i="5" s="1"/>
  <c r="DQ133" i="5" s="1"/>
  <c r="DQ142" i="5"/>
  <c r="DP136" i="5" l="1"/>
  <c r="DP143" i="5" s="1"/>
  <c r="DP144" i="5" s="1"/>
  <c r="DP137" i="5"/>
  <c r="DP149" i="5" s="1"/>
  <c r="DQ137" i="5" l="1"/>
  <c r="DQ149" i="5" s="1"/>
  <c r="DQ136" i="5"/>
  <c r="DQ143" i="5" s="1"/>
  <c r="DQ144" i="5" s="1"/>
  <c r="DQ131" i="5"/>
  <c r="DR127" i="5" s="1"/>
  <c r="DR142" i="5"/>
  <c r="DR129" i="5" l="1"/>
  <c r="DR130" i="5" s="1"/>
  <c r="DR133" i="5" s="1"/>
  <c r="DR131" i="5" l="1"/>
  <c r="DS127" i="5" s="1"/>
  <c r="DR137" i="5"/>
  <c r="DR149" i="5" s="1"/>
  <c r="DS129" i="5" l="1"/>
  <c r="DS130" i="5" s="1"/>
  <c r="DS133" i="5" s="1"/>
  <c r="DR136" i="5"/>
  <c r="DR143" i="5" s="1"/>
  <c r="DR144" i="5" s="1"/>
  <c r="DS142" i="5" l="1"/>
  <c r="DS131" i="5" l="1"/>
  <c r="DT127" i="5" s="1"/>
  <c r="DT129" i="5" l="1"/>
  <c r="DT130" i="5" s="1"/>
  <c r="DT133" i="5" s="1"/>
  <c r="DS137" i="5"/>
  <c r="DS149" i="5" s="1"/>
  <c r="DS136" i="5"/>
  <c r="DS143" i="5" s="1"/>
  <c r="DS144" i="5" s="1"/>
  <c r="DT142" i="5"/>
  <c r="DT131" i="5" l="1"/>
  <c r="DU127" i="5" s="1"/>
  <c r="DU129" i="5" l="1"/>
  <c r="DU130" i="5" s="1"/>
  <c r="DU133" i="5" s="1"/>
  <c r="DT137" i="5"/>
  <c r="DT149" i="5" s="1"/>
  <c r="DT136" i="5"/>
  <c r="DT143" i="5" s="1"/>
  <c r="DT144" i="5" s="1"/>
  <c r="DU142" i="5"/>
  <c r="DU131" i="5" l="1"/>
  <c r="DV127" i="5" s="1"/>
  <c r="DU136" i="5" l="1"/>
  <c r="DU143" i="5" s="1"/>
  <c r="DU144" i="5" s="1"/>
  <c r="DU137" i="5"/>
  <c r="DU149" i="5" s="1"/>
  <c r="DV129" i="5"/>
  <c r="DV130" i="5" s="1"/>
  <c r="DV133" i="5" s="1"/>
  <c r="DV142" i="5"/>
  <c r="DV131" i="5" l="1"/>
  <c r="DW127" i="5" s="1"/>
  <c r="DW129" i="5" l="1"/>
  <c r="DW130" i="5" s="1"/>
  <c r="DW133" i="5" s="1"/>
  <c r="DV136" i="5"/>
  <c r="DV143" i="5" s="1"/>
  <c r="DV144" i="5" s="1"/>
  <c r="DV137" i="5"/>
  <c r="DV149" i="5" s="1"/>
  <c r="DW142" i="5"/>
  <c r="DW136" i="5" l="1"/>
  <c r="DW143" i="5" s="1"/>
  <c r="DW144" i="5" s="1"/>
  <c r="DW131" i="5"/>
  <c r="DX127" i="5" s="1"/>
  <c r="DX129" i="5" l="1"/>
  <c r="DX130" i="5" s="1"/>
  <c r="DX133" i="5" s="1"/>
  <c r="DW137" i="5"/>
  <c r="DW149" i="5" s="1"/>
  <c r="DX142" i="5"/>
  <c r="DX131" i="5" l="1"/>
  <c r="DY127" i="5" s="1"/>
  <c r="DY142" i="5"/>
  <c r="DX136" i="5" l="1"/>
  <c r="DX143" i="5" s="1"/>
  <c r="DX144" i="5" s="1"/>
  <c r="DX137" i="5"/>
  <c r="DX149" i="5" s="1"/>
  <c r="DY129" i="5"/>
  <c r="DY130" i="5" l="1"/>
  <c r="DY133" i="5" s="1"/>
  <c r="DY131" i="5" l="1"/>
  <c r="DZ127" i="5" s="1"/>
  <c r="DZ129" i="5" s="1"/>
  <c r="DZ130" i="5" s="1"/>
  <c r="DZ133" i="5" s="1"/>
  <c r="DY136" i="5"/>
  <c r="DY143" i="5" s="1"/>
  <c r="DY144" i="5" s="1"/>
  <c r="DY137" i="5"/>
  <c r="DY149" i="5" s="1"/>
  <c r="DZ142" i="5"/>
  <c r="DZ131" i="5" l="1"/>
  <c r="EA127" i="5" s="1"/>
  <c r="EA142" i="5"/>
  <c r="EA129" i="5" l="1"/>
  <c r="DZ136" i="5"/>
  <c r="DZ143" i="5" s="1"/>
  <c r="DZ144" i="5" s="1"/>
  <c r="DZ137" i="5"/>
  <c r="DZ149" i="5" s="1"/>
  <c r="EA130" i="5" l="1"/>
  <c r="EA133" i="5" s="1"/>
  <c r="EA131" i="5" l="1"/>
  <c r="EB127" i="5" s="1"/>
  <c r="EB129" i="5" s="1"/>
  <c r="EB130" i="5" s="1"/>
  <c r="EB133" i="5" s="1"/>
  <c r="EA136" i="5"/>
  <c r="EA143" i="5" s="1"/>
  <c r="EA144" i="5" s="1"/>
  <c r="EA137" i="5"/>
  <c r="EA149" i="5" s="1"/>
  <c r="EB142" i="5" l="1"/>
  <c r="EB131" i="5" l="1"/>
  <c r="EC127" i="5" s="1"/>
  <c r="EC129" i="5" l="1"/>
  <c r="EC130" i="5" s="1"/>
  <c r="EC133" i="5" s="1"/>
  <c r="EB137" i="5"/>
  <c r="EB149" i="5" s="1"/>
  <c r="EB136" i="5"/>
  <c r="EB143" i="5" s="1"/>
  <c r="EB144" i="5" s="1"/>
  <c r="EC142" i="5"/>
  <c r="EC131" i="5" l="1"/>
  <c r="ED127" i="5" s="1"/>
  <c r="EC137" i="5" l="1"/>
  <c r="EC149" i="5" s="1"/>
  <c r="EC136" i="5"/>
  <c r="EC143" i="5" s="1"/>
  <c r="EC144" i="5" s="1"/>
  <c r="ED129" i="5"/>
  <c r="ED130" i="5" s="1"/>
  <c r="ED133" i="5" s="1"/>
  <c r="ED142" i="5"/>
  <c r="ED131" i="5" l="1"/>
  <c r="EE127" i="5" s="1"/>
  <c r="EE129" i="5" l="1"/>
  <c r="EE130" i="5" s="1"/>
  <c r="EE133" i="5" s="1"/>
  <c r="ED136" i="5"/>
  <c r="ED143" i="5" s="1"/>
  <c r="ED144" i="5" s="1"/>
  <c r="ED137" i="5"/>
  <c r="ED149" i="5" s="1"/>
  <c r="EE142" i="5"/>
  <c r="EE131" i="5" l="1"/>
  <c r="EF127" i="5" s="1"/>
  <c r="EF142" i="5"/>
  <c r="EF129" i="5" l="1"/>
  <c r="EE136" i="5"/>
  <c r="EE143" i="5" s="1"/>
  <c r="EE144" i="5" s="1"/>
  <c r="EE137" i="5"/>
  <c r="EE149" i="5" s="1"/>
  <c r="EF130" i="5" l="1"/>
  <c r="EF133" i="5" s="1"/>
  <c r="EF131" i="5" l="1"/>
  <c r="EG127" i="5" s="1"/>
  <c r="EG129" i="5" s="1"/>
  <c r="EG130" i="5" s="1"/>
  <c r="EG133" i="5" s="1"/>
  <c r="EF136" i="5"/>
  <c r="EF143" i="5" s="1"/>
  <c r="EF144" i="5" s="1"/>
  <c r="EF137" i="5"/>
  <c r="EF149" i="5" s="1"/>
  <c r="EG142" i="5"/>
  <c r="EG131" i="5" l="1"/>
  <c r="EH127" i="5" s="1"/>
  <c r="EH142" i="5"/>
  <c r="EH129" i="5" l="1"/>
  <c r="EG137" i="5"/>
  <c r="EG149" i="5" s="1"/>
  <c r="EG136" i="5"/>
  <c r="EG143" i="5" s="1"/>
  <c r="EG144" i="5" s="1"/>
  <c r="D22" i="41"/>
  <c r="D31" i="41" s="1"/>
  <c r="D142" i="5"/>
  <c r="E22" i="41"/>
  <c r="F22" i="41"/>
  <c r="G22" i="41"/>
  <c r="G31" i="41" s="1"/>
  <c r="H22" i="41"/>
  <c r="H31" i="41" s="1"/>
  <c r="I22" i="41"/>
  <c r="I31" i="41" s="1"/>
  <c r="J22" i="41"/>
  <c r="J31" i="41" s="1"/>
  <c r="K22" i="41"/>
  <c r="K31" i="41" s="1"/>
  <c r="L22" i="41"/>
  <c r="L31" i="41" s="1"/>
  <c r="M22" i="41"/>
  <c r="M31" i="41" s="1"/>
  <c r="EH130" i="5" l="1"/>
  <c r="EH133" i="5" s="1"/>
  <c r="E31" i="41"/>
  <c r="E33" i="41" s="1"/>
  <c r="F31" i="41"/>
  <c r="D33" i="41"/>
  <c r="E24" i="41"/>
  <c r="N66" i="1"/>
  <c r="D24" i="41"/>
  <c r="E29" i="43"/>
  <c r="O68" i="1"/>
  <c r="E32" i="43"/>
  <c r="E33" i="43" s="1"/>
  <c r="E30" i="43"/>
  <c r="EH131" i="5" l="1"/>
  <c r="EH136" i="5"/>
  <c r="EH143" i="5" s="1"/>
  <c r="EH137" i="5"/>
  <c r="EH149" i="5" s="1"/>
  <c r="D31" i="43"/>
  <c r="F23" i="41" l="1"/>
  <c r="F32" i="41" s="1"/>
  <c r="F33" i="41" s="1"/>
  <c r="D149" i="5"/>
  <c r="D143" i="5"/>
  <c r="G23" i="41"/>
  <c r="G32" i="41" s="1"/>
  <c r="H23" i="41"/>
  <c r="H32" i="41" s="1"/>
  <c r="I23" i="41"/>
  <c r="I32" i="41" s="1"/>
  <c r="J23" i="41"/>
  <c r="J32" i="41" s="1"/>
  <c r="K23" i="41"/>
  <c r="K32" i="41" s="1"/>
  <c r="L23" i="41"/>
  <c r="L32" i="41" s="1"/>
  <c r="M23" i="41"/>
  <c r="M32" i="41" s="1"/>
  <c r="EH144" i="5"/>
  <c r="F24" i="41" l="1"/>
  <c r="D145" i="5"/>
  <c r="D144" i="5"/>
  <c r="M33" i="41"/>
  <c r="M24" i="41"/>
  <c r="L33" i="41"/>
  <c r="L24" i="41"/>
  <c r="K33" i="41"/>
  <c r="K24" i="41"/>
  <c r="J33" i="41"/>
  <c r="J24" i="41"/>
  <c r="I33" i="41"/>
  <c r="I24" i="41"/>
  <c r="H33" i="41"/>
  <c r="H24" i="41"/>
  <c r="G33" i="41"/>
  <c r="G24" i="41"/>
  <c r="N67" i="1"/>
  <c r="D146" i="5"/>
  <c r="M67" i="1"/>
  <c r="M68" i="1" s="1"/>
  <c r="C47" i="41" l="1"/>
  <c r="O63" i="1" s="1"/>
  <c r="E26" i="43" s="1"/>
  <c r="N65" i="1"/>
  <c r="D30" i="43" s="1"/>
  <c r="D32" i="43"/>
  <c r="D33" i="43" s="1"/>
  <c r="N68" i="1"/>
  <c r="C34" i="41"/>
  <c r="C25" i="41"/>
  <c r="N64" i="1"/>
  <c r="D29" i="43" s="1"/>
  <c r="C26" i="41"/>
  <c r="C35" i="41" s="1"/>
  <c r="C27" i="41" l="1"/>
  <c r="C28" i="41"/>
  <c r="C37" i="41"/>
  <c r="C36" i="41"/>
  <c r="N63" i="1" l="1"/>
  <c r="D26" i="4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 rogan</author>
  </authors>
  <commentList>
    <comment ref="AI30" authorId="0" shapeId="0" xr:uid="{A1CFBB07-9A79-4E92-9D1C-2C26D914371B}">
      <text>
        <r>
          <rPr>
            <b/>
            <sz val="9"/>
            <color indexed="81"/>
            <rFont val="Tahoma"/>
            <family val="2"/>
          </rPr>
          <t>ed rogan:</t>
        </r>
        <r>
          <rPr>
            <sz val="9"/>
            <color indexed="81"/>
            <rFont val="Tahoma"/>
            <family val="2"/>
          </rPr>
          <t xml:space="preserve">
renovation downtime and lease up timing. Adjust the number of months expected for renovated units to be offline due to renovation and marketing timing.</t>
        </r>
      </text>
    </comment>
    <comment ref="AK60" authorId="0" shapeId="0" xr:uid="{AD1F6166-7697-48AA-97D3-51D408DAE9F1}">
      <text>
        <r>
          <rPr>
            <b/>
            <sz val="9"/>
            <color indexed="81"/>
            <rFont val="Tahoma"/>
            <family val="2"/>
          </rPr>
          <t>ed rogan:</t>
        </r>
        <r>
          <rPr>
            <sz val="9"/>
            <color indexed="81"/>
            <rFont val="Tahoma"/>
            <family val="2"/>
          </rPr>
          <t xml:space="preserve">
this calculation is designed to maintain a minimum level of vacancy through value-add program. Thus the minimum vac% set in assumptions limits the available # of units to be renovated for any given month.
The formula intuition is described as follows:
if the offline reno units are greater than the minimum vacancy, the vacancy will reflect the higher loss to renovate more units than set by the minimum vacancy. If the # of reno offline units are less than the min vacancy setting, then the formula will calculate the minimum of (min vacancy % - offline reno vacancy %) or (remainimg available units below the min vacancy rate)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 rogan</author>
  </authors>
  <commentList>
    <comment ref="AO5" authorId="0" shapeId="0" xr:uid="{BABEDCB8-CDC3-4EFF-88C7-FE44BDCF2C90}">
      <text>
        <r>
          <rPr>
            <sz val="9"/>
            <color indexed="81"/>
            <rFont val="Tahoma"/>
            <family val="2"/>
          </rPr>
          <t xml:space="preserve">Select whether to use trailing 12 months </t>
        </r>
        <r>
          <rPr>
            <b/>
            <sz val="9"/>
            <color indexed="81"/>
            <rFont val="Tahoma"/>
            <family val="2"/>
          </rPr>
          <t>(12)</t>
        </r>
        <r>
          <rPr>
            <sz val="9"/>
            <color indexed="81"/>
            <rFont val="Tahoma"/>
            <family val="2"/>
          </rPr>
          <t xml:space="preserve">, trailing 3 months </t>
        </r>
        <r>
          <rPr>
            <b/>
            <sz val="9"/>
            <color indexed="81"/>
            <rFont val="Tahoma"/>
            <family val="2"/>
          </rPr>
          <t>(3)</t>
        </r>
        <r>
          <rPr>
            <sz val="9"/>
            <color indexed="81"/>
            <rFont val="Tahoma"/>
            <family val="2"/>
          </rPr>
          <t xml:space="preserve">, or in-place rent roll </t>
        </r>
        <r>
          <rPr>
            <b/>
            <sz val="9"/>
            <color indexed="81"/>
            <rFont val="Tahoma"/>
            <family val="2"/>
          </rPr>
          <t>(0)</t>
        </r>
        <r>
          <rPr>
            <sz val="9"/>
            <color indexed="81"/>
            <rFont val="Tahoma"/>
            <family val="2"/>
          </rPr>
          <t xml:space="preserve"> income as the basis for loan sizing.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<sst xmlns="http://schemas.openxmlformats.org/spreadsheetml/2006/main" count="2579" uniqueCount="942">
  <si>
    <t>Closing Costs</t>
  </si>
  <si>
    <t>Amortization</t>
  </si>
  <si>
    <t>Sources</t>
  </si>
  <si>
    <t>Equity</t>
  </si>
  <si>
    <t xml:space="preserve">Debt </t>
  </si>
  <si>
    <t>Total</t>
  </si>
  <si>
    <t>Uses</t>
  </si>
  <si>
    <t>Sources &amp; Uses</t>
  </si>
  <si>
    <t>Address</t>
  </si>
  <si>
    <t>Gross SF</t>
  </si>
  <si>
    <t>Units</t>
  </si>
  <si>
    <t>Description</t>
  </si>
  <si>
    <t>Insurance</t>
  </si>
  <si>
    <t>Year</t>
  </si>
  <si>
    <t>Vacancy</t>
  </si>
  <si>
    <t>Concessions</t>
  </si>
  <si>
    <t>Start</t>
  </si>
  <si>
    <t>Expense Assumptions</t>
  </si>
  <si>
    <t>Physical Vacancy</t>
  </si>
  <si>
    <t>Net Rental Income</t>
  </si>
  <si>
    <t>Total Other Income</t>
  </si>
  <si>
    <t>Effective Gross Income</t>
  </si>
  <si>
    <t>Total Expenses</t>
  </si>
  <si>
    <t>Net Operating Income</t>
  </si>
  <si>
    <t>Sale Price</t>
  </si>
  <si>
    <t>Costs of Sale</t>
  </si>
  <si>
    <t>Costs of Sale (% of Sale Price)</t>
  </si>
  <si>
    <t>No</t>
  </si>
  <si>
    <t>Loan Payoff</t>
  </si>
  <si>
    <t>EXPENSES</t>
  </si>
  <si>
    <t>OTHER INCOME</t>
  </si>
  <si>
    <t>Levered Net Cash Flow</t>
  </si>
  <si>
    <t>Starting Loan Balance</t>
  </si>
  <si>
    <t>Ending Loan Balance</t>
  </si>
  <si>
    <t>Total Loan Payment</t>
  </si>
  <si>
    <t>Principal Payment</t>
  </si>
  <si>
    <t>Interest Payment</t>
  </si>
  <si>
    <t>Contributions</t>
  </si>
  <si>
    <t>Distributions</t>
  </si>
  <si>
    <t>Yes</t>
  </si>
  <si>
    <t>REFINANCE</t>
  </si>
  <si>
    <t>Operating Expenses</t>
  </si>
  <si>
    <t>[Insert Comment]</t>
  </si>
  <si>
    <t>Comments</t>
  </si>
  <si>
    <t>DSCR</t>
  </si>
  <si>
    <t>Debt Yield</t>
  </si>
  <si>
    <t>Min</t>
  </si>
  <si>
    <t>Year Built</t>
  </si>
  <si>
    <t>Parking Spaces</t>
  </si>
  <si>
    <t>Cf from Op</t>
  </si>
  <si>
    <t>NOI</t>
  </si>
  <si>
    <t>Analysis Start Date</t>
  </si>
  <si>
    <t>$#,##0;($#,##0);_("-"_)</t>
  </si>
  <si>
    <t>Date format</t>
  </si>
  <si>
    <t>[$-en-US]mmm yyyy;@</t>
  </si>
  <si>
    <t>Investment Name</t>
  </si>
  <si>
    <t>Property Type</t>
  </si>
  <si>
    <t>City State Zip</t>
  </si>
  <si>
    <t>Acres</t>
  </si>
  <si>
    <t>Lot Size (SF)</t>
  </si>
  <si>
    <t># of Stories</t>
  </si>
  <si>
    <t>Project Description</t>
  </si>
  <si>
    <t>Project Risk Metrics</t>
  </si>
  <si>
    <t>Avg.</t>
  </si>
  <si>
    <t>Equity Multiple</t>
  </si>
  <si>
    <t>Timing</t>
  </si>
  <si>
    <t>Finish</t>
  </si>
  <si>
    <t>Months</t>
  </si>
  <si>
    <t>Financing Summary</t>
  </si>
  <si>
    <t>Refi</t>
  </si>
  <si>
    <t>Loan Amount</t>
  </si>
  <si>
    <t>Sale Assumptions</t>
  </si>
  <si>
    <t>Project Returns</t>
  </si>
  <si>
    <t>Cap Rate for Valuation</t>
  </si>
  <si>
    <t>Monthly Pro Forma</t>
  </si>
  <si>
    <t>Financing Schedule</t>
  </si>
  <si>
    <t>Number format formula</t>
  </si>
  <si>
    <t>NRSF</t>
  </si>
  <si>
    <t>Other Income</t>
  </si>
  <si>
    <t>Bad Debt</t>
  </si>
  <si>
    <t>Utilities</t>
  </si>
  <si>
    <t>Hold Period</t>
  </si>
  <si>
    <t>[Insert]</t>
  </si>
  <si>
    <t>Per Unit</t>
  </si>
  <si>
    <t>Loss to Lease</t>
  </si>
  <si>
    <t>Levered IRR</t>
  </si>
  <si>
    <t>RENTAL INCOME</t>
  </si>
  <si>
    <t>Studio</t>
  </si>
  <si>
    <t>Interest Rate</t>
  </si>
  <si>
    <t>Manual</t>
  </si>
  <si>
    <t>Automatic</t>
  </si>
  <si>
    <t>PROJECT SUMMARY</t>
  </si>
  <si>
    <t>Net Profit</t>
  </si>
  <si>
    <t>Payroll</t>
  </si>
  <si>
    <t>Contract Services</t>
  </si>
  <si>
    <t>Unit</t>
  </si>
  <si>
    <t>Market Rent</t>
  </si>
  <si>
    <t>Deal Summary</t>
  </si>
  <si>
    <t>Remaining Split</t>
  </si>
  <si>
    <t>Sponsor</t>
  </si>
  <si>
    <t>Senior</t>
  </si>
  <si>
    <t>Project Budget Overview</t>
  </si>
  <si>
    <t>Monthly Budget</t>
  </si>
  <si>
    <t>Total Budget</t>
  </si>
  <si>
    <t>Month Start</t>
  </si>
  <si>
    <t>Month End</t>
  </si>
  <si>
    <t>Total Months</t>
  </si>
  <si>
    <t>Straight Line</t>
  </si>
  <si>
    <t>Upfront</t>
  </si>
  <si>
    <t>On-going</t>
  </si>
  <si>
    <t>Purchase Price</t>
  </si>
  <si>
    <t>$/unit</t>
  </si>
  <si>
    <t>SENIOR FINANCING</t>
  </si>
  <si>
    <t>JUNIOR FINANCING</t>
  </si>
  <si>
    <t>Financing Costs</t>
  </si>
  <si>
    <t>Junior</t>
  </si>
  <si>
    <t>Investor</t>
  </si>
  <si>
    <t>Interest Only Period</t>
  </si>
  <si>
    <t>Ending Balance</t>
  </si>
  <si>
    <t>Total Cash Flow</t>
  </si>
  <si>
    <t>IRR</t>
  </si>
  <si>
    <t>Investor Equity</t>
  </si>
  <si>
    <t>Senior Debt</t>
  </si>
  <si>
    <t>Junior Debt</t>
  </si>
  <si>
    <t>Break Even Occupancy (Max)</t>
  </si>
  <si>
    <t>Project</t>
  </si>
  <si>
    <t>Year 1 Cash on Cash Return</t>
  </si>
  <si>
    <t>Unlevered IRR</t>
  </si>
  <si>
    <t>Reversion Cash Flow</t>
  </si>
  <si>
    <t>Exit Cap Rate</t>
  </si>
  <si>
    <t>Total Valuation</t>
  </si>
  <si>
    <t>Debt Balance</t>
  </si>
  <si>
    <t>Cash Proceeds</t>
  </si>
  <si>
    <t>Renovation</t>
  </si>
  <si>
    <t>Yield (Year 1)</t>
  </si>
  <si>
    <t>Notes</t>
  </si>
  <si>
    <t>LTV</t>
  </si>
  <si>
    <t>LTC</t>
  </si>
  <si>
    <t>Type</t>
  </si>
  <si>
    <t>Acquisition Fee</t>
  </si>
  <si>
    <t>Total Cost</t>
  </si>
  <si>
    <t>Debt Service</t>
  </si>
  <si>
    <t>Simple</t>
  </si>
  <si>
    <t>Complex</t>
  </si>
  <si>
    <t>Cap Rate</t>
  </si>
  <si>
    <t>Purchase</t>
  </si>
  <si>
    <t>Gross Potential Rent</t>
  </si>
  <si>
    <t>% of EGI</t>
  </si>
  <si>
    <t>Asset Management Fee</t>
  </si>
  <si>
    <t>Per SF</t>
  </si>
  <si>
    <t>Property Management Fee</t>
  </si>
  <si>
    <t>T12</t>
  </si>
  <si>
    <t>Total Operating Expenses</t>
  </si>
  <si>
    <t>NOI After Reserves</t>
  </si>
  <si>
    <t>RUBS</t>
  </si>
  <si>
    <t>Current Other Income</t>
  </si>
  <si>
    <t>Potential Other Income</t>
  </si>
  <si>
    <t>Annual Pro Forma</t>
  </si>
  <si>
    <t>Per NRSF</t>
  </si>
  <si>
    <t>1 Bedroom</t>
  </si>
  <si>
    <t>Studio - P</t>
  </si>
  <si>
    <t>Studio - R</t>
  </si>
  <si>
    <t>2 Bedroom</t>
  </si>
  <si>
    <t>2 Bedroom - P</t>
  </si>
  <si>
    <t>2 Bedroom - R</t>
  </si>
  <si>
    <t>3 Bedroom</t>
  </si>
  <si>
    <t>3 Bedroom - P</t>
  </si>
  <si>
    <t>3 Bedroom - R</t>
  </si>
  <si>
    <t>Unit Types</t>
  </si>
  <si>
    <t>Avg SF</t>
  </si>
  <si>
    <t>In Place</t>
  </si>
  <si>
    <t>Premium</t>
  </si>
  <si>
    <t>Unit Type</t>
  </si>
  <si>
    <t>Month</t>
  </si>
  <si>
    <t>Date</t>
  </si>
  <si>
    <t>Detailed</t>
  </si>
  <si>
    <t>Premiums Achieved</t>
  </si>
  <si>
    <t>Prepayment Type</t>
  </si>
  <si>
    <t>1 Bedroom - P</t>
  </si>
  <si>
    <t>1 Bedroom - R</t>
  </si>
  <si>
    <t>Annual Cash Flow</t>
  </si>
  <si>
    <t>Monthly Cash Flow</t>
  </si>
  <si>
    <t>Annual Cash Flow To Investors</t>
  </si>
  <si>
    <t>Monthly Cash Flow To Investors</t>
  </si>
  <si>
    <t>Annual Debt Service</t>
  </si>
  <si>
    <t>Operating Expenses &amp; Reserves</t>
  </si>
  <si>
    <t>W/D</t>
  </si>
  <si>
    <t>Carports</t>
  </si>
  <si>
    <t>Pet Fees</t>
  </si>
  <si>
    <t>Year 1 Property Cash Flow</t>
  </si>
  <si>
    <t>Disposition Fee</t>
  </si>
  <si>
    <t>Purchase Price Per Unit</t>
  </si>
  <si>
    <t>None</t>
  </si>
  <si>
    <t>Percent</t>
  </si>
  <si>
    <t>Yield Maintenance</t>
  </si>
  <si>
    <t>Capital Expenses</t>
  </si>
  <si>
    <t>All in Purchase Price</t>
  </si>
  <si>
    <t>Investors</t>
  </si>
  <si>
    <t>NOI at Time of Sale</t>
  </si>
  <si>
    <t>Gross Sale Proceeds</t>
  </si>
  <si>
    <t>Price Per Unit</t>
  </si>
  <si>
    <t>Prepayment Penalty</t>
  </si>
  <si>
    <t>Net Sale Proceeds</t>
  </si>
  <si>
    <t>Y1</t>
  </si>
  <si>
    <t>Taxes</t>
  </si>
  <si>
    <t>Project Management</t>
  </si>
  <si>
    <t>Low S-Curve</t>
  </si>
  <si>
    <t>Medium - S Curve</t>
  </si>
  <si>
    <t>High - S Curve</t>
  </si>
  <si>
    <t>Distribution</t>
  </si>
  <si>
    <t>Annual Budget</t>
  </si>
  <si>
    <t>Loan Term</t>
  </si>
  <si>
    <t>Average Annual ROI</t>
  </si>
  <si>
    <t>Loan Proceeds</t>
  </si>
  <si>
    <t>TOTAL PROJECT RETURNS</t>
  </si>
  <si>
    <t>Percent/Risk Free Rate</t>
  </si>
  <si>
    <t>GRAPHICS DATA</t>
  </si>
  <si>
    <t>CF From Operations</t>
  </si>
  <si>
    <t>CF From Capital Events</t>
  </si>
  <si>
    <t>Growth rate</t>
  </si>
  <si>
    <t>Sale Date Adjusted</t>
  </si>
  <si>
    <t>Growth Factor</t>
  </si>
  <si>
    <t>Loan Fee</t>
  </si>
  <si>
    <t>Preferred Equity</t>
  </si>
  <si>
    <t>Multifamily</t>
  </si>
  <si>
    <t>Workers Comp</t>
  </si>
  <si>
    <t>Answering Service</t>
  </si>
  <si>
    <t>Credit Reports</t>
  </si>
  <si>
    <t>Appliances</t>
  </si>
  <si>
    <t>Legal Fees</t>
  </si>
  <si>
    <t>MIP</t>
  </si>
  <si>
    <t>Bldng #</t>
  </si>
  <si>
    <t>In-Place</t>
  </si>
  <si>
    <t>Exterior Paint</t>
  </si>
  <si>
    <t>Pool Area Updates</t>
  </si>
  <si>
    <t>Landscaping and Site Improvements</t>
  </si>
  <si>
    <t>Occupied Units</t>
  </si>
  <si>
    <t>Total/Avg</t>
  </si>
  <si>
    <t>Monthly</t>
  </si>
  <si>
    <t>Avg Leased</t>
  </si>
  <si>
    <t>Interest-Only Period</t>
  </si>
  <si>
    <t>Payoff</t>
  </si>
  <si>
    <t>Origination Fee</t>
  </si>
  <si>
    <t>x</t>
  </si>
  <si>
    <t>Occupied</t>
  </si>
  <si>
    <t>Vacant</t>
  </si>
  <si>
    <t>Lease Expirations</t>
  </si>
  <si>
    <t>Total Units</t>
  </si>
  <si>
    <t>BOP Vacant Units</t>
  </si>
  <si>
    <t>BOP Occupied Units</t>
  </si>
  <si>
    <t>Renovation Starts</t>
  </si>
  <si>
    <t>Property:</t>
  </si>
  <si>
    <t>RENT ROLL</t>
  </si>
  <si>
    <t>Today's Date:</t>
  </si>
  <si>
    <t>Date of Report:</t>
  </si>
  <si>
    <t>Unit Information</t>
  </si>
  <si>
    <t>Unit Status</t>
  </si>
  <si>
    <t>Lease Terms</t>
  </si>
  <si>
    <t>Exposure</t>
  </si>
  <si>
    <t>Rents</t>
  </si>
  <si>
    <t>Charges &amp; Credits</t>
  </si>
  <si>
    <t>Future Leases</t>
  </si>
  <si>
    <t>Unit #</t>
  </si>
  <si>
    <t>Floor-
plan</t>
  </si>
  <si>
    <t># Beds</t>
  </si>
  <si>
    <t># Baths</t>
  </si>
  <si>
    <t>SqFt</t>
  </si>
  <si>
    <t>Unit
Status</t>
  </si>
  <si>
    <t>Renovation
Status</t>
  </si>
  <si>
    <t>Lease
Start</t>
  </si>
  <si>
    <t>Lease
Exp</t>
  </si>
  <si>
    <t>Lease Term
(months)</t>
  </si>
  <si>
    <t>MTM
Lease</t>
  </si>
  <si>
    <t>Months
Remaining</t>
  </si>
  <si>
    <t>Move-Out
Date</t>
  </si>
  <si>
    <t>NTV/
NTVL</t>
  </si>
  <si>
    <t>Market
Rent</t>
  </si>
  <si>
    <t>Lease
Rent</t>
  </si>
  <si>
    <t>Corp
Rent</t>
  </si>
  <si>
    <t>Total In-Place
Rent</t>
  </si>
  <si>
    <t>LTL</t>
  </si>
  <si>
    <t>MTM Fee</t>
  </si>
  <si>
    <t>Conc/
Specials</t>
  </si>
  <si>
    <t>Pet Rent</t>
  </si>
  <si>
    <t>Other
Income2</t>
  </si>
  <si>
    <t>Future
Lease Rent</t>
  </si>
  <si>
    <t>Future
Corp Rent</t>
  </si>
  <si>
    <t>Future
Concessions</t>
  </si>
  <si>
    <t>Future
Pet Rent</t>
  </si>
  <si>
    <t>Future
Other Income</t>
  </si>
  <si>
    <t>Future
Lease Start</t>
  </si>
  <si>
    <t>Future
Lease Exp</t>
  </si>
  <si>
    <t>Future Lease 
Term (Mos)</t>
  </si>
  <si>
    <t>Partial</t>
  </si>
  <si>
    <t>Lease Expiration Schedule</t>
  </si>
  <si>
    <t>Unit Mix - Rent Detail</t>
  </si>
  <si>
    <t>Expiration Dates</t>
  </si>
  <si>
    <t>Rent Roll Reporting Period</t>
  </si>
  <si>
    <t>Floorplan Summary</t>
  </si>
  <si>
    <t>In-Place Rent</t>
  </si>
  <si>
    <t>Recent Rents</t>
  </si>
  <si>
    <t>Market Rent-(Comp Survey)</t>
  </si>
  <si>
    <t>Proforma Rents</t>
  </si>
  <si>
    <t>In-Place Vacancy Loss</t>
  </si>
  <si>
    <t>Year:</t>
  </si>
  <si>
    <t># Units</t>
  </si>
  <si>
    <t>% Total</t>
  </si>
  <si>
    <t>% Occupied</t>
  </si>
  <si>
    <t>% Vacant</t>
  </si>
  <si>
    <t>% Down</t>
  </si>
  <si>
    <t>Avg Rent</t>
  </si>
  <si>
    <t>PSF</t>
  </si>
  <si>
    <t># Leases</t>
  </si>
  <si>
    <t># Units (vac)</t>
  </si>
  <si>
    <t>MR Loss</t>
  </si>
  <si>
    <t>Month:</t>
  </si>
  <si>
    <t>Date:</t>
  </si>
  <si>
    <t>Rent Inflation</t>
  </si>
  <si>
    <t>Renewal Rate Assumption</t>
  </si>
  <si>
    <t>BOP Unreno/General Units Vacant</t>
  </si>
  <si>
    <t>Renewals</t>
  </si>
  <si>
    <t>Move-Outs</t>
  </si>
  <si>
    <t>Total/Average</t>
  </si>
  <si>
    <t>Monthly Total</t>
  </si>
  <si>
    <t>Monthly Totals</t>
  </si>
  <si>
    <t>Annualized Total</t>
  </si>
  <si>
    <t>Physical Occupancy</t>
  </si>
  <si>
    <t>Annualized Totals</t>
  </si>
  <si>
    <t>Reno Units Chk</t>
  </si>
  <si>
    <t>% LTL</t>
  </si>
  <si>
    <t>Concession</t>
  </si>
  <si>
    <t>Eff. Rent</t>
  </si>
  <si>
    <t>Proforma Rent Increase</t>
  </si>
  <si>
    <t>Proforma</t>
  </si>
  <si>
    <t xml:space="preserve">Increase
</t>
  </si>
  <si>
    <t>In-Place Premium</t>
  </si>
  <si>
    <t>Unrenovated</t>
  </si>
  <si>
    <t>Renovated</t>
  </si>
  <si>
    <t>Avg Loss</t>
  </si>
  <si>
    <t>% Loss</t>
  </si>
  <si>
    <t>Avg OI</t>
  </si>
  <si>
    <t>to Market $</t>
  </si>
  <si>
    <t>to Market %</t>
  </si>
  <si>
    <t>to In-Place $</t>
  </si>
  <si>
    <t>to In-Place %</t>
  </si>
  <si>
    <t>Floorplan</t>
  </si>
  <si>
    <t># Units (occ.)</t>
  </si>
  <si>
    <t>Down Mos.</t>
  </si>
  <si>
    <t>Renovated Unit Move-Ins</t>
  </si>
  <si>
    <t>EOP Renovated Units Leased</t>
  </si>
  <si>
    <t>Market Rent &amp; Premium</t>
  </si>
  <si>
    <t>Legacy Market Rent Avg</t>
  </si>
  <si>
    <t>Legacy Market Rent</t>
  </si>
  <si>
    <t>Total MR</t>
  </si>
  <si>
    <t>Renovation Units Offline Vacancy</t>
  </si>
  <si>
    <t>BOP Renovation Units Offline</t>
  </si>
  <si>
    <t>EOP Renovation Units Offline</t>
  </si>
  <si>
    <t>In-Place Rent Roll Summary</t>
  </si>
  <si>
    <t xml:space="preserve">Annualized </t>
  </si>
  <si>
    <t>% MR</t>
  </si>
  <si>
    <t>Offline Vacancy $</t>
  </si>
  <si>
    <t>Offline Vacancy %</t>
  </si>
  <si>
    <t>Unrenovated &amp; General Vacancy</t>
  </si>
  <si>
    <t>Occupied Leased Rent</t>
  </si>
  <si>
    <t>Net Eff Rent Income</t>
  </si>
  <si>
    <t>Move-Ins</t>
  </si>
  <si>
    <t>EOP Unreno/General Units Vacant</t>
  </si>
  <si>
    <t>GPR Summary</t>
  </si>
  <si>
    <t>General Vacancy $</t>
  </si>
  <si>
    <t>Leased Unit Rents</t>
  </si>
  <si>
    <t>General Vacancy %</t>
  </si>
  <si>
    <t>Vacancy at Market Rent</t>
  </si>
  <si>
    <t>Total Vacancy Loss</t>
  </si>
  <si>
    <t>*Red annoatates expired leases as of RR report date</t>
  </si>
  <si>
    <t>Total Vacancy Loss $</t>
  </si>
  <si>
    <t>Total Vacancy Loss %</t>
  </si>
  <si>
    <t>Lease Expiration Date</t>
  </si>
  <si>
    <t>Total Vacancy Loss % Check</t>
  </si>
  <si>
    <t>In-Place Vacant</t>
  </si>
  <si>
    <t>EOP Vacant Units</t>
  </si>
  <si>
    <t>EOP Occupied Units</t>
  </si>
  <si>
    <t>Occupancy</t>
  </si>
  <si>
    <t>New Lease Summary</t>
  </si>
  <si>
    <t>BOP New Leases</t>
  </si>
  <si>
    <t>Legacy Lease Rollover Summary</t>
  </si>
  <si>
    <t>BOP Legacy Leases</t>
  </si>
  <si>
    <t>EOP Legacy Leases</t>
  </si>
  <si>
    <t>New Leases</t>
  </si>
  <si>
    <t>EOP New Leases</t>
  </si>
  <si>
    <t>Legacy Leases Remaining %</t>
  </si>
  <si>
    <t>New Leases %</t>
  </si>
  <si>
    <t>EOP Total Lease Check</t>
  </si>
  <si>
    <t>Proforma Assumptions</t>
  </si>
  <si>
    <t>Proforma Total</t>
  </si>
  <si>
    <t>Notes:</t>
  </si>
  <si>
    <t>Other Income Inflation</t>
  </si>
  <si>
    <t>2 office, 4 maint. Staff payroll</t>
  </si>
  <si>
    <t>Management Fees</t>
  </si>
  <si>
    <t>contract rate</t>
  </si>
  <si>
    <t>General &amp; Admin</t>
  </si>
  <si>
    <t>est budget</t>
  </si>
  <si>
    <t>Marketing &amp; Advertising</t>
  </si>
  <si>
    <t>t12</t>
  </si>
  <si>
    <t>Repairs &amp; Maintenance</t>
  </si>
  <si>
    <t>Based on t12 and capex plan</t>
  </si>
  <si>
    <t xml:space="preserve">Insurance </t>
  </si>
  <si>
    <t>per insurance quote</t>
  </si>
  <si>
    <t>Property Taxes</t>
  </si>
  <si>
    <t>Total Opex</t>
  </si>
  <si>
    <t>Cost/U</t>
  </si>
  <si>
    <t>Mo. Fee/U</t>
  </si>
  <si>
    <t>Mo. Inc.</t>
  </si>
  <si>
    <t>Ann. Inc.</t>
  </si>
  <si>
    <t>Mos til $</t>
  </si>
  <si>
    <t>Other Income Adjusted</t>
  </si>
  <si>
    <t>Admin/App Fee</t>
  </si>
  <si>
    <t>Late Fees/Damages/etc</t>
  </si>
  <si>
    <t>Furnished Units</t>
  </si>
  <si>
    <t>Annual Revenue Assumptions</t>
  </si>
  <si>
    <t>Expense Inflation</t>
  </si>
  <si>
    <t>Expense
Inflation</t>
  </si>
  <si>
    <t>Rent
Inflation</t>
  </si>
  <si>
    <t>Concession %</t>
  </si>
  <si>
    <t>General
Vacancy %</t>
  </si>
  <si>
    <t>Bad
Debt %</t>
  </si>
  <si>
    <t>Loss to Lease %
Legacy Rents</t>
  </si>
  <si>
    <t>Loss to Lease %
New Leases</t>
  </si>
  <si>
    <t>RUBS %
Utility Exp</t>
  </si>
  <si>
    <t>Rate</t>
  </si>
  <si>
    <t>Tax Growth Rate</t>
  </si>
  <si>
    <t>Capex Reserves/Unit</t>
  </si>
  <si>
    <t>Rent Inflation Timing</t>
  </si>
  <si>
    <t>Other Income Inflation Timing</t>
  </si>
  <si>
    <t>Expense Inflation Timing</t>
  </si>
  <si>
    <t>Operating History - Financials</t>
  </si>
  <si>
    <t>NOI Summary</t>
  </si>
  <si>
    <t>Trailing 3 Annualized</t>
  </si>
  <si>
    <t>In-Place RR Income Annualized</t>
  </si>
  <si>
    <t>Loan Sizing</t>
  </si>
  <si>
    <t>Historical Operations Notes:</t>
  </si>
  <si>
    <t>Annual</t>
  </si>
  <si>
    <t>Income Adjustments</t>
  </si>
  <si>
    <t>Revenue:</t>
  </si>
  <si>
    <t>SF</t>
  </si>
  <si>
    <t>Revenue Notes</t>
  </si>
  <si>
    <t>Net Rental Revenue</t>
  </si>
  <si>
    <t>Utility Reimbursements</t>
  </si>
  <si>
    <t>Operating Expenses:</t>
  </si>
  <si>
    <t>% EGI</t>
  </si>
  <si>
    <t>TTM</t>
  </si>
  <si>
    <t>Trailing - 12 Opex</t>
  </si>
  <si>
    <t>Expense Adjustments</t>
  </si>
  <si>
    <t>Expense Notes</t>
  </si>
  <si>
    <t>Replacement Reserves</t>
  </si>
  <si>
    <t>NOI Adjusted for Reserves</t>
  </si>
  <si>
    <t>Loan Parameters</t>
  </si>
  <si>
    <t>Years</t>
  </si>
  <si>
    <t>Index Rate</t>
  </si>
  <si>
    <t>Spread</t>
  </si>
  <si>
    <t>Loan Underwriting</t>
  </si>
  <si>
    <t>Underwrittien NOI</t>
  </si>
  <si>
    <t>Underwritten Value</t>
  </si>
  <si>
    <t>Loan to Value Ratio</t>
  </si>
  <si>
    <t>Loan Ratio</t>
  </si>
  <si>
    <t>Debt Coverage Ratio</t>
  </si>
  <si>
    <t>Underwritten NOI</t>
  </si>
  <si>
    <t>Minimum DSCR</t>
  </si>
  <si>
    <t>Max Allowable Debt Service</t>
  </si>
  <si>
    <t>DY Target</t>
  </si>
  <si>
    <t>Max Loan Proceeds</t>
  </si>
  <si>
    <t>DS (Ammortizing)</t>
  </si>
  <si>
    <t>DS (IO)</t>
  </si>
  <si>
    <t>Loan Constant</t>
  </si>
  <si>
    <t>Opex Budget</t>
  </si>
  <si>
    <t>Stabilized Payroll Staff</t>
  </si>
  <si>
    <t>Salary</t>
  </si>
  <si>
    <t>Bonuses</t>
  </si>
  <si>
    <t>% Salary</t>
  </si>
  <si>
    <t>Sub-Accounts</t>
  </si>
  <si>
    <t>per unit</t>
  </si>
  <si>
    <t>Management Bonuses</t>
  </si>
  <si>
    <t>Management Staff</t>
  </si>
  <si>
    <t>Leasing Bonuses</t>
  </si>
  <si>
    <t>Property Manager</t>
  </si>
  <si>
    <t>Maintenance Bonuses</t>
  </si>
  <si>
    <t>Leasing Manager</t>
  </si>
  <si>
    <t>Total Bonuses</t>
  </si>
  <si>
    <t>Assessed Value</t>
  </si>
  <si>
    <t>Total Payroll Before Taxes &amp; Benefits</t>
  </si>
  <si>
    <t>Taxes &amp; Benefits</t>
  </si>
  <si>
    <t>County</t>
  </si>
  <si>
    <t>Payroll Taxes</t>
  </si>
  <si>
    <t>Total Management Staff</t>
  </si>
  <si>
    <t>Health Insurance</t>
  </si>
  <si>
    <t>Maintenance Staff</t>
  </si>
  <si>
    <t>Maintenance Supervisor</t>
  </si>
  <si>
    <t>Retirement Benefits</t>
  </si>
  <si>
    <t>Maintenace Tech</t>
  </si>
  <si>
    <t>Total Payroll Taxes and Benefits</t>
  </si>
  <si>
    <t>Maid/Porter</t>
  </si>
  <si>
    <t>Total Payroll and Related Expenses</t>
  </si>
  <si>
    <t>Number of Units</t>
  </si>
  <si>
    <t>Management Employees</t>
  </si>
  <si>
    <t>Maintenance Employees</t>
  </si>
  <si>
    <t>Total Maintenance Staff</t>
  </si>
  <si>
    <t>Total Employees</t>
  </si>
  <si>
    <t>Stabilized Tax Expense</t>
  </si>
  <si>
    <t>Total Wages/Salaries</t>
  </si>
  <si>
    <t>Annual Tax Expense</t>
  </si>
  <si>
    <t>Total Property Tax</t>
  </si>
  <si>
    <t>Rent Revenue</t>
  </si>
  <si>
    <t>Utilities Reimbursement</t>
  </si>
  <si>
    <t>General &amp; Administrative</t>
  </si>
  <si>
    <t>Partnership Expenses</t>
  </si>
  <si>
    <t>Capex</t>
  </si>
  <si>
    <t>Payroll Sub-Account</t>
  </si>
  <si>
    <t>Admin &amp; Application Fees</t>
  </si>
  <si>
    <t>Electricity Income</t>
  </si>
  <si>
    <t>Payroll - Management</t>
  </si>
  <si>
    <t>Property Management Fees</t>
  </si>
  <si>
    <t>Pest Control - Contract</t>
  </si>
  <si>
    <t>Accounting Services</t>
  </si>
  <si>
    <t>Signs &amp; Banners</t>
  </si>
  <si>
    <t>Electricity (Occupied Units)</t>
  </si>
  <si>
    <t>Appliances Expenses</t>
  </si>
  <si>
    <t>Insurance - Property</t>
  </si>
  <si>
    <t>Asset Management Fees</t>
  </si>
  <si>
    <t>Capex - Plumbing &amp; Hvac</t>
  </si>
  <si>
    <t>Principal and Interest Payment</t>
  </si>
  <si>
    <t>Bad Debt Recovery Fee</t>
  </si>
  <si>
    <t>Gas Income</t>
  </si>
  <si>
    <t>Payroll - Leasing</t>
  </si>
  <si>
    <t>Other Management Fees</t>
  </si>
  <si>
    <t>Landscaping - Contract</t>
  </si>
  <si>
    <t>Business License &amp; Permits</t>
  </si>
  <si>
    <t>Leasing Promotions</t>
  </si>
  <si>
    <t>Electricity (Common Areas/Vacant Units)</t>
  </si>
  <si>
    <t>Plumbing &amp; HVAC Expenses</t>
  </si>
  <si>
    <t>Insurance - General Liability</t>
  </si>
  <si>
    <t>Franchise Taxes</t>
  </si>
  <si>
    <t>Capex - Siding</t>
  </si>
  <si>
    <t>Assistant Manager</t>
  </si>
  <si>
    <t>Late &amp; NSF Fees</t>
  </si>
  <si>
    <t>Water &amp; Sewer Income</t>
  </si>
  <si>
    <t>Payroll - Maintenance</t>
  </si>
  <si>
    <t>Pool Cleaning - Contract</t>
  </si>
  <si>
    <t>Payroll Processing</t>
  </si>
  <si>
    <t>Digital Listing Services</t>
  </si>
  <si>
    <t>Gas (Occupied Units)</t>
  </si>
  <si>
    <t>Carpet Repair &amp; Cleaning Expenses</t>
  </si>
  <si>
    <t>Insurance - Umbrella</t>
  </si>
  <si>
    <t>Other Taxes</t>
  </si>
  <si>
    <t>Sales Fees</t>
  </si>
  <si>
    <t>Capex - Electrical</t>
  </si>
  <si>
    <t>Other Debt Service</t>
  </si>
  <si>
    <t>MTM Fees</t>
  </si>
  <si>
    <t>Trash Fees</t>
  </si>
  <si>
    <t>Payroll - Maids/Porters</t>
  </si>
  <si>
    <t>Security Service - Contract</t>
  </si>
  <si>
    <t>Legal Services</t>
  </si>
  <si>
    <t>Digital Advertising Expenses</t>
  </si>
  <si>
    <t>Gas (Common Areas/Vacant Units)</t>
  </si>
  <si>
    <t>Maintenance- Supplies</t>
  </si>
  <si>
    <t>Insurance Finance Charges</t>
  </si>
  <si>
    <t>Partnership-Marketing Expenses</t>
  </si>
  <si>
    <t>Capex - Flooring</t>
  </si>
  <si>
    <t>Leasing Agent</t>
  </si>
  <si>
    <t>Lease Termination Fees</t>
  </si>
  <si>
    <t>Other Utility Income</t>
  </si>
  <si>
    <t>Bulk Cable &amp; Internet Service - Contract</t>
  </si>
  <si>
    <t>Environmental Studies</t>
  </si>
  <si>
    <t>Brochure &amp; Print Ads</t>
  </si>
  <si>
    <t>Trash Removal</t>
  </si>
  <si>
    <t>Fire Safety Equipment - Supplies</t>
  </si>
  <si>
    <t>Insurance-Flood</t>
  </si>
  <si>
    <t>Partnership-Travel Expenses</t>
  </si>
  <si>
    <t>Capex - Appliances</t>
  </si>
  <si>
    <t>Damage Fees</t>
  </si>
  <si>
    <t>Other - Contract</t>
  </si>
  <si>
    <t>Property Tax Services</t>
  </si>
  <si>
    <t>Market Survey</t>
  </si>
  <si>
    <t>Water/Sewer</t>
  </si>
  <si>
    <t>Lighting / Fixtures &amp; Elec Repair Expenses</t>
  </si>
  <si>
    <t>Insurance-Windstorm</t>
  </si>
  <si>
    <t>Other Partnership Expenses (Non-Operating)</t>
  </si>
  <si>
    <t>Capex - Paint</t>
  </si>
  <si>
    <t>Health Benefits</t>
  </si>
  <si>
    <t>Resident Referrial &amp; Retention</t>
  </si>
  <si>
    <t>Other Utility Expenses</t>
  </si>
  <si>
    <t>Roof &amp; Carpentry Repair Expenses</t>
  </si>
  <si>
    <t>Other Insurance Expenses</t>
  </si>
  <si>
    <t>Capex - Exterior Fences / Gates</t>
  </si>
  <si>
    <t>Maitenance Staff</t>
  </si>
  <si>
    <t>Other Payroll</t>
  </si>
  <si>
    <t>IT &amp; Computer</t>
  </si>
  <si>
    <t>Marketing &amp; Promotion Misc.</t>
  </si>
  <si>
    <t>Painting &amp; Drywall Expenses</t>
  </si>
  <si>
    <t>Capex - Driveway/Parking Sidewalks</t>
  </si>
  <si>
    <t>Parking &amp; Storage Fees</t>
  </si>
  <si>
    <t>Phone &amp; Mobile</t>
  </si>
  <si>
    <t>Kitchen &amp; Bathroom Resurfacing</t>
  </si>
  <si>
    <t>Capex - Carpentry</t>
  </si>
  <si>
    <t>Maintenace Specialist</t>
  </si>
  <si>
    <t>W/D Rental Fees</t>
  </si>
  <si>
    <t>Software Subscriptions</t>
  </si>
  <si>
    <t>Parking Lot / Walkway Repairs</t>
  </si>
  <si>
    <t>Capex - Cabinets &amp; Countertops</t>
  </si>
  <si>
    <t>Laundry Income</t>
  </si>
  <si>
    <t>Hosting &amp; Internet Expenses</t>
  </si>
  <si>
    <t>Other Repair &amp; Maintenance</t>
  </si>
  <si>
    <t>Capex - Roofs &amp; Gutters</t>
  </si>
  <si>
    <t>Cable &amp; Internet Income</t>
  </si>
  <si>
    <t>Office Supplies</t>
  </si>
  <si>
    <t>Capex - Landscaping</t>
  </si>
  <si>
    <t>Groundskeeper</t>
  </si>
  <si>
    <t>Utility Connection Fees</t>
  </si>
  <si>
    <t>Postage And Delivery</t>
  </si>
  <si>
    <t>Capex - Windows</t>
  </si>
  <si>
    <t>Misc Other Income</t>
  </si>
  <si>
    <t>Lockbox Fee</t>
  </si>
  <si>
    <t>Capex/Improvement - Other</t>
  </si>
  <si>
    <t>Dues And Membership</t>
  </si>
  <si>
    <t>Payroll Taxes &amp; Benefits</t>
  </si>
  <si>
    <t>Employees Training &amp; Education</t>
  </si>
  <si>
    <t>Office Furniture &amp; Equipment</t>
  </si>
  <si>
    <t>Uniforms/Safety Equipment</t>
  </si>
  <si>
    <t>Vehicle Expenses</t>
  </si>
  <si>
    <t>Travel Expenses</t>
  </si>
  <si>
    <t>Bank Charges</t>
  </si>
  <si>
    <t>Office Miscellaneous</t>
  </si>
  <si>
    <t>Sitework</t>
  </si>
  <si>
    <t>Amenities/FF&amp;E/Common Areas</t>
  </si>
  <si>
    <t>Asphalt Drivelans/Parking Repair</t>
  </si>
  <si>
    <t>Fence</t>
  </si>
  <si>
    <t>Parking/Drivelanes</t>
  </si>
  <si>
    <t>Dumpsters/Dumpster Blinds</t>
  </si>
  <si>
    <t>Drainage</t>
  </si>
  <si>
    <t>Site Lighting</t>
  </si>
  <si>
    <t>Retaining Wall/Erosion</t>
  </si>
  <si>
    <t>Access Gates</t>
  </si>
  <si>
    <t>Exterior Buildings</t>
  </si>
  <si>
    <t>Stairways/Landings/Balconies</t>
  </si>
  <si>
    <t>Structure/Foundations</t>
  </si>
  <si>
    <t>Carpentry/Soffit/Fascia</t>
  </si>
  <si>
    <t>Roof Replacement/Repairs</t>
  </si>
  <si>
    <t>Gutters/Downspouts</t>
  </si>
  <si>
    <t>Foundations/Leveling</t>
  </si>
  <si>
    <t>Elevations-Siding/Masonry</t>
  </si>
  <si>
    <t>Tennant Improvements</t>
  </si>
  <si>
    <t>Paint/Drywall</t>
  </si>
  <si>
    <t>Cabinets/Hdware-Kitchen</t>
  </si>
  <si>
    <t>Cabinets/Hdware-per Bath</t>
  </si>
  <si>
    <t>Countertops-Kitchen</t>
  </si>
  <si>
    <t>Countertops/Vanity-per Bath</t>
  </si>
  <si>
    <t>Flooring</t>
  </si>
  <si>
    <t>Fixtures-Lighting</t>
  </si>
  <si>
    <t>Fixtures-Ceiling Fans</t>
  </si>
  <si>
    <t>Fixtures-Bath-Toilets/Tubs/Sinks/Showers</t>
  </si>
  <si>
    <t>Fixtures-Kitchen-Sinks</t>
  </si>
  <si>
    <t>Faucets-Bath-Shower Heads/Sinks</t>
  </si>
  <si>
    <t>Faucets-Kitchen-Sink</t>
  </si>
  <si>
    <t>Window Blinds</t>
  </si>
  <si>
    <t>Interior Doors</t>
  </si>
  <si>
    <t>Kitchen Backsplash</t>
  </si>
  <si>
    <t>Smart Thermostats</t>
  </si>
  <si>
    <t>Dog Parks</t>
  </si>
  <si>
    <t>Dog Wash Station</t>
  </si>
  <si>
    <t>Gazebo/Picnic Area</t>
  </si>
  <si>
    <t>Outdoor Kitchen</t>
  </si>
  <si>
    <t>Mail Kiosks</t>
  </si>
  <si>
    <t>Sport Courts</t>
  </si>
  <si>
    <t>Playgrounds</t>
  </si>
  <si>
    <t>Unit Furnishings</t>
  </si>
  <si>
    <t>Office Equip/Supplies</t>
  </si>
  <si>
    <t>Pool Furniture/Equip</t>
  </si>
  <si>
    <t>Golf Carts/Maint. Vehicles</t>
  </si>
  <si>
    <t>Fitness Equipment</t>
  </si>
  <si>
    <t>Signage</t>
  </si>
  <si>
    <t>Key Control</t>
  </si>
  <si>
    <t>Access Control System</t>
  </si>
  <si>
    <t>Clubhouse/Leasing Office</t>
  </si>
  <si>
    <t>Storage/Garage Buildings</t>
  </si>
  <si>
    <t>Laundry Facility</t>
  </si>
  <si>
    <t>Maintenance Facility</t>
  </si>
  <si>
    <t>RENOVATION SCHEDULE</t>
  </si>
  <si>
    <t>BOP Legacy Units</t>
  </si>
  <si>
    <t>EOP Legacy Units</t>
  </si>
  <si>
    <t>EOP Renovated Units Offline</t>
  </si>
  <si>
    <t>Average Monthly Base Rent</t>
  </si>
  <si>
    <t>Average Monthly Upgrade Premium</t>
  </si>
  <si>
    <t>Base Market Rent</t>
  </si>
  <si>
    <t>Total Market Rent</t>
  </si>
  <si>
    <t>Total Sitework</t>
  </si>
  <si>
    <t>Total Exterior Buildings</t>
  </si>
  <si>
    <t>Plumbing/HVAC</t>
  </si>
  <si>
    <t>Electrical</t>
  </si>
  <si>
    <t>Capital Improvements</t>
  </si>
  <si>
    <t>Acquisition Costs</t>
  </si>
  <si>
    <t>Total Tenant Improvements</t>
  </si>
  <si>
    <t>Total Amenities/FF&amp;E/Common Areas</t>
  </si>
  <si>
    <t>Acquisition Cost</t>
  </si>
  <si>
    <t>Unlevered Cash Flow</t>
  </si>
  <si>
    <t>Net Cashflow</t>
  </si>
  <si>
    <t>BOP Senior Loan Balance</t>
  </si>
  <si>
    <t>EOP Senior Loan Balance</t>
  </si>
  <si>
    <t>BOP Refi Loan Balance</t>
  </si>
  <si>
    <t>EOP Refi Loan Balance</t>
  </si>
  <si>
    <t>Loan Draw</t>
  </si>
  <si>
    <t>Acquisition</t>
  </si>
  <si>
    <t>Land Cost</t>
  </si>
  <si>
    <t>Title &amp; Escrow</t>
  </si>
  <si>
    <t>Title Policy &amp; Endorsements</t>
  </si>
  <si>
    <t>Transfer/Recording Tax</t>
  </si>
  <si>
    <t>Document Stamps/Escrow Fess, Misc</t>
  </si>
  <si>
    <t>Legal Fees/Opinion Letters</t>
  </si>
  <si>
    <t>Legal</t>
  </si>
  <si>
    <t>Legal-Acquisition/Partnerships</t>
  </si>
  <si>
    <t>Private Placement Fees</t>
  </si>
  <si>
    <t>Legal-Environmental/Zoning/Easments</t>
  </si>
  <si>
    <t>Legal-Vendor Contracts/Other</t>
  </si>
  <si>
    <t>Professional Fees</t>
  </si>
  <si>
    <t>Termite Inspection</t>
  </si>
  <si>
    <t>Cost Estimating Fees</t>
  </si>
  <si>
    <t>Environmental Report</t>
  </si>
  <si>
    <t xml:space="preserve">Appraisal </t>
  </si>
  <si>
    <t>Site Survey</t>
  </si>
  <si>
    <t>Market Study</t>
  </si>
  <si>
    <t>Tax Consultant</t>
  </si>
  <si>
    <t>Total Acquisition</t>
  </si>
  <si>
    <t>Financiang Costs</t>
  </si>
  <si>
    <t>Mortgage Broker Fee</t>
  </si>
  <si>
    <t>Equity Broker Fee</t>
  </si>
  <si>
    <t>Interest Reserve</t>
  </si>
  <si>
    <t>Construction Loan Interest</t>
  </si>
  <si>
    <t>Tenant Improvements</t>
  </si>
  <si>
    <t>Acquisition Other</t>
  </si>
  <si>
    <t>Total Acquisition &amp; Closing Costs</t>
  </si>
  <si>
    <t>KP Fee</t>
  </si>
  <si>
    <t>Total Capex</t>
  </si>
  <si>
    <t>Snr LoanOrigination Fee</t>
  </si>
  <si>
    <t>JV Equity DD/Legal Fees</t>
  </si>
  <si>
    <t>Total Financing Costs</t>
  </si>
  <si>
    <t>Total Unlevered Cost</t>
  </si>
  <si>
    <t>Hold</t>
  </si>
  <si>
    <t>Common Equity</t>
  </si>
  <si>
    <t>Senior Loan</t>
  </si>
  <si>
    <t>Total Equity</t>
  </si>
  <si>
    <t>Total Debt</t>
  </si>
  <si>
    <t>$/Unit</t>
  </si>
  <si>
    <t>Financing Fees</t>
  </si>
  <si>
    <t>Operating Reserves</t>
  </si>
  <si>
    <t>Capitalized Interest</t>
  </si>
  <si>
    <t>Senior Loan Principal</t>
  </si>
  <si>
    <t>Cost Check</t>
  </si>
  <si>
    <t>Last Assessment Date</t>
  </si>
  <si>
    <t>Tax ID #</t>
  </si>
  <si>
    <t>Parcel #</t>
  </si>
  <si>
    <t>State</t>
  </si>
  <si>
    <t>Appraised Land Value</t>
  </si>
  <si>
    <t>Appraised Building Value</t>
  </si>
  <si>
    <t>Total Appraised Value</t>
  </si>
  <si>
    <t>Assessment Ratio</t>
  </si>
  <si>
    <t>Current Assessed Value</t>
  </si>
  <si>
    <t>Tax Rate</t>
  </si>
  <si>
    <t>Current Ad Valorem Taxes</t>
  </si>
  <si>
    <t>Post-Acquisition Taxes</t>
  </si>
  <si>
    <t>Est Ad Valorum Taxes</t>
  </si>
  <si>
    <t>Est. Appraised Value</t>
  </si>
  <si>
    <t>Based on appraisal and new tax assessed value</t>
  </si>
  <si>
    <t>Marketing Costs</t>
  </si>
  <si>
    <t>DD Inspections/Travel</t>
  </si>
  <si>
    <t>PCA</t>
  </si>
  <si>
    <t>N/A</t>
  </si>
  <si>
    <t>Acquisition Financing Fees</t>
  </si>
  <si>
    <t>Acquisition Loan Debt Service</t>
  </si>
  <si>
    <t>Refi Loan Fees</t>
  </si>
  <si>
    <t>Refi Loan Debt Service</t>
  </si>
  <si>
    <t>Acquisition Loan Funding</t>
  </si>
  <si>
    <t>Acquisition Loan Payoff</t>
  </si>
  <si>
    <t>Refinance Loan Funding</t>
  </si>
  <si>
    <t>Refi Loan Draw</t>
  </si>
  <si>
    <t>Refinance Loan Payoff</t>
  </si>
  <si>
    <t>Total Investment</t>
  </si>
  <si>
    <t>Multiple</t>
  </si>
  <si>
    <t>Acquisition Loan Balance</t>
  </si>
  <si>
    <t>Fwd Year NOI</t>
  </si>
  <si>
    <t>Cap Rate for Refi Valuation</t>
  </si>
  <si>
    <t>Gross Valuation</t>
  </si>
  <si>
    <t>Max LTV</t>
  </si>
  <si>
    <t>Refi Loan Proceeds</t>
  </si>
  <si>
    <t>Fwd 12 Mos. NOI</t>
  </si>
  <si>
    <t>Beginning  Balance</t>
  </si>
  <si>
    <t>Gross Distribution</t>
  </si>
  <si>
    <t>Levered Net Cashflow</t>
  </si>
  <si>
    <t>TOTALS</t>
  </si>
  <si>
    <t>Acquisition Loan Prepayment Fee</t>
  </si>
  <si>
    <t>Refinance Loan Prepayment Fee</t>
  </si>
  <si>
    <t>Break-Even Occupancy</t>
  </si>
  <si>
    <t>LP Investors</t>
  </si>
  <si>
    <t>Total Sources</t>
  </si>
  <si>
    <t>Remaining Cashflow to Distribute</t>
  </si>
  <si>
    <t>PREFERRED RETURN</t>
  </si>
  <si>
    <t>RESIDUAL CASHFLOW SPLIT</t>
  </si>
  <si>
    <t>DEAL SUMMARY</t>
  </si>
  <si>
    <t>GP/LP Waterfall Summary</t>
  </si>
  <si>
    <t>LP INVESTORS SUMMARY</t>
  </si>
  <si>
    <t>Operating Summary</t>
  </si>
  <si>
    <t>Period</t>
  </si>
  <si>
    <t>Capital Expenditures</t>
  </si>
  <si>
    <t>Total Unlevered Costs</t>
  </si>
  <si>
    <t>Total Project Costs</t>
  </si>
  <si>
    <t>Total Acquisition Costs</t>
  </si>
  <si>
    <t>Value Summary</t>
  </si>
  <si>
    <t>Cap Rate on Purchase Price</t>
  </si>
  <si>
    <t>Yield on Total Cost</t>
  </si>
  <si>
    <t>Vacancy &amp; Collection Losses</t>
  </si>
  <si>
    <t>Gross Rent Multiplier</t>
  </si>
  <si>
    <t>Operating Ratios</t>
  </si>
  <si>
    <t>Expense Ratio</t>
  </si>
  <si>
    <t>Avg Monthly Asking Rent</t>
  </si>
  <si>
    <t>Cost Basis/Uses</t>
  </si>
  <si>
    <t>Ops CF/(Reserve Release)</t>
  </si>
  <si>
    <t>Value</t>
  </si>
  <si>
    <t>Unleveraged Yield</t>
  </si>
  <si>
    <t>LP INVESTOR RETURNS</t>
  </si>
  <si>
    <t>Average Annual Return</t>
  </si>
  <si>
    <t>Administrative</t>
  </si>
  <si>
    <t>Marketing</t>
  </si>
  <si>
    <t>Maintenance &amp; Repair</t>
  </si>
  <si>
    <t>Valet Trash</t>
  </si>
  <si>
    <t>Turns</t>
  </si>
  <si>
    <t>Units Availability</t>
  </si>
  <si>
    <t>Turn Starts</t>
  </si>
  <si>
    <t>Units per Employee Ratio</t>
  </si>
  <si>
    <t>Construction Hard Costs</t>
  </si>
  <si>
    <t>Construction Soft Costs</t>
  </si>
  <si>
    <t>Total Partnership Expenses</t>
  </si>
  <si>
    <t>Total Uses</t>
  </si>
  <si>
    <t>Adjusted NOI</t>
  </si>
  <si>
    <t>Unit Turn Schedule</t>
  </si>
  <si>
    <t>BOP Unit Turns Total</t>
  </si>
  <si>
    <t>Make-Ready Starts</t>
  </si>
  <si>
    <t>EOP Unit Turns Total</t>
  </si>
  <si>
    <t>BOP New Units Leased</t>
  </si>
  <si>
    <t>Turned Unit Move-Ins</t>
  </si>
  <si>
    <t>EOP Turned Units Leased</t>
  </si>
  <si>
    <t>Premium Avg</t>
  </si>
  <si>
    <t>Monthly Premium</t>
  </si>
  <si>
    <t>Closing Budget</t>
  </si>
  <si>
    <t>New Leases w/ Premium</t>
  </si>
  <si>
    <t>Legacy Leases</t>
  </si>
  <si>
    <t>Total Non-Operating Expenses</t>
  </si>
  <si>
    <t>IN-PLACE (Mo.)</t>
  </si>
  <si>
    <t>NON-OPERATING EXPENSES</t>
  </si>
  <si>
    <t>ACQUISITION &amp; SALE</t>
  </si>
  <si>
    <t>% Total Uses</t>
  </si>
  <si>
    <t>Subtotal Hard Costs</t>
  </si>
  <si>
    <t>Soft Costs</t>
  </si>
  <si>
    <t>Design/Architect/Engneer</t>
  </si>
  <si>
    <t>Zoning/Entitlements/Permits</t>
  </si>
  <si>
    <t>Other Soft Costs</t>
  </si>
  <si>
    <t>Other</t>
  </si>
  <si>
    <t>Total Soft Costs</t>
  </si>
  <si>
    <t>GRAND TOTAL</t>
  </si>
  <si>
    <t>Soft Cost Contingency</t>
  </si>
  <si>
    <t>Contingency</t>
  </si>
  <si>
    <t>2x2</t>
  </si>
  <si>
    <t>3x2</t>
  </si>
  <si>
    <t>1x1</t>
  </si>
  <si>
    <t>Admin/Down</t>
  </si>
  <si>
    <t>2x2-S</t>
  </si>
  <si>
    <t>1x1-S</t>
  </si>
  <si>
    <t>3x2-S</t>
  </si>
  <si>
    <t/>
  </si>
  <si>
    <t>Aug 22 T6</t>
  </si>
  <si>
    <t>Year 1 NOI</t>
  </si>
  <si>
    <t>Closing Date</t>
  </si>
  <si>
    <t>Initial Distribution</t>
  </si>
  <si>
    <t>Redemption Date</t>
  </si>
  <si>
    <t>PREF Schedule</t>
  </si>
  <si>
    <t>First Sweep Rate</t>
  </si>
  <si>
    <t>Day Count</t>
  </si>
  <si>
    <t>Actual/360</t>
  </si>
  <si>
    <t>Sweep End</t>
  </si>
  <si>
    <t>Second Sweep Rate</t>
  </si>
  <si>
    <t>Third Sweep Rate</t>
  </si>
  <si>
    <t>Fourth Sweep Rate</t>
  </si>
  <si>
    <t>Month #</t>
  </si>
  <si>
    <t>Due Date</t>
  </si>
  <si>
    <t>Beginning Balance</t>
  </si>
  <si>
    <t>Interest Accrued</t>
  </si>
  <si>
    <t>Pref/JV Equity</t>
  </si>
  <si>
    <t>% Cost</t>
  </si>
  <si>
    <t>Capex Budget</t>
  </si>
  <si>
    <t>Year 1 Cap Rate</t>
  </si>
  <si>
    <t>Current Pay</t>
  </si>
  <si>
    <t>GP PARTNERSHIP SUMMARY</t>
  </si>
  <si>
    <t>GP Partnership</t>
  </si>
  <si>
    <t>Promote Distribution</t>
  </si>
  <si>
    <t>PROJECT RETURNS</t>
  </si>
  <si>
    <t>Zoning Report</t>
  </si>
  <si>
    <t>Snr Loan Application Fees</t>
  </si>
  <si>
    <t>Snr Lender Insurance Review Fee</t>
  </si>
  <si>
    <t>Snr Lender Legal</t>
  </si>
  <si>
    <t>Lender Processing Fee</t>
  </si>
  <si>
    <t>JV Equity Orig Fees</t>
  </si>
  <si>
    <t>DEBT SERVICE</t>
  </si>
  <si>
    <t xml:space="preserve">FINANCING </t>
  </si>
  <si>
    <t>Equity Breakdown</t>
  </si>
  <si>
    <t>Working Capital</t>
  </si>
  <si>
    <t>Pref Equity Debt Service</t>
  </si>
  <si>
    <t>Pref Equity Payoff</t>
  </si>
  <si>
    <t>Pref Equity Acquisition Proceeds</t>
  </si>
  <si>
    <t>Pref Equity Capex Reimbursements</t>
  </si>
  <si>
    <t>Return Summary</t>
  </si>
  <si>
    <t>GP/LP Waterfall Preferred Return</t>
  </si>
  <si>
    <t>Total Interest Expense</t>
  </si>
  <si>
    <t xml:space="preserve">Total Financing </t>
  </si>
  <si>
    <t>Project Cashflows</t>
  </si>
  <si>
    <t>Investments</t>
  </si>
  <si>
    <t>Operating Cashflows</t>
  </si>
  <si>
    <t>Cashflow from Capital Events</t>
  </si>
  <si>
    <t>Net CF</t>
  </si>
  <si>
    <t>Total Financing</t>
  </si>
  <si>
    <t>Property Name</t>
  </si>
  <si>
    <t>12345 Main St</t>
  </si>
  <si>
    <t>New York, NY 10004</t>
  </si>
  <si>
    <t>Select: In-Place/T3/T12</t>
  </si>
  <si>
    <t>Total Rate</t>
  </si>
  <si>
    <t>Loan Calc</t>
  </si>
  <si>
    <t>GP</t>
  </si>
  <si>
    <t>Equity Capital Partners</t>
  </si>
  <si>
    <t>LP</t>
  </si>
  <si>
    <t>LP 1</t>
  </si>
  <si>
    <t>LP 2</t>
  </si>
  <si>
    <t>LP Capital</t>
  </si>
  <si>
    <t>Total Contributions</t>
  </si>
  <si>
    <t>Total Distributions</t>
  </si>
  <si>
    <t>Pref Equity Provider Fee</t>
  </si>
  <si>
    <t>PREFFERED EQUITY RETURNS (FOR INVESTOR)</t>
  </si>
  <si>
    <r>
      <t>Future Leases</t>
    </r>
    <r>
      <rPr>
        <b/>
        <sz val="11"/>
        <color theme="0"/>
        <rFont val="Bahnschrift"/>
        <family val="2"/>
      </rPr>
      <t xml:space="preserve">    &gt;&gt;&gt;</t>
    </r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</si>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</sst>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2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;[Red]&quot;$&quot;#,##0"/>
    <numFmt numFmtId="165" formatCode="0\ &quot;Years&quot;"/>
    <numFmt numFmtId="166" formatCode="0\ &quot;Months&quot;"/>
    <numFmt numFmtId="167" formatCode="&quot;Month&quot;\ 0"/>
    <numFmt numFmtId="168" formatCode="&quot;$&quot;#,##0;[Red]&quot;$&quot;#,##0;_(&quot;-&quot;_)"/>
    <numFmt numFmtId="169" formatCode="0.00&quot;x&quot;"/>
    <numFmt numFmtId="170" formatCode="&quot;$&quot;#,##0"/>
    <numFmt numFmtId="171" formatCode="&quot;Year&quot;\ 0"/>
    <numFmt numFmtId="172" formatCode="&quot;$&quot;#,##0.00;[Red]&quot;$&quot;#,##0.00"/>
    <numFmt numFmtId="173" formatCode="0.0%"/>
    <numFmt numFmtId="174" formatCode="0.0\ &quot;$/SF&quot;"/>
    <numFmt numFmtId="175" formatCode="#,##0\ &quot;SF&quot;"/>
    <numFmt numFmtId="176" formatCode="0.00\ &quot;Acres&quot;"/>
    <numFmt numFmtId="177" formatCode="0.000"/>
    <numFmt numFmtId="178" formatCode="0.00\ &quot;$/sf&quot;"/>
    <numFmt numFmtId="179" formatCode="&quot;$&quot;#,##0;\(&quot;$&quot;#,##0\);_(&quot;-&quot;_)"/>
    <numFmt numFmtId="180" formatCode="[$-409]mmm\ yyyy;@"/>
    <numFmt numFmtId="181" formatCode="[$-409]mmm\-yyyy;@"/>
    <numFmt numFmtId="182" formatCode="0.00&quot;MM&quot;"/>
    <numFmt numFmtId="183" formatCode="_(* #,##0.00_);_(* \(#,##0.00\);_(* &quot;-&quot;_);_(@_)"/>
    <numFmt numFmtId="184" formatCode="_(* #,##0_);_(* \(#,##0\);_(* &quot;-&quot;_)"/>
    <numFmt numFmtId="185" formatCode="&quot;$&quot;#,##0&quot;/unit&quot;"/>
    <numFmt numFmtId="186" formatCode="0.00000"/>
    <numFmt numFmtId="187" formatCode="_(* #,##0.0000_);_(* \(#,##0.0000\);_(* &quot;-&quot;_);_(@_)"/>
    <numFmt numFmtId="188" formatCode="_(* #,##0_);_(* \(#,##0\);_(* &quot;-&quot;??_);_(@_)"/>
    <numFmt numFmtId="189" formatCode="0.0000%"/>
    <numFmt numFmtId="190" formatCode="0.00000%"/>
    <numFmt numFmtId="191" formatCode="&quot;$&quot;#,##0&quot;/unit&quot;;[Red]&quot;$&quot;#,##0"/>
    <numFmt numFmtId="192" formatCode="&quot;$&quot;#,##0&quot;/unit&quot;;\(&quot;$&quot;#,##0\)&quot;/unit&quot;"/>
    <numFmt numFmtId="193" formatCode="#,##0.00&quot;/sf&quot;_);[Red]\(#,##0.00\)"/>
    <numFmt numFmtId="194" formatCode="&quot;$&quot;#,##0.00&quot;/sf&quot;;[Red]&quot;$&quot;#,##0.00"/>
    <numFmt numFmtId="195" formatCode="&quot;$&quot;#,##0.000;\(&quot;$&quot;#,##0.000\);_(&quot;-&quot;_)"/>
    <numFmt numFmtId="196" formatCode="0.0\ &quot;Acres&quot;"/>
    <numFmt numFmtId="197" formatCode="m/d/yy;@"/>
    <numFmt numFmtId="198" formatCode="mmm\-yy&quot; TTM&quot;"/>
    <numFmt numFmtId="199" formatCode="[$-409]d\-mmm\-yy;@"/>
    <numFmt numFmtId="200" formatCode="[$-409]mmm\-yy;@"/>
    <numFmt numFmtId="201" formatCode="&quot;$&quot;#,##0.00"/>
    <numFmt numFmtId="202" formatCode="0&quot; Months&quot;"/>
    <numFmt numFmtId="203" formatCode="0&quot; MTM&quot;"/>
    <numFmt numFmtId="204" formatCode="0&quot; Move-Outs&quot;"/>
    <numFmt numFmtId="205" formatCode="&quot;Year &quot;0"/>
    <numFmt numFmtId="206" formatCode="&quot;&gt; &quot;0&quot; Days&quot;"/>
    <numFmt numFmtId="207" formatCode="&quot;Month &quot;0"/>
    <numFmt numFmtId="208" formatCode="#,##0.0000_);\(#,##0.0000\)"/>
    <numFmt numFmtId="209" formatCode="0.000000%"/>
    <numFmt numFmtId="210" formatCode="0.0000000%"/>
    <numFmt numFmtId="211" formatCode="0&quot; mos.&quot;"/>
    <numFmt numFmtId="212" formatCode="0.0000"/>
    <numFmt numFmtId="213" formatCode="&quot;as of &quot;mmm\-yy"/>
    <numFmt numFmtId="214" formatCode="0&quot; Annual&quot;"/>
    <numFmt numFmtId="215" formatCode="&quot;Year &quot;0&quot; Proforma&quot;"/>
    <numFmt numFmtId="216" formatCode="&quot;Trailing - &quot;0"/>
    <numFmt numFmtId="217" formatCode="0&quot; bps&quot;"/>
    <numFmt numFmtId="218" formatCode="0.0&quot;x&quot;"/>
    <numFmt numFmtId="219" formatCode="&quot;$&quot;#,##0.0"/>
    <numFmt numFmtId="220" formatCode="&quot;$&quot;#,##0&quot; prem/emp&quot;"/>
    <numFmt numFmtId="221" formatCode="0.000%"/>
    <numFmt numFmtId="222" formatCode="#,##0&quot; Months&quot;;[Red]#,##0&quot; Months&quot;;_(&quot;-&quot;_)&quot;&quot;"/>
    <numFmt numFmtId="223" formatCode="&quot;$&quot;#,##0&quot;/Unit&quot;"/>
    <numFmt numFmtId="224" formatCode="0%&quot; LTV&quot;"/>
    <numFmt numFmtId="225" formatCode="0%&quot; Accrual Rate&quot;"/>
    <numFmt numFmtId="226" formatCode="0.00%&quot; Mo. Rate&quot;"/>
    <numFmt numFmtId="227" formatCode="#,##0&quot; Months&quot;"/>
    <numFmt numFmtId="228" formatCode="&quot;LP EXAMPLE INVESTMENT: &quot;&quot;$&quot;#,##0"/>
    <numFmt numFmtId="229" formatCode="##%\ &quot;Points&quot;"/>
  </numFmts>
  <fonts count="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rgb="FF000000"/>
      <name val="Franklin Gothic Book"/>
      <family val="2"/>
    </font>
    <font>
      <sz val="8"/>
      <name val="Calibri"/>
      <family val="2"/>
      <scheme val="minor"/>
    </font>
    <font>
      <b/>
      <sz val="14"/>
      <color theme="3"/>
      <name val="Arial Narrow"/>
      <family val="2"/>
    </font>
    <font>
      <b/>
      <sz val="14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  <font>
      <sz val="11"/>
      <color rgb="FF0000CC"/>
      <name val="Bahnschrift"/>
      <family val="2"/>
    </font>
    <font>
      <sz val="11"/>
      <name val="Bahnschrift"/>
      <family val="2"/>
    </font>
    <font>
      <b/>
      <sz val="16"/>
      <color rgb="FF737876"/>
      <name val="Bahnschrift"/>
      <family val="2"/>
    </font>
    <font>
      <b/>
      <sz val="14"/>
      <color rgb="FF002641"/>
      <name val="Bahnschrift"/>
      <family val="2"/>
    </font>
    <font>
      <b/>
      <sz val="14"/>
      <color theme="0"/>
      <name val="Bahnschrift"/>
      <family val="2"/>
    </font>
    <font>
      <sz val="11"/>
      <color theme="0"/>
      <name val="Bahnschrift"/>
      <family val="2"/>
    </font>
    <font>
      <u/>
      <sz val="11"/>
      <color theme="1"/>
      <name val="Bahnschrift"/>
      <family val="2"/>
    </font>
    <font>
      <b/>
      <sz val="11"/>
      <color theme="3"/>
      <name val="Bahnschrift"/>
      <family val="2"/>
    </font>
    <font>
      <sz val="11"/>
      <color theme="3"/>
      <name val="Bahnschrift"/>
      <family val="2"/>
    </font>
    <font>
      <b/>
      <u/>
      <sz val="11"/>
      <color theme="1"/>
      <name val="Bahnschrift"/>
      <family val="2"/>
    </font>
    <font>
      <i/>
      <sz val="11"/>
      <color theme="1"/>
      <name val="Bahnschrift"/>
      <family val="2"/>
    </font>
    <font>
      <u/>
      <sz val="11"/>
      <color theme="0"/>
      <name val="Bahnschrift"/>
      <family val="2"/>
    </font>
    <font>
      <b/>
      <sz val="11"/>
      <color theme="0"/>
      <name val="Bahnschrift"/>
      <family val="2"/>
    </font>
    <font>
      <b/>
      <u/>
      <sz val="11"/>
      <color theme="3"/>
      <name val="Bahnschrift"/>
      <family val="2"/>
    </font>
    <font>
      <b/>
      <u/>
      <sz val="11"/>
      <color rgb="FF0000CC"/>
      <name val="Bahnschrift"/>
      <family val="2"/>
    </font>
    <font>
      <b/>
      <sz val="11"/>
      <color theme="3" tint="0.79998168889431442"/>
      <name val="Bahnschrift"/>
      <family val="2"/>
    </font>
    <font>
      <u/>
      <sz val="11"/>
      <color theme="3"/>
      <name val="Bahnschrift"/>
      <family val="2"/>
    </font>
    <font>
      <b/>
      <i/>
      <sz val="11"/>
      <color theme="3"/>
      <name val="Bahnschrift"/>
      <family val="2"/>
    </font>
    <font>
      <b/>
      <i/>
      <sz val="11"/>
      <color theme="1"/>
      <name val="Bahnschrift"/>
      <family val="2"/>
    </font>
    <font>
      <b/>
      <i/>
      <sz val="11"/>
      <color theme="0"/>
      <name val="Bahnschrift"/>
      <family val="2"/>
    </font>
    <font>
      <b/>
      <sz val="14"/>
      <color theme="3"/>
      <name val="Bahnschrift"/>
      <family val="2"/>
    </font>
    <font>
      <b/>
      <sz val="11"/>
      <name val="Bahnschrift"/>
      <family val="2"/>
    </font>
    <font>
      <b/>
      <sz val="11"/>
      <color rgb="FF0000CC"/>
      <name val="Bahnschrift"/>
      <family val="2"/>
    </font>
    <font>
      <i/>
      <sz val="10"/>
      <name val="Bahnschrift"/>
      <family val="2"/>
    </font>
    <font>
      <i/>
      <sz val="11"/>
      <color rgb="FF0000CC"/>
      <name val="Bahnschrift"/>
      <family val="2"/>
    </font>
    <font>
      <b/>
      <sz val="11"/>
      <color theme="9" tint="-0.499984740745262"/>
      <name val="Bahnschrift"/>
      <family val="2"/>
    </font>
    <font>
      <b/>
      <u/>
      <sz val="11"/>
      <name val="Bahnschrift"/>
      <family val="2"/>
    </font>
    <font>
      <b/>
      <u/>
      <sz val="11"/>
      <color theme="0"/>
      <name val="Bahnschrift"/>
      <family val="2"/>
    </font>
    <font>
      <sz val="11"/>
      <color indexed="12"/>
      <name val="Bahnschrift"/>
      <family val="2"/>
    </font>
    <font>
      <b/>
      <i/>
      <sz val="11"/>
      <color rgb="FF0000CC"/>
      <name val="Bahnschrift"/>
      <family val="2"/>
    </font>
    <font>
      <b/>
      <sz val="11"/>
      <color rgb="FF1D18F4"/>
      <name val="Bahnschrift"/>
      <family val="2"/>
    </font>
    <font>
      <b/>
      <sz val="12"/>
      <color theme="3"/>
      <name val="Bahnschrift"/>
      <family val="2"/>
    </font>
    <font>
      <i/>
      <sz val="11"/>
      <color theme="3"/>
      <name val="Bahnschrift"/>
      <family val="2"/>
    </font>
    <font>
      <i/>
      <sz val="11"/>
      <color theme="4"/>
      <name val="Bahnschrift"/>
      <family val="2"/>
    </font>
    <font>
      <sz val="11"/>
      <color rgb="FF1D18F4"/>
      <name val="Bahnschrift"/>
      <family val="2"/>
    </font>
    <font>
      <i/>
      <sz val="11"/>
      <color rgb="FF1D18F4"/>
      <name val="Bahnschrift"/>
      <family val="2"/>
    </font>
    <font>
      <sz val="11"/>
      <color theme="0" tint="-0.34998626667073579"/>
      <name val="Bahnschrift"/>
      <family val="2"/>
    </font>
    <font>
      <sz val="10"/>
      <color theme="1"/>
      <name val="Bahnschrift"/>
      <family val="2"/>
    </font>
    <font>
      <i/>
      <sz val="11"/>
      <name val="Bahnschrift"/>
      <family val="2"/>
    </font>
    <font>
      <b/>
      <sz val="11"/>
      <color rgb="FFFFFFFF"/>
      <name val="Bahnschrift"/>
      <family val="2"/>
    </font>
    <font>
      <sz val="11"/>
      <color rgb="FF0000FF"/>
      <name val="Bahnschrift"/>
      <family val="2"/>
    </font>
    <font>
      <b/>
      <i/>
      <u/>
      <sz val="11"/>
      <name val="Bahnschrift"/>
      <family val="2"/>
    </font>
    <font>
      <b/>
      <i/>
      <sz val="11"/>
      <name val="Bahnschrift"/>
      <family val="2"/>
    </font>
    <font>
      <sz val="11"/>
      <color theme="9" tint="-0.499984740745262"/>
      <name val="Bahnschrift"/>
      <family val="2"/>
    </font>
    <font>
      <b/>
      <i/>
      <u/>
      <sz val="11"/>
      <color theme="1"/>
      <name val="Bahnschrift"/>
      <family val="2"/>
    </font>
    <font>
      <sz val="11"/>
      <color rgb="FFC00000"/>
      <name val="Bahnschrift"/>
      <family val="2"/>
    </font>
    <font>
      <b/>
      <sz val="11"/>
      <color rgb="FFC00000"/>
      <name val="Bahnschrift"/>
      <family val="2"/>
    </font>
    <font>
      <i/>
      <sz val="11"/>
      <color theme="9" tint="-0.499984740745262"/>
      <name val="Bahnschrift"/>
      <family val="2"/>
    </font>
    <font>
      <sz val="11"/>
      <color theme="1" tint="0.499984740745262"/>
      <name val="Bahnschrift"/>
      <family val="2"/>
    </font>
    <font>
      <sz val="11"/>
      <color theme="4"/>
      <name val="Bahnschrift"/>
      <family val="2"/>
    </font>
    <font>
      <sz val="11"/>
      <color theme="4" tint="-0.249977111117893"/>
      <name val="Bahnschrift"/>
      <family val="2"/>
    </font>
    <font>
      <i/>
      <sz val="11"/>
      <color theme="1" tint="0.499984740745262"/>
      <name val="Bahnschrift"/>
      <family val="2"/>
    </font>
    <font>
      <sz val="11"/>
      <color theme="0" tint="-0.499984740745262"/>
      <name val="Bahnschrift"/>
      <family val="2"/>
    </font>
    <font>
      <i/>
      <sz val="10"/>
      <color theme="1"/>
      <name val="Bahnschrift"/>
      <family val="2"/>
    </font>
    <font>
      <b/>
      <i/>
      <sz val="10"/>
      <color theme="3"/>
      <name val="Bahnschrift"/>
      <family val="2"/>
    </font>
    <font>
      <b/>
      <sz val="12"/>
      <color rgb="FF737876"/>
      <name val="Bahnschrift"/>
      <family val="2"/>
    </font>
    <font>
      <b/>
      <sz val="12"/>
      <color rgb="FF002641"/>
      <name val="Bahnschrift"/>
      <family val="2"/>
    </font>
    <font>
      <sz val="12"/>
      <color theme="1"/>
      <name val="Bahnschrift"/>
      <family val="2"/>
    </font>
  </fonts>
  <fills count="1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37876"/>
        <bgColor indexed="64"/>
      </patternFill>
    </fill>
    <fill>
      <patternFill patternType="solid">
        <fgColor rgb="FF737876"/>
        <bgColor theme="9" tint="0.79998168889431442"/>
      </patternFill>
    </fill>
    <fill>
      <patternFill patternType="solid">
        <fgColor rgb="FF002641"/>
        <bgColor indexed="64"/>
      </patternFill>
    </fill>
    <fill>
      <patternFill patternType="solid">
        <fgColor rgb="FF98C0E5"/>
        <bgColor indexed="64"/>
      </patternFill>
    </fill>
    <fill>
      <patternFill patternType="lightUp"/>
    </fill>
    <fill>
      <patternFill patternType="solid">
        <fgColor rgb="FF00658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  <border>
      <left style="thick">
        <color theme="3"/>
      </left>
      <right/>
      <top/>
      <bottom style="thick">
        <color theme="3"/>
      </bottom>
      <diagonal/>
    </border>
    <border>
      <left/>
      <right/>
      <top/>
      <bottom style="thick">
        <color theme="3"/>
      </bottom>
      <diagonal/>
    </border>
    <border>
      <left/>
      <right style="thick">
        <color theme="3"/>
      </right>
      <top/>
      <bottom style="thick">
        <color theme="3"/>
      </bottom>
      <diagonal/>
    </border>
    <border>
      <left/>
      <right/>
      <top/>
      <bottom style="medium">
        <color theme="3"/>
      </bottom>
      <diagonal/>
    </border>
    <border>
      <left style="thin">
        <color indexed="64"/>
      </left>
      <right/>
      <top style="thin">
        <color indexed="64"/>
      </top>
      <bottom style="medium">
        <color theme="3"/>
      </bottom>
      <diagonal/>
    </border>
    <border>
      <left/>
      <right/>
      <top style="thin">
        <color indexed="64"/>
      </top>
      <bottom style="medium">
        <color theme="3"/>
      </bottom>
      <diagonal/>
    </border>
    <border>
      <left/>
      <right style="thin">
        <color indexed="64"/>
      </right>
      <top style="thin">
        <color indexed="64"/>
      </top>
      <bottom style="medium">
        <color theme="3"/>
      </bottom>
      <diagonal/>
    </border>
    <border>
      <left style="thin">
        <color indexed="64"/>
      </left>
      <right/>
      <top style="medium">
        <color theme="3"/>
      </top>
      <bottom style="medium">
        <color theme="3"/>
      </bottom>
      <diagonal/>
    </border>
    <border>
      <left/>
      <right style="thin">
        <color indexed="64"/>
      </right>
      <top style="medium">
        <color theme="3"/>
      </top>
      <bottom style="medium">
        <color theme="3"/>
      </bottom>
      <diagonal/>
    </border>
    <border>
      <left style="thin">
        <color indexed="64"/>
      </left>
      <right/>
      <top/>
      <bottom style="medium">
        <color theme="3"/>
      </bottom>
      <diagonal/>
    </border>
    <border>
      <left/>
      <right style="thin">
        <color indexed="64"/>
      </right>
      <top/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 style="medium">
        <color theme="3"/>
      </right>
      <top/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/>
      <right/>
      <top style="thin">
        <color indexed="64"/>
      </top>
      <bottom style="thick">
        <color theme="3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 style="medium">
        <color theme="3"/>
      </top>
      <bottom style="hair">
        <color theme="3"/>
      </bottom>
      <diagonal/>
    </border>
    <border>
      <left style="thin">
        <color indexed="64"/>
      </left>
      <right/>
      <top style="medium">
        <color theme="3"/>
      </top>
      <bottom style="hair">
        <color theme="3"/>
      </bottom>
      <diagonal/>
    </border>
    <border>
      <left/>
      <right style="thin">
        <color indexed="64"/>
      </right>
      <top style="medium">
        <color theme="3"/>
      </top>
      <bottom style="hair">
        <color theme="3"/>
      </bottom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/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/>
      </right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ck">
        <color theme="0"/>
      </right>
      <top style="thin">
        <color theme="9"/>
      </top>
      <bottom style="thin">
        <color theme="9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ck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medium">
        <color theme="0"/>
      </top>
      <bottom/>
      <diagonal/>
    </border>
    <border>
      <left/>
      <right style="dotted">
        <color indexed="64"/>
      </right>
      <top style="medium">
        <color theme="0"/>
      </top>
      <bottom style="medium">
        <color theme="0"/>
      </bottom>
      <diagonal/>
    </border>
    <border>
      <left style="dotted">
        <color indexed="64"/>
      </left>
      <right/>
      <top style="medium">
        <color theme="0"/>
      </top>
      <bottom style="medium">
        <color theme="0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/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3" tint="-0.249977111117893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3" fillId="0" borderId="0">
      <alignment vertical="center"/>
    </xf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  <xf numFmtId="43" fontId="1" fillId="0" borderId="0" applyFont="0" applyFill="0" applyBorder="0" applyAlignment="0" applyProtection="0"/>
    <xf numFmtId="0" fontId="1" fillId="0" borderId="0"/>
    <xf numFmtId="44" fontId="3" fillId="0" borderId="0"/>
    <xf numFmtId="43" fontId="3" fillId="0" borderId="0"/>
    <xf numFmtId="0" fontId="1" fillId="0" borderId="0"/>
    <xf numFmtId="0" fontId="3" fillId="0" borderId="0"/>
  </cellStyleXfs>
  <cellXfs count="1393">
    <xf numFmtId="0" fontId="0" fillId="0" borderId="0" xfId="0"/>
    <xf numFmtId="0" fontId="2" fillId="0" borderId="0" xfId="0" applyFont="1"/>
    <xf numFmtId="0" fontId="0" fillId="3" borderId="0" xfId="0" applyFill="1"/>
    <xf numFmtId="183" fontId="4" fillId="0" borderId="0" xfId="0" applyNumberFormat="1" applyFont="1" applyAlignment="1">
      <alignment horizontal="right"/>
    </xf>
    <xf numFmtId="0" fontId="7" fillId="2" borderId="20" xfId="0" applyFont="1" applyFill="1" applyBorder="1" applyAlignment="1">
      <alignment horizontal="left"/>
    </xf>
    <xf numFmtId="0" fontId="7" fillId="2" borderId="21" xfId="0" applyFont="1" applyFill="1" applyBorder="1" applyAlignment="1">
      <alignment horizontal="right"/>
    </xf>
    <xf numFmtId="0" fontId="7" fillId="2" borderId="22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10" fillId="0" borderId="0" xfId="0" applyFont="1"/>
    <xf numFmtId="0" fontId="10" fillId="3" borderId="0" xfId="0" applyFont="1" applyFill="1"/>
    <xf numFmtId="0" fontId="6" fillId="3" borderId="23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10" fillId="3" borderId="3" xfId="0" applyFont="1" applyFill="1" applyBorder="1"/>
    <xf numFmtId="0" fontId="10" fillId="3" borderId="0" xfId="0" applyFont="1" applyFill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3" xfId="0" applyFont="1" applyFill="1" applyBorder="1" applyAlignment="1">
      <alignment horizontal="left"/>
    </xf>
    <xf numFmtId="0" fontId="10" fillId="3" borderId="0" xfId="0" applyFont="1" applyFill="1" applyAlignment="1">
      <alignment horizontal="left"/>
    </xf>
    <xf numFmtId="164" fontId="10" fillId="3" borderId="0" xfId="0" applyNumberFormat="1" applyFont="1" applyFill="1"/>
    <xf numFmtId="191" fontId="10" fillId="3" borderId="0" xfId="0" applyNumberFormat="1" applyFont="1" applyFill="1"/>
    <xf numFmtId="174" fontId="10" fillId="3" borderId="4" xfId="0" applyNumberFormat="1" applyFont="1" applyFill="1" applyBorder="1"/>
    <xf numFmtId="174" fontId="10" fillId="3" borderId="0" xfId="0" applyNumberFormat="1" applyFont="1" applyFill="1"/>
    <xf numFmtId="3" fontId="10" fillId="3" borderId="0" xfId="0" applyNumberFormat="1" applyFont="1" applyFill="1" applyAlignment="1">
      <alignment horizontal="right"/>
    </xf>
    <xf numFmtId="176" fontId="10" fillId="3" borderId="0" xfId="0" applyNumberFormat="1" applyFont="1" applyFill="1" applyAlignment="1">
      <alignment horizontal="right"/>
    </xf>
    <xf numFmtId="0" fontId="10" fillId="0" borderId="0" xfId="0" applyFont="1" applyAlignment="1">
      <alignment horizontal="right"/>
    </xf>
    <xf numFmtId="175" fontId="10" fillId="3" borderId="4" xfId="0" applyNumberFormat="1" applyFont="1" applyFill="1" applyBorder="1" applyAlignment="1">
      <alignment horizontal="right"/>
    </xf>
    <xf numFmtId="3" fontId="10" fillId="3" borderId="4" xfId="0" applyNumberFormat="1" applyFont="1" applyFill="1" applyBorder="1" applyAlignment="1">
      <alignment horizontal="right"/>
    </xf>
    <xf numFmtId="0" fontId="11" fillId="3" borderId="11" xfId="0" applyFont="1" applyFill="1" applyBorder="1" applyAlignment="1">
      <alignment horizontal="left" indent="1"/>
    </xf>
    <xf numFmtId="164" fontId="11" fillId="3" borderId="11" xfId="0" applyNumberFormat="1" applyFont="1" applyFill="1" applyBorder="1"/>
    <xf numFmtId="191" fontId="11" fillId="3" borderId="11" xfId="0" applyNumberFormat="1" applyFont="1" applyFill="1" applyBorder="1"/>
    <xf numFmtId="174" fontId="11" fillId="3" borderId="10" xfId="0" applyNumberFormat="1" applyFont="1" applyFill="1" applyBorder="1"/>
    <xf numFmtId="174" fontId="11" fillId="3" borderId="0" xfId="0" applyNumberFormat="1" applyFont="1" applyFill="1"/>
    <xf numFmtId="0" fontId="10" fillId="3" borderId="5" xfId="0" applyFont="1" applyFill="1" applyBorder="1"/>
    <xf numFmtId="3" fontId="10" fillId="3" borderId="8" xfId="0" applyNumberFormat="1" applyFont="1" applyFill="1" applyBorder="1" applyAlignment="1">
      <alignment horizontal="right"/>
    </xf>
    <xf numFmtId="0" fontId="10" fillId="3" borderId="8" xfId="0" applyFont="1" applyFill="1" applyBorder="1" applyAlignment="1">
      <alignment horizontal="right"/>
    </xf>
    <xf numFmtId="3" fontId="10" fillId="3" borderId="6" xfId="0" applyNumberFormat="1" applyFont="1" applyFill="1" applyBorder="1" applyAlignment="1">
      <alignment horizontal="right"/>
    </xf>
    <xf numFmtId="174" fontId="6" fillId="3" borderId="0" xfId="0" applyNumberFormat="1" applyFont="1" applyFill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10" fillId="3" borderId="1" xfId="0" applyFont="1" applyFill="1" applyBorder="1"/>
    <xf numFmtId="181" fontId="10" fillId="3" borderId="7" xfId="0" applyNumberFormat="1" applyFont="1" applyFill="1" applyBorder="1" applyAlignment="1">
      <alignment horizontal="right"/>
    </xf>
    <xf numFmtId="0" fontId="10" fillId="0" borderId="7" xfId="0" applyFont="1" applyBorder="1"/>
    <xf numFmtId="0" fontId="10" fillId="3" borderId="2" xfId="0" applyFont="1" applyFill="1" applyBorder="1"/>
    <xf numFmtId="0" fontId="10" fillId="0" borderId="3" xfId="0" applyFont="1" applyBorder="1"/>
    <xf numFmtId="181" fontId="10" fillId="3" borderId="0" xfId="0" applyNumberFormat="1" applyFont="1" applyFill="1"/>
    <xf numFmtId="166" fontId="10" fillId="3" borderId="4" xfId="0" applyNumberFormat="1" applyFont="1" applyFill="1" applyBorder="1"/>
    <xf numFmtId="181" fontId="10" fillId="3" borderId="8" xfId="0" applyNumberFormat="1" applyFont="1" applyFill="1" applyBorder="1"/>
    <xf numFmtId="166" fontId="10" fillId="3" borderId="6" xfId="0" applyNumberFormat="1" applyFont="1" applyFill="1" applyBorder="1"/>
    <xf numFmtId="0" fontId="10" fillId="3" borderId="7" xfId="0" applyFont="1" applyFill="1" applyBorder="1"/>
    <xf numFmtId="167" fontId="10" fillId="3" borderId="7" xfId="0" applyNumberFormat="1" applyFont="1" applyFill="1" applyBorder="1"/>
    <xf numFmtId="167" fontId="10" fillId="3" borderId="2" xfId="0" applyNumberFormat="1" applyFont="1" applyFill="1" applyBorder="1" applyAlignment="1">
      <alignment horizontal="right"/>
    </xf>
    <xf numFmtId="164" fontId="10" fillId="3" borderId="2" xfId="0" applyNumberFormat="1" applyFont="1" applyFill="1" applyBorder="1"/>
    <xf numFmtId="168" fontId="10" fillId="3" borderId="0" xfId="0" applyNumberFormat="1" applyFont="1" applyFill="1"/>
    <xf numFmtId="164" fontId="10" fillId="3" borderId="4" xfId="0" applyNumberFormat="1" applyFont="1" applyFill="1" applyBorder="1"/>
    <xf numFmtId="185" fontId="10" fillId="3" borderId="4" xfId="0" applyNumberFormat="1" applyFont="1" applyFill="1" applyBorder="1"/>
    <xf numFmtId="185" fontId="10" fillId="3" borderId="0" xfId="0" applyNumberFormat="1" applyFont="1" applyFill="1"/>
    <xf numFmtId="10" fontId="10" fillId="3" borderId="0" xfId="0" applyNumberFormat="1" applyFont="1" applyFill="1"/>
    <xf numFmtId="179" fontId="10" fillId="3" borderId="4" xfId="0" applyNumberFormat="1" applyFont="1" applyFill="1" applyBorder="1" applyAlignment="1">
      <alignment vertical="center"/>
    </xf>
    <xf numFmtId="179" fontId="10" fillId="3" borderId="0" xfId="0" applyNumberFormat="1" applyFont="1" applyFill="1" applyAlignment="1">
      <alignment vertical="center"/>
    </xf>
    <xf numFmtId="10" fontId="10" fillId="3" borderId="0" xfId="1" applyNumberFormat="1" applyFont="1" applyFill="1" applyBorder="1" applyAlignment="1">
      <alignment horizontal="right"/>
    </xf>
    <xf numFmtId="10" fontId="10" fillId="3" borderId="4" xfId="1" applyNumberFormat="1" applyFont="1" applyFill="1" applyBorder="1" applyAlignment="1">
      <alignment horizontal="right"/>
    </xf>
    <xf numFmtId="169" fontId="10" fillId="3" borderId="0" xfId="0" applyNumberFormat="1" applyFont="1" applyFill="1" applyAlignment="1">
      <alignment horizontal="right"/>
    </xf>
    <xf numFmtId="169" fontId="10" fillId="3" borderId="4" xfId="0" applyNumberFormat="1" applyFont="1" applyFill="1" applyBorder="1" applyAlignment="1">
      <alignment horizontal="right"/>
    </xf>
    <xf numFmtId="10" fontId="10" fillId="3" borderId="0" xfId="1" applyNumberFormat="1" applyFont="1" applyFill="1" applyBorder="1"/>
    <xf numFmtId="10" fontId="10" fillId="3" borderId="4" xfId="0" applyNumberFormat="1" applyFont="1" applyFill="1" applyBorder="1"/>
    <xf numFmtId="0" fontId="7" fillId="2" borderId="9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right"/>
    </xf>
    <xf numFmtId="0" fontId="7" fillId="2" borderId="10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10" fontId="10" fillId="3" borderId="2" xfId="1" applyNumberFormat="1" applyFont="1" applyFill="1" applyBorder="1" applyAlignment="1">
      <alignment vertical="center"/>
    </xf>
    <xf numFmtId="10" fontId="10" fillId="3" borderId="0" xfId="1" applyNumberFormat="1" applyFont="1" applyFill="1" applyBorder="1" applyAlignment="1">
      <alignment vertical="center"/>
    </xf>
    <xf numFmtId="0" fontId="10" fillId="3" borderId="3" xfId="0" applyFont="1" applyFill="1" applyBorder="1" applyAlignment="1">
      <alignment horizontal="left" vertical="center"/>
    </xf>
    <xf numFmtId="10" fontId="10" fillId="3" borderId="0" xfId="0" applyNumberFormat="1" applyFont="1" applyFill="1" applyAlignment="1">
      <alignment horizontal="right" vertical="center"/>
    </xf>
    <xf numFmtId="10" fontId="10" fillId="3" borderId="4" xfId="1" applyNumberFormat="1" applyFont="1" applyFill="1" applyBorder="1" applyAlignment="1">
      <alignment horizontal="right" vertical="center"/>
    </xf>
    <xf numFmtId="10" fontId="10" fillId="3" borderId="0" xfId="1" applyNumberFormat="1" applyFont="1" applyFill="1" applyBorder="1" applyAlignment="1">
      <alignment horizontal="right" vertical="center"/>
    </xf>
    <xf numFmtId="10" fontId="10" fillId="3" borderId="0" xfId="0" applyNumberFormat="1" applyFont="1" applyFill="1" applyAlignment="1">
      <alignment horizontal="right"/>
    </xf>
    <xf numFmtId="10" fontId="10" fillId="3" borderId="4" xfId="0" applyNumberFormat="1" applyFont="1" applyFill="1" applyBorder="1" applyAlignment="1">
      <alignment horizontal="right"/>
    </xf>
    <xf numFmtId="0" fontId="11" fillId="3" borderId="3" xfId="0" applyFont="1" applyFill="1" applyBorder="1"/>
    <xf numFmtId="0" fontId="11" fillId="3" borderId="7" xfId="0" applyFont="1" applyFill="1" applyBorder="1"/>
    <xf numFmtId="179" fontId="11" fillId="3" borderId="2" xfId="0" applyNumberFormat="1" applyFont="1" applyFill="1" applyBorder="1" applyAlignment="1">
      <alignment vertical="center"/>
    </xf>
    <xf numFmtId="179" fontId="11" fillId="3" borderId="0" xfId="0" applyNumberFormat="1" applyFont="1" applyFill="1" applyAlignment="1">
      <alignment vertical="center"/>
    </xf>
    <xf numFmtId="0" fontId="10" fillId="0" borderId="5" xfId="0" applyFont="1" applyBorder="1"/>
    <xf numFmtId="0" fontId="10" fillId="0" borderId="8" xfId="0" applyFont="1" applyBorder="1"/>
    <xf numFmtId="10" fontId="10" fillId="0" borderId="8" xfId="0" applyNumberFormat="1" applyFont="1" applyBorder="1"/>
    <xf numFmtId="10" fontId="10" fillId="0" borderId="6" xfId="0" applyNumberFormat="1" applyFont="1" applyBorder="1"/>
    <xf numFmtId="165" fontId="10" fillId="3" borderId="0" xfId="0" applyNumberFormat="1" applyFont="1" applyFill="1"/>
    <xf numFmtId="165" fontId="10" fillId="3" borderId="4" xfId="0" applyNumberFormat="1" applyFont="1" applyFill="1" applyBorder="1"/>
    <xf numFmtId="10" fontId="10" fillId="0" borderId="4" xfId="1" applyNumberFormat="1" applyFont="1" applyBorder="1"/>
    <xf numFmtId="165" fontId="10" fillId="3" borderId="8" xfId="0" applyNumberFormat="1" applyFont="1" applyFill="1" applyBorder="1"/>
    <xf numFmtId="165" fontId="10" fillId="3" borderId="6" xfId="0" applyNumberFormat="1" applyFont="1" applyFill="1" applyBorder="1"/>
    <xf numFmtId="0" fontId="10" fillId="3" borderId="8" xfId="0" applyFont="1" applyFill="1" applyBorder="1"/>
    <xf numFmtId="169" fontId="10" fillId="3" borderId="0" xfId="0" applyNumberFormat="1" applyFont="1" applyFill="1" applyAlignment="1">
      <alignment horizontal="right" vertical="center"/>
    </xf>
    <xf numFmtId="169" fontId="10" fillId="3" borderId="4" xfId="0" applyNumberFormat="1" applyFont="1" applyFill="1" applyBorder="1" applyAlignment="1">
      <alignment horizontal="right" vertical="center"/>
    </xf>
    <xf numFmtId="179" fontId="10" fillId="3" borderId="7" xfId="0" applyNumberFormat="1" applyFont="1" applyFill="1" applyBorder="1" applyAlignment="1">
      <alignment horizontal="right" vertical="center"/>
    </xf>
    <xf numFmtId="179" fontId="10" fillId="3" borderId="2" xfId="0" applyNumberFormat="1" applyFont="1" applyFill="1" applyBorder="1" applyAlignment="1">
      <alignment horizontal="right" vertical="center"/>
    </xf>
    <xf numFmtId="179" fontId="10" fillId="3" borderId="0" xfId="0" applyNumberFormat="1" applyFont="1" applyFill="1" applyAlignment="1">
      <alignment horizontal="right" vertical="center"/>
    </xf>
    <xf numFmtId="0" fontId="10" fillId="0" borderId="1" xfId="0" applyFont="1" applyBorder="1"/>
    <xf numFmtId="185" fontId="10" fillId="3" borderId="2" xfId="0" applyNumberFormat="1" applyFont="1" applyFill="1" applyBorder="1"/>
    <xf numFmtId="179" fontId="10" fillId="3" borderId="4" xfId="0" applyNumberFormat="1" applyFont="1" applyFill="1" applyBorder="1" applyAlignment="1">
      <alignment horizontal="right" vertical="center"/>
    </xf>
    <xf numFmtId="10" fontId="10" fillId="0" borderId="0" xfId="1" applyNumberFormat="1" applyFont="1" applyBorder="1"/>
    <xf numFmtId="192" fontId="10" fillId="3" borderId="4" xfId="0" applyNumberFormat="1" applyFont="1" applyFill="1" applyBorder="1"/>
    <xf numFmtId="10" fontId="10" fillId="0" borderId="8" xfId="1" applyNumberFormat="1" applyFont="1" applyBorder="1"/>
    <xf numFmtId="10" fontId="10" fillId="0" borderId="6" xfId="1" applyNumberFormat="1" applyFont="1" applyBorder="1"/>
    <xf numFmtId="179" fontId="11" fillId="3" borderId="11" xfId="0" applyNumberFormat="1" applyFont="1" applyFill="1" applyBorder="1" applyAlignment="1">
      <alignment horizontal="right" vertical="center"/>
    </xf>
    <xf numFmtId="185" fontId="11" fillId="3" borderId="10" xfId="0" applyNumberFormat="1" applyFont="1" applyFill="1" applyBorder="1"/>
    <xf numFmtId="41" fontId="10" fillId="0" borderId="0" xfId="0" applyNumberFormat="1" applyFont="1" applyAlignment="1">
      <alignment horizontal="right"/>
    </xf>
    <xf numFmtId="0" fontId="11" fillId="3" borderId="31" xfId="0" applyFont="1" applyFill="1" applyBorder="1" applyAlignment="1">
      <alignment horizontal="left"/>
    </xf>
    <xf numFmtId="171" fontId="7" fillId="2" borderId="27" xfId="0" applyNumberFormat="1" applyFont="1" applyFill="1" applyBorder="1" applyAlignment="1">
      <alignment horizontal="right"/>
    </xf>
    <xf numFmtId="171" fontId="7" fillId="2" borderId="32" xfId="0" applyNumberFormat="1" applyFont="1" applyFill="1" applyBorder="1" applyAlignment="1">
      <alignment horizontal="right"/>
    </xf>
    <xf numFmtId="0" fontId="11" fillId="3" borderId="28" xfId="0" applyFont="1" applyFill="1" applyBorder="1" applyAlignment="1">
      <alignment horizontal="left"/>
    </xf>
    <xf numFmtId="180" fontId="7" fillId="2" borderId="8" xfId="0" applyNumberFormat="1" applyFont="1" applyFill="1" applyBorder="1" applyAlignment="1">
      <alignment horizontal="right"/>
    </xf>
    <xf numFmtId="180" fontId="7" fillId="2" borderId="30" xfId="0" applyNumberFormat="1" applyFont="1" applyFill="1" applyBorder="1" applyAlignment="1">
      <alignment horizontal="right"/>
    </xf>
    <xf numFmtId="0" fontId="10" fillId="3" borderId="28" xfId="0" applyFont="1" applyFill="1" applyBorder="1" applyAlignment="1">
      <alignment horizontal="left"/>
    </xf>
    <xf numFmtId="179" fontId="10" fillId="0" borderId="0" xfId="0" applyNumberFormat="1" applyFont="1" applyAlignment="1">
      <alignment horizontal="right"/>
    </xf>
    <xf numFmtId="179" fontId="10" fillId="0" borderId="29" xfId="0" applyNumberFormat="1" applyFont="1" applyBorder="1" applyAlignment="1">
      <alignment horizontal="right"/>
    </xf>
    <xf numFmtId="0" fontId="6" fillId="3" borderId="33" xfId="0" applyFont="1" applyFill="1" applyBorder="1" applyAlignment="1">
      <alignment horizontal="left"/>
    </xf>
    <xf numFmtId="179" fontId="10" fillId="0" borderId="19" xfId="0" applyNumberFormat="1" applyFont="1" applyBorder="1" applyAlignment="1">
      <alignment horizontal="right"/>
    </xf>
    <xf numFmtId="179" fontId="10" fillId="0" borderId="34" xfId="0" applyNumberFormat="1" applyFont="1" applyBorder="1" applyAlignment="1">
      <alignment horizontal="right"/>
    </xf>
    <xf numFmtId="179" fontId="10" fillId="3" borderId="0" xfId="0" applyNumberFormat="1" applyFont="1" applyFill="1" applyAlignment="1">
      <alignment horizontal="right"/>
    </xf>
    <xf numFmtId="41" fontId="10" fillId="0" borderId="29" xfId="0" applyNumberFormat="1" applyFont="1" applyBorder="1" applyAlignment="1">
      <alignment horizontal="right"/>
    </xf>
    <xf numFmtId="41" fontId="10" fillId="3" borderId="0" xfId="0" applyNumberFormat="1" applyFont="1" applyFill="1" applyAlignment="1">
      <alignment horizontal="right"/>
    </xf>
    <xf numFmtId="0" fontId="11" fillId="3" borderId="28" xfId="0" applyFont="1" applyFill="1" applyBorder="1" applyAlignment="1">
      <alignment horizontal="left" indent="1"/>
    </xf>
    <xf numFmtId="41" fontId="11" fillId="0" borderId="11" xfId="0" applyNumberFormat="1" applyFont="1" applyBorder="1" applyAlignment="1">
      <alignment horizontal="right"/>
    </xf>
    <xf numFmtId="41" fontId="11" fillId="0" borderId="44" xfId="0" applyNumberFormat="1" applyFont="1" applyBorder="1" applyAlignment="1">
      <alignment horizontal="right"/>
    </xf>
    <xf numFmtId="41" fontId="11" fillId="3" borderId="0" xfId="0" applyNumberFormat="1" applyFont="1" applyFill="1" applyAlignment="1">
      <alignment horizontal="right"/>
    </xf>
    <xf numFmtId="0" fontId="10" fillId="3" borderId="45" xfId="0" applyFont="1" applyFill="1" applyBorder="1" applyAlignment="1">
      <alignment horizontal="left"/>
    </xf>
    <xf numFmtId="41" fontId="10" fillId="0" borderId="7" xfId="0" applyNumberFormat="1" applyFont="1" applyBorder="1" applyAlignment="1">
      <alignment horizontal="right"/>
    </xf>
    <xf numFmtId="41" fontId="10" fillId="0" borderId="46" xfId="0" applyNumberFormat="1" applyFont="1" applyBorder="1" applyAlignment="1">
      <alignment horizontal="right"/>
    </xf>
    <xf numFmtId="41" fontId="11" fillId="0" borderId="0" xfId="0" applyNumberFormat="1" applyFont="1" applyAlignment="1">
      <alignment horizontal="right"/>
    </xf>
    <xf numFmtId="173" fontId="10" fillId="3" borderId="0" xfId="1" applyNumberFormat="1" applyFont="1" applyFill="1" applyBorder="1"/>
    <xf numFmtId="173" fontId="10" fillId="3" borderId="4" xfId="1" applyNumberFormat="1" applyFont="1" applyFill="1" applyBorder="1"/>
    <xf numFmtId="227" fontId="10" fillId="3" borderId="0" xfId="1" applyNumberFormat="1" applyFont="1" applyFill="1" applyBorder="1"/>
    <xf numFmtId="227" fontId="10" fillId="3" borderId="4" xfId="1" applyNumberFormat="1" applyFont="1" applyFill="1" applyBorder="1"/>
    <xf numFmtId="10" fontId="10" fillId="3" borderId="6" xfId="1" applyNumberFormat="1" applyFont="1" applyFill="1" applyBorder="1" applyAlignment="1">
      <alignment vertical="center"/>
    </xf>
    <xf numFmtId="0" fontId="11" fillId="0" borderId="0" xfId="0" applyFont="1"/>
    <xf numFmtId="0" fontId="7" fillId="2" borderId="47" xfId="0" applyFont="1" applyFill="1" applyBorder="1" applyAlignment="1">
      <alignment horizontal="left" indent="1"/>
    </xf>
    <xf numFmtId="41" fontId="7" fillId="2" borderId="11" xfId="0" applyNumberFormat="1" applyFont="1" applyFill="1" applyBorder="1" applyAlignment="1">
      <alignment horizontal="right"/>
    </xf>
    <xf numFmtId="41" fontId="7" fillId="2" borderId="44" xfId="0" applyNumberFormat="1" applyFont="1" applyFill="1" applyBorder="1" applyAlignment="1">
      <alignment horizontal="right"/>
    </xf>
    <xf numFmtId="41" fontId="7" fillId="3" borderId="0" xfId="0" applyNumberFormat="1" applyFont="1" applyFill="1" applyAlignment="1">
      <alignment horizontal="right"/>
    </xf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2" fontId="12" fillId="0" borderId="0" xfId="0" applyNumberFormat="1" applyFont="1"/>
    <xf numFmtId="197" fontId="14" fillId="0" borderId="0" xfId="0" applyNumberFormat="1" applyFont="1"/>
    <xf numFmtId="37" fontId="14" fillId="0" borderId="0" xfId="0" applyNumberFormat="1" applyFont="1"/>
    <xf numFmtId="10" fontId="14" fillId="0" borderId="0" xfId="1" applyNumberFormat="1" applyFont="1"/>
    <xf numFmtId="197" fontId="12" fillId="0" borderId="0" xfId="0" applyNumberFormat="1" applyFont="1"/>
    <xf numFmtId="37" fontId="12" fillId="0" borderId="0" xfId="0" applyNumberFormat="1" applyFont="1"/>
    <xf numFmtId="10" fontId="12" fillId="0" borderId="0" xfId="1" applyNumberFormat="1" applyFont="1"/>
    <xf numFmtId="189" fontId="12" fillId="0" borderId="0" xfId="1" applyNumberFormat="1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97" fontId="12" fillId="0" borderId="0" xfId="0" applyNumberFormat="1" applyFont="1" applyAlignment="1">
      <alignment horizontal="center"/>
    </xf>
    <xf numFmtId="37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0" fontId="13" fillId="0" borderId="8" xfId="0" applyFont="1" applyBorder="1" applyAlignment="1">
      <alignment horizontal="center"/>
    </xf>
    <xf numFmtId="10" fontId="14" fillId="0" borderId="0" xfId="1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8" xfId="0" applyFont="1" applyBorder="1" applyAlignment="1">
      <alignment horizontal="left"/>
    </xf>
    <xf numFmtId="10" fontId="14" fillId="0" borderId="8" xfId="1" applyNumberFormat="1" applyFont="1" applyBorder="1" applyAlignment="1">
      <alignment horizontal="right"/>
    </xf>
    <xf numFmtId="170" fontId="14" fillId="0" borderId="0" xfId="0" applyNumberFormat="1" applyFont="1" applyAlignment="1">
      <alignment horizontal="center"/>
    </xf>
    <xf numFmtId="168" fontId="12" fillId="3" borderId="0" xfId="0" applyNumberFormat="1" applyFont="1" applyFill="1" applyAlignment="1">
      <alignment horizontal="center"/>
    </xf>
    <xf numFmtId="0" fontId="16" fillId="0" borderId="0" xfId="0" applyFont="1"/>
    <xf numFmtId="0" fontId="17" fillId="0" borderId="0" xfId="0" applyFont="1"/>
    <xf numFmtId="0" fontId="18" fillId="2" borderId="0" xfId="0" applyFont="1" applyFill="1" applyAlignment="1">
      <alignment horizontal="left"/>
    </xf>
    <xf numFmtId="0" fontId="19" fillId="2" borderId="0" xfId="0" applyFont="1" applyFill="1" applyAlignment="1">
      <alignment horizontal="right"/>
    </xf>
    <xf numFmtId="0" fontId="20" fillId="3" borderId="0" xfId="0" applyFont="1" applyFill="1" applyAlignment="1">
      <alignment horizontal="left"/>
    </xf>
    <xf numFmtId="167" fontId="12" fillId="3" borderId="0" xfId="0" applyNumberFormat="1" applyFont="1" applyFill="1" applyAlignment="1">
      <alignment horizontal="right"/>
    </xf>
    <xf numFmtId="171" fontId="12" fillId="3" borderId="0" xfId="0" applyNumberFormat="1" applyFont="1" applyFill="1" applyAlignment="1">
      <alignment horizontal="right"/>
    </xf>
    <xf numFmtId="7" fontId="20" fillId="3" borderId="0" xfId="0" applyNumberFormat="1" applyFont="1" applyFill="1" applyAlignment="1">
      <alignment horizontal="left"/>
    </xf>
    <xf numFmtId="197" fontId="12" fillId="3" borderId="8" xfId="0" applyNumberFormat="1" applyFont="1" applyFill="1" applyBorder="1" applyAlignment="1">
      <alignment horizontal="right"/>
    </xf>
    <xf numFmtId="188" fontId="12" fillId="0" borderId="0" xfId="8" applyNumberFormat="1" applyFont="1" applyBorder="1" applyAlignment="1">
      <alignment horizontal="right"/>
    </xf>
    <xf numFmtId="179" fontId="12" fillId="3" borderId="0" xfId="0" applyNumberFormat="1" applyFont="1" applyFill="1" applyAlignment="1">
      <alignment horizontal="center"/>
    </xf>
    <xf numFmtId="179" fontId="21" fillId="3" borderId="19" xfId="0" applyNumberFormat="1" applyFont="1" applyFill="1" applyBorder="1" applyAlignment="1">
      <alignment horizontal="left"/>
    </xf>
    <xf numFmtId="179" fontId="22" fillId="0" borderId="19" xfId="0" applyNumberFormat="1" applyFont="1" applyBorder="1" applyAlignment="1">
      <alignment horizontal="right"/>
    </xf>
    <xf numFmtId="179" fontId="12" fillId="0" borderId="0" xfId="0" applyNumberFormat="1" applyFont="1" applyAlignment="1">
      <alignment horizontal="right"/>
    </xf>
    <xf numFmtId="184" fontId="12" fillId="3" borderId="0" xfId="0" applyNumberFormat="1" applyFont="1" applyFill="1" applyAlignment="1">
      <alignment horizontal="center"/>
    </xf>
    <xf numFmtId="184" fontId="12" fillId="3" borderId="7" xfId="0" applyNumberFormat="1" applyFont="1" applyFill="1" applyBorder="1" applyAlignment="1">
      <alignment horizontal="left"/>
    </xf>
    <xf numFmtId="184" fontId="12" fillId="0" borderId="0" xfId="0" applyNumberFormat="1" applyFont="1" applyAlignment="1">
      <alignment horizontal="right"/>
    </xf>
    <xf numFmtId="184" fontId="12" fillId="0" borderId="7" xfId="0" applyNumberFormat="1" applyFont="1" applyBorder="1" applyAlignment="1">
      <alignment horizontal="right"/>
    </xf>
    <xf numFmtId="184" fontId="12" fillId="3" borderId="0" xfId="0" applyNumberFormat="1" applyFont="1" applyFill="1" applyAlignment="1">
      <alignment horizontal="left"/>
    </xf>
    <xf numFmtId="184" fontId="23" fillId="3" borderId="0" xfId="0" applyNumberFormat="1" applyFont="1" applyFill="1" applyAlignment="1">
      <alignment horizontal="left"/>
    </xf>
    <xf numFmtId="184" fontId="23" fillId="0" borderId="0" xfId="0" applyNumberFormat="1" applyFont="1" applyAlignment="1">
      <alignment horizontal="right"/>
    </xf>
    <xf numFmtId="184" fontId="24" fillId="3" borderId="0" xfId="0" applyNumberFormat="1" applyFont="1" applyFill="1" applyAlignment="1">
      <alignment horizontal="left"/>
    </xf>
    <xf numFmtId="184" fontId="24" fillId="0" borderId="0" xfId="0" applyNumberFormat="1" applyFont="1" applyAlignment="1">
      <alignment horizontal="right"/>
    </xf>
    <xf numFmtId="179" fontId="25" fillId="3" borderId="0" xfId="0" applyNumberFormat="1" applyFont="1" applyFill="1" applyAlignment="1">
      <alignment horizontal="center"/>
    </xf>
    <xf numFmtId="179" fontId="24" fillId="0" borderId="0" xfId="0" applyNumberFormat="1" applyFont="1" applyAlignment="1">
      <alignment horizontal="right"/>
    </xf>
    <xf numFmtId="179" fontId="13" fillId="0" borderId="0" xfId="0" applyNumberFormat="1" applyFont="1" applyAlignment="1">
      <alignment horizontal="right"/>
    </xf>
    <xf numFmtId="179" fontId="13" fillId="0" borderId="0" xfId="0" applyNumberFormat="1" applyFont="1" applyAlignment="1">
      <alignment horizontal="left"/>
    </xf>
    <xf numFmtId="179" fontId="22" fillId="0" borderId="19" xfId="0" applyNumberFormat="1" applyFont="1" applyBorder="1" applyAlignment="1">
      <alignment horizontal="left"/>
    </xf>
    <xf numFmtId="184" fontId="24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right"/>
    </xf>
    <xf numFmtId="14" fontId="15" fillId="0" borderId="0" xfId="2" applyNumberFormat="1" applyFont="1" applyAlignment="1">
      <alignment horizontal="right"/>
    </xf>
    <xf numFmtId="10" fontId="15" fillId="0" borderId="0" xfId="2" applyNumberFormat="1" applyFont="1" applyAlignment="1">
      <alignment horizontal="right" vertical="center"/>
    </xf>
    <xf numFmtId="168" fontId="12" fillId="0" borderId="0" xfId="0" applyNumberFormat="1" applyFont="1" applyAlignment="1">
      <alignment horizontal="right"/>
    </xf>
    <xf numFmtId="0" fontId="13" fillId="3" borderId="0" xfId="0" applyFont="1" applyFill="1" applyAlignment="1">
      <alignment horizontal="left"/>
    </xf>
    <xf numFmtId="171" fontId="13" fillId="3" borderId="0" xfId="0" applyNumberFormat="1" applyFont="1" applyFill="1" applyAlignment="1">
      <alignment horizontal="right"/>
    </xf>
    <xf numFmtId="0" fontId="21" fillId="3" borderId="0" xfId="0" applyFont="1" applyFill="1"/>
    <xf numFmtId="0" fontId="21" fillId="3" borderId="0" xfId="0" applyFont="1" applyFill="1" applyAlignment="1">
      <alignment vertical="top"/>
    </xf>
    <xf numFmtId="0" fontId="21" fillId="3" borderId="0" xfId="0" applyFont="1" applyFill="1" applyAlignment="1">
      <alignment vertical="top" wrapText="1"/>
    </xf>
    <xf numFmtId="0" fontId="22" fillId="3" borderId="0" xfId="0" applyFont="1" applyFill="1"/>
    <xf numFmtId="0" fontId="21" fillId="3" borderId="0" xfId="0" applyFont="1" applyFill="1" applyAlignment="1">
      <alignment horizontal="right" vertical="top"/>
    </xf>
    <xf numFmtId="180" fontId="21" fillId="3" borderId="0" xfId="0" applyNumberFormat="1" applyFont="1" applyFill="1" applyAlignment="1">
      <alignment horizontal="left"/>
    </xf>
    <xf numFmtId="0" fontId="21" fillId="3" borderId="0" xfId="0" applyFont="1" applyFill="1" applyAlignment="1">
      <alignment horizontal="right"/>
    </xf>
    <xf numFmtId="0" fontId="12" fillId="3" borderId="0" xfId="0" applyFont="1" applyFill="1" applyAlignment="1">
      <alignment horizontal="left"/>
    </xf>
    <xf numFmtId="171" fontId="26" fillId="2" borderId="0" xfId="0" applyNumberFormat="1" applyFont="1" applyFill="1" applyAlignment="1">
      <alignment horizontal="right"/>
    </xf>
    <xf numFmtId="180" fontId="26" fillId="2" borderId="0" xfId="0" applyNumberFormat="1" applyFont="1" applyFill="1" applyAlignment="1">
      <alignment horizontal="right"/>
    </xf>
    <xf numFmtId="0" fontId="12" fillId="3" borderId="126" xfId="0" applyFont="1" applyFill="1" applyBorder="1" applyAlignment="1">
      <alignment horizontal="left"/>
    </xf>
    <xf numFmtId="179" fontId="12" fillId="0" borderId="126" xfId="0" applyNumberFormat="1" applyFont="1" applyBorder="1" applyAlignment="1">
      <alignment horizontal="right"/>
    </xf>
    <xf numFmtId="195" fontId="12" fillId="0" borderId="126" xfId="0" applyNumberFormat="1" applyFont="1" applyBorder="1" applyAlignment="1">
      <alignment horizontal="right"/>
    </xf>
    <xf numFmtId="0" fontId="27" fillId="3" borderId="0" xfId="0" applyFont="1" applyFill="1" applyAlignment="1">
      <alignment horizontal="left"/>
    </xf>
    <xf numFmtId="179" fontId="22" fillId="0" borderId="0" xfId="0" applyNumberFormat="1" applyFont="1" applyAlignment="1">
      <alignment horizontal="right"/>
    </xf>
    <xf numFmtId="41" fontId="12" fillId="0" borderId="0" xfId="0" applyNumberFormat="1" applyFont="1" applyAlignment="1">
      <alignment horizontal="right"/>
    </xf>
    <xf numFmtId="0" fontId="26" fillId="2" borderId="0" xfId="0" applyFont="1" applyFill="1" applyAlignment="1">
      <alignment horizontal="left"/>
    </xf>
    <xf numFmtId="41" fontId="26" fillId="2" borderId="0" xfId="0" applyNumberFormat="1" applyFont="1" applyFill="1" applyAlignment="1">
      <alignment horizontal="right"/>
    </xf>
    <xf numFmtId="41" fontId="13" fillId="0" borderId="0" xfId="1" applyNumberFormat="1" applyFont="1" applyBorder="1" applyAlignment="1">
      <alignment horizontal="right"/>
    </xf>
    <xf numFmtId="41" fontId="26" fillId="0" borderId="0" xfId="0" applyNumberFormat="1" applyFont="1" applyAlignment="1">
      <alignment horizontal="right"/>
    </xf>
    <xf numFmtId="10" fontId="13" fillId="0" borderId="0" xfId="1" applyNumberFormat="1" applyFont="1" applyBorder="1" applyAlignment="1">
      <alignment horizontal="right"/>
    </xf>
    <xf numFmtId="0" fontId="24" fillId="0" borderId="0" xfId="0" applyFont="1"/>
    <xf numFmtId="173" fontId="13" fillId="0" borderId="0" xfId="0" applyNumberFormat="1" applyFont="1" applyAlignment="1">
      <alignment horizontal="right"/>
    </xf>
    <xf numFmtId="10" fontId="12" fillId="0" borderId="0" xfId="1" applyNumberFormat="1" applyFont="1" applyBorder="1"/>
    <xf numFmtId="169" fontId="13" fillId="0" borderId="0" xfId="0" applyNumberFormat="1" applyFont="1" applyAlignment="1">
      <alignment horizontal="right"/>
    </xf>
    <xf numFmtId="169" fontId="12" fillId="0" borderId="0" xfId="0" applyNumberFormat="1" applyFont="1" applyAlignment="1">
      <alignment horizontal="right"/>
    </xf>
    <xf numFmtId="0" fontId="12" fillId="0" borderId="126" xfId="0" applyFont="1" applyBorder="1"/>
    <xf numFmtId="0" fontId="13" fillId="0" borderId="126" xfId="0" applyFont="1" applyBorder="1"/>
    <xf numFmtId="169" fontId="13" fillId="0" borderId="126" xfId="0" applyNumberFormat="1" applyFont="1" applyBorder="1" applyAlignment="1">
      <alignment horizontal="right"/>
    </xf>
    <xf numFmtId="173" fontId="13" fillId="0" borderId="0" xfId="1" applyNumberFormat="1" applyFont="1" applyBorder="1" applyAlignment="1">
      <alignment horizontal="right"/>
    </xf>
    <xf numFmtId="228" fontId="28" fillId="6" borderId="0" xfId="0" applyNumberFormat="1" applyFont="1" applyFill="1" applyAlignment="1">
      <alignment horizontal="left"/>
    </xf>
    <xf numFmtId="179" fontId="22" fillId="6" borderId="0" xfId="0" applyNumberFormat="1" applyFont="1" applyFill="1" applyAlignment="1">
      <alignment horizontal="right"/>
    </xf>
    <xf numFmtId="10" fontId="29" fillId="6" borderId="0" xfId="1" applyNumberFormat="1" applyFont="1" applyFill="1" applyBorder="1" applyAlignment="1">
      <alignment horizontal="center"/>
    </xf>
    <xf numFmtId="10" fontId="22" fillId="6" borderId="0" xfId="1" applyNumberFormat="1" applyFont="1" applyFill="1" applyBorder="1" applyAlignment="1">
      <alignment horizontal="right"/>
    </xf>
    <xf numFmtId="0" fontId="12" fillId="6" borderId="0" xfId="0" applyFont="1" applyFill="1" applyAlignment="1">
      <alignment horizontal="left"/>
    </xf>
    <xf numFmtId="5" fontId="12" fillId="6" borderId="0" xfId="0" applyNumberFormat="1" applyFont="1" applyFill="1" applyAlignment="1">
      <alignment horizontal="right"/>
    </xf>
    <xf numFmtId="41" fontId="12" fillId="6" borderId="0" xfId="0" applyNumberFormat="1" applyFont="1" applyFill="1" applyAlignment="1">
      <alignment horizontal="right"/>
    </xf>
    <xf numFmtId="5" fontId="26" fillId="2" borderId="0" xfId="0" applyNumberFormat="1" applyFont="1" applyFill="1" applyAlignment="1">
      <alignment horizontal="right"/>
    </xf>
    <xf numFmtId="0" fontId="13" fillId="6" borderId="0" xfId="0" applyFont="1" applyFill="1"/>
    <xf numFmtId="41" fontId="13" fillId="6" borderId="0" xfId="1" applyNumberFormat="1" applyFont="1" applyFill="1" applyBorder="1" applyAlignment="1">
      <alignment horizontal="right"/>
    </xf>
    <xf numFmtId="5" fontId="26" fillId="6" borderId="0" xfId="0" applyNumberFormat="1" applyFont="1" applyFill="1" applyAlignment="1">
      <alignment horizontal="right"/>
    </xf>
    <xf numFmtId="173" fontId="13" fillId="6" borderId="0" xfId="1" applyNumberFormat="1" applyFont="1" applyFill="1" applyBorder="1" applyAlignment="1">
      <alignment horizontal="right"/>
    </xf>
    <xf numFmtId="0" fontId="24" fillId="6" borderId="0" xfId="0" applyFont="1" applyFill="1"/>
    <xf numFmtId="0" fontId="12" fillId="6" borderId="0" xfId="0" applyFont="1" applyFill="1"/>
    <xf numFmtId="173" fontId="13" fillId="6" borderId="0" xfId="0" applyNumberFormat="1" applyFont="1" applyFill="1" applyAlignment="1">
      <alignment horizontal="right"/>
    </xf>
    <xf numFmtId="10" fontId="12" fillId="6" borderId="0" xfId="1" applyNumberFormat="1" applyFont="1" applyFill="1" applyBorder="1" applyAlignment="1">
      <alignment horizontal="right"/>
    </xf>
    <xf numFmtId="169" fontId="13" fillId="6" borderId="0" xfId="0" applyNumberFormat="1" applyFont="1" applyFill="1" applyAlignment="1">
      <alignment horizontal="right"/>
    </xf>
    <xf numFmtId="169" fontId="12" fillId="6" borderId="0" xfId="0" applyNumberFormat="1" applyFont="1" applyFill="1" applyAlignment="1">
      <alignment horizontal="right"/>
    </xf>
    <xf numFmtId="9" fontId="12" fillId="6" borderId="0" xfId="1" applyFont="1" applyFill="1" applyBorder="1" applyAlignment="1">
      <alignment horizontal="right"/>
    </xf>
    <xf numFmtId="0" fontId="30" fillId="3" borderId="0" xfId="0" applyFont="1" applyFill="1" applyAlignment="1">
      <alignment horizontal="right"/>
    </xf>
    <xf numFmtId="0" fontId="19" fillId="3" borderId="0" xfId="0" applyFont="1" applyFill="1" applyAlignment="1">
      <alignment horizontal="right"/>
    </xf>
    <xf numFmtId="197" fontId="26" fillId="2" borderId="0" xfId="0" applyNumberFormat="1" applyFont="1" applyFill="1" applyAlignment="1">
      <alignment horizontal="right"/>
    </xf>
    <xf numFmtId="179" fontId="12" fillId="3" borderId="0" xfId="0" applyNumberFormat="1" applyFont="1" applyFill="1" applyAlignment="1">
      <alignment horizontal="left"/>
    </xf>
    <xf numFmtId="0" fontId="21" fillId="3" borderId="0" xfId="0" applyFont="1" applyFill="1" applyAlignment="1">
      <alignment horizontal="left"/>
    </xf>
    <xf numFmtId="179" fontId="31" fillId="0" borderId="0" xfId="0" applyNumberFormat="1" applyFont="1" applyAlignment="1">
      <alignment horizontal="right"/>
    </xf>
    <xf numFmtId="186" fontId="12" fillId="0" borderId="0" xfId="0" applyNumberFormat="1" applyFont="1"/>
    <xf numFmtId="0" fontId="12" fillId="3" borderId="0" xfId="0" applyFont="1" applyFill="1" applyAlignment="1">
      <alignment horizontal="left" indent="1"/>
    </xf>
    <xf numFmtId="41" fontId="24" fillId="0" borderId="0" xfId="0" applyNumberFormat="1" applyFont="1" applyAlignment="1">
      <alignment horizontal="right"/>
    </xf>
    <xf numFmtId="5" fontId="24" fillId="0" borderId="0" xfId="0" applyNumberFormat="1" applyFont="1" applyAlignment="1">
      <alignment horizontal="right"/>
    </xf>
    <xf numFmtId="0" fontId="13" fillId="3" borderId="7" xfId="0" applyFont="1" applyFill="1" applyBorder="1" applyAlignment="1">
      <alignment horizontal="left"/>
    </xf>
    <xf numFmtId="41" fontId="13" fillId="0" borderId="0" xfId="0" applyNumberFormat="1" applyFont="1" applyAlignment="1">
      <alignment horizontal="right"/>
    </xf>
    <xf numFmtId="41" fontId="32" fillId="0" borderId="7" xfId="0" applyNumberFormat="1" applyFont="1" applyBorder="1" applyAlignment="1">
      <alignment horizontal="right"/>
    </xf>
    <xf numFmtId="41" fontId="13" fillId="0" borderId="7" xfId="0" applyNumberFormat="1" applyFont="1" applyBorder="1" applyAlignment="1">
      <alignment horizontal="right"/>
    </xf>
    <xf numFmtId="41" fontId="33" fillId="2" borderId="0" xfId="0" applyNumberFormat="1" applyFont="1" applyFill="1" applyAlignment="1">
      <alignment horizontal="right"/>
    </xf>
    <xf numFmtId="5" fontId="32" fillId="0" borderId="7" xfId="0" applyNumberFormat="1" applyFont="1" applyBorder="1" applyAlignment="1">
      <alignment horizontal="right"/>
    </xf>
    <xf numFmtId="41" fontId="31" fillId="0" borderId="0" xfId="0" applyNumberFormat="1" applyFont="1" applyAlignment="1">
      <alignment horizontal="right"/>
    </xf>
    <xf numFmtId="187" fontId="12" fillId="0" borderId="0" xfId="0" applyNumberFormat="1" applyFont="1" applyAlignment="1">
      <alignment horizontal="right"/>
    </xf>
    <xf numFmtId="0" fontId="13" fillId="0" borderId="0" xfId="0" applyFont="1" applyAlignment="1">
      <alignment horizontal="left"/>
    </xf>
    <xf numFmtId="173" fontId="12" fillId="0" borderId="0" xfId="1" applyNumberFormat="1" applyFont="1" applyFill="1" applyBorder="1"/>
    <xf numFmtId="173" fontId="15" fillId="0" borderId="0" xfId="1" applyNumberFormat="1" applyFont="1" applyFill="1" applyBorder="1"/>
    <xf numFmtId="173" fontId="15" fillId="0" borderId="0" xfId="1" applyNumberFormat="1" applyFont="1" applyFill="1" applyBorder="1" applyAlignment="1">
      <alignment horizontal="right"/>
    </xf>
    <xf numFmtId="0" fontId="12" fillId="0" borderId="0" xfId="0" applyFont="1" applyAlignment="1">
      <alignment horizontal="left" indent="1"/>
    </xf>
    <xf numFmtId="0" fontId="15" fillId="0" borderId="72" xfId="0" applyFont="1" applyBorder="1" applyAlignment="1">
      <alignment horizontal="left" indent="1"/>
    </xf>
    <xf numFmtId="41" fontId="12" fillId="0" borderId="75" xfId="0" applyNumberFormat="1" applyFont="1" applyBorder="1" applyAlignment="1">
      <alignment horizontal="right"/>
    </xf>
    <xf numFmtId="0" fontId="15" fillId="3" borderId="80" xfId="0" applyFont="1" applyFill="1" applyBorder="1" applyAlignment="1">
      <alignment horizontal="left" indent="1"/>
    </xf>
    <xf numFmtId="41" fontId="12" fillId="0" borderId="82" xfId="0" applyNumberFormat="1" applyFont="1" applyBorder="1" applyAlignment="1">
      <alignment horizontal="right"/>
    </xf>
    <xf numFmtId="173" fontId="12" fillId="0" borderId="82" xfId="1" applyNumberFormat="1" applyFont="1" applyBorder="1" applyAlignment="1">
      <alignment horizontal="right"/>
    </xf>
    <xf numFmtId="0" fontId="15" fillId="3" borderId="76" xfId="0" applyFont="1" applyFill="1" applyBorder="1" applyAlignment="1">
      <alignment horizontal="left" indent="1"/>
    </xf>
    <xf numFmtId="218" fontId="12" fillId="0" borderId="79" xfId="0" applyNumberFormat="1" applyFont="1" applyBorder="1" applyAlignment="1">
      <alignment horizontal="right"/>
    </xf>
    <xf numFmtId="0" fontId="23" fillId="3" borderId="0" xfId="0" applyFont="1" applyFill="1" applyAlignment="1">
      <alignment horizontal="left" indent="1"/>
    </xf>
    <xf numFmtId="41" fontId="23" fillId="0" borderId="0" xfId="0" applyNumberFormat="1" applyFont="1" applyAlignment="1">
      <alignment horizontal="right"/>
    </xf>
    <xf numFmtId="0" fontId="13" fillId="3" borderId="7" xfId="0" applyFont="1" applyFill="1" applyBorder="1" applyAlignment="1">
      <alignment horizontal="left" indent="1"/>
    </xf>
    <xf numFmtId="0" fontId="26" fillId="2" borderId="0" xfId="0" applyFont="1" applyFill="1" applyAlignment="1">
      <alignment horizontal="left" indent="1"/>
    </xf>
    <xf numFmtId="0" fontId="15" fillId="3" borderId="72" xfId="0" applyFont="1" applyFill="1" applyBorder="1" applyAlignment="1">
      <alignment horizontal="left" indent="1"/>
    </xf>
    <xf numFmtId="41" fontId="12" fillId="0" borderId="75" xfId="0" applyNumberFormat="1" applyFont="1" applyBorder="1"/>
    <xf numFmtId="41" fontId="12" fillId="0" borderId="82" xfId="0" applyNumberFormat="1" applyFont="1" applyBorder="1"/>
    <xf numFmtId="9" fontId="12" fillId="0" borderId="82" xfId="0" applyNumberFormat="1" applyFont="1" applyBorder="1"/>
    <xf numFmtId="169" fontId="12" fillId="0" borderId="79" xfId="0" applyNumberFormat="1" applyFont="1" applyBorder="1" applyAlignment="1">
      <alignment horizontal="right"/>
    </xf>
    <xf numFmtId="0" fontId="34" fillId="3" borderId="0" xfId="0" applyFont="1" applyFill="1" applyAlignment="1">
      <alignment horizontal="left" vertical="top"/>
    </xf>
    <xf numFmtId="0" fontId="22" fillId="3" borderId="0" xfId="0" applyFont="1" applyFill="1" applyAlignment="1">
      <alignment horizontal="left" vertical="top"/>
    </xf>
    <xf numFmtId="0" fontId="22" fillId="3" borderId="0" xfId="0" applyFont="1" applyFill="1" applyAlignment="1">
      <alignment horizontal="right"/>
    </xf>
    <xf numFmtId="0" fontId="22" fillId="3" borderId="0" xfId="0" applyFont="1" applyFill="1" applyAlignment="1">
      <alignment horizontal="left"/>
    </xf>
    <xf numFmtId="0" fontId="21" fillId="3" borderId="0" xfId="0" applyFont="1" applyFill="1" applyAlignment="1">
      <alignment horizontal="left" vertical="top"/>
    </xf>
    <xf numFmtId="0" fontId="25" fillId="3" borderId="0" xfId="0" applyFont="1" applyFill="1" applyAlignment="1">
      <alignment horizontal="right"/>
    </xf>
    <xf numFmtId="167" fontId="26" fillId="2" borderId="0" xfId="0" applyNumberFormat="1" applyFont="1" applyFill="1" applyAlignment="1">
      <alignment horizontal="right"/>
    </xf>
    <xf numFmtId="171" fontId="19" fillId="3" borderId="0" xfId="0" applyNumberFormat="1" applyFont="1" applyFill="1" applyAlignment="1">
      <alignment horizontal="right"/>
    </xf>
    <xf numFmtId="180" fontId="19" fillId="3" borderId="0" xfId="0" applyNumberFormat="1" applyFont="1" applyFill="1" applyAlignment="1">
      <alignment horizontal="right"/>
    </xf>
    <xf numFmtId="0" fontId="21" fillId="3" borderId="19" xfId="0" applyFont="1" applyFill="1" applyBorder="1" applyAlignment="1">
      <alignment horizontal="left"/>
    </xf>
    <xf numFmtId="0" fontId="21" fillId="3" borderId="19" xfId="0" applyFont="1" applyFill="1" applyBorder="1" applyAlignment="1">
      <alignment horizontal="right"/>
    </xf>
    <xf numFmtId="37" fontId="12" fillId="0" borderId="0" xfId="0" applyNumberFormat="1" applyFont="1" applyAlignment="1">
      <alignment horizontal="right"/>
    </xf>
    <xf numFmtId="37" fontId="13" fillId="0" borderId="0" xfId="0" applyNumberFormat="1" applyFont="1" applyAlignment="1">
      <alignment horizontal="right"/>
    </xf>
    <xf numFmtId="0" fontId="13" fillId="0" borderId="11" xfId="0" applyFont="1" applyBorder="1" applyAlignment="1">
      <alignment horizontal="left"/>
    </xf>
    <xf numFmtId="37" fontId="13" fillId="0" borderId="11" xfId="0" applyNumberFormat="1" applyFont="1" applyBorder="1" applyAlignment="1">
      <alignment horizontal="right"/>
    </xf>
    <xf numFmtId="0" fontId="24" fillId="0" borderId="0" xfId="0" applyFont="1" applyAlignment="1">
      <alignment horizontal="left"/>
    </xf>
    <xf numFmtId="37" fontId="24" fillId="0" borderId="0" xfId="0" applyNumberFormat="1" applyFont="1" applyAlignment="1">
      <alignment horizontal="right"/>
    </xf>
    <xf numFmtId="0" fontId="21" fillId="5" borderId="19" xfId="0" applyFont="1" applyFill="1" applyBorder="1" applyAlignment="1">
      <alignment horizontal="right"/>
    </xf>
    <xf numFmtId="37" fontId="12" fillId="3" borderId="0" xfId="0" applyNumberFormat="1" applyFont="1" applyFill="1" applyAlignment="1">
      <alignment horizontal="right"/>
    </xf>
    <xf numFmtId="37" fontId="12" fillId="5" borderId="0" xfId="0" applyNumberFormat="1" applyFont="1" applyFill="1" applyAlignment="1">
      <alignment horizontal="right"/>
    </xf>
    <xf numFmtId="37" fontId="13" fillId="3" borderId="7" xfId="0" applyNumberFormat="1" applyFont="1" applyFill="1" applyBorder="1" applyAlignment="1">
      <alignment horizontal="right"/>
    </xf>
    <xf numFmtId="37" fontId="13" fillId="5" borderId="7" xfId="0" applyNumberFormat="1" applyFont="1" applyFill="1" applyBorder="1" applyAlignment="1">
      <alignment horizontal="right"/>
    </xf>
    <xf numFmtId="41" fontId="20" fillId="0" borderId="0" xfId="0" applyNumberFormat="1" applyFont="1" applyAlignment="1">
      <alignment horizontal="right"/>
    </xf>
    <xf numFmtId="5" fontId="12" fillId="0" borderId="0" xfId="0" applyNumberFormat="1" applyFont="1" applyAlignment="1">
      <alignment horizontal="right"/>
    </xf>
    <xf numFmtId="41" fontId="12" fillId="3" borderId="0" xfId="0" applyNumberFormat="1" applyFont="1" applyFill="1" applyAlignment="1">
      <alignment horizontal="right"/>
    </xf>
    <xf numFmtId="37" fontId="26" fillId="2" borderId="0" xfId="0" applyNumberFormat="1" applyFont="1" applyFill="1" applyAlignment="1">
      <alignment horizontal="right"/>
    </xf>
    <xf numFmtId="0" fontId="13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41" fontId="24" fillId="16" borderId="0" xfId="0" applyNumberFormat="1" applyFont="1" applyFill="1" applyAlignment="1">
      <alignment horizontal="right"/>
    </xf>
    <xf numFmtId="37" fontId="26" fillId="2" borderId="0" xfId="0" applyNumberFormat="1" applyFont="1" applyFill="1"/>
    <xf numFmtId="10" fontId="12" fillId="0" borderId="82" xfId="1" applyNumberFormat="1" applyFont="1" applyBorder="1" applyAlignment="1">
      <alignment horizontal="right"/>
    </xf>
    <xf numFmtId="4" fontId="23" fillId="0" borderId="0" xfId="1" applyNumberFormat="1" applyFont="1" applyBorder="1" applyAlignment="1">
      <alignment horizontal="right"/>
    </xf>
    <xf numFmtId="0" fontId="15" fillId="3" borderId="0" xfId="0" applyFont="1" applyFill="1" applyAlignment="1">
      <alignment horizontal="left" indent="1"/>
    </xf>
    <xf numFmtId="0" fontId="15" fillId="3" borderId="0" xfId="0" applyFont="1" applyFill="1" applyAlignment="1">
      <alignment horizontal="left"/>
    </xf>
    <xf numFmtId="37" fontId="15" fillId="3" borderId="0" xfId="0" applyNumberFormat="1" applyFont="1" applyFill="1" applyAlignment="1">
      <alignment horizontal="right"/>
    </xf>
    <xf numFmtId="0" fontId="35" fillId="3" borderId="7" xfId="0" applyFont="1" applyFill="1" applyBorder="1" applyAlignment="1">
      <alignment horizontal="left"/>
    </xf>
    <xf numFmtId="0" fontId="35" fillId="3" borderId="7" xfId="0" applyFont="1" applyFill="1" applyBorder="1" applyAlignment="1">
      <alignment horizontal="left" indent="1"/>
    </xf>
    <xf numFmtId="37" fontId="35" fillId="3" borderId="7" xfId="0" applyNumberFormat="1" applyFont="1" applyFill="1" applyBorder="1" applyAlignment="1">
      <alignment horizontal="right"/>
    </xf>
    <xf numFmtId="179" fontId="13" fillId="0" borderId="7" xfId="0" applyNumberFormat="1" applyFont="1" applyBorder="1" applyAlignment="1">
      <alignment horizontal="right"/>
    </xf>
    <xf numFmtId="37" fontId="21" fillId="3" borderId="0" xfId="0" applyNumberFormat="1" applyFont="1" applyFill="1" applyAlignment="1">
      <alignment horizontal="right"/>
    </xf>
    <xf numFmtId="41" fontId="21" fillId="3" borderId="19" xfId="0" applyNumberFormat="1" applyFont="1" applyFill="1" applyBorder="1" applyAlignment="1">
      <alignment horizontal="left"/>
    </xf>
    <xf numFmtId="179" fontId="26" fillId="2" borderId="0" xfId="0" applyNumberFormat="1" applyFont="1" applyFill="1" applyAlignment="1">
      <alignment horizontal="right"/>
    </xf>
    <xf numFmtId="37" fontId="26" fillId="0" borderId="0" xfId="0" applyNumberFormat="1" applyFont="1" applyAlignment="1">
      <alignment horizontal="right"/>
    </xf>
    <xf numFmtId="179" fontId="35" fillId="0" borderId="0" xfId="0" applyNumberFormat="1" applyFont="1" applyAlignment="1">
      <alignment horizontal="right"/>
    </xf>
    <xf numFmtId="179" fontId="26" fillId="0" borderId="0" xfId="0" applyNumberFormat="1" applyFont="1" applyAlignment="1">
      <alignment horizontal="right"/>
    </xf>
    <xf numFmtId="169" fontId="24" fillId="0" borderId="0" xfId="1" applyNumberFormat="1" applyFont="1" applyBorder="1" applyAlignment="1">
      <alignment horizontal="right"/>
    </xf>
    <xf numFmtId="173" fontId="24" fillId="0" borderId="0" xfId="1" applyNumberFormat="1" applyFont="1" applyBorder="1" applyAlignment="1">
      <alignment horizontal="right"/>
    </xf>
    <xf numFmtId="37" fontId="35" fillId="0" borderId="0" xfId="0" applyNumberFormat="1" applyFont="1" applyAlignment="1">
      <alignment horizontal="right"/>
    </xf>
    <xf numFmtId="169" fontId="13" fillId="0" borderId="7" xfId="0" applyNumberFormat="1" applyFont="1" applyBorder="1" applyAlignment="1">
      <alignment horizontal="right"/>
    </xf>
    <xf numFmtId="37" fontId="35" fillId="0" borderId="7" xfId="0" applyNumberFormat="1" applyFont="1" applyBorder="1" applyAlignment="1">
      <alignment horizontal="right"/>
    </xf>
    <xf numFmtId="0" fontId="32" fillId="0" borderId="7" xfId="0" applyFont="1" applyBorder="1" applyAlignment="1">
      <alignment horizontal="right"/>
    </xf>
    <xf numFmtId="37" fontId="13" fillId="0" borderId="7" xfId="0" applyNumberFormat="1" applyFont="1" applyBorder="1" applyAlignment="1">
      <alignment horizontal="right"/>
    </xf>
    <xf numFmtId="0" fontId="26" fillId="2" borderId="7" xfId="0" applyFont="1" applyFill="1" applyBorder="1" applyAlignment="1">
      <alignment horizontal="left"/>
    </xf>
    <xf numFmtId="0" fontId="26" fillId="0" borderId="0" xfId="0" applyFont="1" applyAlignment="1">
      <alignment horizontal="left"/>
    </xf>
    <xf numFmtId="10" fontId="15" fillId="0" borderId="124" xfId="1" applyNumberFormat="1" applyFont="1" applyBorder="1" applyAlignment="1">
      <alignment horizontal="left" indent="1"/>
    </xf>
    <xf numFmtId="10" fontId="15" fillId="0" borderId="27" xfId="1" applyNumberFormat="1" applyFont="1" applyBorder="1" applyAlignment="1">
      <alignment horizontal="left"/>
    </xf>
    <xf numFmtId="38" fontId="24" fillId="0" borderId="123" xfId="1" applyNumberFormat="1" applyFont="1" applyBorder="1" applyAlignment="1">
      <alignment horizontal="right"/>
    </xf>
    <xf numFmtId="38" fontId="24" fillId="0" borderId="0" xfId="1" applyNumberFormat="1" applyFont="1" applyBorder="1" applyAlignment="1">
      <alignment horizontal="right"/>
    </xf>
    <xf numFmtId="38" fontId="12" fillId="0" borderId="0" xfId="0" applyNumberFormat="1" applyFont="1" applyAlignment="1">
      <alignment horizontal="right"/>
    </xf>
    <xf numFmtId="10" fontId="15" fillId="0" borderId="3" xfId="1" applyNumberFormat="1" applyFont="1" applyBorder="1" applyAlignment="1">
      <alignment horizontal="left" indent="1"/>
    </xf>
    <xf numFmtId="10" fontId="15" fillId="0" borderId="0" xfId="1" applyNumberFormat="1" applyFont="1" applyBorder="1" applyAlignment="1">
      <alignment horizontal="left"/>
    </xf>
    <xf numFmtId="38" fontId="24" fillId="0" borderId="4" xfId="1" applyNumberFormat="1" applyFont="1" applyBorder="1" applyAlignment="1">
      <alignment horizontal="right"/>
    </xf>
    <xf numFmtId="38" fontId="12" fillId="0" borderId="0" xfId="8" applyNumberFormat="1" applyFont="1" applyBorder="1" applyAlignment="1">
      <alignment horizontal="right"/>
    </xf>
    <xf numFmtId="10" fontId="35" fillId="0" borderId="1" xfId="1" applyNumberFormat="1" applyFont="1" applyBorder="1" applyAlignment="1">
      <alignment horizontal="left"/>
    </xf>
    <xf numFmtId="10" fontId="35" fillId="0" borderId="7" xfId="1" applyNumberFormat="1" applyFont="1" applyBorder="1" applyAlignment="1">
      <alignment horizontal="left"/>
    </xf>
    <xf numFmtId="38" fontId="32" fillId="0" borderId="2" xfId="1" applyNumberFormat="1" applyFont="1" applyBorder="1" applyAlignment="1">
      <alignment horizontal="right"/>
    </xf>
    <xf numFmtId="38" fontId="32" fillId="0" borderId="7" xfId="1" applyNumberFormat="1" applyFont="1" applyBorder="1" applyAlignment="1">
      <alignment horizontal="right"/>
    </xf>
    <xf numFmtId="38" fontId="13" fillId="0" borderId="7" xfId="0" applyNumberFormat="1" applyFont="1" applyBorder="1" applyAlignment="1">
      <alignment horizontal="right"/>
    </xf>
    <xf numFmtId="38" fontId="13" fillId="0" borderId="7" xfId="8" applyNumberFormat="1" applyFont="1" applyBorder="1" applyAlignment="1">
      <alignment horizontal="right"/>
    </xf>
    <xf numFmtId="0" fontId="15" fillId="0" borderId="3" xfId="0" applyFont="1" applyBorder="1" applyAlignment="1">
      <alignment horizontal="left" indent="1"/>
    </xf>
    <xf numFmtId="0" fontId="15" fillId="0" borderId="0" xfId="0" applyFont="1" applyAlignment="1">
      <alignment horizontal="left"/>
    </xf>
    <xf numFmtId="10" fontId="24" fillId="0" borderId="4" xfId="1" applyNumberFormat="1" applyFont="1" applyBorder="1" applyAlignment="1">
      <alignment horizontal="right"/>
    </xf>
    <xf numFmtId="9" fontId="24" fillId="0" borderId="0" xfId="1" applyFont="1" applyBorder="1" applyAlignment="1">
      <alignment horizontal="right"/>
    </xf>
    <xf numFmtId="0" fontId="15" fillId="0" borderId="5" xfId="0" applyFont="1" applyBorder="1" applyAlignment="1">
      <alignment horizontal="left" indent="1"/>
    </xf>
    <xf numFmtId="0" fontId="15" fillId="0" borderId="8" xfId="0" applyFont="1" applyBorder="1" applyAlignment="1">
      <alignment horizontal="left"/>
    </xf>
    <xf numFmtId="169" fontId="24" fillId="0" borderId="6" xfId="0" applyNumberFormat="1" applyFont="1" applyBorder="1" applyAlignment="1">
      <alignment horizontal="right"/>
    </xf>
    <xf numFmtId="169" fontId="24" fillId="0" borderId="0" xfId="0" applyNumberFormat="1" applyFont="1" applyAlignment="1">
      <alignment horizontal="right"/>
    </xf>
    <xf numFmtId="173" fontId="12" fillId="0" borderId="0" xfId="1" applyNumberFormat="1" applyFont="1" applyBorder="1" applyAlignment="1">
      <alignment horizontal="right"/>
    </xf>
    <xf numFmtId="0" fontId="26" fillId="2" borderId="35" xfId="0" applyFont="1" applyFill="1" applyBorder="1" applyAlignment="1">
      <alignment horizontal="left"/>
    </xf>
    <xf numFmtId="225" fontId="36" fillId="0" borderId="0" xfId="1" applyNumberFormat="1" applyFont="1" applyBorder="1" applyAlignment="1">
      <alignment horizontal="left" indent="1"/>
    </xf>
    <xf numFmtId="226" fontId="37" fillId="0" borderId="0" xfId="1" applyNumberFormat="1" applyFont="1" applyBorder="1" applyAlignment="1">
      <alignment horizontal="right"/>
    </xf>
    <xf numFmtId="10" fontId="15" fillId="0" borderId="0" xfId="1" applyNumberFormat="1" applyFont="1" applyBorder="1" applyAlignment="1">
      <alignment horizontal="left" indent="1"/>
    </xf>
    <xf numFmtId="10" fontId="15" fillId="0" borderId="8" xfId="1" applyNumberFormat="1" applyFont="1" applyBorder="1" applyAlignment="1">
      <alignment horizontal="left" indent="1"/>
    </xf>
    <xf numFmtId="0" fontId="12" fillId="0" borderId="8" xfId="0" applyFont="1" applyBorder="1" applyAlignment="1">
      <alignment horizontal="right"/>
    </xf>
    <xf numFmtId="38" fontId="12" fillId="0" borderId="8" xfId="0" applyNumberFormat="1" applyFont="1" applyBorder="1" applyAlignment="1">
      <alignment horizontal="right"/>
    </xf>
    <xf numFmtId="0" fontId="13" fillId="0" borderId="83" xfId="0" applyFont="1" applyBorder="1" applyAlignment="1">
      <alignment horizontal="left"/>
    </xf>
    <xf numFmtId="0" fontId="13" fillId="0" borderId="83" xfId="0" applyFont="1" applyBorder="1" applyAlignment="1">
      <alignment horizontal="right"/>
    </xf>
    <xf numFmtId="38" fontId="13" fillId="0" borderId="83" xfId="0" applyNumberFormat="1" applyFont="1" applyBorder="1" applyAlignment="1">
      <alignment horizontal="right"/>
    </xf>
    <xf numFmtId="9" fontId="24" fillId="0" borderId="0" xfId="0" applyNumberFormat="1" applyFont="1" applyAlignment="1">
      <alignment horizontal="right"/>
    </xf>
    <xf numFmtId="9" fontId="38" fillId="0" borderId="0" xfId="0" applyNumberFormat="1" applyFont="1" applyAlignment="1">
      <alignment horizontal="right"/>
    </xf>
    <xf numFmtId="0" fontId="12" fillId="0" borderId="27" xfId="0" applyFont="1" applyBorder="1" applyAlignment="1">
      <alignment horizontal="right"/>
    </xf>
    <xf numFmtId="38" fontId="24" fillId="0" borderId="123" xfId="0" applyNumberFormat="1" applyFont="1" applyBorder="1" applyAlignment="1">
      <alignment horizontal="right"/>
    </xf>
    <xf numFmtId="38" fontId="24" fillId="0" borderId="0" xfId="0" applyNumberFormat="1" applyFont="1" applyAlignment="1">
      <alignment horizontal="right"/>
    </xf>
    <xf numFmtId="38" fontId="24" fillId="0" borderId="4" xfId="0" applyNumberFormat="1" applyFont="1" applyBorder="1" applyAlignment="1">
      <alignment horizontal="right"/>
    </xf>
    <xf numFmtId="0" fontId="13" fillId="0" borderId="7" xfId="0" applyFont="1" applyBorder="1" applyAlignment="1">
      <alignment horizontal="right"/>
    </xf>
    <xf numFmtId="38" fontId="32" fillId="0" borderId="2" xfId="0" applyNumberFormat="1" applyFont="1" applyBorder="1" applyAlignment="1">
      <alignment horizontal="right"/>
    </xf>
    <xf numFmtId="38" fontId="32" fillId="0" borderId="7" xfId="0" applyNumberFormat="1" applyFont="1" applyBorder="1" applyAlignment="1">
      <alignment horizontal="right"/>
    </xf>
    <xf numFmtId="173" fontId="24" fillId="0" borderId="4" xfId="1" applyNumberFormat="1" applyFont="1" applyBorder="1" applyAlignment="1">
      <alignment horizontal="right"/>
    </xf>
    <xf numFmtId="218" fontId="24" fillId="0" borderId="6" xfId="0" applyNumberFormat="1" applyFont="1" applyBorder="1" applyAlignment="1">
      <alignment horizontal="right"/>
    </xf>
    <xf numFmtId="218" fontId="24" fillId="0" borderId="0" xfId="0" applyNumberFormat="1" applyFont="1" applyAlignment="1">
      <alignment horizontal="right"/>
    </xf>
    <xf numFmtId="43" fontId="12" fillId="0" borderId="0" xfId="8" applyFont="1" applyBorder="1" applyAlignment="1">
      <alignment horizontal="right"/>
    </xf>
    <xf numFmtId="9" fontId="12" fillId="0" borderId="0" xfId="1" applyFont="1" applyBorder="1" applyAlignment="1">
      <alignment horizontal="right"/>
    </xf>
    <xf numFmtId="0" fontId="12" fillId="3" borderId="0" xfId="0" applyFont="1" applyFill="1" applyAlignment="1">
      <alignment horizontal="center"/>
    </xf>
    <xf numFmtId="213" fontId="24" fillId="0" borderId="0" xfId="0" applyNumberFormat="1" applyFont="1" applyAlignment="1">
      <alignment horizontal="right"/>
    </xf>
    <xf numFmtId="0" fontId="26" fillId="14" borderId="62" xfId="0" applyFont="1" applyFill="1" applyBorder="1" applyAlignment="1">
      <alignment vertical="center"/>
    </xf>
    <xf numFmtId="0" fontId="35" fillId="0" borderId="4" xfId="0" applyFont="1" applyBorder="1" applyAlignment="1">
      <alignment horizontal="center" vertical="center"/>
    </xf>
    <xf numFmtId="214" fontId="26" fillId="14" borderId="62" xfId="0" applyNumberFormat="1" applyFont="1" applyFill="1" applyBorder="1" applyAlignment="1">
      <alignment vertical="center"/>
    </xf>
    <xf numFmtId="214" fontId="40" fillId="0" borderId="125" xfId="0" applyNumberFormat="1" applyFont="1" applyBorder="1" applyAlignment="1">
      <alignment horizontal="center" vertical="center"/>
    </xf>
    <xf numFmtId="198" fontId="26" fillId="14" borderId="62" xfId="0" applyNumberFormat="1" applyFont="1" applyFill="1" applyBorder="1" applyAlignment="1">
      <alignment vertical="center"/>
    </xf>
    <xf numFmtId="198" fontId="40" fillId="0" borderId="125" xfId="0" applyNumberFormat="1" applyFont="1" applyBorder="1" applyAlignment="1">
      <alignment horizontal="center" vertical="center"/>
    </xf>
    <xf numFmtId="0" fontId="40" fillId="0" borderId="0" xfId="0" applyFont="1" applyAlignment="1">
      <alignment vertical="center"/>
    </xf>
    <xf numFmtId="0" fontId="26" fillId="14" borderId="0" xfId="0" applyFont="1" applyFill="1" applyAlignment="1">
      <alignment vertical="center"/>
    </xf>
    <xf numFmtId="0" fontId="12" fillId="0" borderId="3" xfId="0" applyFont="1" applyBorder="1"/>
    <xf numFmtId="0" fontId="40" fillId="0" borderId="4" xfId="0" applyFont="1" applyBorder="1" applyAlignment="1">
      <alignment vertical="center"/>
    </xf>
    <xf numFmtId="215" fontId="26" fillId="11" borderId="62" xfId="0" applyNumberFormat="1" applyFont="1" applyFill="1" applyBorder="1" applyAlignment="1">
      <alignment vertical="center"/>
    </xf>
    <xf numFmtId="0" fontId="12" fillId="0" borderId="125" xfId="0" applyFont="1" applyBorder="1"/>
    <xf numFmtId="0" fontId="26" fillId="14" borderId="0" xfId="0" applyFont="1" applyFill="1" applyAlignment="1">
      <alignment horizontal="center" vertical="center"/>
    </xf>
    <xf numFmtId="214" fontId="26" fillId="14" borderId="0" xfId="0" applyNumberFormat="1" applyFont="1" applyFill="1" applyAlignment="1">
      <alignment vertical="center"/>
    </xf>
    <xf numFmtId="214" fontId="26" fillId="14" borderId="112" xfId="0" applyNumberFormat="1" applyFont="1" applyFill="1" applyBorder="1" applyAlignment="1">
      <alignment vertical="center"/>
    </xf>
    <xf numFmtId="214" fontId="26" fillId="14" borderId="71" xfId="0" applyNumberFormat="1" applyFont="1" applyFill="1" applyBorder="1" applyAlignment="1">
      <alignment vertical="center"/>
    </xf>
    <xf numFmtId="214" fontId="26" fillId="14" borderId="64" xfId="0" applyNumberFormat="1" applyFont="1" applyFill="1" applyBorder="1" applyAlignment="1">
      <alignment vertical="center"/>
    </xf>
    <xf numFmtId="214" fontId="26" fillId="14" borderId="113" xfId="0" applyNumberFormat="1" applyFont="1" applyFill="1" applyBorder="1" applyAlignment="1">
      <alignment vertical="center"/>
    </xf>
    <xf numFmtId="0" fontId="35" fillId="0" borderId="0" xfId="0" applyFont="1" applyAlignment="1">
      <alignment horizontal="center" vertical="center"/>
    </xf>
    <xf numFmtId="216" fontId="26" fillId="14" borderId="64" xfId="0" applyNumberFormat="1" applyFont="1" applyFill="1" applyBorder="1" applyAlignment="1">
      <alignment vertical="center"/>
    </xf>
    <xf numFmtId="216" fontId="26" fillId="14" borderId="113" xfId="0" applyNumberFormat="1" applyFont="1" applyFill="1" applyBorder="1" applyAlignment="1">
      <alignment vertical="center"/>
    </xf>
    <xf numFmtId="0" fontId="26" fillId="14" borderId="64" xfId="0" applyFont="1" applyFill="1" applyBorder="1" applyAlignment="1">
      <alignment vertical="center"/>
    </xf>
    <xf numFmtId="0" fontId="26" fillId="14" borderId="114" xfId="0" applyFont="1" applyFill="1" applyBorder="1" applyAlignment="1">
      <alignment vertical="center"/>
    </xf>
    <xf numFmtId="214" fontId="26" fillId="11" borderId="64" xfId="0" applyNumberFormat="1" applyFont="1" applyFill="1" applyBorder="1" applyAlignment="1">
      <alignment vertical="center"/>
    </xf>
    <xf numFmtId="214" fontId="26" fillId="11" borderId="113" xfId="0" applyNumberFormat="1" applyFont="1" applyFill="1" applyBorder="1" applyAlignment="1">
      <alignment vertical="center"/>
    </xf>
    <xf numFmtId="214" fontId="26" fillId="11" borderId="112" xfId="0" applyNumberFormat="1" applyFont="1" applyFill="1" applyBorder="1" applyAlignment="1">
      <alignment vertical="center"/>
    </xf>
    <xf numFmtId="214" fontId="26" fillId="11" borderId="71" xfId="0" applyNumberFormat="1" applyFont="1" applyFill="1" applyBorder="1" applyAlignment="1">
      <alignment vertical="center"/>
    </xf>
    <xf numFmtId="0" fontId="41" fillId="11" borderId="71" xfId="0" applyFont="1" applyFill="1" applyBorder="1" applyAlignment="1" applyProtection="1">
      <alignment horizontal="left" vertical="top"/>
      <protection locked="0"/>
    </xf>
    <xf numFmtId="0" fontId="19" fillId="11" borderId="71" xfId="0" applyFont="1" applyFill="1" applyBorder="1" applyAlignment="1" applyProtection="1">
      <alignment horizontal="center" vertical="top"/>
      <protection locked="0"/>
    </xf>
    <xf numFmtId="0" fontId="19" fillId="0" borderId="4" xfId="0" applyFont="1" applyBorder="1" applyAlignment="1" applyProtection="1">
      <alignment horizontal="center" vertical="top"/>
      <protection locked="0"/>
    </xf>
    <xf numFmtId="0" fontId="26" fillId="11" borderId="71" xfId="0" applyFont="1" applyFill="1" applyBorder="1" applyAlignment="1">
      <alignment horizontal="right" vertical="center"/>
    </xf>
    <xf numFmtId="0" fontId="26" fillId="11" borderId="112" xfId="0" applyFont="1" applyFill="1" applyBorder="1" applyAlignment="1">
      <alignment horizontal="right" vertical="center"/>
    </xf>
    <xf numFmtId="0" fontId="26" fillId="0" borderId="125" xfId="0" applyFont="1" applyBorder="1" applyAlignment="1">
      <alignment horizontal="right" vertical="center"/>
    </xf>
    <xf numFmtId="0" fontId="15" fillId="0" borderId="0" xfId="0" applyFont="1" applyProtection="1">
      <protection locked="0"/>
    </xf>
    <xf numFmtId="0" fontId="26" fillId="11" borderId="0" xfId="0" applyFont="1" applyFill="1" applyAlignment="1" applyProtection="1">
      <alignment horizontal="right"/>
      <protection locked="0"/>
    </xf>
    <xf numFmtId="0" fontId="26" fillId="11" borderId="37" xfId="0" applyFont="1" applyFill="1" applyBorder="1" applyAlignment="1" applyProtection="1">
      <alignment horizontal="right"/>
      <protection locked="0"/>
    </xf>
    <xf numFmtId="0" fontId="26" fillId="11" borderId="36" xfId="0" applyFont="1" applyFill="1" applyBorder="1" applyAlignment="1" applyProtection="1">
      <alignment horizontal="right"/>
      <protection locked="0"/>
    </xf>
    <xf numFmtId="0" fontId="12" fillId="0" borderId="3" xfId="0" applyFont="1" applyBorder="1" applyAlignment="1">
      <alignment horizontal="right"/>
    </xf>
    <xf numFmtId="0" fontId="26" fillId="11" borderId="0" xfId="0" applyFont="1" applyFill="1" applyProtection="1">
      <protection locked="0"/>
    </xf>
    <xf numFmtId="0" fontId="15" fillId="0" borderId="4" xfId="0" applyFont="1" applyBorder="1" applyProtection="1">
      <protection locked="0"/>
    </xf>
    <xf numFmtId="0" fontId="26" fillId="14" borderId="71" xfId="0" applyFont="1" applyFill="1" applyBorder="1" applyAlignment="1">
      <alignment horizontal="right" vertical="center"/>
    </xf>
    <xf numFmtId="0" fontId="26" fillId="14" borderId="112" xfId="0" applyFont="1" applyFill="1" applyBorder="1" applyAlignment="1">
      <alignment horizontal="right" vertical="center"/>
    </xf>
    <xf numFmtId="5" fontId="42" fillId="0" borderId="0" xfId="0" applyNumberFormat="1" applyFont="1" applyAlignment="1" applyProtection="1">
      <alignment horizontal="right"/>
      <protection locked="0"/>
    </xf>
    <xf numFmtId="5" fontId="15" fillId="0" borderId="0" xfId="0" applyNumberFormat="1" applyFont="1" applyAlignment="1" applyProtection="1">
      <alignment horizontal="right"/>
      <protection locked="0"/>
    </xf>
    <xf numFmtId="7" fontId="15" fillId="0" borderId="0" xfId="0" applyNumberFormat="1" applyFont="1" applyAlignment="1" applyProtection="1">
      <alignment horizontal="right"/>
      <protection locked="0"/>
    </xf>
    <xf numFmtId="173" fontId="15" fillId="0" borderId="0" xfId="1" applyNumberFormat="1" applyFont="1" applyBorder="1" applyAlignment="1" applyProtection="1">
      <alignment horizontal="right"/>
      <protection locked="0"/>
    </xf>
    <xf numFmtId="5" fontId="15" fillId="0" borderId="36" xfId="0" applyNumberFormat="1" applyFont="1" applyBorder="1" applyAlignment="1">
      <alignment horizontal="right"/>
    </xf>
    <xf numFmtId="5" fontId="15" fillId="0" borderId="0" xfId="0" applyNumberFormat="1" applyFont="1" applyAlignment="1">
      <alignment horizontal="right"/>
    </xf>
    <xf numFmtId="5" fontId="15" fillId="0" borderId="125" xfId="0" applyNumberFormat="1" applyFont="1" applyBorder="1" applyAlignment="1">
      <alignment horizontal="right"/>
    </xf>
    <xf numFmtId="5" fontId="14" fillId="0" borderId="0" xfId="0" applyNumberFormat="1" applyFont="1" applyAlignment="1">
      <alignment horizontal="right"/>
    </xf>
    <xf numFmtId="7" fontId="15" fillId="0" borderId="0" xfId="0" applyNumberFormat="1" applyFont="1" applyAlignment="1">
      <alignment horizontal="right"/>
    </xf>
    <xf numFmtId="173" fontId="15" fillId="0" borderId="37" xfId="1" applyNumberFormat="1" applyFont="1" applyFill="1" applyBorder="1" applyAlignment="1">
      <alignment horizontal="right"/>
    </xf>
    <xf numFmtId="5" fontId="15" fillId="0" borderId="36" xfId="1" applyNumberFormat="1" applyFont="1" applyFill="1" applyBorder="1" applyAlignment="1">
      <alignment horizontal="right"/>
    </xf>
    <xf numFmtId="5" fontId="36" fillId="0" borderId="0" xfId="1" applyNumberFormat="1" applyFont="1" applyFill="1" applyBorder="1" applyAlignment="1">
      <alignment horizontal="right"/>
    </xf>
    <xf numFmtId="5" fontId="15" fillId="5" borderId="0" xfId="0" applyNumberFormat="1" applyFont="1" applyFill="1" applyAlignment="1">
      <alignment horizontal="left"/>
    </xf>
    <xf numFmtId="5" fontId="15" fillId="0" borderId="4" xfId="0" applyNumberFormat="1" applyFont="1" applyBorder="1" applyAlignment="1">
      <alignment horizontal="right"/>
    </xf>
    <xf numFmtId="38" fontId="42" fillId="0" borderId="0" xfId="0" applyNumberFormat="1" applyFont="1" applyAlignment="1" applyProtection="1">
      <alignment horizontal="right"/>
      <protection locked="0"/>
    </xf>
    <xf numFmtId="38" fontId="15" fillId="0" borderId="0" xfId="0" applyNumberFormat="1" applyFont="1" applyAlignment="1">
      <alignment horizontal="right"/>
    </xf>
    <xf numFmtId="38" fontId="15" fillId="0" borderId="36" xfId="0" applyNumberFormat="1" applyFont="1" applyBorder="1" applyAlignment="1">
      <alignment horizontal="right"/>
    </xf>
    <xf numFmtId="38" fontId="15" fillId="0" borderId="125" xfId="0" applyNumberFormat="1" applyFont="1" applyBorder="1" applyAlignment="1">
      <alignment horizontal="right"/>
    </xf>
    <xf numFmtId="10" fontId="15" fillId="0" borderId="0" xfId="1" applyNumberFormat="1" applyFont="1" applyBorder="1" applyAlignment="1" applyProtection="1">
      <alignment horizontal="right"/>
      <protection locked="0"/>
    </xf>
    <xf numFmtId="173" fontId="36" fillId="0" borderId="0" xfId="0" applyNumberFormat="1" applyFont="1" applyAlignment="1">
      <alignment horizontal="right"/>
    </xf>
    <xf numFmtId="38" fontId="15" fillId="5" borderId="73" xfId="0" applyNumberFormat="1" applyFont="1" applyFill="1" applyBorder="1" applyAlignment="1">
      <alignment horizontal="left"/>
    </xf>
    <xf numFmtId="38" fontId="15" fillId="0" borderId="4" xfId="0" applyNumberFormat="1" applyFont="1" applyBorder="1" applyAlignment="1">
      <alignment horizontal="right"/>
    </xf>
    <xf numFmtId="0" fontId="35" fillId="0" borderId="0" xfId="0" applyFont="1" applyProtection="1">
      <protection locked="0"/>
    </xf>
    <xf numFmtId="0" fontId="35" fillId="0" borderId="4" xfId="0" applyFont="1" applyBorder="1" applyProtection="1">
      <protection locked="0"/>
    </xf>
    <xf numFmtId="5" fontId="35" fillId="0" borderId="73" xfId="0" applyNumberFormat="1" applyFont="1" applyBorder="1" applyAlignment="1">
      <alignment horizontal="right"/>
    </xf>
    <xf numFmtId="5" fontId="35" fillId="0" borderId="73" xfId="0" applyNumberFormat="1" applyFont="1" applyBorder="1" applyAlignment="1" applyProtection="1">
      <alignment horizontal="right"/>
      <protection locked="0"/>
    </xf>
    <xf numFmtId="7" fontId="35" fillId="0" borderId="73" xfId="0" applyNumberFormat="1" applyFont="1" applyBorder="1" applyAlignment="1" applyProtection="1">
      <alignment horizontal="right"/>
      <protection locked="0"/>
    </xf>
    <xf numFmtId="173" fontId="35" fillId="0" borderId="73" xfId="1" applyNumberFormat="1" applyFont="1" applyBorder="1" applyAlignment="1" applyProtection="1">
      <alignment horizontal="right"/>
      <protection locked="0"/>
    </xf>
    <xf numFmtId="5" fontId="35" fillId="0" borderId="107" xfId="0" applyNumberFormat="1" applyFont="1" applyBorder="1" applyAlignment="1">
      <alignment horizontal="right"/>
    </xf>
    <xf numFmtId="5" fontId="35" fillId="0" borderId="125" xfId="0" applyNumberFormat="1" applyFont="1" applyBorder="1" applyAlignment="1">
      <alignment horizontal="right"/>
    </xf>
    <xf numFmtId="5" fontId="35" fillId="0" borderId="0" xfId="0" applyNumberFormat="1" applyFont="1" applyAlignment="1">
      <alignment horizontal="right"/>
    </xf>
    <xf numFmtId="7" fontId="35" fillId="0" borderId="73" xfId="0" applyNumberFormat="1" applyFont="1" applyBorder="1" applyAlignment="1">
      <alignment horizontal="right"/>
    </xf>
    <xf numFmtId="173" fontId="35" fillId="0" borderId="106" xfId="1" applyNumberFormat="1" applyFont="1" applyFill="1" applyBorder="1" applyAlignment="1">
      <alignment horizontal="right"/>
    </xf>
    <xf numFmtId="173" fontId="35" fillId="0" borderId="0" xfId="1" applyNumberFormat="1" applyFont="1" applyFill="1" applyBorder="1" applyAlignment="1">
      <alignment horizontal="right"/>
    </xf>
    <xf numFmtId="5" fontId="35" fillId="0" borderId="107" xfId="1" applyNumberFormat="1" applyFont="1" applyFill="1" applyBorder="1" applyAlignment="1">
      <alignment horizontal="right"/>
    </xf>
    <xf numFmtId="173" fontId="35" fillId="0" borderId="73" xfId="1" applyNumberFormat="1" applyFont="1" applyFill="1" applyBorder="1" applyAlignment="1">
      <alignment horizontal="right"/>
    </xf>
    <xf numFmtId="0" fontId="13" fillId="0" borderId="3" xfId="0" applyFont="1" applyBorder="1" applyAlignment="1">
      <alignment horizontal="right"/>
    </xf>
    <xf numFmtId="5" fontId="35" fillId="5" borderId="73" xfId="0" applyNumberFormat="1" applyFont="1" applyFill="1" applyBorder="1" applyAlignment="1">
      <alignment horizontal="left"/>
    </xf>
    <xf numFmtId="5" fontId="35" fillId="0" borderId="4" xfId="0" applyNumberFormat="1" applyFont="1" applyBorder="1" applyAlignment="1">
      <alignment horizontal="right"/>
    </xf>
    <xf numFmtId="0" fontId="13" fillId="0" borderId="125" xfId="0" applyFont="1" applyBorder="1"/>
    <xf numFmtId="0" fontId="13" fillId="0" borderId="3" xfId="0" applyFont="1" applyBorder="1"/>
    <xf numFmtId="173" fontId="36" fillId="0" borderId="0" xfId="1" applyNumberFormat="1" applyFont="1" applyFill="1" applyAlignment="1">
      <alignment horizontal="right"/>
    </xf>
    <xf numFmtId="5" fontId="15" fillId="5" borderId="73" xfId="0" applyNumberFormat="1" applyFont="1" applyFill="1" applyBorder="1" applyAlignment="1">
      <alignment horizontal="left"/>
    </xf>
    <xf numFmtId="0" fontId="35" fillId="0" borderId="0" xfId="0" applyFont="1"/>
    <xf numFmtId="0" fontId="40" fillId="0" borderId="0" xfId="0" applyFont="1" applyProtection="1">
      <protection locked="0"/>
    </xf>
    <xf numFmtId="5" fontId="14" fillId="0" borderId="0" xfId="0" applyNumberFormat="1" applyFont="1" applyAlignment="1" applyProtection="1">
      <alignment horizontal="right"/>
      <protection locked="0"/>
    </xf>
    <xf numFmtId="5" fontId="35" fillId="0" borderId="0" xfId="0" applyNumberFormat="1" applyFont="1" applyAlignment="1" applyProtection="1">
      <alignment horizontal="right"/>
      <protection locked="0"/>
    </xf>
    <xf numFmtId="0" fontId="35" fillId="0" borderId="3" xfId="0" applyFont="1" applyBorder="1" applyAlignment="1">
      <alignment horizontal="right"/>
    </xf>
    <xf numFmtId="5" fontId="15" fillId="5" borderId="104" xfId="0" applyNumberFormat="1" applyFont="1" applyFill="1" applyBorder="1" applyAlignment="1">
      <alignment horizontal="left"/>
    </xf>
    <xf numFmtId="5" fontId="35" fillId="0" borderId="4" xfId="0" applyNumberFormat="1" applyFont="1" applyBorder="1" applyAlignment="1" applyProtection="1">
      <alignment horizontal="right"/>
      <protection locked="0"/>
    </xf>
    <xf numFmtId="0" fontId="35" fillId="0" borderId="125" xfId="0" applyFont="1" applyBorder="1"/>
    <xf numFmtId="0" fontId="35" fillId="0" borderId="3" xfId="0" applyFont="1" applyBorder="1"/>
    <xf numFmtId="5" fontId="35" fillId="0" borderId="107" xfId="0" applyNumberFormat="1" applyFont="1" applyBorder="1" applyAlignment="1" applyProtection="1">
      <alignment horizontal="right"/>
      <protection locked="0"/>
    </xf>
    <xf numFmtId="5" fontId="35" fillId="0" borderId="125" xfId="0" applyNumberFormat="1" applyFont="1" applyBorder="1" applyAlignment="1" applyProtection="1">
      <alignment horizontal="right"/>
      <protection locked="0"/>
    </xf>
    <xf numFmtId="0" fontId="15" fillId="0" borderId="0" xfId="0" applyFont="1"/>
    <xf numFmtId="5" fontId="39" fillId="5" borderId="0" xfId="0" applyNumberFormat="1" applyFont="1" applyFill="1" applyAlignment="1" applyProtection="1">
      <alignment horizontal="right"/>
      <protection locked="0"/>
    </xf>
    <xf numFmtId="5" fontId="36" fillId="0" borderId="36" xfId="1" applyNumberFormat="1" applyFont="1" applyFill="1" applyBorder="1" applyAlignment="1">
      <alignment horizontal="right"/>
    </xf>
    <xf numFmtId="0" fontId="15" fillId="0" borderId="3" xfId="0" applyFont="1" applyBorder="1" applyAlignment="1">
      <alignment horizontal="right"/>
    </xf>
    <xf numFmtId="5" fontId="15" fillId="0" borderId="4" xfId="0" applyNumberFormat="1" applyFont="1" applyBorder="1" applyAlignment="1" applyProtection="1">
      <alignment horizontal="right"/>
      <protection locked="0"/>
    </xf>
    <xf numFmtId="0" fontId="15" fillId="0" borderId="125" xfId="0" applyFont="1" applyBorder="1"/>
    <xf numFmtId="0" fontId="15" fillId="0" borderId="3" xfId="0" applyFont="1" applyBorder="1"/>
    <xf numFmtId="5" fontId="35" fillId="0" borderId="83" xfId="0" applyNumberFormat="1" applyFont="1" applyBorder="1" applyAlignment="1">
      <alignment horizontal="right"/>
    </xf>
    <xf numFmtId="5" fontId="35" fillId="0" borderId="83" xfId="0" applyNumberFormat="1" applyFont="1" applyBorder="1" applyAlignment="1" applyProtection="1">
      <alignment horizontal="right"/>
      <protection locked="0"/>
    </xf>
    <xf numFmtId="7" fontId="35" fillId="0" borderId="83" xfId="0" applyNumberFormat="1" applyFont="1" applyBorder="1" applyAlignment="1" applyProtection="1">
      <alignment horizontal="right"/>
      <protection locked="0"/>
    </xf>
    <xf numFmtId="173" fontId="35" fillId="0" borderId="83" xfId="1" applyNumberFormat="1" applyFont="1" applyFill="1" applyBorder="1" applyAlignment="1" applyProtection="1">
      <alignment horizontal="right"/>
      <protection locked="0"/>
    </xf>
    <xf numFmtId="5" fontId="35" fillId="0" borderId="115" xfId="0" applyNumberFormat="1" applyFont="1" applyBorder="1" applyAlignment="1">
      <alignment horizontal="right"/>
    </xf>
    <xf numFmtId="7" fontId="35" fillId="0" borderId="83" xfId="0" applyNumberFormat="1" applyFont="1" applyBorder="1" applyAlignment="1">
      <alignment horizontal="right"/>
    </xf>
    <xf numFmtId="173" fontId="35" fillId="0" borderId="109" xfId="1" applyNumberFormat="1" applyFont="1" applyFill="1" applyBorder="1" applyAlignment="1">
      <alignment horizontal="right"/>
    </xf>
    <xf numFmtId="5" fontId="35" fillId="0" borderId="115" xfId="1" applyNumberFormat="1" applyFont="1" applyFill="1" applyBorder="1" applyAlignment="1">
      <alignment horizontal="right"/>
    </xf>
    <xf numFmtId="173" fontId="35" fillId="0" borderId="83" xfId="1" applyNumberFormat="1" applyFont="1" applyFill="1" applyBorder="1" applyAlignment="1">
      <alignment horizontal="right"/>
    </xf>
    <xf numFmtId="5" fontId="35" fillId="0" borderId="73" xfId="0" applyNumberFormat="1" applyFont="1" applyBorder="1" applyAlignment="1">
      <alignment horizontal="left"/>
    </xf>
    <xf numFmtId="38" fontId="15" fillId="0" borderId="0" xfId="0" applyNumberFormat="1" applyFont="1" applyAlignment="1" applyProtection="1">
      <alignment horizontal="right"/>
      <protection locked="0"/>
    </xf>
    <xf numFmtId="38" fontId="15" fillId="0" borderId="37" xfId="0" applyNumberFormat="1" applyFont="1" applyBorder="1" applyAlignment="1">
      <alignment horizontal="right"/>
    </xf>
    <xf numFmtId="38" fontId="15" fillId="0" borderId="0" xfId="0" applyNumberFormat="1" applyFont="1" applyAlignment="1">
      <alignment horizontal="left"/>
    </xf>
    <xf numFmtId="0" fontId="41" fillId="11" borderId="0" xfId="0" applyFont="1" applyFill="1" applyProtection="1">
      <protection locked="0"/>
    </xf>
    <xf numFmtId="0" fontId="19" fillId="11" borderId="0" xfId="0" applyFont="1" applyFill="1" applyProtection="1">
      <protection locked="0"/>
    </xf>
    <xf numFmtId="0" fontId="19" fillId="0" borderId="4" xfId="0" applyFont="1" applyBorder="1" applyProtection="1">
      <protection locked="0"/>
    </xf>
    <xf numFmtId="214" fontId="26" fillId="11" borderId="0" xfId="0" applyNumberFormat="1" applyFont="1" applyFill="1" applyAlignment="1" applyProtection="1">
      <alignment horizontal="right"/>
      <protection locked="0"/>
    </xf>
    <xf numFmtId="38" fontId="26" fillId="11" borderId="0" xfId="0" applyNumberFormat="1" applyFont="1" applyFill="1" applyAlignment="1" applyProtection="1">
      <alignment horizontal="right"/>
      <protection locked="0"/>
    </xf>
    <xf numFmtId="38" fontId="26" fillId="11" borderId="36" xfId="0" applyNumberFormat="1" applyFont="1" applyFill="1" applyBorder="1" applyAlignment="1">
      <alignment horizontal="right"/>
    </xf>
    <xf numFmtId="38" fontId="26" fillId="11" borderId="0" xfId="0" applyNumberFormat="1" applyFont="1" applyFill="1" applyAlignment="1">
      <alignment horizontal="right"/>
    </xf>
    <xf numFmtId="38" fontId="19" fillId="0" borderId="125" xfId="0" applyNumberFormat="1" applyFont="1" applyBorder="1" applyAlignment="1">
      <alignment horizontal="right"/>
    </xf>
    <xf numFmtId="38" fontId="19" fillId="0" borderId="0" xfId="0" applyNumberFormat="1" applyFont="1" applyAlignment="1">
      <alignment horizontal="right"/>
    </xf>
    <xf numFmtId="38" fontId="26" fillId="11" borderId="0" xfId="0" applyNumberFormat="1" applyFont="1" applyFill="1"/>
    <xf numFmtId="38" fontId="26" fillId="11" borderId="37" xfId="0" applyNumberFormat="1" applyFont="1" applyFill="1" applyBorder="1"/>
    <xf numFmtId="38" fontId="26" fillId="11" borderId="36" xfId="0" applyNumberFormat="1" applyFont="1" applyFill="1" applyBorder="1"/>
    <xf numFmtId="38" fontId="26" fillId="11" borderId="0" xfId="0" applyNumberFormat="1" applyFont="1" applyFill="1" applyAlignment="1">
      <alignment horizontal="left"/>
    </xf>
    <xf numFmtId="38" fontId="19" fillId="0" borderId="4" xfId="0" applyNumberFormat="1" applyFont="1" applyBorder="1" applyAlignment="1">
      <alignment horizontal="right"/>
    </xf>
    <xf numFmtId="38" fontId="26" fillId="14" borderId="0" xfId="0" applyNumberFormat="1" applyFont="1" applyFill="1" applyAlignment="1">
      <alignment horizontal="right"/>
    </xf>
    <xf numFmtId="38" fontId="26" fillId="14" borderId="0" xfId="0" applyNumberFormat="1" applyFont="1" applyFill="1" applyAlignment="1" applyProtection="1">
      <alignment horizontal="right"/>
      <protection locked="0"/>
    </xf>
    <xf numFmtId="38" fontId="26" fillId="14" borderId="36" xfId="0" applyNumberFormat="1" applyFont="1" applyFill="1" applyBorder="1" applyAlignment="1">
      <alignment horizontal="right"/>
    </xf>
    <xf numFmtId="5" fontId="15" fillId="0" borderId="3" xfId="0" applyNumberFormat="1" applyFont="1" applyBorder="1" applyAlignment="1">
      <alignment horizontal="right"/>
    </xf>
    <xf numFmtId="37" fontId="15" fillId="0" borderId="125" xfId="0" applyNumberFormat="1" applyFont="1" applyBorder="1" applyAlignment="1">
      <alignment horizontal="right"/>
    </xf>
    <xf numFmtId="37" fontId="15" fillId="0" borderId="0" xfId="0" applyNumberFormat="1" applyFont="1" applyAlignment="1">
      <alignment horizontal="right"/>
    </xf>
    <xf numFmtId="173" fontId="36" fillId="0" borderId="0" xfId="1" applyNumberFormat="1" applyFont="1" applyFill="1" applyBorder="1" applyAlignment="1">
      <alignment horizontal="right"/>
    </xf>
    <xf numFmtId="37" fontId="15" fillId="0" borderId="3" xfId="0" applyNumberFormat="1" applyFont="1" applyBorder="1" applyAlignment="1">
      <alignment horizontal="right"/>
    </xf>
    <xf numFmtId="37" fontId="15" fillId="5" borderId="73" xfId="0" applyNumberFormat="1" applyFont="1" applyFill="1" applyBorder="1" applyAlignment="1">
      <alignment horizontal="left"/>
    </xf>
    <xf numFmtId="37" fontId="15" fillId="0" borderId="4" xfId="0" applyNumberFormat="1" applyFont="1" applyBorder="1" applyAlignment="1">
      <alignment horizontal="right"/>
    </xf>
    <xf numFmtId="0" fontId="35" fillId="0" borderId="0" xfId="0" applyFont="1" applyAlignment="1" applyProtection="1">
      <alignment horizontal="left"/>
      <protection locked="0"/>
    </xf>
    <xf numFmtId="37" fontId="35" fillId="0" borderId="73" xfId="0" applyNumberFormat="1" applyFont="1" applyBorder="1" applyAlignment="1">
      <alignment horizontal="right"/>
    </xf>
    <xf numFmtId="37" fontId="15" fillId="0" borderId="73" xfId="0" applyNumberFormat="1" applyFont="1" applyBorder="1" applyAlignment="1">
      <alignment horizontal="left"/>
    </xf>
    <xf numFmtId="0" fontId="35" fillId="0" borderId="4" xfId="0" applyFont="1" applyBorder="1" applyAlignment="1" applyProtection="1">
      <alignment horizontal="right"/>
      <protection locked="0"/>
    </xf>
    <xf numFmtId="38" fontId="15" fillId="0" borderId="3" xfId="0" applyNumberFormat="1" applyFont="1" applyBorder="1" applyAlignment="1">
      <alignment horizontal="right"/>
    </xf>
    <xf numFmtId="173" fontId="35" fillId="0" borderId="73" xfId="1" applyNumberFormat="1" applyFont="1" applyBorder="1" applyAlignment="1">
      <alignment horizontal="right"/>
    </xf>
    <xf numFmtId="5" fontId="35" fillId="0" borderId="3" xfId="0" applyNumberFormat="1" applyFont="1" applyBorder="1" applyAlignment="1">
      <alignment horizontal="right"/>
    </xf>
    <xf numFmtId="5" fontId="36" fillId="0" borderId="0" xfId="0" applyNumberFormat="1" applyFont="1" applyAlignment="1">
      <alignment horizontal="right"/>
    </xf>
    <xf numFmtId="173" fontId="35" fillId="0" borderId="83" xfId="1" applyNumberFormat="1" applyFont="1" applyBorder="1" applyAlignment="1" applyProtection="1">
      <alignment horizontal="right"/>
      <protection locked="0"/>
    </xf>
    <xf numFmtId="170" fontId="15" fillId="0" borderId="0" xfId="0" applyNumberFormat="1" applyFont="1" applyAlignment="1" applyProtection="1">
      <alignment horizontal="right"/>
      <protection locked="0"/>
    </xf>
    <xf numFmtId="170" fontId="35" fillId="0" borderId="0" xfId="0" applyNumberFormat="1" applyFont="1" applyAlignment="1" applyProtection="1">
      <alignment horizontal="right"/>
      <protection locked="0"/>
    </xf>
    <xf numFmtId="170" fontId="15" fillId="0" borderId="0" xfId="0" applyNumberFormat="1" applyFont="1" applyProtection="1">
      <protection locked="0"/>
    </xf>
    <xf numFmtId="5" fontId="15" fillId="0" borderId="0" xfId="0" applyNumberFormat="1" applyFont="1" applyProtection="1">
      <protection locked="0"/>
    </xf>
    <xf numFmtId="9" fontId="12" fillId="0" borderId="0" xfId="1" applyFont="1" applyFill="1" applyBorder="1" applyAlignment="1">
      <alignment horizontal="right"/>
    </xf>
    <xf numFmtId="10" fontId="24" fillId="0" borderId="0" xfId="1" applyNumberFormat="1" applyFont="1" applyFill="1" applyBorder="1"/>
    <xf numFmtId="10" fontId="43" fillId="0" borderId="0" xfId="1" applyNumberFormat="1" applyFont="1" applyFill="1" applyBorder="1"/>
    <xf numFmtId="5" fontId="12" fillId="0" borderId="0" xfId="0" applyNumberFormat="1" applyFont="1"/>
    <xf numFmtId="9" fontId="12" fillId="5" borderId="0" xfId="1" applyFont="1" applyFill="1" applyBorder="1" applyAlignment="1">
      <alignment horizontal="right"/>
    </xf>
    <xf numFmtId="0" fontId="12" fillId="5" borderId="0" xfId="0" applyFont="1" applyFill="1" applyAlignment="1">
      <alignment horizontal="right"/>
    </xf>
    <xf numFmtId="0" fontId="23" fillId="5" borderId="72" xfId="0" applyFont="1" applyFill="1" applyBorder="1" applyAlignment="1">
      <alignment horizontal="left"/>
    </xf>
    <xf numFmtId="5" fontId="24" fillId="5" borderId="73" xfId="0" applyNumberFormat="1" applyFont="1" applyFill="1" applyBorder="1"/>
    <xf numFmtId="5" fontId="13" fillId="5" borderId="73" xfId="0" applyNumberFormat="1" applyFont="1" applyFill="1" applyBorder="1" applyAlignment="1">
      <alignment horizontal="right"/>
    </xf>
    <xf numFmtId="0" fontId="12" fillId="5" borderId="73" xfId="0" applyFont="1" applyFill="1" applyBorder="1"/>
    <xf numFmtId="5" fontId="13" fillId="5" borderId="75" xfId="0" applyNumberFormat="1" applyFont="1" applyFill="1" applyBorder="1" applyAlignment="1">
      <alignment horizontal="right"/>
    </xf>
    <xf numFmtId="173" fontId="12" fillId="0" borderId="0" xfId="1" applyNumberFormat="1" applyFont="1" applyFill="1" applyBorder="1" applyAlignment="1">
      <alignment horizontal="right"/>
    </xf>
    <xf numFmtId="5" fontId="12" fillId="5" borderId="80" xfId="0" applyNumberFormat="1" applyFont="1" applyFill="1" applyBorder="1" applyAlignment="1">
      <alignment horizontal="left" indent="2"/>
    </xf>
    <xf numFmtId="5" fontId="12" fillId="5" borderId="0" xfId="0" applyNumberFormat="1" applyFont="1" applyFill="1"/>
    <xf numFmtId="37" fontId="14" fillId="5" borderId="0" xfId="0" applyNumberFormat="1" applyFont="1" applyFill="1"/>
    <xf numFmtId="0" fontId="12" fillId="5" borderId="0" xfId="0" applyFont="1" applyFill="1"/>
    <xf numFmtId="37" fontId="12" fillId="5" borderId="82" xfId="0" applyNumberFormat="1" applyFont="1" applyFill="1" applyBorder="1" applyAlignment="1">
      <alignment horizontal="right"/>
    </xf>
    <xf numFmtId="0" fontId="12" fillId="5" borderId="80" xfId="0" applyFont="1" applyFill="1" applyBorder="1" applyAlignment="1">
      <alignment horizontal="left" indent="2"/>
    </xf>
    <xf numFmtId="37" fontId="15" fillId="5" borderId="0" xfId="0" applyNumberFormat="1" applyFont="1" applyFill="1"/>
    <xf numFmtId="37" fontId="14" fillId="5" borderId="82" xfId="0" applyNumberFormat="1" applyFont="1" applyFill="1" applyBorder="1" applyAlignment="1">
      <alignment horizontal="right"/>
    </xf>
    <xf numFmtId="0" fontId="23" fillId="5" borderId="80" xfId="0" applyFont="1" applyFill="1" applyBorder="1"/>
    <xf numFmtId="10" fontId="14" fillId="5" borderId="0" xfId="1" applyNumberFormat="1" applyFont="1" applyFill="1" applyBorder="1"/>
    <xf numFmtId="0" fontId="12" fillId="5" borderId="82" xfId="0" applyFont="1" applyFill="1" applyBorder="1" applyAlignment="1">
      <alignment horizontal="right"/>
    </xf>
    <xf numFmtId="217" fontId="14" fillId="5" borderId="0" xfId="0" applyNumberFormat="1" applyFont="1" applyFill="1"/>
    <xf numFmtId="0" fontId="32" fillId="5" borderId="103" xfId="0" applyFont="1" applyFill="1" applyBorder="1" applyAlignment="1">
      <alignment horizontal="left" indent="2"/>
    </xf>
    <xf numFmtId="0" fontId="12" fillId="5" borderId="104" xfId="0" applyFont="1" applyFill="1" applyBorder="1"/>
    <xf numFmtId="10" fontId="32" fillId="5" borderId="104" xfId="0" applyNumberFormat="1" applyFont="1" applyFill="1" applyBorder="1"/>
    <xf numFmtId="10" fontId="32" fillId="5" borderId="105" xfId="1" applyNumberFormat="1" applyFont="1" applyFill="1" applyBorder="1" applyAlignment="1">
      <alignment horizontal="right"/>
    </xf>
    <xf numFmtId="0" fontId="23" fillId="5" borderId="0" xfId="0" applyFont="1" applyFill="1" applyAlignment="1">
      <alignment horizontal="left"/>
    </xf>
    <xf numFmtId="5" fontId="36" fillId="5" borderId="0" xfId="0" applyNumberFormat="1" applyFont="1" applyFill="1"/>
    <xf numFmtId="5" fontId="13" fillId="5" borderId="0" xfId="0" applyNumberFormat="1" applyFont="1" applyFill="1" applyAlignment="1">
      <alignment horizontal="right"/>
    </xf>
    <xf numFmtId="0" fontId="24" fillId="5" borderId="0" xfId="0" applyFont="1" applyFill="1" applyAlignment="1">
      <alignment horizontal="left" indent="2"/>
    </xf>
    <xf numFmtId="0" fontId="24" fillId="5" borderId="0" xfId="0" applyFont="1" applyFill="1"/>
    <xf numFmtId="0" fontId="32" fillId="5" borderId="0" xfId="0" applyFont="1" applyFill="1"/>
    <xf numFmtId="5" fontId="24" fillId="5" borderId="0" xfId="0" applyNumberFormat="1" applyFont="1" applyFill="1"/>
    <xf numFmtId="0" fontId="12" fillId="5" borderId="0" xfId="0" applyFont="1" applyFill="1" applyAlignment="1">
      <alignment horizontal="left" indent="2"/>
    </xf>
    <xf numFmtId="10" fontId="36" fillId="5" borderId="0" xfId="1" applyNumberFormat="1" applyFont="1" applyFill="1" applyAlignment="1">
      <alignment horizontal="right"/>
    </xf>
    <xf numFmtId="0" fontId="12" fillId="5" borderId="0" xfId="0" applyFont="1" applyFill="1" applyAlignment="1">
      <alignment horizontal="center"/>
    </xf>
    <xf numFmtId="0" fontId="13" fillId="5" borderId="11" xfId="0" applyFont="1" applyFill="1" applyBorder="1"/>
    <xf numFmtId="5" fontId="13" fillId="5" borderId="11" xfId="0" applyNumberFormat="1" applyFont="1" applyFill="1" applyBorder="1"/>
    <xf numFmtId="5" fontId="13" fillId="5" borderId="11" xfId="0" applyNumberFormat="1" applyFont="1" applyFill="1" applyBorder="1" applyAlignment="1">
      <alignment horizontal="right"/>
    </xf>
    <xf numFmtId="0" fontId="41" fillId="11" borderId="0" xfId="0" applyFont="1" applyFill="1" applyAlignment="1">
      <alignment horizontal="left"/>
    </xf>
    <xf numFmtId="0" fontId="19" fillId="11" borderId="0" xfId="0" applyFont="1" applyFill="1"/>
    <xf numFmtId="0" fontId="26" fillId="11" borderId="0" xfId="0" applyFont="1" applyFill="1" applyAlignment="1">
      <alignment horizontal="right"/>
    </xf>
    <xf numFmtId="5" fontId="12" fillId="5" borderId="0" xfId="0" applyNumberFormat="1" applyFont="1" applyFill="1" applyAlignment="1">
      <alignment horizontal="right"/>
    </xf>
    <xf numFmtId="173" fontId="36" fillId="5" borderId="0" xfId="1" applyNumberFormat="1" applyFont="1" applyFill="1" applyAlignment="1">
      <alignment horizontal="right"/>
    </xf>
    <xf numFmtId="0" fontId="13" fillId="5" borderId="0" xfId="0" applyFont="1" applyFill="1"/>
    <xf numFmtId="5" fontId="13" fillId="5" borderId="0" xfId="0" applyNumberFormat="1" applyFont="1" applyFill="1"/>
    <xf numFmtId="169" fontId="36" fillId="5" borderId="0" xfId="0" applyNumberFormat="1" applyFont="1" applyFill="1" applyAlignment="1">
      <alignment horizontal="right"/>
    </xf>
    <xf numFmtId="173" fontId="44" fillId="5" borderId="0" xfId="1" applyNumberFormat="1" applyFont="1" applyFill="1"/>
    <xf numFmtId="0" fontId="32" fillId="5" borderId="72" xfId="0" applyFont="1" applyFill="1" applyBorder="1"/>
    <xf numFmtId="5" fontId="36" fillId="5" borderId="73" xfId="0" applyNumberFormat="1" applyFont="1" applyFill="1" applyBorder="1"/>
    <xf numFmtId="5" fontId="12" fillId="5" borderId="75" xfId="0" applyNumberFormat="1" applyFont="1" applyFill="1" applyBorder="1"/>
    <xf numFmtId="0" fontId="12" fillId="5" borderId="80" xfId="0" applyFont="1" applyFill="1" applyBorder="1"/>
    <xf numFmtId="0" fontId="12" fillId="5" borderId="82" xfId="0" applyFont="1" applyFill="1" applyBorder="1"/>
    <xf numFmtId="173" fontId="12" fillId="5" borderId="0" xfId="1" applyNumberFormat="1" applyFont="1" applyFill="1" applyBorder="1" applyAlignment="1"/>
    <xf numFmtId="5" fontId="12" fillId="5" borderId="82" xfId="0" applyNumberFormat="1" applyFont="1" applyFill="1" applyBorder="1"/>
    <xf numFmtId="0" fontId="12" fillId="5" borderId="76" xfId="0" applyFont="1" applyFill="1" applyBorder="1"/>
    <xf numFmtId="0" fontId="12" fillId="5" borderId="77" xfId="0" applyFont="1" applyFill="1" applyBorder="1"/>
    <xf numFmtId="10" fontId="12" fillId="5" borderId="77" xfId="1" applyNumberFormat="1" applyFont="1" applyFill="1" applyBorder="1" applyAlignment="1"/>
    <xf numFmtId="5" fontId="12" fillId="5" borderId="79" xfId="0" applyNumberFormat="1" applyFont="1" applyFill="1" applyBorder="1"/>
    <xf numFmtId="0" fontId="12" fillId="0" borderId="0" xfId="0" applyFont="1" applyAlignment="1">
      <alignment horizontal="left" indent="2"/>
    </xf>
    <xf numFmtId="0" fontId="12" fillId="3" borderId="0" xfId="0" applyFont="1" applyFill="1" applyAlignment="1">
      <alignment horizontal="right"/>
    </xf>
    <xf numFmtId="0" fontId="34" fillId="3" borderId="0" xfId="0" applyFont="1" applyFill="1" applyAlignment="1">
      <alignment vertical="top"/>
    </xf>
    <xf numFmtId="0" fontId="34" fillId="3" borderId="0" xfId="0" applyFont="1" applyFill="1" applyAlignment="1">
      <alignment horizontal="right"/>
    </xf>
    <xf numFmtId="0" fontId="26" fillId="3" borderId="0" xfId="0" applyFont="1" applyFill="1" applyAlignment="1">
      <alignment horizontal="right" vertical="top"/>
    </xf>
    <xf numFmtId="0" fontId="26" fillId="3" borderId="0" xfId="0" applyFont="1" applyFill="1" applyAlignment="1">
      <alignment horizontal="right"/>
    </xf>
    <xf numFmtId="0" fontId="21" fillId="7" borderId="0" xfId="0" applyFont="1" applyFill="1" applyAlignment="1">
      <alignment horizontal="left"/>
    </xf>
    <xf numFmtId="180" fontId="34" fillId="3" borderId="0" xfId="0" applyNumberFormat="1" applyFont="1" applyFill="1" applyAlignment="1">
      <alignment horizontal="left"/>
    </xf>
    <xf numFmtId="0" fontId="12" fillId="3" borderId="0" xfId="0" applyFont="1" applyFill="1" applyAlignment="1">
      <alignment horizontal="left" indent="2"/>
    </xf>
    <xf numFmtId="14" fontId="25" fillId="3" borderId="0" xfId="0" applyNumberFormat="1" applyFont="1" applyFill="1" applyAlignment="1">
      <alignment horizontal="right"/>
    </xf>
    <xf numFmtId="0" fontId="26" fillId="15" borderId="0" xfId="0" applyFont="1" applyFill="1" applyAlignment="1">
      <alignment horizontal="left"/>
    </xf>
    <xf numFmtId="0" fontId="26" fillId="15" borderId="0" xfId="0" applyFont="1" applyFill="1" applyAlignment="1">
      <alignment horizontal="right"/>
    </xf>
    <xf numFmtId="0" fontId="26" fillId="15" borderId="0" xfId="0" applyFont="1" applyFill="1" applyAlignment="1">
      <alignment horizontal="left" indent="2"/>
    </xf>
    <xf numFmtId="197" fontId="26" fillId="15" borderId="0" xfId="0" applyNumberFormat="1" applyFont="1" applyFill="1" applyAlignment="1">
      <alignment horizontal="right"/>
    </xf>
    <xf numFmtId="164" fontId="13" fillId="3" borderId="0" xfId="0" applyNumberFormat="1" applyFont="1" applyFill="1" applyAlignment="1">
      <alignment horizontal="right"/>
    </xf>
    <xf numFmtId="168" fontId="13" fillId="3" borderId="0" xfId="0" applyNumberFormat="1" applyFont="1" applyFill="1" applyAlignment="1">
      <alignment horizontal="right"/>
    </xf>
    <xf numFmtId="167" fontId="13" fillId="3" borderId="0" xfId="0" applyNumberFormat="1" applyFont="1" applyFill="1" applyAlignment="1">
      <alignment horizontal="right"/>
    </xf>
    <xf numFmtId="166" fontId="13" fillId="3" borderId="0" xfId="0" applyNumberFormat="1" applyFont="1" applyFill="1" applyAlignment="1">
      <alignment horizontal="right"/>
    </xf>
    <xf numFmtId="166" fontId="13" fillId="3" borderId="0" xfId="0" applyNumberFormat="1" applyFont="1" applyFill="1" applyAlignment="1">
      <alignment horizontal="left" indent="2"/>
    </xf>
    <xf numFmtId="166" fontId="23" fillId="3" borderId="0" xfId="0" applyNumberFormat="1" applyFont="1" applyFill="1" applyAlignment="1">
      <alignment horizontal="right"/>
    </xf>
    <xf numFmtId="184" fontId="13" fillId="3" borderId="0" xfId="0" applyNumberFormat="1" applyFont="1" applyFill="1" applyAlignment="1">
      <alignment horizontal="right"/>
    </xf>
    <xf numFmtId="0" fontId="23" fillId="3" borderId="0" xfId="0" applyFont="1" applyFill="1" applyAlignment="1">
      <alignment horizontal="right"/>
    </xf>
    <xf numFmtId="179" fontId="12" fillId="0" borderId="0" xfId="0" applyNumberFormat="1" applyFont="1" applyAlignment="1">
      <alignment horizontal="center"/>
    </xf>
    <xf numFmtId="0" fontId="45" fillId="3" borderId="0" xfId="0" applyFont="1" applyFill="1" applyAlignment="1">
      <alignment horizontal="left"/>
    </xf>
    <xf numFmtId="164" fontId="22" fillId="0" borderId="0" xfId="0" applyNumberFormat="1" applyFont="1" applyAlignment="1">
      <alignment horizontal="right"/>
    </xf>
    <xf numFmtId="168" fontId="22" fillId="0" borderId="0" xfId="0" applyNumberFormat="1" applyFont="1" applyAlignment="1">
      <alignment horizontal="right"/>
    </xf>
    <xf numFmtId="167" fontId="22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left" indent="2"/>
    </xf>
    <xf numFmtId="166" fontId="47" fillId="3" borderId="0" xfId="0" applyNumberFormat="1" applyFont="1" applyFill="1" applyAlignment="1">
      <alignment horizontal="right"/>
    </xf>
    <xf numFmtId="0" fontId="14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167" fontId="14" fillId="0" borderId="0" xfId="0" applyNumberFormat="1" applyFont="1" applyAlignment="1">
      <alignment horizontal="right"/>
    </xf>
    <xf numFmtId="222" fontId="12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6" fontId="38" fillId="0" borderId="0" xfId="0" applyNumberFormat="1" applyFont="1" applyAlignment="1">
      <alignment horizontal="left" indent="2"/>
    </xf>
    <xf numFmtId="14" fontId="47" fillId="3" borderId="0" xfId="0" applyNumberFormat="1" applyFont="1" applyFill="1" applyAlignment="1">
      <alignment horizontal="right"/>
    </xf>
    <xf numFmtId="164" fontId="26" fillId="2" borderId="0" xfId="0" applyNumberFormat="1" applyFont="1" applyFill="1" applyAlignment="1">
      <alignment horizontal="right"/>
    </xf>
    <xf numFmtId="168" fontId="26" fillId="2" borderId="0" xfId="0" applyNumberFormat="1" applyFont="1" applyFill="1" applyAlignment="1">
      <alignment horizontal="right"/>
    </xf>
    <xf numFmtId="202" fontId="26" fillId="2" borderId="0" xfId="0" applyNumberFormat="1" applyFont="1" applyFill="1" applyAlignment="1">
      <alignment horizontal="right"/>
    </xf>
    <xf numFmtId="166" fontId="26" fillId="2" borderId="0" xfId="0" applyNumberFormat="1" applyFont="1" applyFill="1" applyAlignment="1">
      <alignment horizontal="left" indent="2"/>
    </xf>
    <xf numFmtId="0" fontId="26" fillId="3" borderId="0" xfId="0" applyFont="1" applyFill="1" applyAlignment="1">
      <alignment horizontal="left"/>
    </xf>
    <xf numFmtId="164" fontId="26" fillId="3" borderId="0" xfId="0" applyNumberFormat="1" applyFont="1" applyFill="1" applyAlignment="1">
      <alignment horizontal="right"/>
    </xf>
    <xf numFmtId="168" fontId="26" fillId="3" borderId="0" xfId="0" applyNumberFormat="1" applyFont="1" applyFill="1" applyAlignment="1">
      <alignment horizontal="right"/>
    </xf>
    <xf numFmtId="167" fontId="26" fillId="3" borderId="0" xfId="0" applyNumberFormat="1" applyFont="1" applyFill="1" applyAlignment="1">
      <alignment horizontal="right"/>
    </xf>
    <xf numFmtId="166" fontId="26" fillId="3" borderId="0" xfId="0" applyNumberFormat="1" applyFont="1" applyFill="1" applyAlignment="1">
      <alignment horizontal="right"/>
    </xf>
    <xf numFmtId="166" fontId="26" fillId="3" borderId="0" xfId="0" applyNumberFormat="1" applyFont="1" applyFill="1" applyAlignment="1">
      <alignment horizontal="left" indent="2"/>
    </xf>
    <xf numFmtId="184" fontId="26" fillId="3" borderId="0" xfId="0" applyNumberFormat="1" applyFont="1" applyFill="1" applyAlignment="1">
      <alignment horizontal="right"/>
    </xf>
    <xf numFmtId="7" fontId="26" fillId="2" borderId="0" xfId="0" applyNumberFormat="1" applyFont="1" applyFill="1" applyAlignment="1">
      <alignment horizontal="right"/>
    </xf>
    <xf numFmtId="164" fontId="26" fillId="15" borderId="0" xfId="0" applyNumberFormat="1" applyFont="1" applyFill="1" applyAlignment="1">
      <alignment horizontal="right"/>
    </xf>
    <xf numFmtId="168" fontId="26" fillId="15" borderId="0" xfId="0" applyNumberFormat="1" applyFont="1" applyFill="1" applyAlignment="1">
      <alignment horizontal="right"/>
    </xf>
    <xf numFmtId="167" fontId="26" fillId="15" borderId="0" xfId="0" applyNumberFormat="1" applyFont="1" applyFill="1" applyAlignment="1">
      <alignment horizontal="right"/>
    </xf>
    <xf numFmtId="166" fontId="26" fillId="15" borderId="0" xfId="0" applyNumberFormat="1" applyFont="1" applyFill="1" applyAlignment="1">
      <alignment horizontal="right"/>
    </xf>
    <xf numFmtId="166" fontId="26" fillId="15" borderId="0" xfId="0" applyNumberFormat="1" applyFont="1" applyFill="1" applyAlignment="1">
      <alignment horizontal="left" indent="2"/>
    </xf>
    <xf numFmtId="164" fontId="35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168" fontId="26" fillId="0" borderId="0" xfId="0" applyNumberFormat="1" applyFont="1" applyAlignment="1">
      <alignment horizontal="right"/>
    </xf>
    <xf numFmtId="167" fontId="26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left" indent="2"/>
    </xf>
    <xf numFmtId="166" fontId="23" fillId="0" borderId="0" xfId="0" applyNumberFormat="1" applyFont="1" applyAlignment="1">
      <alignment horizontal="right"/>
    </xf>
    <xf numFmtId="168" fontId="12" fillId="3" borderId="0" xfId="0" applyNumberFormat="1" applyFont="1" applyFill="1" applyAlignment="1">
      <alignment horizontal="right"/>
    </xf>
    <xf numFmtId="10" fontId="48" fillId="0" borderId="0" xfId="0" applyNumberFormat="1" applyFont="1" applyAlignment="1">
      <alignment horizontal="left"/>
    </xf>
    <xf numFmtId="184" fontId="12" fillId="3" borderId="0" xfId="0" applyNumberFormat="1" applyFont="1" applyFill="1" applyAlignment="1">
      <alignment horizontal="right"/>
    </xf>
    <xf numFmtId="166" fontId="49" fillId="0" borderId="0" xfId="0" applyNumberFormat="1" applyFont="1" applyAlignment="1">
      <alignment horizontal="left" indent="2"/>
    </xf>
    <xf numFmtId="166" fontId="20" fillId="3" borderId="0" xfId="0" applyNumberFormat="1" applyFont="1" applyFill="1" applyAlignment="1">
      <alignment horizontal="right"/>
    </xf>
    <xf numFmtId="0" fontId="20" fillId="3" borderId="0" xfId="0" applyFont="1" applyFill="1" applyAlignment="1">
      <alignment horizontal="right"/>
    </xf>
    <xf numFmtId="172" fontId="12" fillId="0" borderId="0" xfId="0" applyNumberFormat="1" applyFont="1" applyAlignment="1">
      <alignment horizontal="right"/>
    </xf>
    <xf numFmtId="0" fontId="50" fillId="0" borderId="0" xfId="0" applyFont="1"/>
    <xf numFmtId="0" fontId="51" fillId="0" borderId="0" xfId="0" applyFont="1"/>
    <xf numFmtId="0" fontId="19" fillId="0" borderId="0" xfId="0" applyFont="1"/>
    <xf numFmtId="205" fontId="12" fillId="0" borderId="0" xfId="0" applyNumberFormat="1" applyFont="1"/>
    <xf numFmtId="207" fontId="12" fillId="0" borderId="0" xfId="0" applyNumberFormat="1" applyFont="1"/>
    <xf numFmtId="0" fontId="26" fillId="11" borderId="0" xfId="0" applyFont="1" applyFill="1" applyAlignment="1">
      <alignment horizontal="left" vertical="center"/>
    </xf>
    <xf numFmtId="0" fontId="26" fillId="11" borderId="0" xfId="0" applyFont="1" applyFill="1" applyAlignment="1">
      <alignment horizontal="centerContinuous" vertical="center"/>
    </xf>
    <xf numFmtId="0" fontId="26" fillId="11" borderId="0" xfId="0" applyFont="1" applyFill="1" applyAlignment="1">
      <alignment horizontal="right" vertical="center"/>
    </xf>
    <xf numFmtId="0" fontId="26" fillId="11" borderId="37" xfId="0" applyFont="1" applyFill="1" applyBorder="1" applyAlignment="1">
      <alignment horizontal="right" vertical="center"/>
    </xf>
    <xf numFmtId="0" fontId="26" fillId="11" borderId="0" xfId="0" applyFont="1" applyFill="1"/>
    <xf numFmtId="0" fontId="52" fillId="0" borderId="0" xfId="0" applyFont="1" applyAlignment="1">
      <alignment horizontal="right" vertical="center"/>
    </xf>
    <xf numFmtId="10" fontId="24" fillId="0" borderId="0" xfId="1" applyNumberFormat="1" applyFont="1" applyBorder="1" applyAlignment="1">
      <alignment horizontal="right"/>
    </xf>
    <xf numFmtId="0" fontId="15" fillId="0" borderId="72" xfId="0" applyFont="1" applyBorder="1" applyProtection="1">
      <protection locked="0"/>
    </xf>
    <xf numFmtId="0" fontId="12" fillId="0" borderId="73" xfId="0" applyFont="1" applyBorder="1"/>
    <xf numFmtId="5" fontId="12" fillId="0" borderId="73" xfId="0" applyNumberFormat="1" applyFont="1" applyBorder="1"/>
    <xf numFmtId="7" fontId="12" fillId="0" borderId="73" xfId="0" applyNumberFormat="1" applyFont="1" applyBorder="1"/>
    <xf numFmtId="173" fontId="12" fillId="0" borderId="106" xfId="1" applyNumberFormat="1" applyFont="1" applyBorder="1"/>
    <xf numFmtId="173" fontId="12" fillId="0" borderId="73" xfId="1" applyNumberFormat="1" applyFont="1" applyBorder="1"/>
    <xf numFmtId="0" fontId="15" fillId="0" borderId="107" xfId="0" applyFont="1" applyBorder="1"/>
    <xf numFmtId="0" fontId="12" fillId="0" borderId="75" xfId="0" applyFont="1" applyBorder="1"/>
    <xf numFmtId="0" fontId="15" fillId="0" borderId="0" xfId="0" applyFont="1" applyAlignment="1">
      <alignment horizontal="left" vertical="center" indent="1"/>
    </xf>
    <xf numFmtId="0" fontId="15" fillId="0" borderId="80" xfId="0" applyFont="1" applyBorder="1" applyProtection="1">
      <protection locked="0"/>
    </xf>
    <xf numFmtId="7" fontId="12" fillId="0" borderId="0" xfId="0" applyNumberFormat="1" applyFont="1"/>
    <xf numFmtId="173" fontId="12" fillId="0" borderId="37" xfId="1" applyNumberFormat="1" applyFont="1" applyBorder="1"/>
    <xf numFmtId="173" fontId="36" fillId="0" borderId="0" xfId="1" applyNumberFormat="1" applyFont="1" applyBorder="1"/>
    <xf numFmtId="0" fontId="15" fillId="0" borderId="36" xfId="0" applyFont="1" applyBorder="1"/>
    <xf numFmtId="0" fontId="12" fillId="0" borderId="82" xfId="0" applyFont="1" applyBorder="1"/>
    <xf numFmtId="5" fontId="36" fillId="0" borderId="0" xfId="0" applyNumberFormat="1" applyFont="1"/>
    <xf numFmtId="173" fontId="12" fillId="0" borderId="0" xfId="1" applyNumberFormat="1" applyFont="1" applyBorder="1"/>
    <xf numFmtId="197" fontId="24" fillId="0" borderId="0" xfId="0" applyNumberFormat="1" applyFont="1"/>
    <xf numFmtId="0" fontId="13" fillId="0" borderId="108" xfId="0" applyFont="1" applyBorder="1"/>
    <xf numFmtId="0" fontId="13" fillId="0" borderId="83" xfId="0" applyFont="1" applyBorder="1"/>
    <xf numFmtId="5" fontId="13" fillId="0" borderId="83" xfId="0" applyNumberFormat="1" applyFont="1" applyBorder="1"/>
    <xf numFmtId="7" fontId="13" fillId="0" borderId="83" xfId="0" applyNumberFormat="1" applyFont="1" applyBorder="1"/>
    <xf numFmtId="173" fontId="13" fillId="0" borderId="109" xfId="1" applyNumberFormat="1" applyFont="1" applyBorder="1"/>
    <xf numFmtId="173" fontId="13" fillId="0" borderId="83" xfId="1" applyNumberFormat="1" applyFont="1" applyBorder="1"/>
    <xf numFmtId="0" fontId="35" fillId="0" borderId="83" xfId="0" applyFont="1" applyBorder="1"/>
    <xf numFmtId="0" fontId="13" fillId="0" borderId="110" xfId="0" applyFont="1" applyBorder="1"/>
    <xf numFmtId="0" fontId="26" fillId="11" borderId="72" xfId="0" applyFont="1" applyFill="1" applyBorder="1"/>
    <xf numFmtId="0" fontId="26" fillId="11" borderId="73" xfId="0" applyFont="1" applyFill="1" applyBorder="1"/>
    <xf numFmtId="0" fontId="26" fillId="11" borderId="73" xfId="0" applyFont="1" applyFill="1" applyBorder="1" applyAlignment="1">
      <alignment horizontal="right"/>
    </xf>
    <xf numFmtId="0" fontId="19" fillId="11" borderId="73" xfId="0" applyFont="1" applyFill="1" applyBorder="1"/>
    <xf numFmtId="0" fontId="19" fillId="11" borderId="73" xfId="0" applyFont="1" applyFill="1" applyBorder="1" applyAlignment="1">
      <alignment horizontal="right"/>
    </xf>
    <xf numFmtId="0" fontId="19" fillId="11" borderId="75" xfId="0" applyFont="1" applyFill="1" applyBorder="1"/>
    <xf numFmtId="0" fontId="12" fillId="0" borderId="80" xfId="0" applyFont="1" applyBorder="1"/>
    <xf numFmtId="0" fontId="14" fillId="0" borderId="0" xfId="0" applyFont="1"/>
    <xf numFmtId="5" fontId="14" fillId="0" borderId="0" xfId="0" applyNumberFormat="1" applyFont="1"/>
    <xf numFmtId="5" fontId="15" fillId="0" borderId="0" xfId="0" applyNumberFormat="1" applyFont="1"/>
    <xf numFmtId="211" fontId="14" fillId="0" borderId="0" xfId="0" applyNumberFormat="1" applyFont="1"/>
    <xf numFmtId="0" fontId="14" fillId="0" borderId="36" xfId="0" applyFont="1" applyBorder="1"/>
    <xf numFmtId="0" fontId="14" fillId="0" borderId="80" xfId="0" applyFont="1" applyBorder="1"/>
    <xf numFmtId="197" fontId="13" fillId="0" borderId="0" xfId="0" applyNumberFormat="1" applyFont="1"/>
    <xf numFmtId="0" fontId="19" fillId="0" borderId="111" xfId="0" applyFont="1" applyBorder="1"/>
    <xf numFmtId="211" fontId="13" fillId="0" borderId="83" xfId="0" applyNumberFormat="1" applyFont="1" applyBorder="1"/>
    <xf numFmtId="0" fontId="12" fillId="0" borderId="83" xfId="0" applyFont="1" applyBorder="1"/>
    <xf numFmtId="0" fontId="19" fillId="0" borderId="83" xfId="0" applyFont="1" applyBorder="1"/>
    <xf numFmtId="0" fontId="12" fillId="0" borderId="110" xfId="0" applyFont="1" applyBorder="1"/>
    <xf numFmtId="5" fontId="13" fillId="0" borderId="0" xfId="0" applyNumberFormat="1" applyFont="1"/>
    <xf numFmtId="0" fontId="53" fillId="11" borderId="0" xfId="0" applyFont="1" applyFill="1" applyAlignment="1">
      <alignment horizontal="left" vertical="center"/>
    </xf>
    <xf numFmtId="0" fontId="53" fillId="11" borderId="0" xfId="0" applyFont="1" applyFill="1" applyAlignment="1">
      <alignment horizontal="centerContinuous" vertical="center"/>
    </xf>
    <xf numFmtId="0" fontId="12" fillId="11" borderId="0" xfId="0" applyFont="1" applyFill="1"/>
    <xf numFmtId="0" fontId="52" fillId="0" borderId="0" xfId="0" applyFont="1" applyAlignment="1">
      <alignment horizontal="right" vertical="center" indent="1"/>
    </xf>
    <xf numFmtId="0" fontId="13" fillId="0" borderId="77" xfId="0" applyFont="1" applyBorder="1" applyAlignment="1">
      <alignment horizontal="center"/>
    </xf>
    <xf numFmtId="0" fontId="13" fillId="0" borderId="77" xfId="0" applyFont="1" applyBorder="1" applyAlignment="1">
      <alignment horizontal="center" vertical="center" wrapText="1"/>
    </xf>
    <xf numFmtId="0" fontId="13" fillId="0" borderId="77" xfId="0" applyFont="1" applyBorder="1" applyAlignment="1">
      <alignment horizontal="center" vertical="center"/>
    </xf>
    <xf numFmtId="10" fontId="12" fillId="13" borderId="0" xfId="1" applyNumberFormat="1" applyFont="1" applyFill="1" applyAlignment="1">
      <alignment horizontal="center"/>
    </xf>
    <xf numFmtId="10" fontId="13" fillId="0" borderId="0" xfId="1" applyNumberFormat="1" applyFont="1" applyAlignment="1">
      <alignment horizontal="center"/>
    </xf>
    <xf numFmtId="10" fontId="13" fillId="0" borderId="0" xfId="0" applyNumberFormat="1" applyFont="1" applyAlignment="1">
      <alignment horizontal="center"/>
    </xf>
    <xf numFmtId="0" fontId="12" fillId="13" borderId="0" xfId="0" applyFont="1" applyFill="1" applyAlignment="1">
      <alignment horizontal="center"/>
    </xf>
    <xf numFmtId="10" fontId="35" fillId="0" borderId="0" xfId="0" applyNumberFormat="1" applyFont="1" applyAlignment="1">
      <alignment horizontal="center"/>
    </xf>
    <xf numFmtId="0" fontId="13" fillId="0" borderId="72" xfId="0" applyFont="1" applyBorder="1"/>
    <xf numFmtId="0" fontId="13" fillId="0" borderId="75" xfId="0" applyFont="1" applyBorder="1" applyAlignment="1">
      <alignment horizontal="right"/>
    </xf>
    <xf numFmtId="205" fontId="12" fillId="0" borderId="0" xfId="0" applyNumberFormat="1" applyFont="1" applyAlignment="1">
      <alignment horizontal="center"/>
    </xf>
    <xf numFmtId="10" fontId="14" fillId="0" borderId="0" xfId="1" applyNumberFormat="1" applyFont="1" applyBorder="1" applyAlignment="1">
      <alignment horizontal="center"/>
    </xf>
    <xf numFmtId="173" fontId="14" fillId="0" borderId="82" xfId="1" applyNumberFormat="1" applyFont="1" applyBorder="1" applyAlignment="1">
      <alignment horizontal="right"/>
    </xf>
    <xf numFmtId="0" fontId="15" fillId="0" borderId="0" xfId="0" applyFont="1" applyAlignment="1">
      <alignment vertical="center"/>
    </xf>
    <xf numFmtId="5" fontId="12" fillId="0" borderId="0" xfId="1" applyNumberFormat="1" applyFont="1" applyBorder="1" applyAlignment="1">
      <alignment horizontal="right"/>
    </xf>
    <xf numFmtId="173" fontId="14" fillId="0" borderId="82" xfId="1" applyNumberFormat="1" applyFont="1" applyBorder="1"/>
    <xf numFmtId="5" fontId="14" fillId="0" borderId="82" xfId="1" applyNumberFormat="1" applyFont="1" applyBorder="1" applyAlignment="1">
      <alignment horizontal="right"/>
    </xf>
    <xf numFmtId="0" fontId="54" fillId="0" borderId="82" xfId="0" applyFont="1" applyBorder="1" applyAlignment="1">
      <alignment horizontal="right"/>
    </xf>
    <xf numFmtId="0" fontId="12" fillId="0" borderId="76" xfId="0" applyFont="1" applyBorder="1"/>
    <xf numFmtId="0" fontId="12" fillId="0" borderId="77" xfId="0" applyFont="1" applyBorder="1"/>
    <xf numFmtId="0" fontId="13" fillId="0" borderId="77" xfId="0" applyFont="1" applyBorder="1"/>
    <xf numFmtId="0" fontId="54" fillId="0" borderId="79" xfId="0" applyFont="1" applyBorder="1" applyAlignment="1">
      <alignment horizontal="right"/>
    </xf>
    <xf numFmtId="5" fontId="14" fillId="0" borderId="0" xfId="1" applyNumberFormat="1" applyFont="1" applyBorder="1" applyAlignment="1">
      <alignment horizontal="right"/>
    </xf>
    <xf numFmtId="9" fontId="12" fillId="0" borderId="0" xfId="1" applyFont="1"/>
    <xf numFmtId="212" fontId="12" fillId="0" borderId="0" xfId="0" applyNumberFormat="1" applyFont="1"/>
    <xf numFmtId="200" fontId="15" fillId="0" borderId="0" xfId="0" applyNumberFormat="1" applyFont="1"/>
    <xf numFmtId="170" fontId="15" fillId="0" borderId="0" xfId="0" applyNumberFormat="1" applyFont="1" applyAlignment="1">
      <alignment horizontal="center"/>
    </xf>
    <xf numFmtId="0" fontId="26" fillId="11" borderId="72" xfId="0" applyFont="1" applyFill="1" applyBorder="1" applyAlignment="1">
      <alignment horizontal="left" vertical="center"/>
    </xf>
    <xf numFmtId="0" fontId="26" fillId="11" borderId="73" xfId="0" applyFont="1" applyFill="1" applyBorder="1" applyAlignment="1">
      <alignment horizontal="centerContinuous" vertical="center"/>
    </xf>
    <xf numFmtId="0" fontId="26" fillId="11" borderId="75" xfId="0" applyFont="1" applyFill="1" applyBorder="1" applyAlignment="1">
      <alignment horizontal="centerContinuous" vertical="center"/>
    </xf>
    <xf numFmtId="0" fontId="26" fillId="14" borderId="73" xfId="0" applyFont="1" applyFill="1" applyBorder="1" applyAlignment="1">
      <alignment horizontal="center"/>
    </xf>
    <xf numFmtId="0" fontId="26" fillId="14" borderId="72" xfId="0" applyFont="1" applyFill="1" applyBorder="1"/>
    <xf numFmtId="0" fontId="26" fillId="14" borderId="73" xfId="0" applyFont="1" applyFill="1" applyBorder="1" applyAlignment="1">
      <alignment horizontal="right"/>
    </xf>
    <xf numFmtId="0" fontId="33" fillId="14" borderId="73" xfId="0" applyFont="1" applyFill="1" applyBorder="1" applyAlignment="1">
      <alignment horizontal="right"/>
    </xf>
    <xf numFmtId="0" fontId="33" fillId="14" borderId="75" xfId="0" applyFont="1" applyFill="1" applyBorder="1" applyAlignment="1">
      <alignment horizontal="right"/>
    </xf>
    <xf numFmtId="14" fontId="14" fillId="0" borderId="82" xfId="0" applyNumberFormat="1" applyFont="1" applyBorder="1"/>
    <xf numFmtId="0" fontId="35" fillId="11" borderId="80" xfId="0" applyFont="1" applyFill="1" applyBorder="1" applyAlignment="1">
      <alignment horizontal="left" wrapText="1"/>
    </xf>
    <xf numFmtId="0" fontId="26" fillId="11" borderId="0" xfId="0" applyFont="1" applyFill="1" applyAlignment="1">
      <alignment horizontal="left" wrapText="1"/>
    </xf>
    <xf numFmtId="0" fontId="26" fillId="11" borderId="119" xfId="0" applyFont="1" applyFill="1" applyBorder="1" applyAlignment="1">
      <alignment horizontal="center" wrapText="1"/>
    </xf>
    <xf numFmtId="0" fontId="26" fillId="11" borderId="71" xfId="0" applyFont="1" applyFill="1" applyBorder="1" applyAlignment="1">
      <alignment horizontal="right" wrapText="1"/>
    </xf>
    <xf numFmtId="0" fontId="33" fillId="11" borderId="71" xfId="0" applyFont="1" applyFill="1" applyBorder="1" applyAlignment="1">
      <alignment horizontal="right" wrapText="1"/>
    </xf>
    <xf numFmtId="0" fontId="26" fillId="11" borderId="120" xfId="0" applyFont="1" applyFill="1" applyBorder="1" applyAlignment="1">
      <alignment horizontal="right" wrapText="1"/>
    </xf>
    <xf numFmtId="0" fontId="15" fillId="0" borderId="80" xfId="0" applyFont="1" applyBorder="1"/>
    <xf numFmtId="173" fontId="36" fillId="0" borderId="0" xfId="1" applyNumberFormat="1" applyFont="1" applyFill="1" applyBorder="1" applyAlignment="1">
      <alignment horizontal="center"/>
    </xf>
    <xf numFmtId="170" fontId="15" fillId="0" borderId="0" xfId="0" applyNumberFormat="1" applyFont="1" applyAlignment="1">
      <alignment horizontal="right"/>
    </xf>
    <xf numFmtId="219" fontId="52" fillId="0" borderId="0" xfId="0" applyNumberFormat="1" applyFont="1" applyAlignment="1">
      <alignment horizontal="right"/>
    </xf>
    <xf numFmtId="170" fontId="52" fillId="0" borderId="82" xfId="0" applyNumberFormat="1" applyFont="1" applyBorder="1" applyAlignment="1">
      <alignment horizontal="right"/>
    </xf>
    <xf numFmtId="0" fontId="14" fillId="0" borderId="82" xfId="0" applyFont="1" applyBorder="1"/>
    <xf numFmtId="0" fontId="55" fillId="0" borderId="80" xfId="0" applyFont="1" applyBorder="1" applyAlignment="1">
      <alignment horizontal="left" wrapText="1"/>
    </xf>
    <xf numFmtId="0" fontId="40" fillId="0" borderId="0" xfId="0" applyFont="1" applyAlignment="1">
      <alignment horizontal="left" wrapText="1"/>
    </xf>
    <xf numFmtId="0" fontId="35" fillId="0" borderId="36" xfId="0" applyFont="1" applyBorder="1" applyAlignment="1">
      <alignment horizontal="right" wrapText="1"/>
    </xf>
    <xf numFmtId="0" fontId="56" fillId="0" borderId="0" xfId="0" applyFont="1" applyAlignment="1">
      <alignment horizontal="right" wrapText="1"/>
    </xf>
    <xf numFmtId="0" fontId="15" fillId="0" borderId="82" xfId="0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57" fillId="0" borderId="80" xfId="0" applyFont="1" applyBorder="1"/>
    <xf numFmtId="170" fontId="36" fillId="0" borderId="36" xfId="0" applyNumberFormat="1" applyFont="1" applyBorder="1" applyAlignment="1">
      <alignment horizontal="right"/>
    </xf>
    <xf numFmtId="170" fontId="52" fillId="0" borderId="0" xfId="0" applyNumberFormat="1" applyFont="1" applyAlignment="1">
      <alignment horizontal="right"/>
    </xf>
    <xf numFmtId="0" fontId="14" fillId="0" borderId="82" xfId="0" applyFont="1" applyBorder="1" applyAlignment="1">
      <alignment horizontal="right"/>
    </xf>
    <xf numFmtId="0" fontId="35" fillId="0" borderId="72" xfId="0" applyFont="1" applyBorder="1"/>
    <xf numFmtId="10" fontId="35" fillId="0" borderId="73" xfId="1" applyNumberFormat="1" applyFont="1" applyFill="1" applyBorder="1" applyAlignment="1">
      <alignment horizontal="center"/>
    </xf>
    <xf numFmtId="0" fontId="35" fillId="0" borderId="73" xfId="0" applyFont="1" applyBorder="1" applyAlignment="1">
      <alignment horizontal="center"/>
    </xf>
    <xf numFmtId="170" fontId="35" fillId="0" borderId="73" xfId="0" applyNumberFormat="1" applyFont="1" applyBorder="1" applyAlignment="1">
      <alignment horizontal="right"/>
    </xf>
    <xf numFmtId="170" fontId="56" fillId="0" borderId="73" xfId="0" applyNumberFormat="1" applyFont="1" applyBorder="1" applyAlignment="1">
      <alignment horizontal="right"/>
    </xf>
    <xf numFmtId="170" fontId="56" fillId="0" borderId="75" xfId="0" applyNumberFormat="1" applyFont="1" applyBorder="1" applyAlignment="1">
      <alignment horizontal="right"/>
    </xf>
    <xf numFmtId="0" fontId="35" fillId="0" borderId="80" xfId="0" applyFont="1" applyBorder="1"/>
    <xf numFmtId="10" fontId="35" fillId="0" borderId="0" xfId="1" applyNumberFormat="1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170" fontId="35" fillId="0" borderId="0" xfId="0" applyNumberFormat="1" applyFont="1" applyAlignment="1">
      <alignment horizontal="right"/>
    </xf>
    <xf numFmtId="170" fontId="56" fillId="0" borderId="0" xfId="0" applyNumberFormat="1" applyFont="1" applyAlignment="1">
      <alignment horizontal="right"/>
    </xf>
    <xf numFmtId="170" fontId="56" fillId="0" borderId="82" xfId="0" applyNumberFormat="1" applyFont="1" applyBorder="1" applyAlignment="1">
      <alignment horizontal="right"/>
    </xf>
    <xf numFmtId="5" fontId="14" fillId="0" borderId="82" xfId="0" applyNumberFormat="1" applyFont="1" applyBorder="1"/>
    <xf numFmtId="0" fontId="26" fillId="11" borderId="80" xfId="0" applyFont="1" applyFill="1" applyBorder="1"/>
    <xf numFmtId="0" fontId="26" fillId="11" borderId="0" xfId="0" applyFont="1" applyFill="1" applyAlignment="1">
      <alignment horizontal="center"/>
    </xf>
    <xf numFmtId="170" fontId="26" fillId="11" borderId="0" xfId="0" applyNumberFormat="1" applyFont="1" applyFill="1" applyAlignment="1">
      <alignment horizontal="right"/>
    </xf>
    <xf numFmtId="170" fontId="33" fillId="11" borderId="0" xfId="0" applyNumberFormat="1" applyFont="1" applyFill="1" applyAlignment="1">
      <alignment horizontal="right"/>
    </xf>
    <xf numFmtId="170" fontId="33" fillId="11" borderId="82" xfId="0" applyNumberFormat="1" applyFont="1" applyFill="1" applyBorder="1" applyAlignment="1">
      <alignment horizontal="right"/>
    </xf>
    <xf numFmtId="0" fontId="26" fillId="0" borderId="80" xfId="0" applyFont="1" applyBorder="1"/>
    <xf numFmtId="0" fontId="26" fillId="0" borderId="0" xfId="0" applyFont="1" applyAlignment="1">
      <alignment horizontal="center"/>
    </xf>
    <xf numFmtId="170" fontId="26" fillId="0" borderId="0" xfId="0" applyNumberFormat="1" applyFont="1" applyAlignment="1">
      <alignment horizontal="right"/>
    </xf>
    <xf numFmtId="170" fontId="33" fillId="0" borderId="0" xfId="0" applyNumberFormat="1" applyFont="1" applyAlignment="1">
      <alignment horizontal="right"/>
    </xf>
    <xf numFmtId="170" fontId="33" fillId="0" borderId="82" xfId="0" applyNumberFormat="1" applyFont="1" applyBorder="1" applyAlignment="1">
      <alignment horizontal="right"/>
    </xf>
    <xf numFmtId="0" fontId="13" fillId="0" borderId="121" xfId="0" applyFont="1" applyBorder="1"/>
    <xf numFmtId="0" fontId="12" fillId="0" borderId="7" xfId="0" applyFont="1" applyBorder="1"/>
    <xf numFmtId="5" fontId="35" fillId="0" borderId="122" xfId="0" applyNumberFormat="1" applyFont="1" applyBorder="1"/>
    <xf numFmtId="0" fontId="26" fillId="14" borderId="80" xfId="0" applyFont="1" applyFill="1" applyBorder="1"/>
    <xf numFmtId="0" fontId="26" fillId="14" borderId="0" xfId="0" applyFont="1" applyFill="1" applyAlignment="1">
      <alignment horizontal="center"/>
    </xf>
    <xf numFmtId="0" fontId="26" fillId="14" borderId="0" xfId="0" applyFont="1" applyFill="1" applyAlignment="1">
      <alignment horizontal="right"/>
    </xf>
    <xf numFmtId="0" fontId="33" fillId="14" borderId="0" xfId="0" applyFont="1" applyFill="1" applyAlignment="1">
      <alignment horizontal="right"/>
    </xf>
    <xf numFmtId="0" fontId="33" fillId="14" borderId="82" xfId="0" applyFont="1" applyFill="1" applyBorder="1" applyAlignment="1">
      <alignment horizontal="right"/>
    </xf>
    <xf numFmtId="0" fontId="13" fillId="0" borderId="7" xfId="0" applyFont="1" applyBorder="1"/>
    <xf numFmtId="0" fontId="35" fillId="0" borderId="73" xfId="0" applyFont="1" applyBorder="1"/>
    <xf numFmtId="170" fontId="35" fillId="0" borderId="107" xfId="0" applyNumberFormat="1" applyFont="1" applyBorder="1" applyAlignment="1">
      <alignment horizontal="right"/>
    </xf>
    <xf numFmtId="170" fontId="35" fillId="0" borderId="75" xfId="0" applyNumberFormat="1" applyFont="1" applyBorder="1" applyAlignment="1">
      <alignment horizontal="right"/>
    </xf>
    <xf numFmtId="220" fontId="36" fillId="0" borderId="0" xfId="1" applyNumberFormat="1" applyFont="1" applyFill="1" applyBorder="1" applyAlignment="1">
      <alignment horizontal="center"/>
    </xf>
    <xf numFmtId="221" fontId="14" fillId="0" borderId="82" xfId="1" applyNumberFormat="1" applyFont="1" applyBorder="1"/>
    <xf numFmtId="0" fontId="55" fillId="0" borderId="80" xfId="0" applyFont="1" applyBorder="1"/>
    <xf numFmtId="0" fontId="40" fillId="0" borderId="0" xfId="0" applyFont="1"/>
    <xf numFmtId="0" fontId="40" fillId="0" borderId="0" xfId="0" applyFont="1" applyAlignment="1">
      <alignment horizontal="center"/>
    </xf>
    <xf numFmtId="170" fontId="15" fillId="0" borderId="36" xfId="0" applyNumberFormat="1" applyFont="1" applyBorder="1" applyAlignment="1">
      <alignment horizontal="right"/>
    </xf>
    <xf numFmtId="170" fontId="15" fillId="0" borderId="82" xfId="0" applyNumberFormat="1" applyFont="1" applyBorder="1" applyAlignment="1">
      <alignment horizontal="right"/>
    </xf>
    <xf numFmtId="5" fontId="13" fillId="0" borderId="110" xfId="0" applyNumberFormat="1" applyFont="1" applyBorder="1"/>
    <xf numFmtId="173" fontId="35" fillId="0" borderId="73" xfId="1" applyNumberFormat="1" applyFont="1" applyFill="1" applyBorder="1" applyAlignment="1">
      <alignment horizontal="center"/>
    </xf>
    <xf numFmtId="0" fontId="15" fillId="0" borderId="73" xfId="0" applyFont="1" applyBorder="1" applyAlignment="1">
      <alignment horizontal="center"/>
    </xf>
    <xf numFmtId="0" fontId="23" fillId="0" borderId="80" xfId="0" applyFont="1" applyBorder="1"/>
    <xf numFmtId="173" fontId="35" fillId="0" borderId="0" xfId="1" applyNumberFormat="1" applyFont="1" applyFill="1" applyBorder="1" applyAlignment="1">
      <alignment horizontal="center"/>
    </xf>
    <xf numFmtId="5" fontId="12" fillId="0" borderId="82" xfId="0" applyNumberFormat="1" applyFont="1" applyBorder="1"/>
    <xf numFmtId="0" fontId="15" fillId="0" borderId="82" xfId="0" applyFont="1" applyBorder="1" applyAlignment="1">
      <alignment horizontal="center"/>
    </xf>
    <xf numFmtId="0" fontId="26" fillId="11" borderId="121" xfId="0" applyFont="1" applyFill="1" applyBorder="1"/>
    <xf numFmtId="0" fontId="26" fillId="11" borderId="7" xfId="0" applyFont="1" applyFill="1" applyBorder="1"/>
    <xf numFmtId="5" fontId="26" fillId="11" borderId="122" xfId="0" applyNumberFormat="1" applyFont="1" applyFill="1" applyBorder="1"/>
    <xf numFmtId="0" fontId="35" fillId="0" borderId="75" xfId="0" applyFont="1" applyBorder="1"/>
    <xf numFmtId="0" fontId="15" fillId="0" borderId="82" xfId="0" applyFont="1" applyBorder="1"/>
    <xf numFmtId="0" fontId="12" fillId="0" borderId="79" xfId="0" applyFont="1" applyBorder="1"/>
    <xf numFmtId="170" fontId="35" fillId="0" borderId="36" xfId="0" applyNumberFormat="1" applyFont="1" applyBorder="1" applyAlignment="1">
      <alignment horizontal="right"/>
    </xf>
    <xf numFmtId="170" fontId="35" fillId="0" borderId="82" xfId="0" applyNumberFormat="1" applyFont="1" applyBorder="1" applyAlignment="1">
      <alignment horizontal="right"/>
    </xf>
    <xf numFmtId="0" fontId="26" fillId="11" borderId="76" xfId="0" applyFont="1" applyFill="1" applyBorder="1"/>
    <xf numFmtId="0" fontId="26" fillId="11" borderId="77" xfId="0" applyFont="1" applyFill="1" applyBorder="1"/>
    <xf numFmtId="0" fontId="26" fillId="11" borderId="77" xfId="0" applyFont="1" applyFill="1" applyBorder="1" applyAlignment="1">
      <alignment horizontal="center"/>
    </xf>
    <xf numFmtId="170" fontId="26" fillId="11" borderId="77" xfId="0" applyNumberFormat="1" applyFont="1" applyFill="1" applyBorder="1" applyAlignment="1">
      <alignment horizontal="right"/>
    </xf>
    <xf numFmtId="170" fontId="33" fillId="11" borderId="77" xfId="0" applyNumberFormat="1" applyFont="1" applyFill="1" applyBorder="1" applyAlignment="1">
      <alignment horizontal="right"/>
    </xf>
    <xf numFmtId="170" fontId="26" fillId="11" borderId="79" xfId="0" applyNumberFormat="1" applyFont="1" applyFill="1" applyBorder="1" applyAlignment="1">
      <alignment horizontal="right"/>
    </xf>
    <xf numFmtId="0" fontId="52" fillId="0" borderId="76" xfId="0" applyFont="1" applyBorder="1"/>
    <xf numFmtId="0" fontId="52" fillId="0" borderId="79" xfId="0" applyFont="1" applyBorder="1"/>
    <xf numFmtId="0" fontId="15" fillId="0" borderId="77" xfId="0" applyFont="1" applyBorder="1" applyAlignment="1">
      <alignment horizontal="center"/>
    </xf>
    <xf numFmtId="0" fontId="15" fillId="0" borderId="77" xfId="0" applyFont="1" applyBorder="1"/>
    <xf numFmtId="0" fontId="15" fillId="0" borderId="79" xfId="0" applyFont="1" applyBorder="1" applyAlignment="1">
      <alignment horizontal="center"/>
    </xf>
    <xf numFmtId="0" fontId="13" fillId="0" borderId="72" xfId="0" applyFont="1" applyBorder="1" applyAlignment="1">
      <alignment horizontal="left" indent="1"/>
    </xf>
    <xf numFmtId="0" fontId="13" fillId="0" borderId="75" xfId="0" applyFont="1" applyBorder="1"/>
    <xf numFmtId="173" fontId="14" fillId="0" borderId="0" xfId="0" applyNumberFormat="1" applyFont="1" applyAlignment="1">
      <alignment horizontal="right"/>
    </xf>
    <xf numFmtId="0" fontId="12" fillId="0" borderId="80" xfId="0" applyFont="1" applyBorder="1" applyAlignment="1">
      <alignment horizontal="left" indent="1"/>
    </xf>
    <xf numFmtId="0" fontId="36" fillId="0" borderId="0" xfId="0" applyFont="1"/>
    <xf numFmtId="9" fontId="56" fillId="0" borderId="0" xfId="1" applyFont="1" applyFill="1" applyBorder="1" applyAlignment="1">
      <alignment horizontal="right"/>
    </xf>
    <xf numFmtId="221" fontId="14" fillId="0" borderId="0" xfId="1" applyNumberFormat="1" applyFont="1" applyFill="1" applyBorder="1"/>
    <xf numFmtId="0" fontId="12" fillId="0" borderId="76" xfId="0" applyFont="1" applyBorder="1" applyAlignment="1">
      <alignment horizontal="left" indent="1"/>
    </xf>
    <xf numFmtId="5" fontId="12" fillId="0" borderId="79" xfId="0" applyNumberFormat="1" applyFont="1" applyBorder="1"/>
    <xf numFmtId="10" fontId="13" fillId="0" borderId="0" xfId="1" applyNumberFormat="1" applyFont="1" applyFill="1" applyBorder="1"/>
    <xf numFmtId="0" fontId="26" fillId="0" borderId="0" xfId="0" applyFont="1"/>
    <xf numFmtId="7" fontId="26" fillId="0" borderId="0" xfId="0" applyNumberFormat="1" applyFont="1"/>
    <xf numFmtId="0" fontId="12" fillId="0" borderId="0" xfId="0" applyFont="1" applyAlignment="1">
      <alignment vertical="center"/>
    </xf>
    <xf numFmtId="0" fontId="23" fillId="0" borderId="0" xfId="0" applyFont="1"/>
    <xf numFmtId="197" fontId="19" fillId="0" borderId="0" xfId="0" applyNumberFormat="1" applyFont="1"/>
    <xf numFmtId="14" fontId="12" fillId="0" borderId="0" xfId="0" applyNumberFormat="1" applyFont="1"/>
    <xf numFmtId="199" fontId="24" fillId="0" borderId="0" xfId="0" applyNumberFormat="1" applyFont="1"/>
    <xf numFmtId="37" fontId="13" fillId="0" borderId="0" xfId="0" applyNumberFormat="1" applyFont="1"/>
    <xf numFmtId="0" fontId="58" fillId="0" borderId="72" xfId="0" applyFont="1" applyBorder="1"/>
    <xf numFmtId="0" fontId="32" fillId="0" borderId="73" xfId="0" applyFont="1" applyBorder="1"/>
    <xf numFmtId="0" fontId="23" fillId="0" borderId="74" xfId="0" applyFont="1" applyBorder="1" applyAlignment="1">
      <alignment horizontal="center"/>
    </xf>
    <xf numFmtId="0" fontId="23" fillId="0" borderId="73" xfId="0" applyFont="1" applyBorder="1" applyAlignment="1">
      <alignment horizontal="center"/>
    </xf>
    <xf numFmtId="205" fontId="13" fillId="0" borderId="0" xfId="0" applyNumberFormat="1" applyFont="1"/>
    <xf numFmtId="0" fontId="13" fillId="0" borderId="76" xfId="0" applyFont="1" applyBorder="1"/>
    <xf numFmtId="0" fontId="13" fillId="0" borderId="77" xfId="0" applyFont="1" applyBorder="1" applyAlignment="1">
      <alignment horizontal="right"/>
    </xf>
    <xf numFmtId="0" fontId="13" fillId="0" borderId="78" xfId="0" applyFont="1" applyBorder="1" applyAlignment="1">
      <alignment horizontal="right"/>
    </xf>
    <xf numFmtId="206" fontId="36" fillId="0" borderId="78" xfId="0" applyNumberFormat="1" applyFont="1" applyBorder="1" applyAlignment="1">
      <alignment horizontal="right"/>
    </xf>
    <xf numFmtId="0" fontId="13" fillId="0" borderId="79" xfId="0" applyFont="1" applyBorder="1" applyAlignment="1">
      <alignment horizontal="right"/>
    </xf>
    <xf numFmtId="0" fontId="13" fillId="0" borderId="76" xfId="0" applyFont="1" applyBorder="1" applyAlignment="1">
      <alignment horizontal="right"/>
    </xf>
    <xf numFmtId="207" fontId="13" fillId="0" borderId="0" xfId="0" applyNumberFormat="1" applyFont="1"/>
    <xf numFmtId="37" fontId="12" fillId="0" borderId="81" xfId="0" applyNumberFormat="1" applyFont="1" applyBorder="1"/>
    <xf numFmtId="5" fontId="12" fillId="0" borderId="81" xfId="0" applyNumberFormat="1" applyFont="1" applyBorder="1" applyAlignment="1">
      <alignment horizontal="right"/>
    </xf>
    <xf numFmtId="5" fontId="12" fillId="0" borderId="81" xfId="0" applyNumberFormat="1" applyFont="1" applyBorder="1"/>
    <xf numFmtId="37" fontId="12" fillId="0" borderId="82" xfId="0" applyNumberFormat="1" applyFont="1" applyBorder="1"/>
    <xf numFmtId="5" fontId="14" fillId="0" borderId="80" xfId="0" applyNumberFormat="1" applyFont="1" applyBorder="1"/>
    <xf numFmtId="5" fontId="14" fillId="0" borderId="81" xfId="0" applyNumberFormat="1" applyFont="1" applyBorder="1"/>
    <xf numFmtId="7" fontId="12" fillId="0" borderId="82" xfId="0" applyNumberFormat="1" applyFont="1" applyBorder="1"/>
    <xf numFmtId="10" fontId="12" fillId="0" borderId="0" xfId="0" applyNumberFormat="1" applyFont="1"/>
    <xf numFmtId="9" fontId="36" fillId="0" borderId="0" xfId="1" applyFont="1"/>
    <xf numFmtId="0" fontId="12" fillId="0" borderId="72" xfId="0" applyFont="1" applyBorder="1"/>
    <xf numFmtId="37" fontId="12" fillId="0" borderId="73" xfId="0" applyNumberFormat="1" applyFont="1" applyBorder="1"/>
    <xf numFmtId="37" fontId="12" fillId="0" borderId="75" xfId="0" applyNumberFormat="1" applyFont="1" applyBorder="1"/>
    <xf numFmtId="37" fontId="12" fillId="0" borderId="77" xfId="0" applyNumberFormat="1" applyFont="1" applyBorder="1"/>
    <xf numFmtId="37" fontId="12" fillId="0" borderId="79" xfId="0" applyNumberFormat="1" applyFont="1" applyBorder="1"/>
    <xf numFmtId="10" fontId="40" fillId="0" borderId="0" xfId="1" applyNumberFormat="1" applyFont="1"/>
    <xf numFmtId="0" fontId="32" fillId="0" borderId="0" xfId="0" applyFont="1"/>
    <xf numFmtId="37" fontId="32" fillId="0" borderId="0" xfId="0" applyNumberFormat="1" applyFont="1"/>
    <xf numFmtId="37" fontId="13" fillId="0" borderId="83" xfId="0" applyNumberFormat="1" applyFont="1" applyBorder="1"/>
    <xf numFmtId="37" fontId="36" fillId="0" borderId="83" xfId="0" applyNumberFormat="1" applyFont="1" applyBorder="1"/>
    <xf numFmtId="0" fontId="13" fillId="0" borderId="84" xfId="0" applyFont="1" applyBorder="1"/>
    <xf numFmtId="37" fontId="13" fillId="0" borderId="85" xfId="0" applyNumberFormat="1" applyFont="1" applyBorder="1"/>
    <xf numFmtId="0" fontId="13" fillId="0" borderId="85" xfId="0" applyFont="1" applyBorder="1"/>
    <xf numFmtId="37" fontId="13" fillId="0" borderId="86" xfId="0" applyNumberFormat="1" applyFont="1" applyBorder="1"/>
    <xf numFmtId="10" fontId="13" fillId="0" borderId="85" xfId="1" applyNumberFormat="1" applyFont="1" applyBorder="1"/>
    <xf numFmtId="5" fontId="13" fillId="0" borderId="86" xfId="0" applyNumberFormat="1" applyFont="1" applyBorder="1"/>
    <xf numFmtId="7" fontId="13" fillId="0" borderId="85" xfId="0" applyNumberFormat="1" applyFont="1" applyBorder="1"/>
    <xf numFmtId="37" fontId="13" fillId="0" borderId="87" xfId="0" applyNumberFormat="1" applyFont="1" applyBorder="1"/>
    <xf numFmtId="5" fontId="13" fillId="0" borderId="84" xfId="0" applyNumberFormat="1" applyFont="1" applyBorder="1"/>
    <xf numFmtId="7" fontId="13" fillId="0" borderId="87" xfId="0" applyNumberFormat="1" applyFont="1" applyBorder="1"/>
    <xf numFmtId="5" fontId="13" fillId="0" borderId="87" xfId="0" applyNumberFormat="1" applyFont="1" applyBorder="1"/>
    <xf numFmtId="0" fontId="13" fillId="0" borderId="88" xfId="0" applyFont="1" applyBorder="1"/>
    <xf numFmtId="0" fontId="13" fillId="0" borderId="89" xfId="0" applyFont="1" applyBorder="1"/>
    <xf numFmtId="37" fontId="13" fillId="0" borderId="89" xfId="0" applyNumberFormat="1" applyFont="1" applyBorder="1"/>
    <xf numFmtId="0" fontId="13" fillId="0" borderId="90" xfId="0" applyFont="1" applyBorder="1"/>
    <xf numFmtId="5" fontId="13" fillId="0" borderId="90" xfId="0" applyNumberFormat="1" applyFont="1" applyBorder="1"/>
    <xf numFmtId="170" fontId="13" fillId="0" borderId="89" xfId="0" applyNumberFormat="1" applyFont="1" applyBorder="1"/>
    <xf numFmtId="170" fontId="13" fillId="0" borderId="90" xfId="0" applyNumberFormat="1" applyFont="1" applyBorder="1"/>
    <xf numFmtId="0" fontId="13" fillId="0" borderId="91" xfId="0" applyFont="1" applyBorder="1"/>
    <xf numFmtId="5" fontId="13" fillId="0" borderId="88" xfId="0" applyNumberFormat="1" applyFont="1" applyBorder="1"/>
    <xf numFmtId="201" fontId="13" fillId="0" borderId="89" xfId="0" applyNumberFormat="1" applyFont="1" applyBorder="1"/>
    <xf numFmtId="201" fontId="13" fillId="0" borderId="91" xfId="0" applyNumberFormat="1" applyFont="1" applyBorder="1"/>
    <xf numFmtId="0" fontId="13" fillId="0" borderId="92" xfId="0" applyFont="1" applyBorder="1"/>
    <xf numFmtId="0" fontId="12" fillId="0" borderId="93" xfId="0" applyFont="1" applyBorder="1"/>
    <xf numFmtId="5" fontId="13" fillId="0" borderId="94" xfId="0" applyNumberFormat="1" applyFont="1" applyBorder="1"/>
    <xf numFmtId="9" fontId="24" fillId="0" borderId="0" xfId="1" applyFont="1"/>
    <xf numFmtId="0" fontId="13" fillId="0" borderId="93" xfId="0" applyFont="1" applyBorder="1"/>
    <xf numFmtId="0" fontId="13" fillId="0" borderId="95" xfId="0" applyFont="1" applyBorder="1"/>
    <xf numFmtId="5" fontId="13" fillId="0" borderId="95" xfId="0" applyNumberFormat="1" applyFont="1" applyBorder="1"/>
    <xf numFmtId="170" fontId="13" fillId="0" borderId="93" xfId="0" applyNumberFormat="1" applyFont="1" applyBorder="1"/>
    <xf numFmtId="170" fontId="13" fillId="0" borderId="95" xfId="0" applyNumberFormat="1" applyFont="1" applyBorder="1"/>
    <xf numFmtId="0" fontId="13" fillId="0" borderId="94" xfId="0" applyFont="1" applyBorder="1"/>
    <xf numFmtId="5" fontId="13" fillId="0" borderId="92" xfId="0" applyNumberFormat="1" applyFont="1" applyBorder="1"/>
    <xf numFmtId="201" fontId="13" fillId="0" borderId="93" xfId="0" applyNumberFormat="1" applyFont="1" applyBorder="1"/>
    <xf numFmtId="201" fontId="13" fillId="0" borderId="94" xfId="0" applyNumberFormat="1" applyFont="1" applyBorder="1"/>
    <xf numFmtId="0" fontId="13" fillId="0" borderId="73" xfId="0" applyFont="1" applyBorder="1" applyAlignment="1">
      <alignment horizontal="right"/>
    </xf>
    <xf numFmtId="0" fontId="23" fillId="0" borderId="73" xfId="0" applyFont="1" applyBorder="1" applyAlignment="1">
      <alignment horizontal="right"/>
    </xf>
    <xf numFmtId="0" fontId="23" fillId="0" borderId="74" xfId="0" applyFont="1" applyBorder="1" applyAlignment="1">
      <alignment horizontal="right"/>
    </xf>
    <xf numFmtId="0" fontId="23" fillId="0" borderId="73" xfId="0" applyFont="1" applyBorder="1"/>
    <xf numFmtId="0" fontId="23" fillId="0" borderId="96" xfId="0" applyFont="1" applyBorder="1" applyAlignment="1">
      <alignment horizontal="right"/>
    </xf>
    <xf numFmtId="0" fontId="23" fillId="0" borderId="72" xfId="0" applyFont="1" applyBorder="1" applyAlignment="1">
      <alignment horizontal="left"/>
    </xf>
    <xf numFmtId="0" fontId="13" fillId="5" borderId="0" xfId="0" applyFont="1" applyFill="1" applyAlignment="1">
      <alignment horizontal="right"/>
    </xf>
    <xf numFmtId="0" fontId="13" fillId="0" borderId="78" xfId="0" applyFont="1" applyBorder="1" applyAlignment="1">
      <alignment horizontal="right" wrapText="1"/>
    </xf>
    <xf numFmtId="0" fontId="13" fillId="0" borderId="98" xfId="0" applyFont="1" applyBorder="1" applyAlignment="1">
      <alignment horizontal="right"/>
    </xf>
    <xf numFmtId="0" fontId="13" fillId="0" borderId="76" xfId="0" applyFont="1" applyBorder="1" applyAlignment="1">
      <alignment horizontal="left"/>
    </xf>
    <xf numFmtId="5" fontId="12" fillId="0" borderId="99" xfId="0" applyNumberFormat="1" applyFont="1" applyBorder="1"/>
    <xf numFmtId="10" fontId="12" fillId="0" borderId="82" xfId="1" applyNumberFormat="1" applyFont="1" applyBorder="1"/>
    <xf numFmtId="0" fontId="12" fillId="0" borderId="80" xfId="0" applyFont="1" applyBorder="1" applyAlignment="1">
      <alignment horizontal="left"/>
    </xf>
    <xf numFmtId="0" fontId="36" fillId="0" borderId="0" xfId="0" applyFont="1" applyAlignment="1">
      <alignment horizontal="center"/>
    </xf>
    <xf numFmtId="208" fontId="12" fillId="0" borderId="0" xfId="0" applyNumberFormat="1" applyFont="1"/>
    <xf numFmtId="5" fontId="24" fillId="0" borderId="0" xfId="0" applyNumberFormat="1" applyFont="1"/>
    <xf numFmtId="7" fontId="24" fillId="0" borderId="0" xfId="0" applyNumberFormat="1" applyFont="1"/>
    <xf numFmtId="0" fontId="13" fillId="0" borderId="73" xfId="0" applyFont="1" applyBorder="1"/>
    <xf numFmtId="5" fontId="13" fillId="0" borderId="73" xfId="0" applyNumberFormat="1" applyFont="1" applyBorder="1"/>
    <xf numFmtId="209" fontId="12" fillId="0" borderId="0" xfId="1" applyNumberFormat="1" applyFont="1"/>
    <xf numFmtId="5" fontId="13" fillId="0" borderId="85" xfId="0" applyNumberFormat="1" applyFont="1" applyBorder="1"/>
    <xf numFmtId="5" fontId="13" fillId="0" borderId="100" xfId="0" applyNumberFormat="1" applyFont="1" applyBorder="1"/>
    <xf numFmtId="10" fontId="13" fillId="0" borderId="87" xfId="1" applyNumberFormat="1" applyFont="1" applyBorder="1"/>
    <xf numFmtId="0" fontId="13" fillId="0" borderId="84" xfId="0" applyFont="1" applyBorder="1" applyAlignment="1">
      <alignment horizontal="left"/>
    </xf>
    <xf numFmtId="5" fontId="13" fillId="0" borderId="89" xfId="0" applyNumberFormat="1" applyFont="1" applyBorder="1"/>
    <xf numFmtId="10" fontId="13" fillId="0" borderId="89" xfId="1" applyNumberFormat="1" applyFont="1" applyBorder="1"/>
    <xf numFmtId="5" fontId="13" fillId="0" borderId="101" xfId="0" applyNumberFormat="1" applyFont="1" applyBorder="1"/>
    <xf numFmtId="0" fontId="12" fillId="0" borderId="89" xfId="0" applyFont="1" applyBorder="1"/>
    <xf numFmtId="5" fontId="13" fillId="0" borderId="91" xfId="0" applyNumberFormat="1" applyFont="1" applyBorder="1"/>
    <xf numFmtId="5" fontId="13" fillId="0" borderId="93" xfId="0" applyNumberFormat="1" applyFont="1" applyBorder="1"/>
    <xf numFmtId="5" fontId="13" fillId="0" borderId="102" xfId="0" applyNumberFormat="1" applyFont="1" applyBorder="1"/>
    <xf numFmtId="0" fontId="23" fillId="0" borderId="75" xfId="0" applyFont="1" applyBorder="1" applyAlignment="1">
      <alignment horizontal="right"/>
    </xf>
    <xf numFmtId="173" fontId="12" fillId="0" borderId="82" xfId="1" applyNumberFormat="1" applyFont="1" applyBorder="1"/>
    <xf numFmtId="173" fontId="12" fillId="0" borderId="0" xfId="1" applyNumberFormat="1" applyFont="1"/>
    <xf numFmtId="173" fontId="13" fillId="0" borderId="75" xfId="1" applyNumberFormat="1" applyFont="1" applyBorder="1"/>
    <xf numFmtId="210" fontId="12" fillId="0" borderId="0" xfId="1" applyNumberFormat="1" applyFont="1"/>
    <xf numFmtId="190" fontId="12" fillId="0" borderId="0" xfId="1" applyNumberFormat="1" applyFont="1"/>
    <xf numFmtId="0" fontId="13" fillId="0" borderId="103" xfId="0" applyFont="1" applyBorder="1"/>
    <xf numFmtId="0" fontId="13" fillId="0" borderId="104" xfId="0" applyFont="1" applyBorder="1"/>
    <xf numFmtId="5" fontId="13" fillId="0" borderId="104" xfId="0" applyNumberFormat="1" applyFont="1" applyBorder="1"/>
    <xf numFmtId="173" fontId="13" fillId="0" borderId="105" xfId="1" applyNumberFormat="1" applyFont="1" applyBorder="1"/>
    <xf numFmtId="0" fontId="23" fillId="0" borderId="72" xfId="0" applyFont="1" applyBorder="1"/>
    <xf numFmtId="5" fontId="12" fillId="0" borderId="80" xfId="0" applyNumberFormat="1" applyFont="1" applyBorder="1"/>
    <xf numFmtId="5" fontId="13" fillId="0" borderId="103" xfId="0" applyNumberFormat="1" applyFont="1" applyBorder="1"/>
    <xf numFmtId="5" fontId="13" fillId="0" borderId="105" xfId="0" applyNumberFormat="1" applyFont="1" applyBorder="1"/>
    <xf numFmtId="5" fontId="59" fillId="0" borderId="0" xfId="0" applyNumberFormat="1" applyFont="1"/>
    <xf numFmtId="190" fontId="12" fillId="0" borderId="0" xfId="0" applyNumberFormat="1" applyFont="1"/>
    <xf numFmtId="0" fontId="13" fillId="0" borderId="80" xfId="0" applyFont="1" applyBorder="1"/>
    <xf numFmtId="5" fontId="13" fillId="0" borderId="82" xfId="0" applyNumberFormat="1" applyFont="1" applyBorder="1"/>
    <xf numFmtId="0" fontId="58" fillId="0" borderId="0" xfId="0" applyFont="1"/>
    <xf numFmtId="173" fontId="12" fillId="0" borderId="0" xfId="0" applyNumberFormat="1" applyFont="1"/>
    <xf numFmtId="0" fontId="24" fillId="0" borderId="80" xfId="0" applyFont="1" applyBorder="1"/>
    <xf numFmtId="173" fontId="24" fillId="0" borderId="0" xfId="1" applyNumberFormat="1" applyFont="1" applyBorder="1"/>
    <xf numFmtId="173" fontId="24" fillId="0" borderId="82" xfId="1" applyNumberFormat="1" applyFont="1" applyBorder="1"/>
    <xf numFmtId="0" fontId="59" fillId="0" borderId="0" xfId="0" applyFont="1"/>
    <xf numFmtId="0" fontId="60" fillId="0" borderId="0" xfId="0" applyFont="1"/>
    <xf numFmtId="197" fontId="12" fillId="0" borderId="0" xfId="0" applyNumberFormat="1" applyFont="1" applyAlignment="1">
      <alignment horizontal="left"/>
    </xf>
    <xf numFmtId="37" fontId="24" fillId="0" borderId="0" xfId="0" applyNumberFormat="1" applyFont="1"/>
    <xf numFmtId="37" fontId="24" fillId="0" borderId="82" xfId="0" applyNumberFormat="1" applyFont="1" applyBorder="1"/>
    <xf numFmtId="37" fontId="13" fillId="0" borderId="82" xfId="0" applyNumberFormat="1" applyFont="1" applyBorder="1"/>
    <xf numFmtId="0" fontId="24" fillId="0" borderId="80" xfId="0" applyFont="1" applyBorder="1" applyAlignment="1">
      <alignment horizontal="right"/>
    </xf>
    <xf numFmtId="0" fontId="20" fillId="0" borderId="80" xfId="0" applyFont="1" applyBorder="1"/>
    <xf numFmtId="197" fontId="12" fillId="0" borderId="77" xfId="0" applyNumberFormat="1" applyFont="1" applyBorder="1"/>
    <xf numFmtId="197" fontId="12" fillId="0" borderId="79" xfId="0" applyNumberFormat="1" applyFont="1" applyBorder="1"/>
    <xf numFmtId="10" fontId="12" fillId="0" borderId="77" xfId="1" applyNumberFormat="1" applyFont="1" applyBorder="1"/>
    <xf numFmtId="173" fontId="12" fillId="0" borderId="77" xfId="1" applyNumberFormat="1" applyFont="1" applyBorder="1"/>
    <xf numFmtId="173" fontId="12" fillId="0" borderId="79" xfId="1" applyNumberFormat="1" applyFont="1" applyBorder="1"/>
    <xf numFmtId="10" fontId="12" fillId="0" borderId="0" xfId="1" applyNumberFormat="1" applyFont="1" applyAlignment="1">
      <alignment horizontal="right"/>
    </xf>
    <xf numFmtId="3" fontId="12" fillId="0" borderId="0" xfId="1" applyNumberFormat="1" applyFont="1" applyAlignment="1">
      <alignment horizontal="right"/>
    </xf>
    <xf numFmtId="0" fontId="23" fillId="0" borderId="0" xfId="0" applyFont="1" applyAlignment="1">
      <alignment horizontal="center"/>
    </xf>
    <xf numFmtId="37" fontId="57" fillId="0" borderId="0" xfId="0" applyNumberFormat="1" applyFont="1"/>
    <xf numFmtId="39" fontId="12" fillId="0" borderId="0" xfId="0" applyNumberFormat="1" applyFont="1"/>
    <xf numFmtId="37" fontId="13" fillId="0" borderId="7" xfId="0" applyNumberFormat="1" applyFont="1" applyBorder="1"/>
    <xf numFmtId="37" fontId="35" fillId="0" borderId="7" xfId="0" applyNumberFormat="1" applyFont="1" applyBorder="1"/>
    <xf numFmtId="223" fontId="35" fillId="0" borderId="0" xfId="0" applyNumberFormat="1" applyFont="1"/>
    <xf numFmtId="173" fontId="13" fillId="0" borderId="0" xfId="1" applyNumberFormat="1" applyFont="1"/>
    <xf numFmtId="223" fontId="15" fillId="0" borderId="0" xfId="0" applyNumberFormat="1" applyFont="1"/>
    <xf numFmtId="9" fontId="13" fillId="0" borderId="7" xfId="1" applyFont="1" applyBorder="1"/>
    <xf numFmtId="0" fontId="14" fillId="0" borderId="7" xfId="0" applyFont="1" applyBorder="1"/>
    <xf numFmtId="10" fontId="14" fillId="0" borderId="0" xfId="1" applyNumberFormat="1" applyFont="1" applyBorder="1"/>
    <xf numFmtId="173" fontId="14" fillId="0" borderId="0" xfId="1" applyNumberFormat="1" applyFont="1"/>
    <xf numFmtId="37" fontId="15" fillId="0" borderId="0" xfId="0" applyNumberFormat="1" applyFont="1"/>
    <xf numFmtId="173" fontId="15" fillId="0" borderId="0" xfId="1" applyNumberFormat="1" applyFont="1"/>
    <xf numFmtId="10" fontId="15" fillId="0" borderId="0" xfId="1" applyNumberFormat="1" applyFont="1"/>
    <xf numFmtId="224" fontId="15" fillId="0" borderId="0" xfId="1" applyNumberFormat="1" applyFont="1" applyBorder="1"/>
    <xf numFmtId="202" fontId="15" fillId="0" borderId="0" xfId="0" applyNumberFormat="1" applyFont="1"/>
    <xf numFmtId="0" fontId="24" fillId="0" borderId="7" xfId="0" applyFont="1" applyBorder="1"/>
    <xf numFmtId="37" fontId="12" fillId="0" borderId="7" xfId="0" applyNumberFormat="1" applyFont="1" applyBorder="1"/>
    <xf numFmtId="37" fontId="12" fillId="0" borderId="0" xfId="1" applyNumberFormat="1" applyFont="1"/>
    <xf numFmtId="10" fontId="12" fillId="0" borderId="7" xfId="1" applyNumberFormat="1" applyFont="1" applyBorder="1"/>
    <xf numFmtId="37" fontId="15" fillId="0" borderId="7" xfId="0" applyNumberFormat="1" applyFont="1" applyBorder="1"/>
    <xf numFmtId="202" fontId="14" fillId="0" borderId="0" xfId="0" applyNumberFormat="1" applyFont="1"/>
    <xf numFmtId="37" fontId="35" fillId="0" borderId="0" xfId="0" applyNumberFormat="1" applyFont="1"/>
    <xf numFmtId="10" fontId="13" fillId="0" borderId="0" xfId="1" applyNumberFormat="1" applyFont="1" applyBorder="1"/>
    <xf numFmtId="0" fontId="14" fillId="0" borderId="0" xfId="0" applyFont="1" applyAlignment="1">
      <alignment horizontal="right"/>
    </xf>
    <xf numFmtId="10" fontId="12" fillId="0" borderId="83" xfId="1" applyNumberFormat="1" applyFont="1" applyBorder="1"/>
    <xf numFmtId="37" fontId="35" fillId="0" borderId="83" xfId="0" applyNumberFormat="1" applyFont="1" applyBorder="1"/>
    <xf numFmtId="37" fontId="12" fillId="0" borderId="83" xfId="0" applyNumberFormat="1" applyFont="1" applyBorder="1"/>
    <xf numFmtId="207" fontId="14" fillId="0" borderId="0" xfId="0" applyNumberFormat="1" applyFont="1"/>
    <xf numFmtId="0" fontId="13" fillId="0" borderId="8" xfId="0" applyFont="1" applyBorder="1"/>
    <xf numFmtId="0" fontId="12" fillId="0" borderId="8" xfId="0" applyFont="1" applyBorder="1"/>
    <xf numFmtId="37" fontId="35" fillId="0" borderId="8" xfId="0" applyNumberFormat="1" applyFont="1" applyBorder="1"/>
    <xf numFmtId="9" fontId="38" fillId="0" borderId="0" xfId="1" applyFont="1"/>
    <xf numFmtId="37" fontId="61" fillId="0" borderId="0" xfId="0" applyNumberFormat="1" applyFont="1"/>
    <xf numFmtId="37" fontId="38" fillId="0" borderId="0" xfId="0" applyNumberFormat="1" applyFont="1"/>
    <xf numFmtId="223" fontId="52" fillId="0" borderId="0" xfId="0" applyNumberFormat="1" applyFont="1"/>
    <xf numFmtId="10" fontId="24" fillId="0" borderId="0" xfId="1" applyNumberFormat="1" applyFont="1" applyBorder="1"/>
    <xf numFmtId="0" fontId="32" fillId="0" borderId="0" xfId="0" applyFont="1" applyAlignment="1">
      <alignment horizontal="right"/>
    </xf>
    <xf numFmtId="37" fontId="13" fillId="0" borderId="8" xfId="0" applyNumberFormat="1" applyFont="1" applyBorder="1"/>
    <xf numFmtId="9" fontId="14" fillId="0" borderId="0" xfId="1" applyFont="1"/>
    <xf numFmtId="37" fontId="52" fillId="0" borderId="0" xfId="0" applyNumberFormat="1" applyFont="1"/>
    <xf numFmtId="0" fontId="12" fillId="3" borderId="0" xfId="0" applyFont="1" applyFill="1"/>
    <xf numFmtId="0" fontId="12" fillId="4" borderId="0" xfId="0" applyFont="1" applyFill="1"/>
    <xf numFmtId="0" fontId="34" fillId="3" borderId="13" xfId="0" applyFont="1" applyFill="1" applyBorder="1" applyAlignment="1">
      <alignment vertical="top"/>
    </xf>
    <xf numFmtId="0" fontId="21" fillId="3" borderId="14" xfId="0" applyFont="1" applyFill="1" applyBorder="1" applyAlignment="1">
      <alignment vertical="top"/>
    </xf>
    <xf numFmtId="0" fontId="22" fillId="3" borderId="14" xfId="0" applyFont="1" applyFill="1" applyBorder="1"/>
    <xf numFmtId="0" fontId="21" fillId="3" borderId="14" xfId="0" applyFont="1" applyFill="1" applyBorder="1"/>
    <xf numFmtId="0" fontId="34" fillId="3" borderId="15" xfId="0" applyFont="1" applyFill="1" applyBorder="1" applyAlignment="1">
      <alignment horizontal="right"/>
    </xf>
    <xf numFmtId="180" fontId="34" fillId="3" borderId="16" xfId="0" applyNumberFormat="1" applyFont="1" applyFill="1" applyBorder="1" applyAlignment="1">
      <alignment horizontal="left"/>
    </xf>
    <xf numFmtId="0" fontId="21" fillId="3" borderId="17" xfId="0" applyFont="1" applyFill="1" applyBorder="1" applyAlignment="1">
      <alignment vertical="top"/>
    </xf>
    <xf numFmtId="0" fontId="22" fillId="3" borderId="17" xfId="0" applyFont="1" applyFill="1" applyBorder="1"/>
    <xf numFmtId="0" fontId="34" fillId="3" borderId="18" xfId="0" applyFont="1" applyFill="1" applyBorder="1" applyAlignment="1">
      <alignment horizontal="right"/>
    </xf>
    <xf numFmtId="0" fontId="62" fillId="4" borderId="1" xfId="0" applyFont="1" applyFill="1" applyBorder="1"/>
    <xf numFmtId="0" fontId="62" fillId="4" borderId="7" xfId="0" applyFont="1" applyFill="1" applyBorder="1"/>
    <xf numFmtId="0" fontId="12" fillId="4" borderId="2" xfId="0" applyFont="1" applyFill="1" applyBorder="1"/>
    <xf numFmtId="0" fontId="26" fillId="3" borderId="0" xfId="0" applyFont="1" applyFill="1" applyAlignment="1">
      <alignment horizontal="center" vertical="top"/>
    </xf>
    <xf numFmtId="0" fontId="19" fillId="3" borderId="0" xfId="0" applyFont="1" applyFill="1"/>
    <xf numFmtId="0" fontId="62" fillId="4" borderId="3" xfId="0" applyFont="1" applyFill="1" applyBorder="1"/>
    <xf numFmtId="0" fontId="62" fillId="4" borderId="0" xfId="0" applyFont="1" applyFill="1"/>
    <xf numFmtId="0" fontId="12" fillId="4" borderId="4" xfId="0" applyFont="1" applyFill="1" applyBorder="1"/>
    <xf numFmtId="0" fontId="26" fillId="2" borderId="20" xfId="0" applyFont="1" applyFill="1" applyBorder="1" applyAlignment="1">
      <alignment horizontal="left"/>
    </xf>
    <xf numFmtId="0" fontId="26" fillId="2" borderId="21" xfId="0" applyFont="1" applyFill="1" applyBorder="1" applyAlignment="1">
      <alignment horizontal="right"/>
    </xf>
    <xf numFmtId="0" fontId="26" fillId="2" borderId="22" xfId="0" applyFont="1" applyFill="1" applyBorder="1" applyAlignment="1">
      <alignment horizontal="right"/>
    </xf>
    <xf numFmtId="0" fontId="12" fillId="3" borderId="3" xfId="0" applyFont="1" applyFill="1" applyBorder="1"/>
    <xf numFmtId="0" fontId="48" fillId="3" borderId="4" xfId="0" applyFont="1" applyFill="1" applyBorder="1" applyAlignment="1">
      <alignment horizontal="right"/>
    </xf>
    <xf numFmtId="181" fontId="48" fillId="0" borderId="0" xfId="0" applyNumberFormat="1" applyFont="1" applyAlignment="1">
      <alignment horizontal="right"/>
    </xf>
    <xf numFmtId="0" fontId="12" fillId="3" borderId="4" xfId="0" applyFont="1" applyFill="1" applyBorder="1"/>
    <xf numFmtId="9" fontId="62" fillId="4" borderId="2" xfId="1" applyFont="1" applyFill="1" applyBorder="1" applyAlignment="1">
      <alignment vertical="center"/>
    </xf>
    <xf numFmtId="0" fontId="62" fillId="4" borderId="4" xfId="0" applyFont="1" applyFill="1" applyBorder="1"/>
    <xf numFmtId="0" fontId="12" fillId="3" borderId="5" xfId="0" applyFont="1" applyFill="1" applyBorder="1"/>
    <xf numFmtId="181" fontId="12" fillId="3" borderId="8" xfId="0" applyNumberFormat="1" applyFont="1" applyFill="1" applyBorder="1"/>
    <xf numFmtId="166" fontId="48" fillId="3" borderId="6" xfId="0" applyNumberFormat="1" applyFont="1" applyFill="1" applyBorder="1"/>
    <xf numFmtId="9" fontId="62" fillId="4" borderId="4" xfId="1" applyFont="1" applyFill="1" applyBorder="1" applyAlignment="1">
      <alignment vertical="center"/>
    </xf>
    <xf numFmtId="182" fontId="62" fillId="4" borderId="0" xfId="0" applyNumberFormat="1" applyFont="1" applyFill="1"/>
    <xf numFmtId="182" fontId="62" fillId="4" borderId="4" xfId="0" applyNumberFormat="1" applyFont="1" applyFill="1" applyBorder="1"/>
    <xf numFmtId="0" fontId="63" fillId="3" borderId="0" xfId="0" applyFont="1" applyFill="1" applyAlignment="1">
      <alignment horizontal="right"/>
    </xf>
    <xf numFmtId="0" fontId="62" fillId="4" borderId="5" xfId="0" applyFont="1" applyFill="1" applyBorder="1"/>
    <xf numFmtId="9" fontId="62" fillId="4" borderId="6" xfId="1" applyFont="1" applyFill="1" applyBorder="1" applyAlignment="1">
      <alignment vertical="center"/>
    </xf>
    <xf numFmtId="170" fontId="62" fillId="4" borderId="0" xfId="0" applyNumberFormat="1" applyFont="1" applyFill="1"/>
    <xf numFmtId="0" fontId="48" fillId="3" borderId="0" xfId="0" applyFont="1" applyFill="1" applyAlignment="1">
      <alignment horizontal="right"/>
    </xf>
    <xf numFmtId="3" fontId="12" fillId="3" borderId="0" xfId="0" applyNumberFormat="1" applyFont="1" applyFill="1" applyAlignment="1">
      <alignment horizontal="right"/>
    </xf>
    <xf numFmtId="0" fontId="26" fillId="4" borderId="0" xfId="0" applyFont="1" applyFill="1" applyAlignment="1">
      <alignment horizontal="left"/>
    </xf>
    <xf numFmtId="0" fontId="26" fillId="4" borderId="0" xfId="0" applyFont="1" applyFill="1" applyAlignment="1">
      <alignment horizontal="right"/>
    </xf>
    <xf numFmtId="188" fontId="62" fillId="4" borderId="0" xfId="8" applyNumberFormat="1" applyFont="1" applyFill="1" applyBorder="1" applyAlignment="1">
      <alignment vertical="center"/>
    </xf>
    <xf numFmtId="1" fontId="62" fillId="4" borderId="2" xfId="0" applyNumberFormat="1" applyFont="1" applyFill="1" applyBorder="1" applyAlignment="1">
      <alignment horizontal="center"/>
    </xf>
    <xf numFmtId="196" fontId="48" fillId="3" borderId="0" xfId="0" applyNumberFormat="1" applyFont="1" applyFill="1" applyAlignment="1">
      <alignment horizontal="right"/>
    </xf>
    <xf numFmtId="175" fontId="15" fillId="3" borderId="4" xfId="0" applyNumberFormat="1" applyFont="1" applyFill="1" applyBorder="1" applyAlignment="1">
      <alignment horizontal="right"/>
    </xf>
    <xf numFmtId="0" fontId="64" fillId="4" borderId="0" xfId="0" applyFont="1" applyFill="1"/>
    <xf numFmtId="175" fontId="64" fillId="4" borderId="0" xfId="0" applyNumberFormat="1" applyFont="1" applyFill="1"/>
    <xf numFmtId="164" fontId="64" fillId="4" borderId="0" xfId="0" applyNumberFormat="1" applyFont="1" applyFill="1"/>
    <xf numFmtId="1" fontId="62" fillId="4" borderId="4" xfId="0" applyNumberFormat="1" applyFont="1" applyFill="1" applyBorder="1" applyAlignment="1">
      <alignment horizontal="center"/>
    </xf>
    <xf numFmtId="3" fontId="48" fillId="3" borderId="0" xfId="0" applyNumberFormat="1" applyFont="1" applyFill="1" applyAlignment="1">
      <alignment horizontal="right"/>
    </xf>
    <xf numFmtId="3" fontId="12" fillId="3" borderId="4" xfId="0" applyNumberFormat="1" applyFont="1" applyFill="1" applyBorder="1" applyAlignment="1">
      <alignment horizontal="right"/>
    </xf>
    <xf numFmtId="0" fontId="62" fillId="4" borderId="8" xfId="0" applyFont="1" applyFill="1" applyBorder="1"/>
    <xf numFmtId="1" fontId="62" fillId="4" borderId="6" xfId="0" applyNumberFormat="1" applyFont="1" applyFill="1" applyBorder="1" applyAlignment="1">
      <alignment horizontal="center"/>
    </xf>
    <xf numFmtId="3" fontId="48" fillId="3" borderId="8" xfId="0" applyNumberFormat="1" applyFont="1" applyFill="1" applyBorder="1" applyAlignment="1">
      <alignment horizontal="right"/>
    </xf>
    <xf numFmtId="0" fontId="12" fillId="3" borderId="8" xfId="0" applyFont="1" applyFill="1" applyBorder="1" applyAlignment="1">
      <alignment horizontal="right"/>
    </xf>
    <xf numFmtId="3" fontId="12" fillId="3" borderId="6" xfId="0" applyNumberFormat="1" applyFont="1" applyFill="1" applyBorder="1" applyAlignment="1">
      <alignment horizontal="right"/>
    </xf>
    <xf numFmtId="0" fontId="12" fillId="3" borderId="7" xfId="0" applyFont="1" applyFill="1" applyBorder="1"/>
    <xf numFmtId="10" fontId="65" fillId="4" borderId="0" xfId="1" applyNumberFormat="1" applyFont="1" applyFill="1" applyBorder="1" applyAlignment="1">
      <alignment horizontal="right"/>
    </xf>
    <xf numFmtId="0" fontId="26" fillId="2" borderId="1" xfId="0" applyFont="1" applyFill="1" applyBorder="1" applyAlignment="1">
      <alignment horizontal="left"/>
    </xf>
    <xf numFmtId="0" fontId="26" fillId="2" borderId="7" xfId="0" applyFont="1" applyFill="1" applyBorder="1" applyAlignment="1">
      <alignment horizontal="right"/>
    </xf>
    <xf numFmtId="0" fontId="26" fillId="2" borderId="2" xfId="0" applyFont="1" applyFill="1" applyBorder="1" applyAlignment="1">
      <alignment horizontal="right"/>
    </xf>
    <xf numFmtId="9" fontId="62" fillId="4" borderId="0" xfId="1" applyFont="1" applyFill="1" applyBorder="1"/>
    <xf numFmtId="0" fontId="12" fillId="3" borderId="1" xfId="0" applyFont="1" applyFill="1" applyBorder="1"/>
    <xf numFmtId="164" fontId="48" fillId="3" borderId="2" xfId="0" applyNumberFormat="1" applyFont="1" applyFill="1" applyBorder="1" applyAlignment="1">
      <alignment horizontal="right"/>
    </xf>
    <xf numFmtId="10" fontId="62" fillId="4" borderId="0" xfId="1" applyNumberFormat="1" applyFont="1" applyFill="1" applyBorder="1"/>
    <xf numFmtId="1" fontId="12" fillId="4" borderId="0" xfId="0" applyNumberFormat="1" applyFont="1" applyFill="1" applyAlignment="1">
      <alignment horizontal="center"/>
    </xf>
    <xf numFmtId="185" fontId="12" fillId="3" borderId="4" xfId="0" applyNumberFormat="1" applyFont="1" applyFill="1" applyBorder="1"/>
    <xf numFmtId="169" fontId="62" fillId="4" borderId="0" xfId="0" applyNumberFormat="1" applyFont="1" applyFill="1"/>
    <xf numFmtId="10" fontId="15" fillId="3" borderId="0" xfId="0" applyNumberFormat="1" applyFont="1" applyFill="1"/>
    <xf numFmtId="179" fontId="12" fillId="3" borderId="4" xfId="0" applyNumberFormat="1" applyFont="1" applyFill="1" applyBorder="1" applyAlignment="1">
      <alignment vertical="center"/>
    </xf>
    <xf numFmtId="167" fontId="62" fillId="4" borderId="0" xfId="0" applyNumberFormat="1" applyFont="1" applyFill="1"/>
    <xf numFmtId="10" fontId="15" fillId="3" borderId="0" xfId="1" applyNumberFormat="1" applyFont="1" applyFill="1" applyBorder="1" applyAlignment="1">
      <alignment horizontal="right"/>
    </xf>
    <xf numFmtId="0" fontId="12" fillId="4" borderId="3" xfId="0" applyFont="1" applyFill="1" applyBorder="1"/>
    <xf numFmtId="0" fontId="19" fillId="4" borderId="0" xfId="0" applyFont="1" applyFill="1" applyAlignment="1">
      <alignment horizontal="centerContinuous"/>
    </xf>
    <xf numFmtId="0" fontId="26" fillId="2" borderId="9" xfId="0" applyFont="1" applyFill="1" applyBorder="1" applyAlignment="1">
      <alignment horizontal="left"/>
    </xf>
    <xf numFmtId="0" fontId="26" fillId="2" borderId="11" xfId="0" applyFont="1" applyFill="1" applyBorder="1" applyAlignment="1">
      <alignment horizontal="right"/>
    </xf>
    <xf numFmtId="0" fontId="13" fillId="4" borderId="0" xfId="0" applyFont="1" applyFill="1" applyAlignment="1">
      <alignment vertical="center" textRotation="90" wrapText="1"/>
    </xf>
    <xf numFmtId="0" fontId="13" fillId="4" borderId="0" xfId="0" applyFont="1" applyFill="1" applyAlignment="1">
      <alignment horizontal="centerContinuous"/>
    </xf>
    <xf numFmtId="0" fontId="13" fillId="3" borderId="3" xfId="0" applyFont="1" applyFill="1" applyBorder="1"/>
    <xf numFmtId="0" fontId="13" fillId="3" borderId="7" xfId="0" applyFont="1" applyFill="1" applyBorder="1"/>
    <xf numFmtId="179" fontId="13" fillId="3" borderId="2" xfId="0" applyNumberFormat="1" applyFont="1" applyFill="1" applyBorder="1" applyAlignment="1">
      <alignment vertical="center"/>
    </xf>
    <xf numFmtId="0" fontId="12" fillId="4" borderId="5" xfId="0" applyFont="1" applyFill="1" applyBorder="1"/>
    <xf numFmtId="0" fontId="12" fillId="4" borderId="8" xfId="0" applyFont="1" applyFill="1" applyBorder="1"/>
    <xf numFmtId="0" fontId="13" fillId="4" borderId="8" xfId="0" applyFont="1" applyFill="1" applyBorder="1" applyAlignment="1">
      <alignment horizontal="centerContinuous" vertical="center"/>
    </xf>
    <xf numFmtId="0" fontId="13" fillId="4" borderId="8" xfId="0" applyFont="1" applyFill="1" applyBorder="1"/>
    <xf numFmtId="10" fontId="12" fillId="4" borderId="8" xfId="1" applyNumberFormat="1" applyFont="1" applyFill="1" applyBorder="1" applyAlignment="1">
      <alignment horizontal="center"/>
    </xf>
    <xf numFmtId="10" fontId="63" fillId="4" borderId="8" xfId="1" applyNumberFormat="1" applyFont="1" applyFill="1" applyBorder="1" applyAlignment="1">
      <alignment horizontal="center"/>
    </xf>
    <xf numFmtId="0" fontId="12" fillId="4" borderId="6" xfId="0" applyFont="1" applyFill="1" applyBorder="1"/>
    <xf numFmtId="37" fontId="12" fillId="3" borderId="0" xfId="0" applyNumberFormat="1" applyFont="1" applyFill="1"/>
    <xf numFmtId="164" fontId="12" fillId="3" borderId="0" xfId="0" applyNumberFormat="1" applyFont="1" applyFill="1"/>
    <xf numFmtId="193" fontId="12" fillId="3" borderId="0" xfId="8" applyNumberFormat="1" applyFont="1" applyFill="1" applyBorder="1" applyAlignment="1">
      <alignment horizontal="right" vertical="center"/>
    </xf>
    <xf numFmtId="0" fontId="13" fillId="4" borderId="0" xfId="0" applyFont="1" applyFill="1" applyAlignment="1">
      <alignment horizontal="centerContinuous" vertical="center"/>
    </xf>
    <xf numFmtId="178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8" xfId="0" applyFont="1" applyFill="1" applyBorder="1"/>
    <xf numFmtId="10" fontId="12" fillId="3" borderId="6" xfId="1" applyNumberFormat="1" applyFont="1" applyFill="1" applyBorder="1"/>
    <xf numFmtId="0" fontId="66" fillId="4" borderId="48" xfId="0" applyFont="1" applyFill="1" applyBorder="1" applyAlignment="1">
      <alignment horizontal="left"/>
    </xf>
    <xf numFmtId="0" fontId="66" fillId="4" borderId="49" xfId="0" applyFont="1" applyFill="1" applyBorder="1" applyAlignment="1">
      <alignment horizontal="right"/>
    </xf>
    <xf numFmtId="0" fontId="66" fillId="4" borderId="50" xfId="0" applyFont="1" applyFill="1" applyBorder="1" applyAlignment="1">
      <alignment horizontal="right"/>
    </xf>
    <xf numFmtId="0" fontId="66" fillId="4" borderId="51" xfId="0" applyFont="1" applyFill="1" applyBorder="1" applyAlignment="1">
      <alignment horizontal="left"/>
    </xf>
    <xf numFmtId="10" fontId="66" fillId="4" borderId="0" xfId="1" applyNumberFormat="1" applyFont="1" applyFill="1" applyBorder="1"/>
    <xf numFmtId="10" fontId="66" fillId="4" borderId="0" xfId="1" applyNumberFormat="1" applyFont="1" applyFill="1" applyBorder="1" applyAlignment="1">
      <alignment horizontal="right"/>
    </xf>
    <xf numFmtId="10" fontId="66" fillId="4" borderId="52" xfId="1" applyNumberFormat="1" applyFont="1" applyFill="1" applyBorder="1"/>
    <xf numFmtId="178" fontId="63" fillId="4" borderId="0" xfId="0" applyNumberFormat="1" applyFont="1" applyFill="1" applyAlignment="1">
      <alignment horizontal="center"/>
    </xf>
    <xf numFmtId="0" fontId="48" fillId="6" borderId="42" xfId="0" applyFont="1" applyFill="1" applyBorder="1"/>
    <xf numFmtId="0" fontId="48" fillId="6" borderId="41" xfId="0" applyFont="1" applyFill="1" applyBorder="1"/>
    <xf numFmtId="164" fontId="12" fillId="4" borderId="0" xfId="0" applyNumberFormat="1" applyFont="1" applyFill="1"/>
    <xf numFmtId="173" fontId="48" fillId="3" borderId="0" xfId="1" applyNumberFormat="1" applyFont="1" applyFill="1" applyBorder="1"/>
    <xf numFmtId="173" fontId="12" fillId="3" borderId="4" xfId="1" applyNumberFormat="1" applyFont="1" applyFill="1" applyBorder="1"/>
    <xf numFmtId="10" fontId="48" fillId="3" borderId="0" xfId="0" applyNumberFormat="1" applyFont="1" applyFill="1"/>
    <xf numFmtId="10" fontId="48" fillId="3" borderId="0" xfId="0" applyNumberFormat="1" applyFont="1" applyFill="1" applyAlignment="1">
      <alignment horizontal="right"/>
    </xf>
    <xf numFmtId="9" fontId="63" fillId="4" borderId="0" xfId="0" applyNumberFormat="1" applyFont="1" applyFill="1" applyAlignment="1">
      <alignment horizontal="center"/>
    </xf>
    <xf numFmtId="0" fontId="12" fillId="3" borderId="5" xfId="0" applyFont="1" applyFill="1" applyBorder="1" applyAlignment="1">
      <alignment horizontal="left"/>
    </xf>
    <xf numFmtId="0" fontId="12" fillId="3" borderId="8" xfId="0" applyFont="1" applyFill="1" applyBorder="1" applyAlignment="1">
      <alignment horizontal="left"/>
    </xf>
    <xf numFmtId="10" fontId="48" fillId="3" borderId="6" xfId="1" applyNumberFormat="1" applyFont="1" applyFill="1" applyBorder="1" applyAlignment="1">
      <alignment horizontal="right"/>
    </xf>
    <xf numFmtId="10" fontId="63" fillId="4" borderId="0" xfId="0" applyNumberFormat="1" applyFont="1" applyFill="1" applyAlignment="1">
      <alignment horizontal="center"/>
    </xf>
    <xf numFmtId="0" fontId="12" fillId="3" borderId="3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177" fontId="12" fillId="4" borderId="0" xfId="0" applyNumberFormat="1" applyFont="1" applyFill="1" applyAlignment="1">
      <alignment horizontal="center"/>
    </xf>
    <xf numFmtId="0" fontId="26" fillId="2" borderId="10" xfId="0" applyFont="1" applyFill="1" applyBorder="1" applyAlignment="1">
      <alignment horizontal="right"/>
    </xf>
    <xf numFmtId="0" fontId="66" fillId="4" borderId="53" xfId="0" applyFont="1" applyFill="1" applyBorder="1" applyAlignment="1">
      <alignment horizontal="left"/>
    </xf>
    <xf numFmtId="10" fontId="66" fillId="4" borderId="54" xfId="1" applyNumberFormat="1" applyFont="1" applyFill="1" applyBorder="1"/>
    <xf numFmtId="10" fontId="66" fillId="4" borderId="54" xfId="1" applyNumberFormat="1" applyFont="1" applyFill="1" applyBorder="1" applyAlignment="1">
      <alignment horizontal="right"/>
    </xf>
    <xf numFmtId="10" fontId="66" fillId="4" borderId="55" xfId="1" applyNumberFormat="1" applyFont="1" applyFill="1" applyBorder="1"/>
    <xf numFmtId="167" fontId="12" fillId="3" borderId="0" xfId="0" applyNumberFormat="1" applyFont="1" applyFill="1"/>
    <xf numFmtId="167" fontId="48" fillId="3" borderId="4" xfId="0" applyNumberFormat="1" applyFont="1" applyFill="1" applyBorder="1" applyAlignment="1">
      <alignment horizontal="right"/>
    </xf>
    <xf numFmtId="0" fontId="12" fillId="3" borderId="3" xfId="0" applyFont="1" applyFill="1" applyBorder="1" applyAlignment="1">
      <alignment horizontal="left"/>
    </xf>
    <xf numFmtId="0" fontId="13" fillId="3" borderId="0" xfId="0" applyFont="1" applyFill="1"/>
    <xf numFmtId="168" fontId="12" fillId="3" borderId="0" xfId="0" applyNumberFormat="1" applyFont="1" applyFill="1"/>
    <xf numFmtId="164" fontId="12" fillId="3" borderId="4" xfId="0" applyNumberFormat="1" applyFont="1" applyFill="1" applyBorder="1"/>
    <xf numFmtId="173" fontId="15" fillId="3" borderId="0" xfId="1" applyNumberFormat="1" applyFont="1" applyFill="1" applyBorder="1"/>
    <xf numFmtId="173" fontId="15" fillId="3" borderId="4" xfId="1" applyNumberFormat="1" applyFont="1" applyFill="1" applyBorder="1"/>
    <xf numFmtId="173" fontId="12" fillId="3" borderId="0" xfId="1" applyNumberFormat="1" applyFont="1" applyFill="1" applyBorder="1"/>
    <xf numFmtId="173" fontId="12" fillId="3" borderId="0" xfId="1" applyNumberFormat="1" applyFont="1" applyFill="1" applyBorder="1" applyAlignment="1">
      <alignment horizontal="right"/>
    </xf>
    <xf numFmtId="173" fontId="12" fillId="3" borderId="4" xfId="1" applyNumberFormat="1" applyFont="1" applyFill="1" applyBorder="1" applyAlignment="1">
      <alignment horizontal="right"/>
    </xf>
    <xf numFmtId="10" fontId="12" fillId="3" borderId="0" xfId="1" applyNumberFormat="1" applyFont="1" applyFill="1" applyBorder="1" applyAlignment="1">
      <alignment horizontal="right"/>
    </xf>
    <xf numFmtId="10" fontId="12" fillId="3" borderId="4" xfId="1" applyNumberFormat="1" applyFont="1" applyFill="1" applyBorder="1" applyAlignment="1">
      <alignment horizontal="right"/>
    </xf>
    <xf numFmtId="169" fontId="12" fillId="3" borderId="0" xfId="0" applyNumberFormat="1" applyFont="1" applyFill="1" applyAlignment="1">
      <alignment horizontal="right"/>
    </xf>
    <xf numFmtId="169" fontId="12" fillId="3" borderId="4" xfId="0" applyNumberFormat="1" applyFont="1" applyFill="1" applyBorder="1" applyAlignment="1">
      <alignment horizontal="right"/>
    </xf>
    <xf numFmtId="10" fontId="15" fillId="3" borderId="0" xfId="1" applyNumberFormat="1" applyFont="1" applyFill="1" applyBorder="1"/>
    <xf numFmtId="10" fontId="48" fillId="3" borderId="4" xfId="0" applyNumberFormat="1" applyFont="1" applyFill="1" applyBorder="1"/>
    <xf numFmtId="0" fontId="12" fillId="3" borderId="5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 indent="1"/>
    </xf>
    <xf numFmtId="0" fontId="13" fillId="3" borderId="8" xfId="0" applyFont="1" applyFill="1" applyBorder="1"/>
    <xf numFmtId="179" fontId="12" fillId="3" borderId="6" xfId="0" applyNumberFormat="1" applyFont="1" applyFill="1" applyBorder="1" applyAlignment="1">
      <alignment vertical="center"/>
    </xf>
    <xf numFmtId="166" fontId="48" fillId="3" borderId="0" xfId="0" applyNumberFormat="1" applyFont="1" applyFill="1"/>
    <xf numFmtId="166" fontId="48" fillId="3" borderId="4" xfId="0" applyNumberFormat="1" applyFont="1" applyFill="1" applyBorder="1"/>
    <xf numFmtId="179" fontId="12" fillId="4" borderId="0" xfId="0" applyNumberFormat="1" applyFont="1" applyFill="1"/>
    <xf numFmtId="10" fontId="48" fillId="3" borderId="4" xfId="0" applyNumberFormat="1" applyFont="1" applyFill="1" applyBorder="1" applyAlignment="1">
      <alignment horizontal="right"/>
    </xf>
    <xf numFmtId="0" fontId="12" fillId="3" borderId="1" xfId="0" applyFont="1" applyFill="1" applyBorder="1" applyAlignment="1">
      <alignment horizontal="left"/>
    </xf>
    <xf numFmtId="0" fontId="12" fillId="3" borderId="7" xfId="0" applyFont="1" applyFill="1" applyBorder="1" applyAlignment="1">
      <alignment horizontal="left"/>
    </xf>
    <xf numFmtId="10" fontId="48" fillId="3" borderId="2" xfId="0" applyNumberFormat="1" applyFont="1" applyFill="1" applyBorder="1"/>
    <xf numFmtId="165" fontId="48" fillId="3" borderId="0" xfId="0" applyNumberFormat="1" applyFont="1" applyFill="1"/>
    <xf numFmtId="165" fontId="48" fillId="3" borderId="8" xfId="0" applyNumberFormat="1" applyFont="1" applyFill="1" applyBorder="1"/>
    <xf numFmtId="165" fontId="48" fillId="3" borderId="6" xfId="0" applyNumberFormat="1" applyFont="1" applyFill="1" applyBorder="1"/>
    <xf numFmtId="0" fontId="13" fillId="3" borderId="3" xfId="0" applyFont="1" applyFill="1" applyBorder="1" applyAlignment="1">
      <alignment horizontal="left" indent="1"/>
    </xf>
    <xf numFmtId="0" fontId="13" fillId="3" borderId="11" xfId="0" applyFont="1" applyFill="1" applyBorder="1"/>
    <xf numFmtId="5" fontId="13" fillId="3" borderId="10" xfId="0" applyNumberFormat="1" applyFont="1" applyFill="1" applyBorder="1"/>
    <xf numFmtId="0" fontId="12" fillId="8" borderId="9" xfId="0" applyFont="1" applyFill="1" applyBorder="1"/>
    <xf numFmtId="165" fontId="49" fillId="8" borderId="11" xfId="0" applyNumberFormat="1" applyFont="1" applyFill="1" applyBorder="1" applyAlignment="1">
      <alignment horizontal="center"/>
    </xf>
    <xf numFmtId="165" fontId="48" fillId="8" borderId="10" xfId="0" applyNumberFormat="1" applyFont="1" applyFill="1" applyBorder="1" applyAlignment="1">
      <alignment horizontal="center"/>
    </xf>
    <xf numFmtId="10" fontId="48" fillId="3" borderId="0" xfId="1" applyNumberFormat="1" applyFont="1" applyFill="1" applyBorder="1" applyAlignment="1">
      <alignment horizontal="right"/>
    </xf>
    <xf numFmtId="5" fontId="12" fillId="3" borderId="4" xfId="0" applyNumberFormat="1" applyFont="1" applyFill="1" applyBorder="1"/>
    <xf numFmtId="0" fontId="26" fillId="2" borderId="25" xfId="0" applyFont="1" applyFill="1" applyBorder="1" applyAlignment="1">
      <alignment horizontal="left"/>
    </xf>
    <xf numFmtId="0" fontId="26" fillId="2" borderId="19" xfId="0" applyFont="1" applyFill="1" applyBorder="1" applyAlignment="1">
      <alignment horizontal="right"/>
    </xf>
    <xf numFmtId="194" fontId="26" fillId="2" borderId="22" xfId="0" applyNumberFormat="1" applyFont="1" applyFill="1" applyBorder="1" applyAlignment="1">
      <alignment horizontal="right"/>
    </xf>
    <xf numFmtId="0" fontId="21" fillId="3" borderId="23" xfId="0" applyFont="1" applyFill="1" applyBorder="1" applyAlignment="1">
      <alignment horizontal="left"/>
    </xf>
    <xf numFmtId="0" fontId="21" fillId="3" borderId="12" xfId="0" applyFont="1" applyFill="1" applyBorder="1" applyAlignment="1">
      <alignment horizontal="center"/>
    </xf>
    <xf numFmtId="194" fontId="21" fillId="3" borderId="24" xfId="0" applyNumberFormat="1" applyFont="1" applyFill="1" applyBorder="1" applyAlignment="1">
      <alignment horizontal="center"/>
    </xf>
    <xf numFmtId="179" fontId="12" fillId="3" borderId="4" xfId="0" applyNumberFormat="1" applyFont="1" applyFill="1" applyBorder="1" applyAlignment="1">
      <alignment horizontal="right" vertical="center"/>
    </xf>
    <xf numFmtId="0" fontId="13" fillId="3" borderId="3" xfId="0" applyFont="1" applyFill="1" applyBorder="1" applyAlignment="1">
      <alignment horizontal="left"/>
    </xf>
    <xf numFmtId="164" fontId="13" fillId="3" borderId="0" xfId="0" applyNumberFormat="1" applyFont="1" applyFill="1"/>
    <xf numFmtId="5" fontId="13" fillId="3" borderId="0" xfId="0" applyNumberFormat="1" applyFont="1" applyFill="1"/>
    <xf numFmtId="7" fontId="13" fillId="3" borderId="4" xfId="0" applyNumberFormat="1" applyFont="1" applyFill="1" applyBorder="1"/>
    <xf numFmtId="0" fontId="12" fillId="3" borderId="3" xfId="0" applyFont="1" applyFill="1" applyBorder="1" applyAlignment="1">
      <alignment horizontal="left" indent="1"/>
    </xf>
    <xf numFmtId="5" fontId="12" fillId="3" borderId="0" xfId="0" applyNumberFormat="1" applyFont="1" applyFill="1"/>
    <xf numFmtId="7" fontId="12" fillId="3" borderId="4" xfId="0" applyNumberFormat="1" applyFont="1" applyFill="1" applyBorder="1"/>
    <xf numFmtId="0" fontId="13" fillId="3" borderId="5" xfId="0" applyFont="1" applyFill="1" applyBorder="1" applyAlignment="1">
      <alignment horizontal="left" indent="1"/>
    </xf>
    <xf numFmtId="172" fontId="12" fillId="3" borderId="0" xfId="0" applyNumberFormat="1" applyFont="1" applyFill="1"/>
    <xf numFmtId="0" fontId="26" fillId="2" borderId="3" xfId="0" applyFont="1" applyFill="1" applyBorder="1" applyAlignment="1">
      <alignment horizontal="left"/>
    </xf>
    <xf numFmtId="0" fontId="26" fillId="2" borderId="0" xfId="0" applyFont="1" applyFill="1" applyAlignment="1">
      <alignment horizontal="right"/>
    </xf>
    <xf numFmtId="0" fontId="26" fillId="2" borderId="4" xfId="0" applyFont="1" applyFill="1" applyBorder="1" applyAlignment="1">
      <alignment horizontal="right"/>
    </xf>
    <xf numFmtId="169" fontId="12" fillId="3" borderId="7" xfId="0" applyNumberFormat="1" applyFont="1" applyFill="1" applyBorder="1" applyAlignment="1">
      <alignment horizontal="right"/>
    </xf>
    <xf numFmtId="169" fontId="12" fillId="3" borderId="2" xfId="0" applyNumberFormat="1" applyFont="1" applyFill="1" applyBorder="1" applyAlignment="1">
      <alignment horizontal="right"/>
    </xf>
    <xf numFmtId="0" fontId="13" fillId="3" borderId="0" xfId="0" applyFont="1" applyFill="1" applyAlignment="1">
      <alignment horizontal="left" indent="1"/>
    </xf>
    <xf numFmtId="164" fontId="13" fillId="3" borderId="11" xfId="0" applyNumberFormat="1" applyFont="1" applyFill="1" applyBorder="1"/>
    <xf numFmtId="5" fontId="13" fillId="3" borderId="11" xfId="0" applyNumberFormat="1" applyFont="1" applyFill="1" applyBorder="1"/>
    <xf numFmtId="7" fontId="13" fillId="3" borderId="10" xfId="0" applyNumberFormat="1" applyFont="1" applyFill="1" applyBorder="1"/>
    <xf numFmtId="10" fontId="12" fillId="3" borderId="8" xfId="0" applyNumberFormat="1" applyFont="1" applyFill="1" applyBorder="1"/>
    <xf numFmtId="10" fontId="12" fillId="3" borderId="6" xfId="0" applyNumberFormat="1" applyFont="1" applyFill="1" applyBorder="1" applyAlignment="1">
      <alignment horizontal="right"/>
    </xf>
    <xf numFmtId="0" fontId="21" fillId="3" borderId="25" xfId="0" applyFont="1" applyFill="1" applyBorder="1" applyAlignment="1">
      <alignment horizontal="left"/>
    </xf>
    <xf numFmtId="191" fontId="21" fillId="3" borderId="19" xfId="0" applyNumberFormat="1" applyFont="1" applyFill="1" applyBorder="1" applyAlignment="1">
      <alignment horizontal="center"/>
    </xf>
    <xf numFmtId="194" fontId="21" fillId="3" borderId="26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10" fontId="12" fillId="3" borderId="2" xfId="1" applyNumberFormat="1" applyFont="1" applyFill="1" applyBorder="1" applyAlignment="1">
      <alignment vertical="center"/>
    </xf>
    <xf numFmtId="9" fontId="12" fillId="3" borderId="0" xfId="1" applyFont="1" applyFill="1" applyBorder="1" applyAlignment="1">
      <alignment horizontal="right" vertical="center"/>
    </xf>
    <xf numFmtId="10" fontId="12" fillId="3" borderId="0" xfId="0" applyNumberFormat="1" applyFont="1" applyFill="1" applyAlignment="1">
      <alignment horizontal="right" vertical="center"/>
    </xf>
    <xf numFmtId="10" fontId="12" fillId="3" borderId="4" xfId="1" applyNumberFormat="1" applyFont="1" applyFill="1" applyBorder="1" applyAlignment="1">
      <alignment horizontal="right" vertical="center"/>
    </xf>
    <xf numFmtId="0" fontId="12" fillId="3" borderId="36" xfId="0" applyFont="1" applyFill="1" applyBorder="1"/>
    <xf numFmtId="0" fontId="12" fillId="3" borderId="37" xfId="0" applyFont="1" applyFill="1" applyBorder="1"/>
    <xf numFmtId="170" fontId="12" fillId="0" borderId="0" xfId="0" applyNumberFormat="1" applyFont="1"/>
    <xf numFmtId="10" fontId="12" fillId="3" borderId="0" xfId="1" applyNumberFormat="1" applyFont="1" applyFill="1" applyBorder="1" applyAlignment="1">
      <alignment horizontal="right" vertical="center"/>
    </xf>
    <xf numFmtId="169" fontId="12" fillId="3" borderId="0" xfId="0" applyNumberFormat="1" applyFont="1" applyFill="1" applyAlignment="1">
      <alignment horizontal="right" vertical="center"/>
    </xf>
    <xf numFmtId="169" fontId="12" fillId="3" borderId="4" xfId="0" applyNumberFormat="1" applyFont="1" applyFill="1" applyBorder="1" applyAlignment="1">
      <alignment horizontal="right" vertical="center"/>
    </xf>
    <xf numFmtId="38" fontId="12" fillId="3" borderId="0" xfId="0" applyNumberFormat="1" applyFont="1" applyFill="1"/>
    <xf numFmtId="179" fontId="12" fillId="3" borderId="0" xfId="0" applyNumberFormat="1" applyFont="1" applyFill="1" applyAlignment="1">
      <alignment horizontal="right" vertical="center"/>
    </xf>
    <xf numFmtId="0" fontId="67" fillId="0" borderId="0" xfId="0" applyFont="1" applyAlignment="1">
      <alignment horizontal="right"/>
    </xf>
    <xf numFmtId="179" fontId="12" fillId="3" borderId="8" xfId="0" applyNumberFormat="1" applyFont="1" applyFill="1" applyBorder="1" applyAlignment="1">
      <alignment vertical="center"/>
    </xf>
    <xf numFmtId="0" fontId="12" fillId="3" borderId="38" xfId="0" applyFont="1" applyFill="1" applyBorder="1"/>
    <xf numFmtId="0" fontId="12" fillId="3" borderId="39" xfId="0" applyFont="1" applyFill="1" applyBorder="1"/>
    <xf numFmtId="0" fontId="12" fillId="3" borderId="40" xfId="0" applyFont="1" applyFill="1" applyBorder="1"/>
    <xf numFmtId="0" fontId="12" fillId="2" borderId="0" xfId="0" applyFont="1" applyFill="1"/>
    <xf numFmtId="0" fontId="12" fillId="2" borderId="0" xfId="0" applyFont="1" applyFill="1" applyAlignment="1">
      <alignment horizontal="left"/>
    </xf>
    <xf numFmtId="10" fontId="48" fillId="2" borderId="0" xfId="1" applyNumberFormat="1" applyFont="1" applyFill="1" applyBorder="1" applyAlignment="1">
      <alignment horizontal="right"/>
    </xf>
    <xf numFmtId="1" fontId="12" fillId="4" borderId="0" xfId="0" applyNumberFormat="1" applyFont="1" applyFill="1"/>
    <xf numFmtId="0" fontId="48" fillId="17" borderId="43" xfId="0" applyFont="1" applyFill="1" applyBorder="1" applyAlignment="1">
      <alignment horizontal="right"/>
    </xf>
    <xf numFmtId="3" fontId="12" fillId="3" borderId="2" xfId="0" applyNumberFormat="1" applyFont="1" applyFill="1" applyBorder="1"/>
    <xf numFmtId="37" fontId="12" fillId="0" borderId="4" xfId="0" applyNumberFormat="1" applyFont="1" applyBorder="1"/>
    <xf numFmtId="10" fontId="14" fillId="0" borderId="4" xfId="1" applyNumberFormat="1" applyFont="1" applyFill="1" applyBorder="1"/>
    <xf numFmtId="3" fontId="12" fillId="0" borderId="4" xfId="0" applyNumberFormat="1" applyFont="1" applyBorder="1"/>
    <xf numFmtId="173" fontId="14" fillId="0" borderId="4" xfId="1" applyNumberFormat="1" applyFont="1" applyFill="1" applyBorder="1"/>
    <xf numFmtId="0" fontId="12" fillId="0" borderId="5" xfId="0" applyFont="1" applyBorder="1"/>
    <xf numFmtId="37" fontId="12" fillId="0" borderId="6" xfId="0" applyNumberFormat="1" applyFont="1" applyBorder="1"/>
    <xf numFmtId="164" fontId="68" fillId="3" borderId="19" xfId="0" applyNumberFormat="1" applyFont="1" applyFill="1" applyBorder="1" applyAlignment="1">
      <alignment horizontal="right"/>
    </xf>
    <xf numFmtId="0" fontId="39" fillId="17" borderId="0" xfId="0" applyFont="1" applyFill="1" applyAlignment="1">
      <alignment horizontal="center"/>
    </xf>
    <xf numFmtId="41" fontId="12" fillId="0" borderId="0" xfId="0" applyNumberFormat="1" applyFont="1"/>
    <xf numFmtId="229" fontId="12" fillId="0" borderId="0" xfId="0" applyNumberFormat="1" applyFont="1"/>
    <xf numFmtId="170" fontId="12" fillId="3" borderId="0" xfId="0" applyNumberFormat="1" applyFont="1" applyFill="1"/>
    <xf numFmtId="0" fontId="15" fillId="3" borderId="0" xfId="0" applyFont="1" applyFill="1" applyAlignment="1">
      <alignment horizontal="center"/>
    </xf>
    <xf numFmtId="9" fontId="15" fillId="3" borderId="0" xfId="1" applyFont="1" applyFill="1" applyBorder="1" applyAlignment="1">
      <alignment horizontal="center"/>
    </xf>
    <xf numFmtId="173" fontId="15" fillId="3" borderId="0" xfId="1" applyNumberFormat="1" applyFont="1" applyFill="1" applyBorder="1" applyAlignment="1">
      <alignment horizontal="center"/>
    </xf>
    <xf numFmtId="5" fontId="15" fillId="3" borderId="0" xfId="0" applyNumberFormat="1" applyFont="1" applyFill="1" applyAlignment="1">
      <alignment horizontal="center"/>
    </xf>
    <xf numFmtId="7" fontId="15" fillId="3" borderId="0" xfId="0" applyNumberFormat="1" applyFont="1" applyFill="1" applyAlignment="1">
      <alignment horizontal="center"/>
    </xf>
    <xf numFmtId="0" fontId="26" fillId="2" borderId="9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7" fontId="15" fillId="3" borderId="4" xfId="0" applyNumberFormat="1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5" fontId="12" fillId="3" borderId="8" xfId="0" applyNumberFormat="1" applyFont="1" applyFill="1" applyBorder="1" applyAlignment="1">
      <alignment horizontal="center"/>
    </xf>
    <xf numFmtId="7" fontId="12" fillId="3" borderId="8" xfId="0" applyNumberFormat="1" applyFont="1" applyFill="1" applyBorder="1" applyAlignment="1">
      <alignment horizontal="center"/>
    </xf>
    <xf numFmtId="7" fontId="12" fillId="3" borderId="6" xfId="0" applyNumberFormat="1" applyFont="1" applyFill="1" applyBorder="1" applyAlignment="1">
      <alignment horizontal="center"/>
    </xf>
    <xf numFmtId="0" fontId="12" fillId="3" borderId="6" xfId="0" applyFont="1" applyFill="1" applyBorder="1"/>
    <xf numFmtId="1" fontId="12" fillId="3" borderId="8" xfId="0" applyNumberFormat="1" applyFont="1" applyFill="1" applyBorder="1" applyAlignment="1">
      <alignment horizontal="center"/>
    </xf>
    <xf numFmtId="9" fontId="12" fillId="3" borderId="8" xfId="1" applyFont="1" applyFill="1" applyBorder="1" applyAlignment="1">
      <alignment horizontal="center"/>
    </xf>
    <xf numFmtId="0" fontId="26" fillId="2" borderId="11" xfId="0" applyFont="1" applyFill="1" applyBorder="1" applyAlignment="1">
      <alignment horizontal="center"/>
    </xf>
    <xf numFmtId="0" fontId="26" fillId="2" borderId="10" xfId="0" applyFont="1" applyFill="1" applyBorder="1" applyAlignment="1">
      <alignment horizontal="center"/>
    </xf>
    <xf numFmtId="9" fontId="15" fillId="0" borderId="0" xfId="1" applyFont="1" applyBorder="1"/>
    <xf numFmtId="0" fontId="15" fillId="9" borderId="0" xfId="2" applyFont="1" applyFill="1" applyAlignment="1"/>
    <xf numFmtId="0" fontId="69" fillId="0" borderId="0" xfId="2" applyFont="1" applyAlignment="1">
      <alignment horizontal="right" vertical="top"/>
    </xf>
    <xf numFmtId="0" fontId="70" fillId="0" borderId="0" xfId="2" applyFont="1" applyAlignment="1">
      <alignment horizontal="left" vertical="top"/>
    </xf>
    <xf numFmtId="0" fontId="69" fillId="3" borderId="0" xfId="2" applyFont="1" applyFill="1" applyAlignment="1">
      <alignment vertical="top"/>
    </xf>
    <xf numFmtId="0" fontId="69" fillId="0" borderId="0" xfId="2" applyFont="1" applyAlignment="1">
      <alignment horizontal="right"/>
    </xf>
    <xf numFmtId="14" fontId="71" fillId="0" borderId="0" xfId="0" applyNumberFormat="1" applyFont="1" applyAlignment="1">
      <alignment horizontal="left"/>
    </xf>
    <xf numFmtId="0" fontId="12" fillId="3" borderId="0" xfId="2" applyFont="1" applyFill="1" applyAlignment="1">
      <alignment horizontal="right"/>
    </xf>
    <xf numFmtId="14" fontId="36" fillId="0" borderId="0" xfId="0" applyNumberFormat="1" applyFont="1"/>
    <xf numFmtId="0" fontId="26" fillId="9" borderId="57" xfId="2" applyFont="1" applyFill="1" applyBorder="1" applyAlignment="1">
      <alignment horizontal="center" vertical="center"/>
    </xf>
    <xf numFmtId="0" fontId="26" fillId="11" borderId="62" xfId="0" applyFont="1" applyFill="1" applyBorder="1" applyAlignment="1">
      <alignment horizontal="left" vertical="top"/>
    </xf>
    <xf numFmtId="0" fontId="26" fillId="11" borderId="62" xfId="0" applyFont="1" applyFill="1" applyBorder="1" applyAlignment="1">
      <alignment horizontal="left" vertical="top" wrapText="1"/>
    </xf>
    <xf numFmtId="0" fontId="26" fillId="11" borderId="63" xfId="0" applyFont="1" applyFill="1" applyBorder="1" applyAlignment="1">
      <alignment horizontal="left" vertical="top"/>
    </xf>
    <xf numFmtId="0" fontId="26" fillId="11" borderId="64" xfId="0" applyFont="1" applyFill="1" applyBorder="1" applyAlignment="1">
      <alignment horizontal="center" vertical="top" wrapText="1"/>
    </xf>
    <xf numFmtId="0" fontId="26" fillId="11" borderId="65" xfId="0" applyFont="1" applyFill="1" applyBorder="1" applyAlignment="1">
      <alignment horizontal="center" vertical="top" wrapText="1"/>
    </xf>
    <xf numFmtId="197" fontId="26" fillId="11" borderId="66" xfId="0" applyNumberFormat="1" applyFont="1" applyFill="1" applyBorder="1" applyAlignment="1">
      <alignment horizontal="center" vertical="top" wrapText="1"/>
    </xf>
    <xf numFmtId="197" fontId="26" fillId="11" borderId="62" xfId="0" applyNumberFormat="1" applyFont="1" applyFill="1" applyBorder="1" applyAlignment="1">
      <alignment horizontal="center" vertical="top" wrapText="1"/>
    </xf>
    <xf numFmtId="1" fontId="26" fillId="11" borderId="62" xfId="0" applyNumberFormat="1" applyFont="1" applyFill="1" applyBorder="1" applyAlignment="1">
      <alignment horizontal="center" vertical="top" wrapText="1"/>
    </xf>
    <xf numFmtId="197" fontId="26" fillId="11" borderId="63" xfId="0" applyNumberFormat="1" applyFont="1" applyFill="1" applyBorder="1" applyAlignment="1">
      <alignment horizontal="center" vertical="top" wrapText="1"/>
    </xf>
    <xf numFmtId="0" fontId="26" fillId="11" borderId="66" xfId="0" applyFont="1" applyFill="1" applyBorder="1" applyAlignment="1">
      <alignment horizontal="center" vertical="top" wrapText="1"/>
    </xf>
    <xf numFmtId="0" fontId="26" fillId="11" borderId="63" xfId="0" applyFont="1" applyFill="1" applyBorder="1" applyAlignment="1">
      <alignment horizontal="center" vertical="top" wrapText="1"/>
    </xf>
    <xf numFmtId="49" fontId="26" fillId="11" borderId="62" xfId="0" applyNumberFormat="1" applyFont="1" applyFill="1" applyBorder="1" applyAlignment="1">
      <alignment horizontal="center" vertical="top" wrapText="1"/>
    </xf>
    <xf numFmtId="49" fontId="26" fillId="11" borderId="67" xfId="0" applyNumberFormat="1" applyFont="1" applyFill="1" applyBorder="1" applyAlignment="1">
      <alignment horizontal="center" vertical="top" wrapText="1"/>
    </xf>
    <xf numFmtId="0" fontId="36" fillId="12" borderId="66" xfId="0" applyFont="1" applyFill="1" applyBorder="1" applyAlignment="1">
      <alignment horizontal="center" vertical="top" wrapText="1"/>
    </xf>
    <xf numFmtId="0" fontId="36" fillId="12" borderId="62" xfId="0" applyFont="1" applyFill="1" applyBorder="1" applyAlignment="1">
      <alignment horizontal="center" vertical="top" wrapText="1"/>
    </xf>
    <xf numFmtId="0" fontId="36" fillId="12" borderId="65" xfId="0" applyFont="1" applyFill="1" applyBorder="1" applyAlignment="1">
      <alignment horizontal="center" vertical="top" wrapText="1"/>
    </xf>
    <xf numFmtId="49" fontId="26" fillId="11" borderId="66" xfId="0" applyNumberFormat="1" applyFont="1" applyFill="1" applyBorder="1" applyAlignment="1">
      <alignment horizontal="center" vertical="top" wrapText="1"/>
    </xf>
    <xf numFmtId="0" fontId="26" fillId="11" borderId="62" xfId="0" applyFont="1" applyFill="1" applyBorder="1" applyAlignment="1">
      <alignment horizontal="center" vertical="top" wrapText="1"/>
    </xf>
    <xf numFmtId="1" fontId="26" fillId="11" borderId="63" xfId="0" applyNumberFormat="1" applyFont="1" applyFill="1" applyBorder="1" applyAlignment="1">
      <alignment horizontal="center" vertical="top" wrapText="1"/>
    </xf>
    <xf numFmtId="3" fontId="14" fillId="0" borderId="68" xfId="0" applyNumberFormat="1" applyFont="1" applyBorder="1" applyAlignment="1">
      <alignment horizontal="left"/>
    </xf>
    <xf numFmtId="0" fontId="12" fillId="0" borderId="68" xfId="0" applyFont="1" applyBorder="1"/>
    <xf numFmtId="197" fontId="14" fillId="0" borderId="69" xfId="0" applyNumberFormat="1" applyFont="1" applyBorder="1"/>
    <xf numFmtId="202" fontId="12" fillId="0" borderId="0" xfId="0" applyNumberFormat="1" applyFont="1" applyAlignment="1">
      <alignment horizontal="right"/>
    </xf>
    <xf numFmtId="202" fontId="12" fillId="0" borderId="69" xfId="0" applyNumberFormat="1" applyFont="1" applyBorder="1" applyAlignment="1">
      <alignment horizontal="center"/>
    </xf>
    <xf numFmtId="197" fontId="14" fillId="0" borderId="0" xfId="0" applyNumberFormat="1" applyFont="1" applyAlignment="1">
      <alignment horizontal="center"/>
    </xf>
    <xf numFmtId="0" fontId="12" fillId="0" borderId="68" xfId="0" applyFont="1" applyBorder="1" applyAlignment="1">
      <alignment horizontal="center"/>
    </xf>
    <xf numFmtId="5" fontId="14" fillId="0" borderId="69" xfId="0" applyNumberFormat="1" applyFont="1" applyBorder="1"/>
    <xf numFmtId="5" fontId="12" fillId="0" borderId="68" xfId="0" applyNumberFormat="1" applyFont="1" applyBorder="1"/>
    <xf numFmtId="5" fontId="14" fillId="0" borderId="68" xfId="0" applyNumberFormat="1" applyFont="1" applyBorder="1"/>
    <xf numFmtId="202" fontId="12" fillId="0" borderId="67" xfId="0" applyNumberFormat="1" applyFont="1" applyBorder="1"/>
    <xf numFmtId="0" fontId="15" fillId="9" borderId="56" xfId="2" applyFont="1" applyFill="1" applyBorder="1" applyAlignment="1"/>
    <xf numFmtId="202" fontId="12" fillId="0" borderId="57" xfId="0" applyNumberFormat="1" applyFont="1" applyBorder="1"/>
    <xf numFmtId="0" fontId="14" fillId="0" borderId="68" xfId="0" applyFont="1" applyBorder="1" applyAlignment="1">
      <alignment horizontal="left"/>
    </xf>
    <xf numFmtId="197" fontId="12" fillId="0" borderId="69" xfId="0" applyNumberFormat="1" applyFont="1" applyBorder="1"/>
    <xf numFmtId="5" fontId="12" fillId="0" borderId="69" xfId="0" applyNumberFormat="1" applyFont="1" applyBorder="1"/>
    <xf numFmtId="3" fontId="15" fillId="0" borderId="0" xfId="0" applyNumberFormat="1" applyFont="1" applyAlignment="1">
      <alignment horizontal="left"/>
    </xf>
    <xf numFmtId="3" fontId="15" fillId="0" borderId="68" xfId="0" applyNumberFormat="1" applyFont="1" applyBorder="1" applyAlignment="1">
      <alignment horizontal="left"/>
    </xf>
    <xf numFmtId="3" fontId="15" fillId="0" borderId="0" xfId="0" applyNumberFormat="1" applyFont="1"/>
    <xf numFmtId="3" fontId="15" fillId="0" borderId="68" xfId="0" applyNumberFormat="1" applyFont="1" applyBorder="1"/>
    <xf numFmtId="3" fontId="15" fillId="0" borderId="69" xfId="0" applyNumberFormat="1" applyFont="1" applyBorder="1"/>
    <xf numFmtId="203" fontId="15" fillId="0" borderId="68" xfId="0" applyNumberFormat="1" applyFont="1" applyBorder="1"/>
    <xf numFmtId="202" fontId="15" fillId="0" borderId="69" xfId="0" applyNumberFormat="1" applyFont="1" applyBorder="1" applyAlignment="1">
      <alignment horizontal="center"/>
    </xf>
    <xf numFmtId="204" fontId="15" fillId="0" borderId="0" xfId="0" applyNumberFormat="1" applyFont="1" applyAlignment="1">
      <alignment horizontal="center"/>
    </xf>
    <xf numFmtId="5" fontId="15" fillId="0" borderId="69" xfId="0" applyNumberFormat="1" applyFont="1" applyBorder="1"/>
    <xf numFmtId="5" fontId="15" fillId="0" borderId="68" xfId="0" applyNumberFormat="1" applyFont="1" applyBorder="1"/>
    <xf numFmtId="202" fontId="15" fillId="0" borderId="57" xfId="0" applyNumberFormat="1" applyFont="1" applyBorder="1"/>
    <xf numFmtId="0" fontId="15" fillId="9" borderId="70" xfId="2" applyFont="1" applyFill="1" applyBorder="1" applyAlignment="1"/>
    <xf numFmtId="0" fontId="51" fillId="3" borderId="0" xfId="0" applyFont="1" applyFill="1"/>
    <xf numFmtId="171" fontId="51" fillId="3" borderId="0" xfId="0" applyNumberFormat="1" applyFont="1" applyFill="1"/>
    <xf numFmtId="0" fontId="51" fillId="3" borderId="0" xfId="0" applyFont="1" applyFill="1" applyAlignment="1">
      <alignment horizontal="right"/>
    </xf>
    <xf numFmtId="0" fontId="71" fillId="3" borderId="0" xfId="0" applyFont="1" applyFill="1"/>
    <xf numFmtId="0" fontId="51" fillId="3" borderId="0" xfId="0" applyFont="1" applyFill="1" applyAlignment="1">
      <alignment horizontal="center"/>
    </xf>
    <xf numFmtId="165" fontId="51" fillId="3" borderId="0" xfId="0" applyNumberFormat="1" applyFont="1" applyFill="1"/>
    <xf numFmtId="165" fontId="51" fillId="3" borderId="0" xfId="0" applyNumberFormat="1" applyFont="1" applyFill="1" applyAlignment="1">
      <alignment horizontal="right"/>
    </xf>
    <xf numFmtId="5" fontId="12" fillId="0" borderId="0" xfId="1" applyNumberFormat="1" applyFont="1"/>
    <xf numFmtId="218" fontId="12" fillId="0" borderId="0" xfId="1" applyNumberFormat="1" applyFont="1"/>
    <xf numFmtId="173" fontId="12" fillId="3" borderId="8" xfId="1" applyNumberFormat="1" applyFont="1" applyFill="1" applyBorder="1" applyAlignment="1">
      <alignment horizontal="center"/>
    </xf>
    <xf numFmtId="0" fontId="41" fillId="9" borderId="56" xfId="2" applyFont="1" applyFill="1" applyBorder="1" applyAlignment="1">
      <alignment horizontal="center" vertical="center" textRotation="90" shrinkToFit="1"/>
    </xf>
    <xf numFmtId="0" fontId="26" fillId="9" borderId="0" xfId="2" applyFont="1" applyFill="1" applyAlignment="1">
      <alignment horizontal="center" vertical="center"/>
    </xf>
    <xf numFmtId="0" fontId="26" fillId="9" borderId="57" xfId="2" applyFont="1" applyFill="1" applyBorder="1" applyAlignment="1">
      <alignment horizontal="center" vertical="center"/>
    </xf>
    <xf numFmtId="0" fontId="26" fillId="9" borderId="58" xfId="2" applyFont="1" applyFill="1" applyBorder="1" applyAlignment="1">
      <alignment horizontal="center" vertical="center"/>
    </xf>
    <xf numFmtId="202" fontId="26" fillId="10" borderId="59" xfId="0" applyNumberFormat="1" applyFont="1" applyFill="1" applyBorder="1" applyAlignment="1">
      <alignment horizontal="center"/>
    </xf>
    <xf numFmtId="202" fontId="26" fillId="10" borderId="60" xfId="0" applyNumberFormat="1" applyFont="1" applyFill="1" applyBorder="1" applyAlignment="1">
      <alignment horizontal="center"/>
    </xf>
    <xf numFmtId="202" fontId="26" fillId="10" borderId="61" xfId="0" applyNumberFormat="1" applyFont="1" applyFill="1" applyBorder="1" applyAlignment="1">
      <alignment horizontal="center"/>
    </xf>
    <xf numFmtId="5" fontId="23" fillId="0" borderId="0" xfId="0" applyNumberFormat="1" applyFont="1" applyAlignment="1">
      <alignment horizontal="center"/>
    </xf>
    <xf numFmtId="0" fontId="23" fillId="0" borderId="74" xfId="0" applyFont="1" applyBorder="1" applyAlignment="1">
      <alignment horizontal="center"/>
    </xf>
    <xf numFmtId="0" fontId="23" fillId="0" borderId="73" xfId="0" applyFont="1" applyBorder="1" applyAlignment="1">
      <alignment horizontal="center"/>
    </xf>
    <xf numFmtId="0" fontId="23" fillId="0" borderId="75" xfId="0" applyFont="1" applyBorder="1" applyAlignment="1">
      <alignment horizontal="center"/>
    </xf>
    <xf numFmtId="0" fontId="23" fillId="0" borderId="72" xfId="0" applyFont="1" applyBorder="1" applyAlignment="1">
      <alignment horizontal="center"/>
    </xf>
    <xf numFmtId="0" fontId="23" fillId="0" borderId="97" xfId="0" applyFont="1" applyBorder="1" applyAlignment="1">
      <alignment horizontal="center"/>
    </xf>
    <xf numFmtId="0" fontId="26" fillId="14" borderId="116" xfId="0" applyFont="1" applyFill="1" applyBorder="1" applyAlignment="1">
      <alignment horizontal="left"/>
    </xf>
    <xf numFmtId="0" fontId="26" fillId="14" borderId="117" xfId="0" applyFont="1" applyFill="1" applyBorder="1" applyAlignment="1">
      <alignment horizontal="left"/>
    </xf>
    <xf numFmtId="0" fontId="26" fillId="14" borderId="118" xfId="0" applyFont="1" applyFill="1" applyBorder="1" applyAlignment="1">
      <alignment horizontal="left"/>
    </xf>
    <xf numFmtId="0" fontId="26" fillId="14" borderId="73" xfId="0" applyFont="1" applyFill="1" applyBorder="1" applyAlignment="1">
      <alignment horizontal="center"/>
    </xf>
    <xf numFmtId="0" fontId="26" fillId="14" borderId="75" xfId="0" applyFont="1" applyFill="1" applyBorder="1" applyAlignment="1">
      <alignment horizontal="center"/>
    </xf>
    <xf numFmtId="5" fontId="48" fillId="0" borderId="82" xfId="0" applyNumberFormat="1" applyFont="1" applyBorder="1"/>
  </cellXfs>
  <cellStyles count="14">
    <cellStyle name="Comma" xfId="8" builtinId="3"/>
    <cellStyle name="Comma [0] 2" xfId="7" xr:uid="{00000000-0005-0000-0000-000005000000}"/>
    <cellStyle name="Comma 2" xfId="6" xr:uid="{00000000-0005-0000-0000-000004000000}"/>
    <cellStyle name="Comma 3" xfId="11" xr:uid="{75777942-BCA9-4A07-A506-CB4F636F7775}"/>
    <cellStyle name="Currency [0] 2" xfId="5" xr:uid="{00000000-0005-0000-0000-000003000000}"/>
    <cellStyle name="Currency 2" xfId="4" xr:uid="{00000000-0005-0000-0000-000002000000}"/>
    <cellStyle name="Currency 3" xfId="10" xr:uid="{0BF51D50-CBC2-4959-9F88-4115058A6DAB}"/>
    <cellStyle name="Normal" xfId="0" builtinId="0"/>
    <cellStyle name="Normal 2" xfId="2" xr:uid="{00000000-0005-0000-0000-000033000000}"/>
    <cellStyle name="Normal 2 2" xfId="13" xr:uid="{F2956D3D-F607-497A-A4FB-091918C2902E}"/>
    <cellStyle name="Normal 5" xfId="9" xr:uid="{A31A8A80-518F-4764-9BAC-13B8597A172D}"/>
    <cellStyle name="Normal 5 2" xfId="12" xr:uid="{6ECE01F4-4205-4A20-B59E-0E0B4D5E4758}"/>
    <cellStyle name="Percent" xfId="1" builtinId="5"/>
    <cellStyle name="Percent 2" xfId="3" xr:uid="{00000000-0005-0000-0000-000001000000}"/>
  </cellStyles>
  <dxfs count="193"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color auto="1"/>
      </font>
      <fill>
        <patternFill>
          <bgColor rgb="FFFEF5F0"/>
        </patternFill>
      </fill>
    </dxf>
    <dxf>
      <font>
        <color auto="1"/>
      </font>
      <fill>
        <patternFill>
          <bgColor rgb="FFFEF5F0"/>
        </patternFill>
      </fill>
    </dxf>
    <dxf>
      <font>
        <b val="0"/>
        <i val="0"/>
        <color rgb="FFFF0000"/>
      </font>
    </dxf>
    <dxf>
      <font>
        <color auto="1"/>
      </font>
      <fill>
        <patternFill>
          <bgColor rgb="FFFEF5F0"/>
        </patternFill>
      </fill>
    </dxf>
    <dxf>
      <font>
        <color auto="1"/>
      </font>
      <fill>
        <patternFill>
          <bgColor rgb="FFFEF5F0"/>
        </patternFill>
      </fill>
    </dxf>
    <dxf>
      <font>
        <color auto="1"/>
      </font>
      <fill>
        <patternFill>
          <bgColor rgb="FFFEF5F0"/>
        </patternFill>
      </fill>
    </dxf>
    <dxf>
      <font>
        <color auto="1"/>
      </font>
      <fill>
        <patternFill>
          <bgColor rgb="FFFEF5F0"/>
        </patternFill>
      </fill>
    </dxf>
    <dxf>
      <font>
        <color auto="1"/>
      </font>
      <fill>
        <patternFill>
          <bgColor rgb="FFFEF5F0"/>
        </patternFill>
      </fill>
    </dxf>
    <dxf>
      <font>
        <color auto="1"/>
      </font>
      <fill>
        <patternFill>
          <bgColor rgb="FFFEF5F0"/>
        </patternFill>
      </fill>
    </dxf>
    <dxf>
      <font>
        <color auto="1"/>
      </font>
      <fill>
        <patternFill>
          <bgColor rgb="FFFEF5F0"/>
        </patternFill>
      </fill>
    </dxf>
    <dxf>
      <font>
        <color auto="1"/>
      </font>
      <fill>
        <patternFill>
          <bgColor rgb="FFFEF5F0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theme="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theme="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theme="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color rgb="FF00B050"/>
      </font>
    </dxf>
    <dxf>
      <font>
        <b/>
        <i val="0"/>
        <color rgb="FFFF0000"/>
      </font>
    </dxf>
    <dxf>
      <font>
        <b/>
        <i/>
        <color rgb="FFC00000"/>
      </font>
      <fill>
        <patternFill>
          <bgColor rgb="FFFF7C80"/>
        </patternFill>
      </fill>
    </dxf>
    <dxf>
      <font>
        <b/>
        <i/>
        <color rgb="FF00B050"/>
      </font>
    </dxf>
    <dxf>
      <font>
        <b/>
        <i/>
        <color rgb="FFC00000"/>
      </font>
      <fill>
        <patternFill>
          <bgColor rgb="FFFF7C80"/>
        </patternFill>
      </fill>
    </dxf>
    <dxf>
      <font>
        <b/>
        <i/>
        <color rgb="FFC00000"/>
      </font>
      <fill>
        <patternFill>
          <bgColor rgb="FFFF7C80"/>
        </patternFill>
      </fill>
    </dxf>
    <dxf>
      <font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202" formatCode="0&quot; Months&quot;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202" formatCode="0&quot; Months&quot;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numFmt numFmtId="197" formatCode="m/d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numFmt numFmtId="197" formatCode="m/d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  <border diagonalUp="0" diagonalDown="0" outline="0">
        <left/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numFmt numFmtId="9" formatCode="&quot;$&quot;#,##0_);\(&quot;$&quot;#,##0\)"/>
      <border diagonalUp="0" diagonalDown="0" outline="0">
        <left/>
        <right style="thick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  <border diagonalUp="0" diagonalDown="0" outline="0">
        <left style="thick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9" formatCode="&quot;$&quot;#,##0_);\(&quot;$&quot;#,##0\)"/>
      <border diagonalUp="0" diagonalDown="0" outline="0">
        <left style="thick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  <border diagonalUp="0" diagonalDown="0" outline="0">
        <left/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9" formatCode="&quot;$&quot;#,##0_);\(&quot;$&quot;#,##0\)"/>
      <border diagonalUp="0" diagonalDown="0" outline="0">
        <left/>
        <right style="thick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9" formatCode="&quot;$&quot;#,##0_);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9" formatCode="&quot;$&quot;#,##0_);\(&quot;$&quot;#,##0\)"/>
      <border diagonalUp="0" diagonalDown="0" outline="0">
        <left style="thick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9" formatCode="&quot;$&quot;#,##0_);\(&quot;$&quot;#,##0\)"/>
      <border diagonalUp="0" diagonalDown="0" outline="0">
        <left style="thick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  <border diagonalUp="0" diagonalDown="0" outline="0">
        <left/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ck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204" formatCode="0&quot; Move-Outs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202" formatCode="0&quot; Months&quot;"/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202" formatCode="0&quot; Months&quot;"/>
      <alignment horizontal="center" textRotation="0" indent="0" justifyLastLine="0" shrinkToFit="0" readingOrder="0"/>
      <border diagonalUp="0" diagonalDown="0" outline="0">
        <left style="thick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203" formatCode="0&quot; MTM&quot;"/>
      <border diagonalUp="0" diagonalDown="0" outline="0">
        <left/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0" formatCode="General"/>
      <border diagonalUp="0" diagonalDown="0" outline="0">
        <left/>
        <right style="thick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202" formatCode="0&quot; Month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202" formatCode="0&quot; Months&quot;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7" formatCode="m/d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  <border diagonalUp="0" diagonalDown="0" outline="0">
        <left style="thick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7" formatCode="m/d/yy;@"/>
      <border diagonalUp="0" diagonalDown="0" outline="0">
        <left style="thick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  <border diagonalUp="0" diagonalDown="0" outline="0">
        <left/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0" formatCode="General"/>
      <border diagonalUp="0" diagonalDown="0" outline="0">
        <left/>
        <right style="thick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  <alignment horizontal="left" vertical="bottom" textRotation="0" wrapText="0" indent="0" justifyLastLine="0" shrinkToFit="0" readingOrder="0"/>
      <border diagonalUp="0" diagonalDown="0" outline="0">
        <left/>
        <right style="thick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alignment horizontal="left" textRotation="0" indent="0" justifyLastLine="0" shrinkToFit="0" readingOrder="0"/>
      <border diagonalUp="0" diagonalDown="0" outline="0">
        <left/>
        <right style="thick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0" formatCode="General"/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0" formatCode="General"/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Bahnschrift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ahnschrift"/>
        <family val="2"/>
        <scheme val="none"/>
      </font>
      <numFmt numFmtId="3" formatCode="#,##0"/>
    </dxf>
    <dxf>
      <border outline="0">
        <top style="medium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name val="Bahnschrift"/>
        <family val="2"/>
        <scheme val="none"/>
      </font>
      <alignment vertical="top" textRotation="0" indent="0" justifyLastLine="0" shrinkToFit="0" readingOrder="0"/>
    </dxf>
    <dxf>
      <font>
        <b/>
        <i val="0"/>
        <color rgb="FFC00000"/>
      </font>
    </dxf>
    <dxf>
      <font>
        <b/>
        <i val="0"/>
        <color rgb="FF008000"/>
      </font>
    </dxf>
    <dxf>
      <font>
        <b/>
        <i val="0"/>
        <color rgb="FFC00000"/>
      </font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ont>
        <b/>
        <i val="0"/>
        <strike val="0"/>
        <color theme="9" tint="-0.499984740745262"/>
      </font>
      <fill>
        <patternFill>
          <bgColor theme="9" tint="0.79998168889431442"/>
        </patternFill>
      </fill>
    </dxf>
    <dxf>
      <font>
        <b/>
        <i val="0"/>
        <strike val="0"/>
        <color rgb="FFC00000"/>
      </font>
      <fill>
        <patternFill>
          <bgColor rgb="FFFFCCCC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ont>
        <color rgb="FF1D18F4"/>
      </font>
      <fill>
        <patternFill>
          <bgColor theme="4" tint="0.59996337778862885"/>
        </patternFill>
      </fill>
    </dxf>
    <dxf>
      <font>
        <color auto="1"/>
      </font>
      <fill>
        <patternFill>
          <bgColor rgb="FFFEF5F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FEF5F0"/>
        </patternFill>
      </fill>
    </dxf>
    <dxf>
      <font>
        <color auto="1"/>
      </font>
      <fill>
        <patternFill>
          <bgColor rgb="FFFEF5F0"/>
        </patternFill>
      </fill>
    </dxf>
    <dxf>
      <font>
        <color auto="1"/>
      </font>
      <fill>
        <patternFill>
          <bgColor rgb="FFFEF5F0"/>
        </patternFill>
      </fill>
    </dxf>
    <dxf>
      <font>
        <color auto="1"/>
      </font>
      <fill>
        <patternFill>
          <bgColor rgb="FFFEF5F0"/>
        </patternFill>
      </fill>
    </dxf>
  </dxfs>
  <tableStyles count="0" defaultTableStyle="TableStyleMedium2" defaultPivotStyle="PivotStyleLight16"/>
  <colors>
    <mruColors>
      <color rgb="FF1D18F4"/>
      <color rgb="FF0000CC"/>
      <color rgb="FFFEF5F0"/>
      <color rgb="FFFFCCCC"/>
      <color rgb="FF002641"/>
      <color rgb="FF6C1E29"/>
      <color rgb="FF009A46"/>
      <color rgb="FF3B1117"/>
      <color rgb="FF541821"/>
      <color rgb="FFF48B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8.xml"/><Relationship Id="rId39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34" Type="http://schemas.openxmlformats.org/officeDocument/2006/relationships/externalLink" Target="externalLinks/externalLink1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7.xml"/><Relationship Id="rId33" Type="http://schemas.openxmlformats.org/officeDocument/2006/relationships/externalLink" Target="externalLinks/externalLink15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1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32" Type="http://schemas.openxmlformats.org/officeDocument/2006/relationships/externalLink" Target="externalLinks/externalLink14.xml"/><Relationship Id="rId37" Type="http://schemas.openxmlformats.org/officeDocument/2006/relationships/sharedStrings" Target="sharedString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externalLink" Target="externalLinks/externalLink10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31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externalLink" Target="externalLinks/externalLink9.xml"/><Relationship Id="rId30" Type="http://schemas.openxmlformats.org/officeDocument/2006/relationships/externalLink" Target="externalLinks/externalLink12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ckmadc1\users\USERS\ACQUIRE\Apartments\PACPLZA\PCPLZ3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s\gdunn\AppData\Local\Microsoft\Windows\Temporary%2520Internet%2520Files\Content.Outlook\N2V2E5U4\Retail\v2\US%2520Hotel%2520Retail%2520v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nbs054\s_scasella\Investment%2520Analysis\Performance%2520Planning%2520&amp;%2520Analysis\Data%2520&amp;%2520Box%2520Files\2004-05\2005%2520KSL%2520flat%2520file%2520notes%2520-%2520Ni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nbs054\s_scasella\Office%2520of%2520CFO\Product%2520Calendars%2520TZ\Product%2520Calendars%2520TZ\2003%2520Product%2520Calendars\2003-11-30%2520Product%2520Calenda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na%20(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CKMADC1\Public\Documents%2520and%2520Settings\bsheppard.EXTRASPACE\Local%2520Settings\Temporary%2520Internet%2520Files\OLKB\Storage%2520Delux%2520Bronx%2520NY%2520Updated%2520Mode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2E7F45D\CHII%2520Cash%2520Flow%2520Statement%252009_30_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ot\inv\Finance\Accounting\FinancialReports\9.%2520September%25202003\CH%2520II\CHII%2520Cash%2520Flow%2520Statement%252009_30_0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nance\Accounting\FinancialReports\9.%20September%202003\CH%20II\CHII%20Cash%20Flow%20Statement%2009_30_0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nance\Accounting\FinancialReports\9.%20September%202003\Partner%20Meeting\CH%20II%20%20Downstream%20Sept%202003%20Financials.xls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microsoft.com/office/2019/04/relationships/externalLinkLongPath" Target="file:///\\perot\inv\Documents%20and%20Settings\pjain\Local%20Settings\Temporary%20Internet%20Files\OLKDF\Financial%20Model%20Working%20Files\Finance\Accounting\FinancialReports\9.%20September%202003\Partner%20Meeting\CH%20II%20%20Downstream%20Sept%202003%20Financials.xls?7E033BA7" TargetMode="External"/><Relationship Id="rId1" Type="http://schemas.openxmlformats.org/officeDocument/2006/relationships/externalLinkPath" Target="file:///\\7E033BA7\CH%20II%20%20Downstream%20Sept%202003%20Financial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Budget%20-%202004\225%20Budge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CKMADC1\Public\DATA\Corporate%2520Model\Corp%2520Model%2520Jun%25202004%2520Curr%25203_03%2520Budget%252004%2520Exp\Remnants%2520of%2520Old%2520PPM%2520V50F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CKMADC1\Public\DATA\Corporate%2520Model\Corp%2520Model%2520Dec%25202003%2520Curr%25202_03\Dec%2520Run%2520-%2520555%2520In\cf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ARED\SP\INCOME\ACCOUNTI\INTERE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timatorP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"/>
      <sheetName val="CF2"/>
      <sheetName val="CF3"/>
      <sheetName val="SALE"/>
      <sheetName val="OPXSUM"/>
      <sheetName val="UNITMIX"/>
      <sheetName val="RECUR"/>
      <sheetName val="TURNOVER"/>
      <sheetName val="CAPITAL"/>
      <sheetName val="OTHRINC"/>
      <sheetName val="INDRCTEXP"/>
      <sheetName val="DRCTEXP1"/>
      <sheetName val="DRCTEXP2"/>
      <sheetName val="Assumptions"/>
      <sheetName val="A"/>
      <sheetName val="ASSETS"/>
      <sheetName val="recv"/>
      <sheetName val="Inputs"/>
      <sheetName val="Dropdowns"/>
      <sheetName val="CATEGORIES AND LISTS"/>
      <sheetName val="C-Revenue Assumptions"/>
      <sheetName val="D-Monthly Cash Flow"/>
    </sheetNames>
    <sheetDataSet>
      <sheetData sheetId="0" refreshError="1">
        <row r="7">
          <cell r="F7" t="str">
            <v>CONSERVATIVE TEN-YEAR CASH FLOW ASSUMPTIONS</v>
          </cell>
        </row>
        <row r="8">
          <cell r="F8" t="str">
            <v>For the year ending December 31st</v>
          </cell>
        </row>
        <row r="9">
          <cell r="F9" t="str">
            <v>Occupancy</v>
          </cell>
        </row>
        <row r="14">
          <cell r="F14" t="str">
            <v>Growth  Rates</v>
          </cell>
        </row>
        <row r="18">
          <cell r="F18" t="str">
            <v>Rental  Rates</v>
          </cell>
        </row>
        <row r="21">
          <cell r="F21" t="str">
            <v>Rental  Rates  PSF</v>
          </cell>
        </row>
        <row r="25">
          <cell r="F25" t="str">
            <v>TEN-YEAR PROFORMA</v>
          </cell>
        </row>
        <row r="26">
          <cell r="F26" t="str">
            <v>REVENUE</v>
          </cell>
        </row>
        <row r="39">
          <cell r="F39" t="str">
            <v>GROSS INCOME</v>
          </cell>
        </row>
        <row r="43">
          <cell r="F43" t="str">
            <v>OPERATING EXPENSES</v>
          </cell>
        </row>
        <row r="49">
          <cell r="F49" t="str">
            <v>TOTAL OPERATING EXPENSES</v>
          </cell>
        </row>
        <row r="51">
          <cell r="F51" t="str">
            <v>Recurring Capital</v>
          </cell>
        </row>
        <row r="53">
          <cell r="F53" t="str">
            <v>NET OPERATING INCOME</v>
          </cell>
        </row>
        <row r="56">
          <cell r="F56" t="str">
            <v xml:space="preserve">Note 1:  It is assumed that 80% of the units roll to Market Rent from 1999 to 2003 on a straight line basis.  Rental Income growth increases each year from 1999 to 2003 </v>
          </cell>
        </row>
        <row r="57">
          <cell r="F57" t="str">
            <v xml:space="preserve">because the spread between units that have not turned and market rents is widening. </v>
          </cell>
        </row>
        <row r="58">
          <cell r="F58" t="str">
            <v>Note 2:  Market Rent grows at 4%.  This assumes a full renovation of the common areas and units.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M"/>
      <sheetName val="Summary"/>
      <sheetName val="Assumptions"/>
      <sheetName val="CF A"/>
      <sheetName val="CF M"/>
      <sheetName val="IRR Analysis A"/>
      <sheetName val="IRR Analysis M"/>
      <sheetName val="Waterfall M"/>
      <sheetName val="Taxes"/>
      <sheetName val="Draw Schedule"/>
      <sheetName val="Questions-Notes"/>
      <sheetName val="==DO NOT PRINT==&gt;"/>
      <sheetName val="Market Rent"/>
      <sheetName val="Base Rent"/>
      <sheetName val="Occupancy"/>
      <sheetName val="Expirations (1st term)"/>
      <sheetName val="Expirations (all terms)"/>
      <sheetName val="Sheet1"/>
      <sheetName val="Historical Financials"/>
    </sheetNames>
    <sheetDataSet>
      <sheetData sheetId="0"/>
      <sheetData sheetId="1">
        <row r="18">
          <cell r="S18">
            <v>0.10879969000816347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 (Actual)"/>
      <sheetName val="APF Monthly Sales Graph"/>
      <sheetName val="1997 APF Weekly Sales Graph"/>
      <sheetName val="Weekly Sales (Act)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F Monthly Sales Graph"/>
      <sheetName val="Data Sheet (Actual)"/>
      <sheetName val="Weekly Sales (Act)"/>
      <sheetName val="1997 APF Weekly Sales Graph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"/>
      <sheetName val="Supply"/>
      <sheetName val="Segmentation"/>
      <sheetName val="Demand"/>
      <sheetName val="New Hotel Induced Demand"/>
      <sheetName val="Hotel Expansion Induced Demand"/>
      <sheetName val="Occ"/>
      <sheetName val="ADR"/>
      <sheetName val="Grand Floridian Comparison"/>
      <sheetName val="Calculation"/>
      <sheetName val="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yer dcf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ment of Cash Flow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ment of Cash Flow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ment of Cash Flows"/>
      <sheetName val="Statement of Cash Flows-GAAP"/>
      <sheetName val="Worksheet"/>
      <sheetName val="Sheet1"/>
      <sheetName val="bshts"/>
      <sheetName val="GP's"/>
      <sheetName val="Variables"/>
      <sheetName val="Model Assumptions"/>
      <sheetName val="Drop-down list1"/>
      <sheetName val="Prem Pd"/>
      <sheetName val="Input"/>
      <sheetName val="Dev Period"/>
      <sheetName val="Co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 II BS"/>
      <sheetName val="CH II BS-Schedule"/>
      <sheetName val="CH II I.S."/>
      <sheetName val="CH II Cash Flows"/>
      <sheetName val="CH II Ptr Cap"/>
      <sheetName val="PCI BS"/>
      <sheetName val="PCI I.S"/>
      <sheetName val="PCI Cash Flows"/>
      <sheetName val="PCI Ptr Cap"/>
      <sheetName val="HH BS"/>
      <sheetName val="HH I.S."/>
      <sheetName val="HH Cash Flows"/>
      <sheetName val="HH Ptr Cap"/>
      <sheetName val="LH BS"/>
      <sheetName val="LH I.S."/>
      <sheetName val="LH Cash Flows"/>
      <sheetName val="LH Ptr Cap"/>
      <sheetName val="TC BS "/>
      <sheetName val="TC I.S."/>
      <sheetName val="TC Cash Flows"/>
      <sheetName val="TC Ptr Cap"/>
      <sheetName val="NFS BS"/>
      <sheetName val="NFS I.S."/>
      <sheetName val="NFS Cash Flows"/>
      <sheetName val="NFS Ptr Cap"/>
      <sheetName val="RM BS"/>
      <sheetName val="RM I.S."/>
      <sheetName val="RM Cash Flows"/>
      <sheetName val="RM Ptr Cap"/>
      <sheetName val="Statement of Cash Flows"/>
      <sheetName val="CH II  Downstream Sept 2003 F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 II BS"/>
      <sheetName val="CH II BS-Schedule"/>
      <sheetName val="CH II I.S."/>
      <sheetName val="CH II Cash Flows"/>
      <sheetName val="CH II Ptr Cap"/>
      <sheetName val="PCI BS"/>
      <sheetName val="PCI I.S"/>
      <sheetName val="PCI Cash Flows"/>
      <sheetName val="PCI Ptr Cap"/>
      <sheetName val="HH BS"/>
      <sheetName val="HH I.S."/>
      <sheetName val="HH Cash Flows"/>
      <sheetName val="HH Ptr Cap"/>
      <sheetName val="LH BS"/>
      <sheetName val="LH I.S."/>
      <sheetName val="LH Cash Flows"/>
      <sheetName val="LH Ptr Cap"/>
      <sheetName val="TC BS "/>
      <sheetName val="TC I.S."/>
      <sheetName val="TC Cash Flows"/>
      <sheetName val="TC Ptr Cap"/>
      <sheetName val="NFS BS"/>
      <sheetName val="NFS I.S."/>
      <sheetName val="NFS Cash Flows"/>
      <sheetName val="NFS Ptr Cap"/>
      <sheetName val="RM BS"/>
      <sheetName val="RM I.S."/>
      <sheetName val="RM Cash Flows"/>
      <sheetName val="RM Ptr Cap"/>
      <sheetName val="CH II  Downstream Sept 2003 Fin"/>
      <sheetName val="Statement of Cash Flow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seExp"/>
      <sheetName val="Lease &amp; Occup"/>
      <sheetName val="RR"/>
      <sheetName val="I&amp;E Summary"/>
      <sheetName val="I&amp;E Detail"/>
      <sheetName val="Base Rent"/>
      <sheetName val="CAM"/>
      <sheetName val="Misc.Inc."/>
      <sheetName val="Vacancy Rnt"/>
      <sheetName val="2004 Op Exp"/>
      <sheetName val="Debt"/>
      <sheetName val="Capital"/>
      <sheetName val="2004 Parking"/>
      <sheetName val="225 Parking Budget"/>
      <sheetName val="225 Broadw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AD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ADS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"/>
      <sheetName val="org.CODE"/>
      <sheetName val="27-0000198"/>
      <sheetName val="245114237REN (2)"/>
      <sheetName val="245114237RR"/>
      <sheetName val="245114238REN (2)"/>
      <sheetName val="245114238RR"/>
      <sheetName val="245114239RR"/>
      <sheetName val="245114240REN (2)"/>
      <sheetName val="245114240RR"/>
      <sheetName val="245114242"/>
      <sheetName val="245114242RR"/>
      <sheetName val="245114243ENG"/>
      <sheetName val="245114243RR"/>
      <sheetName val="CODESORTED"/>
      <sheetName val="27-0000331"/>
      <sheetName val="THARD. INTEREST"/>
      <sheetName val="367000043LES."/>
      <sheetName val="36-7000006A"/>
      <sheetName val="36-7000006B"/>
      <sheetName val="36-7000006C"/>
      <sheetName val="36-7000006D"/>
      <sheetName val="27-0000113LES"/>
      <sheetName val="27-0000113RR"/>
      <sheetName val="168878901"/>
      <sheetName val="367000043RR"/>
      <sheetName val="142-60"/>
      <sheetName val="18-351"/>
      <sheetName val="885051013"/>
      <sheetName val="885051014"/>
      <sheetName val="885051015"/>
      <sheetName val="367000020RR"/>
      <sheetName val="367000020RC"/>
      <sheetName val="367000020OR"/>
      <sheetName val="367000045RR"/>
      <sheetName val="367000045RREM"/>
      <sheetName val="367000045OR"/>
      <sheetName val="367000053RR"/>
      <sheetName val="367000053RRR"/>
      <sheetName val="142-24B"/>
      <sheetName val="142-24A"/>
      <sheetName val="142-56A"/>
      <sheetName val="142-56B"/>
      <sheetName val="18-171"/>
      <sheetName val="888868971b"/>
      <sheetName val="888868971a"/>
      <sheetName val="911"/>
      <sheetName val="924"/>
      <sheetName val="364"/>
      <sheetName val="348"/>
      <sheetName val="335"/>
      <sheetName val="351"/>
      <sheetName val="367-35A"/>
      <sheetName val="367-35B"/>
      <sheetName val="32-151"/>
      <sheetName val="18-10a"/>
      <sheetName val="18-10b"/>
      <sheetName val="18-10c"/>
      <sheetName val="18-39A"/>
      <sheetName val="18-39B"/>
      <sheetName val="18-39C"/>
      <sheetName val="18-39D"/>
      <sheetName val="18-39E"/>
      <sheetName val="18-39F"/>
      <sheetName val="18-40A"/>
      <sheetName val="18-40B"/>
      <sheetName val="18-40C"/>
      <sheetName val="18-40D"/>
      <sheetName val="1"/>
      <sheetName val="88-8868836"/>
      <sheetName val="18-171c"/>
      <sheetName val="18-171b"/>
      <sheetName val="18-171a"/>
      <sheetName val="142-058"/>
      <sheetName val="142-63A"/>
      <sheetName val="142-63B"/>
      <sheetName val="142-68A"/>
      <sheetName val="142-68B"/>
      <sheetName val="142-61B"/>
      <sheetName val="142-61A"/>
      <sheetName val="142-069"/>
      <sheetName val="142-69A"/>
      <sheetName val="142-54A"/>
      <sheetName val="142-54B"/>
      <sheetName val="142-80A"/>
      <sheetName val="142-80B"/>
      <sheetName val="142-65a"/>
      <sheetName val="142-65b"/>
      <sheetName val="142-58A"/>
      <sheetName val="142-37A"/>
      <sheetName val="142-37B"/>
      <sheetName val="142-66A"/>
      <sheetName val="142-66B"/>
      <sheetName val="367-22A"/>
      <sheetName val="367-22B"/>
      <sheetName val="367-79"/>
      <sheetName val="01-500"/>
      <sheetName val="14-2010"/>
      <sheetName val="14-2040A"/>
      <sheetName val="14-2040B"/>
      <sheetName val="14-5113912A"/>
      <sheetName val="14-5113912B"/>
      <sheetName val="18-052A"/>
      <sheetName val="18-052B"/>
      <sheetName val="18-127"/>
      <sheetName val="18-131A"/>
      <sheetName val="18-131B"/>
      <sheetName val="18-167"/>
      <sheetName val="18-176"/>
      <sheetName val="18-242"/>
      <sheetName val="18-291"/>
      <sheetName val="19-503"/>
      <sheetName val="19-503A"/>
      <sheetName val="19-503B"/>
      <sheetName val="19-5114016"/>
      <sheetName val="22-004D"/>
      <sheetName val="22-004J"/>
      <sheetName val="22-004F"/>
      <sheetName val="24-5114125"/>
      <sheetName val="24-5114219"/>
      <sheetName val="24-5114132"/>
      <sheetName val="32-010"/>
      <sheetName val="32-018"/>
      <sheetName val="32-025A"/>
      <sheetName val="32-025B"/>
      <sheetName val="32-025C"/>
      <sheetName val="32-036"/>
      <sheetName val="32-026A"/>
      <sheetName val="32-026B"/>
      <sheetName val="32-026C"/>
      <sheetName val="32-067A"/>
      <sheetName val="32-067B"/>
      <sheetName val="32-083"/>
      <sheetName val="32-146D"/>
      <sheetName val="32-146J"/>
      <sheetName val="32-146F"/>
      <sheetName val="36-7096"/>
      <sheetName val="88-8868971A"/>
      <sheetName val="88-8868971B"/>
      <sheetName val="DD-AUG"/>
      <sheetName val="DD-SEPT"/>
      <sheetName val="DD-OCT"/>
      <sheetName val="DD-NOV"/>
      <sheetName val="DD-DEC"/>
      <sheetName val="DD-JAN"/>
      <sheetName val="DD-FEB"/>
      <sheetName val="DD-MARCH"/>
      <sheetName val="36-328"/>
      <sheetName val="36-328 (2)"/>
      <sheetName val="245114237REN"/>
      <sheetName val="245114238REN"/>
      <sheetName val="245114240REN"/>
      <sheetName val="Sheet6"/>
      <sheetName val="Sheet4"/>
      <sheetName val="4100-100 Commercial Rent"/>
      <sheetName val="Summary Annl"/>
      <sheetName val="Stand Alone 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BreakdownSummary"/>
      <sheetName val="CustomerSummary"/>
      <sheetName val="ExecutiveSummary"/>
      <sheetName val="ChangeOrderSummary"/>
      <sheetName val="CustomerBidForm"/>
      <sheetName val="GeneralInfo"/>
      <sheetName val="SupervisionProfitOHCont"/>
      <sheetName val="SubSelect"/>
      <sheetName val="Permit"/>
      <sheetName val="Lot"/>
      <sheetName val="PlansEngineering"/>
      <sheetName val="ConstructionLoan"/>
      <sheetName val="TemporaryUtilities"/>
      <sheetName val="Demolition"/>
      <sheetName val="Earthwork"/>
      <sheetName val="Footings"/>
      <sheetName val="WindowWell"/>
      <sheetName val="Foundation"/>
      <sheetName val="CMUFoundation"/>
      <sheetName val="Flatwork"/>
      <sheetName val="MiscSteel"/>
      <sheetName val="Damproofing"/>
      <sheetName val="UtilityLaterals"/>
      <sheetName val="SepticSystem"/>
      <sheetName val="PotableWaterWell"/>
      <sheetName val="FramingMaterial"/>
      <sheetName val="FramingLabor"/>
      <sheetName val="EntryDoor"/>
      <sheetName val="GarageDoor"/>
      <sheetName val="Windows"/>
      <sheetName val="Plumbing"/>
      <sheetName val="Heating"/>
      <sheetName val="AirConditioning"/>
      <sheetName val="Electrical"/>
      <sheetName val="LightFixtures"/>
      <sheetName val="Roofing"/>
      <sheetName val="Insulation"/>
      <sheetName val="Drywall"/>
      <sheetName val="FinishCarpentry"/>
      <sheetName val="FinishCarpentryLabor"/>
      <sheetName val="Painting"/>
      <sheetName val="TileMarble"/>
      <sheetName val="Fireplace"/>
      <sheetName val="FloorCoverings"/>
      <sheetName val="Cabinets"/>
      <sheetName val="Countertops"/>
      <sheetName val="Appliances"/>
      <sheetName val="HardwareMirror"/>
      <sheetName val="Siding"/>
      <sheetName val="SoffitFascia"/>
      <sheetName val="Gutter"/>
      <sheetName val="Deck"/>
      <sheetName val="ExtRailing"/>
      <sheetName val="FDNPlaster"/>
      <sheetName val="Cleanup"/>
      <sheetName val="Landscaping"/>
      <sheetName val="ZCustom1"/>
      <sheetName val="ZCustom2"/>
      <sheetName val="ZCustom3"/>
      <sheetName val="ZCustom4"/>
      <sheetName val="ZCustom5"/>
      <sheetName val="ZCustom6"/>
      <sheetName val="ZCustom7"/>
      <sheetName val="ZCustom8"/>
      <sheetName val="ZCustom9"/>
      <sheetName val="ZCustom10"/>
      <sheetName val="ZCustom11"/>
      <sheetName val="ZCustom12"/>
      <sheetName val="ZCustom13"/>
      <sheetName val="ZCustom14"/>
      <sheetName val="ZCustom15"/>
      <sheetName val="ZCustom16"/>
      <sheetName val="ZCustom17"/>
      <sheetName val="ZCustom18"/>
      <sheetName val="ZCustom19"/>
      <sheetName val="ZCustom20"/>
      <sheetName val="PurchaseOrder"/>
      <sheetName val="BasicPurchaseOrder"/>
      <sheetName val="DatabaseLinks"/>
      <sheetName val="Property Info"/>
      <sheetName val="P13"/>
      <sheetName val="TOC"/>
      <sheetName val="Draft closing statement"/>
      <sheetName val="protective advances since 9_1"/>
      <sheetName val="Expense thru April 2010 backup"/>
      <sheetName val="S&amp;U comparison"/>
      <sheetName val="Carry cost comparison"/>
      <sheetName val="Development Cost Input"/>
      <sheetName val="Rom Telecom (fixed line)"/>
      <sheetName val="Project"/>
      <sheetName val="OTHER"/>
      <sheetName val="Summary"/>
      <sheetName val=" Data"/>
      <sheetName val="OfficeStock"/>
      <sheetName val="tbl_RCAexport"/>
      <sheetName val="Assum"/>
      <sheetName val="Accrue"/>
      <sheetName val="Drop Downs"/>
      <sheetName val="Rent Roll"/>
      <sheetName val="Residential - Loan Summary"/>
      <sheetName val="Telco"/>
      <sheetName val="Cash Flow Summary"/>
      <sheetName val="BY REP-S"/>
    </sheetNames>
    <sheetDataSet>
      <sheetData sheetId="0" refreshError="1">
        <row r="9">
          <cell r="F9">
            <v>0</v>
          </cell>
        </row>
        <row r="25">
          <cell r="F25">
            <v>0</v>
          </cell>
        </row>
        <row r="94">
          <cell r="F9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C8DD99-1C4F-40EC-8572-6546EB769A2B}" name="Rent_Roll" displayName="Rent_Roll" ref="B6:AI420" totalsRowCount="1" headerRowDxfId="176" dataDxfId="175" totalsRowDxfId="173" tableBorderDxfId="174">
  <autoFilter ref="B6:AI419" xr:uid="{C61208A2-FF64-4575-926E-5AD7B2200DE1}"/>
  <tableColumns count="34">
    <tableColumn id="1" xr3:uid="{1DA06B3E-A476-435F-B53D-D2EBC93E9511}" name="Bldng #" dataDxfId="172" totalsRowDxfId="171"/>
    <tableColumn id="2" xr3:uid="{8BADA9E1-2121-414F-AE36-796442A67698}" name="Unit #" totalsRowFunction="count" dataDxfId="170" totalsRowDxfId="169"/>
    <tableColumn id="3" xr3:uid="{232496D4-359C-4332-B132-8A99153D8578}" name="Floor-_x000a_plan" dataDxfId="168" totalsRowDxfId="167"/>
    <tableColumn id="4" xr3:uid="{9D72DA19-B0C0-412C-A204-2291A63E43BB}" name="# Beds" dataDxfId="166" totalsRowDxfId="165">
      <calculatedColumnFormula>IF(Rent_Roll[[#This Row],[Floor-
plan]]="studio",0,LEFT(Rent_Roll[[#This Row],[Floor-
plan]],1))</calculatedColumnFormula>
    </tableColumn>
    <tableColumn id="5" xr3:uid="{27D27142-39AF-4862-BFE6-8314F14DC409}" name="# Baths" dataDxfId="164" totalsRowDxfId="163">
      <calculatedColumnFormula array="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calculatedColumnFormula>
    </tableColumn>
    <tableColumn id="6" xr3:uid="{AE34C5DA-7196-424E-9E01-EDC62E4BB4DD}" name="SqFt" totalsRowFunction="sum" dataDxfId="162" totalsRowDxfId="161"/>
    <tableColumn id="7" xr3:uid="{F3985F30-D72C-48B4-A927-A194D8B32571}" name="Unit_x000a_Status" dataDxfId="160" totalsRowDxfId="159"/>
    <tableColumn id="8" xr3:uid="{551BEA92-D35A-442B-A5B6-A8C6286F64EB}" name="Renovation_x000a_Status" totalsRowFunction="count" dataDxfId="158" totalsRowDxfId="157"/>
    <tableColumn id="9" xr3:uid="{2357E58B-0B5A-47A5-B69C-4AFEAD73A664}" name="Unit Type" dataDxfId="156" totalsRowDxfId="155">
      <calculatedColumnFormula array="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calculatedColumnFormula>
    </tableColumn>
    <tableColumn id="10" xr3:uid="{7278320D-151D-44CF-B132-C8EFD2F71FEC}" name="Lease_x000a_Start" dataDxfId="154" totalsRowDxfId="153"/>
    <tableColumn id="11" xr3:uid="{F7E56960-4F4A-44F1-83E8-169499E2ECEE}" name="Lease_x000a_Exp" dataDxfId="152" totalsRowDxfId="151"/>
    <tableColumn id="12" xr3:uid="{1194543F-AB54-4FD8-8506-954F71794F23}" name="Lease Term_x000a_(months)" totalsRowFunction="average" dataDxfId="150" totalsRowDxfId="149">
      <calculatedColumnFormula array="1">_xlfn.IFS(Rent_Roll[[#This Row],[Lease
Exp]]="","",Rent_Roll[[#This Row],[MTM
Lease]]="MTM Lease","--",Rent_Roll[[#This Row],[Lease
Exp]]&gt;0,(DATEDIF(Rent_Roll[[#This Row],[Lease
Start]],Rent_Roll[[#This Row],[Lease
Exp]],"m")+1))</calculatedColumnFormula>
    </tableColumn>
    <tableColumn id="13" xr3:uid="{AC1413FE-ED8C-482D-AB25-33FF93BDA035}" name="MTM_x000a_Lease" totalsRowFunction="custom" dataDxfId="148" totalsRowDxfId="147">
      <calculatedColumnFormula>IF(Rent_Roll[[#This Row],[Lease
Exp]]="","",IF(Rent_Roll[[#This Row],[Lease
Exp]]&lt;EOMONTH($Q$3,0),"MTM Lease",""))</calculatedColumnFormula>
      <totalsRowFormula>COUNTIF(Rent_Roll[MTM
Lease],"MTM Lease")</totalsRowFormula>
    </tableColumn>
    <tableColumn id="14" xr3:uid="{15971938-A182-4324-8B03-D9D841912556}" name="Months_x000a_Remaining" totalsRowFunction="average" dataDxfId="146" totalsRowDxfId="145">
      <calculatedColumnFormula>IFERROR(IF(Rent_Roll[[#This Row],[Lease
Exp]]="","",DATEDIF($F$3,Rent_Roll[[#This Row],[Lease
Exp]],"m")+1),0)</calculatedColumnFormula>
    </tableColumn>
    <tableColumn id="15" xr3:uid="{5F89C5FE-399D-4F75-AC90-2B162AF8C1F9}" name="Move-Out_x000a_Date" totalsRowFunction="count" dataDxfId="144" totalsRowDxfId="143"/>
    <tableColumn id="16" xr3:uid="{D1999303-FE0C-451B-A624-DB968D0BAF95}" name="NTV/_x000a_NTVL" dataDxfId="142" totalsRowDxfId="141">
      <calculatedColumnFormula array="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calculatedColumnFormula>
    </tableColumn>
    <tableColumn id="17" xr3:uid="{FD1BF75D-ED44-46CB-801C-6A2919092CD7}" name="Market_x000a_Rent" totalsRowFunction="sum" dataDxfId="140" totalsRowDxfId="139"/>
    <tableColumn id="18" xr3:uid="{60FA3106-ABCF-4BC2-85DD-1A4EDF98093C}" name="Lease_x000a_Rent" totalsRowFunction="sum" dataDxfId="138" totalsRowDxfId="137"/>
    <tableColumn id="19" xr3:uid="{120852AB-DFEF-4134-BB94-A82DAE2F8D53}" name="Corp_x000a_Rent" totalsRowFunction="sum" dataDxfId="136" totalsRowDxfId="135"/>
    <tableColumn id="20" xr3:uid="{24204649-3205-4E09-857C-E2EB491E888F}" name="Total In-Place_x000a_Rent" totalsRowFunction="sum" dataDxfId="134" totalsRowDxfId="133">
      <calculatedColumnFormula>Rent_Roll[[#This Row],[Lease
Rent]]+Rent_Roll[[#This Row],[Corp
Rent]]</calculatedColumnFormula>
    </tableColumn>
    <tableColumn id="21" xr3:uid="{347E054E-52CF-4E9A-BCB3-F34E79698675}" name="LTL" totalsRowFunction="sum" dataDxfId="132" totalsRowDxfId="131">
      <calculatedColumnFormula>IF(Rent_Roll[[#This Row],[Total In-Place
Rent]]=0,0,Rent_Roll[[#This Row],[Total In-Place
Rent]]-Rent_Roll[[#This Row],[Market
Rent]])</calculatedColumnFormula>
    </tableColumn>
    <tableColumn id="22" xr3:uid="{62FD6990-FDCE-4627-815F-51A83044C2E2}" name="MTM Fee" totalsRowFunction="sum" dataDxfId="130" totalsRowDxfId="129"/>
    <tableColumn id="23" xr3:uid="{3F4E8731-ED24-460A-8CFA-CEE6BA241ED3}" name="Conc/_x000a_Specials" totalsRowFunction="sum" dataDxfId="128" totalsRowDxfId="127"/>
    <tableColumn id="24" xr3:uid="{C91102F9-1D9F-459C-9AE9-24A70FB73B86}" name="Pet Rent" totalsRowFunction="sum" dataDxfId="126" totalsRowDxfId="125"/>
    <tableColumn id="25" xr3:uid="{974A19A2-B3C1-4B0C-B486-3BAEFDCEAD32}" name="Valet Trash" totalsRowFunction="sum" dataDxfId="124" totalsRowDxfId="123"/>
    <tableColumn id="26" xr3:uid="{3C295F83-16BA-4A18-8285-BCD31C207A07}" name="Other_x000a_Income2" totalsRowFunction="sum" dataDxfId="122" totalsRowDxfId="121"/>
    <tableColumn id="27" xr3:uid="{94F1DE28-2D0F-48F3-9DA5-E275CD4FD6E8}" name="Future_x000a_Lease Rent" totalsRowFunction="sum" dataDxfId="120" totalsRowDxfId="119"/>
    <tableColumn id="28" xr3:uid="{72E46534-C5FC-45C8-9A2F-F6BA5DE78AC5}" name="Future_x000a_Corp Rent" totalsRowFunction="sum" dataDxfId="118" totalsRowDxfId="117"/>
    <tableColumn id="29" xr3:uid="{E8207E18-82B7-44B3-B0FE-403178A79D48}" name="Future_x000a_Concessions" totalsRowFunction="sum" dataDxfId="116" totalsRowDxfId="115"/>
    <tableColumn id="30" xr3:uid="{F921B424-A3F0-40CD-9E3B-A03E521AB910}" name="Future_x000a_Pet Rent" totalsRowFunction="sum" dataDxfId="114" totalsRowDxfId="113"/>
    <tableColumn id="31" xr3:uid="{A19200EC-EB09-4BAF-92F6-05B921867BD7}" name="Future_x000a_Other Income" totalsRowFunction="sum" dataDxfId="112" totalsRowDxfId="111"/>
    <tableColumn id="32" xr3:uid="{BB663C77-D18E-457C-BDDB-BDCED26A3305}" name="Future_x000a_Lease Start" totalsRowFunction="count" dataDxfId="110" totalsRowDxfId="109"/>
    <tableColumn id="33" xr3:uid="{0EEF1BE9-1096-4F20-9BD9-0945D8DA8EAE}" name="Future_x000a_Lease Exp" dataDxfId="108" totalsRowDxfId="107"/>
    <tableColumn id="34" xr3:uid="{426F54F8-D15E-47BA-9566-B9A1DA410677}" name="Future Lease _x000a_Term (Mos)" totalsRowFunction="average" dataDxfId="106" totalsRowDxfId="105">
      <calculatedColumnFormula>IF(Rent_Roll[[#This Row],[Future
Lease Start]]="","",DATEDIF(Rent_Roll[[#This Row],[Future
Lease Start]],Rent_Roll[[#This Row],[Future
Lease Exp]],"m")+1)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202F26-1FE3-450E-A22F-7988CCB33ACB}" name="Table2" displayName="Table2" ref="F3:T35" totalsRowShown="0" headerRowDxfId="32" dataDxfId="31">
  <autoFilter ref="F3:T35" xr:uid="{A7407C35-181C-441C-8EEB-4C7A22D13517}"/>
  <tableColumns count="15">
    <tableColumn id="1" xr3:uid="{F6C58A7B-55EB-4912-94D4-8B08E0B214D5}" name="Rent Revenue" dataDxfId="30"/>
    <tableColumn id="2" xr3:uid="{CEBF0007-EF08-47F8-A9CB-B050F06E0855}" name="Other Income" dataDxfId="29"/>
    <tableColumn id="3" xr3:uid="{F73D58F8-BF7A-4365-8765-E3B856D6CFA7}" name="Utilities Reimbursement" dataDxfId="28"/>
    <tableColumn id="4" xr3:uid="{38B378CB-DCEB-49EB-952D-47BE3CDCA4BE}" name="Payroll" dataDxfId="27"/>
    <tableColumn id="5" xr3:uid="{FD7B3438-CF0C-4234-B399-E3C3369DC619}" name="Management Fees" dataDxfId="26"/>
    <tableColumn id="6" xr3:uid="{7F44F2F2-0A75-411E-8472-7F6C98BD7F70}" name="Contract Services" dataDxfId="25"/>
    <tableColumn id="7" xr3:uid="{FD658917-EF0C-4817-8169-83D1539E5E41}" name="General &amp; Administrative" dataDxfId="24"/>
    <tableColumn id="8" xr3:uid="{2C26906E-1545-4C83-9938-E0DB68CA0A6E}" name="Marketing &amp; Advertising" dataDxfId="23"/>
    <tableColumn id="9" xr3:uid="{D491B620-B3FB-49C1-BC37-4D070641922C}" name="Utilities" dataDxfId="22"/>
    <tableColumn id="10" xr3:uid="{87C3B7ED-6452-48EB-8313-D9EF6560C11C}" name="Repairs &amp; Maintenance" dataDxfId="21"/>
    <tableColumn id="11" xr3:uid="{730CCBA1-958A-4D13-AC55-52BB0784B3B7}" name="Insurance" dataDxfId="20"/>
    <tableColumn id="12" xr3:uid="{DCB1FC43-98D8-4463-8270-24A201158CFD}" name="Taxes" dataDxfId="19"/>
    <tableColumn id="13" xr3:uid="{6222C66E-E1FB-424B-A93A-30DCE4E12901}" name="Partnership Expenses" dataDxfId="18"/>
    <tableColumn id="14" xr3:uid="{DF215A46-226D-43D1-B125-9E6BD205359B}" name="Capex" dataDxfId="17"/>
    <tableColumn id="15" xr3:uid="{708A78B2-EEB3-417B-89E0-D1AC5A84BB66}" name="Debt Service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952D0F-CEA8-4769-95FE-F1FA74B321CC}" name="Table3" displayName="Table3" ref="V3:W7" totalsRowShown="0" headerRowDxfId="15" dataDxfId="14">
  <autoFilter ref="V3:W7" xr:uid="{C3FABE7B-FC17-4198-A346-27A113B96A85}"/>
  <tableColumns count="2">
    <tableColumn id="1" xr3:uid="{DA477087-6B21-41C4-9884-30B23E117FF0}" name="Management Staff" dataDxfId="13"/>
    <tableColumn id="2" xr3:uid="{0BC04C61-F2C9-4C4C-B5BE-E323B0D0D87D}" name="Payroll Sub-Account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7250C4-1787-4FBA-92CF-B0ECC907A749}" name="Table4" displayName="Table4" ref="V10:W15" totalsRowShown="0" headerRowDxfId="11" dataDxfId="10">
  <autoFilter ref="V10:W15" xr:uid="{C49ED327-B4ED-4B13-9E95-EDDBC90AD271}"/>
  <tableColumns count="2">
    <tableColumn id="1" xr3:uid="{81033C97-A5BB-4720-AA7A-186B066334C6}" name="Maitenance Staff" dataDxfId="9"/>
    <tableColumn id="2" xr3:uid="{55FDF5B3-7E74-465C-985E-32C43B731349}" name="Payroll Sub-Account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C66DEB-691D-4DD0-B9C9-FA5A38934ACB}" name="Table5" displayName="Table5" ref="V18:W25" totalsRowShown="0" headerRowDxfId="7" dataDxfId="6">
  <autoFilter ref="V18:W25" xr:uid="{263E03CC-5684-4A8C-869E-2F08965A938C}"/>
  <tableColumns count="2">
    <tableColumn id="1" xr3:uid="{094F7EFD-FD4F-481E-80DC-381D989EDECD}" name="Payroll Taxes &amp; Benefits" dataDxfId="5"/>
    <tableColumn id="2" xr3:uid="{F9569DED-8CF3-4172-837D-AE425918B43F}" name="Payroll Sub-Accou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83AD-9283-42D4-90AD-54490CF24A3C}">
  <sheetPr codeName="Sheet3">
    <tabColor rgb="FF002641"/>
    <pageSetUpPr fitToPage="1"/>
  </sheetPr>
  <dimension ref="A1:BG87"/>
  <sheetViews>
    <sheetView showGridLines="0" topLeftCell="A37" zoomScale="85" zoomScaleNormal="85" zoomScaleSheetLayoutView="110" workbookViewId="0">
      <selection activeCell="G49" sqref="G49"/>
    </sheetView>
  </sheetViews>
  <sheetFormatPr defaultColWidth="8.7109375" defaultRowHeight="14.25" x14ac:dyDescent="0.2"/>
  <cols>
    <col min="1" max="1" width="1" style="1061" customWidth="1"/>
    <col min="2" max="2" width="24.42578125" style="1061" customWidth="1"/>
    <col min="3" max="3" width="22.42578125" style="1061" customWidth="1"/>
    <col min="4" max="4" width="19.42578125" style="1061" customWidth="1"/>
    <col min="5" max="5" width="18.85546875" style="1061" customWidth="1"/>
    <col min="6" max="6" width="12.85546875" style="1061" customWidth="1"/>
    <col min="7" max="7" width="27.140625" style="1061" customWidth="1"/>
    <col min="8" max="8" width="21.140625" style="1061" customWidth="1"/>
    <col min="9" max="9" width="19.42578125" style="1061" customWidth="1"/>
    <col min="10" max="10" width="18.5703125" style="1061" bestFit="1" customWidth="1"/>
    <col min="11" max="11" width="18.140625" style="1061" customWidth="1"/>
    <col min="12" max="12" width="17.42578125" style="1061" customWidth="1"/>
    <col min="13" max="13" width="15" style="1061" customWidth="1"/>
    <col min="14" max="14" width="17.5703125" style="1061" bestFit="1" customWidth="1"/>
    <col min="15" max="15" width="26.140625" style="1061" customWidth="1"/>
    <col min="16" max="16" width="20" style="1061" customWidth="1"/>
    <col min="17" max="17" width="1.42578125" style="1061" customWidth="1"/>
    <col min="18" max="18" width="6" style="1061" customWidth="1"/>
    <col min="19" max="19" width="25.85546875" style="1061" bestFit="1" customWidth="1"/>
    <col min="20" max="23" width="15" style="1061" bestFit="1" customWidth="1"/>
    <col min="24" max="24" width="16.140625" style="1061" bestFit="1" customWidth="1"/>
    <col min="25" max="25" width="10" style="1061" bestFit="1" customWidth="1"/>
    <col min="26" max="39" width="10" style="1061" customWidth="1"/>
    <col min="40" max="40" width="12.85546875" style="1061" customWidth="1"/>
    <col min="41" max="41" width="10" style="1061" bestFit="1" customWidth="1"/>
    <col min="42" max="42" width="13.7109375" style="1061" customWidth="1"/>
    <col min="43" max="43" width="24.42578125" style="1061" customWidth="1"/>
    <col min="44" max="44" width="13.85546875" style="1061" bestFit="1" customWidth="1"/>
    <col min="45" max="46" width="9.42578125" style="1061" customWidth="1"/>
    <col min="47" max="47" width="10.7109375" style="1061" bestFit="1" customWidth="1"/>
    <col min="48" max="49" width="9.42578125" style="1061" customWidth="1"/>
    <col min="50" max="55" width="8.7109375" style="1061" customWidth="1"/>
    <col min="56" max="58" width="8.7109375" style="1061"/>
    <col min="59" max="59" width="10.140625" style="1061" bestFit="1" customWidth="1"/>
    <col min="60" max="190" width="9.140625" style="1061" bestFit="1" customWidth="1"/>
    <col min="191" max="16384" width="8.7109375" style="1061"/>
  </cols>
  <sheetData>
    <row r="1" spans="1:59" ht="6.4" customHeight="1" thickBot="1" x14ac:dyDescent="0.25">
      <c r="A1" s="144"/>
      <c r="B1" s="144"/>
      <c r="C1" s="144"/>
      <c r="D1" s="144"/>
      <c r="E1" s="144"/>
      <c r="F1" s="1060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</row>
    <row r="2" spans="1:59" ht="18.75" thickTop="1" x14ac:dyDescent="0.25">
      <c r="A2" s="144"/>
      <c r="B2" s="1062" t="s">
        <v>91</v>
      </c>
      <c r="C2" s="1063"/>
      <c r="D2" s="1063"/>
      <c r="E2" s="1063"/>
      <c r="F2" s="1063"/>
      <c r="G2" s="1064"/>
      <c r="H2" s="1064"/>
      <c r="I2" s="1064"/>
      <c r="J2" s="1064"/>
      <c r="K2" s="1064"/>
      <c r="L2" s="1065"/>
      <c r="M2" s="1065"/>
      <c r="N2" s="1065"/>
      <c r="O2" s="1065"/>
      <c r="P2" s="1066" t="str">
        <f>E6</f>
        <v>Property Name</v>
      </c>
      <c r="Q2" s="144"/>
    </row>
    <row r="3" spans="1:59" ht="19.899999999999999" customHeight="1" thickBot="1" x14ac:dyDescent="0.3">
      <c r="A3" s="144"/>
      <c r="B3" s="1067">
        <f ca="1">TODAY()</f>
        <v>44951</v>
      </c>
      <c r="C3" s="1068"/>
      <c r="D3" s="1068"/>
      <c r="E3" s="1068"/>
      <c r="F3" s="1068"/>
      <c r="G3" s="1069"/>
      <c r="H3" s="1069"/>
      <c r="I3" s="1069"/>
      <c r="J3" s="1069"/>
      <c r="K3" s="1069"/>
      <c r="L3" s="1069"/>
      <c r="M3" s="1069"/>
      <c r="N3" s="1069"/>
      <c r="O3" s="1069"/>
      <c r="P3" s="1070" t="str">
        <f>Address&amp;" "&amp;CityStateZip</f>
        <v>12345 Main St New York, NY 10004</v>
      </c>
      <c r="Q3" s="144"/>
      <c r="AO3" s="1071" t="s">
        <v>216</v>
      </c>
      <c r="AP3" s="1072"/>
      <c r="AQ3" s="1072"/>
      <c r="AR3" s="1072"/>
      <c r="AS3" s="1072"/>
      <c r="AT3" s="1072"/>
      <c r="AU3" s="1072"/>
      <c r="AV3" s="1072"/>
      <c r="AW3" s="1072"/>
      <c r="AX3" s="1072"/>
      <c r="AY3" s="1072"/>
      <c r="AZ3" s="1072"/>
      <c r="BA3" s="1072"/>
      <c r="BB3" s="1072"/>
      <c r="BC3" s="1072"/>
      <c r="BD3" s="1073"/>
    </row>
    <row r="4" spans="1:59" ht="6.4" customHeight="1" thickTop="1" x14ac:dyDescent="0.2">
      <c r="A4" s="1060"/>
      <c r="B4" s="1074"/>
      <c r="C4" s="1074"/>
      <c r="D4" s="1074"/>
      <c r="E4" s="1075"/>
      <c r="F4" s="1075"/>
      <c r="G4" s="1075"/>
      <c r="H4" s="1075"/>
      <c r="I4" s="1075"/>
      <c r="J4" s="1075"/>
      <c r="K4" s="1075"/>
      <c r="L4" s="1075"/>
      <c r="M4" s="1075"/>
      <c r="N4" s="1075"/>
      <c r="O4" s="1075"/>
      <c r="P4" s="1075"/>
      <c r="Q4" s="1060"/>
      <c r="AO4" s="1076"/>
      <c r="AP4" s="1077"/>
      <c r="AQ4" s="1077"/>
      <c r="AR4" s="1077"/>
      <c r="AS4" s="1077"/>
      <c r="AT4" s="1077"/>
      <c r="AU4" s="1077"/>
      <c r="AV4" s="1077"/>
      <c r="AW4" s="1077"/>
      <c r="AX4" s="1077"/>
      <c r="AY4" s="1077"/>
      <c r="AZ4" s="1077"/>
      <c r="BA4" s="1077"/>
      <c r="BB4" s="1077"/>
      <c r="BC4" s="1077"/>
      <c r="BD4" s="1078"/>
    </row>
    <row r="5" spans="1:59" ht="15.75" thickBot="1" x14ac:dyDescent="0.3">
      <c r="A5" s="144"/>
      <c r="B5" s="1079" t="s">
        <v>61</v>
      </c>
      <c r="C5" s="1080"/>
      <c r="D5" s="1080"/>
      <c r="E5" s="1081"/>
      <c r="F5" s="1060"/>
      <c r="G5" s="1079" t="s">
        <v>65</v>
      </c>
      <c r="H5" s="1080" t="s">
        <v>16</v>
      </c>
      <c r="I5" s="1080" t="s">
        <v>66</v>
      </c>
      <c r="J5" s="1081" t="s">
        <v>67</v>
      </c>
      <c r="K5" s="649"/>
      <c r="L5"/>
      <c r="M5"/>
      <c r="N5"/>
      <c r="O5"/>
      <c r="P5"/>
      <c r="Q5" s="1060"/>
      <c r="AO5" s="1076"/>
      <c r="AP5" s="1077"/>
      <c r="AQ5" s="1077" t="e">
        <f>"Unit Mix ("&amp;TEXT(#REF!,"0")&amp;" units)"</f>
        <v>#REF!</v>
      </c>
      <c r="AR5" s="1077"/>
      <c r="AS5" s="1077"/>
      <c r="AT5" s="1077"/>
      <c r="AU5" s="1077"/>
      <c r="AV5" s="1077"/>
      <c r="AW5" s="1077"/>
      <c r="AX5" s="1077"/>
      <c r="AY5" s="1077"/>
      <c r="AZ5" s="1077"/>
      <c r="BA5" s="1077"/>
      <c r="BB5" s="1077"/>
      <c r="BC5" s="1077"/>
      <c r="BD5" s="1078"/>
    </row>
    <row r="6" spans="1:59" ht="15" x14ac:dyDescent="0.25">
      <c r="A6" s="144"/>
      <c r="B6" s="1082" t="s">
        <v>55</v>
      </c>
      <c r="C6" s="144"/>
      <c r="D6" s="609"/>
      <c r="E6" s="1083" t="s">
        <v>924</v>
      </c>
      <c r="F6" s="1060"/>
      <c r="G6" s="1082" t="s">
        <v>51</v>
      </c>
      <c r="H6" s="1084">
        <v>44927</v>
      </c>
      <c r="I6" s="144"/>
      <c r="J6" s="1085"/>
      <c r="K6" s="144"/>
      <c r="L6"/>
      <c r="M6"/>
      <c r="N6"/>
      <c r="O6"/>
      <c r="P6"/>
      <c r="Q6" s="1060"/>
      <c r="AO6" s="1076" t="e">
        <f ca="1">OFFSET( Summary!$AQ$6,,,COUNTIF(Summary!$AR$6:$AR$12,"&gt;"&amp;0),)</f>
        <v>#REF!</v>
      </c>
      <c r="AP6" s="1077">
        <f ca="1">OFFSET( Summary!$AR$6,,,COUNTIF(Summary!$AR$6:$AR$12,"&gt;"&amp;0),)</f>
        <v>1</v>
      </c>
      <c r="AQ6" s="1071" t="e">
        <f>IF(#REF!="","Studio",#REF!)</f>
        <v>#REF!</v>
      </c>
      <c r="AR6" s="1086">
        <f>IFERROR(IF(AQ6="","",SUMIF(#REF!,"*"&amp;Summary!AQ6&amp;"*",#REF!)/units),1)</f>
        <v>1</v>
      </c>
      <c r="AS6" s="1077"/>
      <c r="AT6" s="1061" t="s">
        <v>151</v>
      </c>
      <c r="AU6" s="1077">
        <f>'Annual Pro Forma'!E5</f>
        <v>1</v>
      </c>
      <c r="AV6" s="1077">
        <f>'Annual Pro Forma'!F5</f>
        <v>2</v>
      </c>
      <c r="AW6" s="1077">
        <f>'Annual Pro Forma'!G5</f>
        <v>3</v>
      </c>
      <c r="AX6" s="1077">
        <f>'Annual Pro Forma'!H5</f>
        <v>4</v>
      </c>
      <c r="AY6" s="1077">
        <f>'Annual Pro Forma'!I5</f>
        <v>5</v>
      </c>
      <c r="AZ6" s="1077">
        <f>'Annual Pro Forma'!J5</f>
        <v>6</v>
      </c>
      <c r="BA6" s="1077">
        <f>'Annual Pro Forma'!K5</f>
        <v>7</v>
      </c>
      <c r="BB6" s="1077">
        <f>'Annual Pro Forma'!L5</f>
        <v>8</v>
      </c>
      <c r="BC6" s="1077">
        <f>'Annual Pro Forma'!M5</f>
        <v>9</v>
      </c>
      <c r="BD6" s="1087">
        <f>'Annual Pro Forma'!N5</f>
        <v>10</v>
      </c>
    </row>
    <row r="7" spans="1:59" ht="15" x14ac:dyDescent="0.25">
      <c r="A7" s="144"/>
      <c r="B7" s="1082" t="s">
        <v>56</v>
      </c>
      <c r="C7" s="144"/>
      <c r="D7" s="609"/>
      <c r="E7" s="1083" t="s">
        <v>224</v>
      </c>
      <c r="F7" s="1060"/>
      <c r="G7" s="1088" t="s">
        <v>81</v>
      </c>
      <c r="H7" s="1089">
        <f>AnalysisStartDate</f>
        <v>44927</v>
      </c>
      <c r="I7" s="1089">
        <f>EOMONTH(AnalysisStartDate,HoldPeriod)</f>
        <v>46783</v>
      </c>
      <c r="J7" s="1090">
        <v>60</v>
      </c>
      <c r="K7" s="144"/>
      <c r="L7"/>
      <c r="M7"/>
      <c r="N7"/>
      <c r="O7"/>
      <c r="P7"/>
      <c r="Q7" s="1060"/>
      <c r="AO7" s="1076"/>
      <c r="AP7" s="1077"/>
      <c r="AQ7" s="1076" t="e">
        <f>IF(#REF!="","1 Bedroom",#REF!)</f>
        <v>#REF!</v>
      </c>
      <c r="AR7" s="1091">
        <f>IFERROR(IF(AQ7="","",SUMIF(#REF!,"*"&amp;Summary!AQ7&amp;"*",#REF!)/units),1)</f>
        <v>1</v>
      </c>
      <c r="AS7" s="1077"/>
      <c r="AT7" s="1092">
        <f ca="1">ROUND(E24,-3)/1000000</f>
        <v>2.6749999999999998</v>
      </c>
      <c r="AU7" s="1092">
        <f ca="1">ROUND(IF(AU6&gt;HoldPeriod/12,0,'Annual Pro Forma'!E38),-3)/1000000</f>
        <v>2.7240000000000002</v>
      </c>
      <c r="AV7" s="1092">
        <f ca="1">ROUND(IF(AV6&gt;HoldPeriod/12,0,'Annual Pro Forma'!F38),-3)/1000000</f>
        <v>3.169</v>
      </c>
      <c r="AW7" s="1092">
        <f ca="1">ROUND(IF(AW6&gt;HoldPeriod/12,0,'Annual Pro Forma'!G38),-3)/1000000</f>
        <v>3.6880000000000002</v>
      </c>
      <c r="AX7" s="1092">
        <f ca="1">ROUND(IF(AX6&gt;HoldPeriod/12,0,'Annual Pro Forma'!H38),-3)/1000000</f>
        <v>3.9119999999999999</v>
      </c>
      <c r="AY7" s="1092">
        <f ca="1">ROUND(IF(AY6&gt;HoldPeriod/12,0,'Annual Pro Forma'!I38),-3)/1000000</f>
        <v>4.085</v>
      </c>
      <c r="AZ7" s="1092">
        <f>ROUND(IF(AZ6&gt;HoldPeriod/12,0,'Annual Pro Forma'!J38),-3)/1000000</f>
        <v>0</v>
      </c>
      <c r="BA7" s="1092">
        <f>ROUND(IF(BA6&gt;HoldPeriod/12,0,'Annual Pro Forma'!K38),-3)/1000000</f>
        <v>0</v>
      </c>
      <c r="BB7" s="1092">
        <f>ROUND(IF(BB6&gt;HoldPeriod/12,0,'Annual Pro Forma'!L38),-3)/1000000</f>
        <v>0</v>
      </c>
      <c r="BC7" s="1092">
        <f>ROUND(IF(BC6&gt;HoldPeriod/12,0,'Annual Pro Forma'!M38),-3)/1000000</f>
        <v>0</v>
      </c>
      <c r="BD7" s="1093">
        <f>ROUND(IF(BD6&gt;HoldPeriod/12,0,'Annual Pro Forma'!N38),-3)/1000000</f>
        <v>0</v>
      </c>
    </row>
    <row r="8" spans="1:59" ht="15" x14ac:dyDescent="0.25">
      <c r="A8" s="144"/>
      <c r="B8" s="1082" t="s">
        <v>8</v>
      </c>
      <c r="C8" s="144"/>
      <c r="D8" s="1094"/>
      <c r="E8" s="1083" t="s">
        <v>925</v>
      </c>
      <c r="F8" s="1060"/>
      <c r="G8" s="1060"/>
      <c r="H8" s="144"/>
      <c r="I8" s="1060"/>
      <c r="J8" s="1060"/>
      <c r="K8" s="144"/>
      <c r="L8"/>
      <c r="M8"/>
      <c r="N8"/>
      <c r="O8"/>
      <c r="P8"/>
      <c r="Q8" s="1060"/>
      <c r="AO8" s="1076"/>
      <c r="AP8" s="1077"/>
      <c r="AQ8" s="1076" t="e">
        <f>IF(#REF!="","2 Bedroom",#REF!)</f>
        <v>#REF!</v>
      </c>
      <c r="AR8" s="1091">
        <f>IFERROR(IF(AQ8="","",SUMIF(#REF!,"*"&amp;Summary!AQ8&amp;"*",#REF!)/units),1)</f>
        <v>1</v>
      </c>
      <c r="AS8" s="1077"/>
      <c r="AT8" s="1092" t="e">
        <f ca="1">AT7+'Annual Pro Forma'!#REF!/1000000</f>
        <v>#REF!</v>
      </c>
      <c r="AU8" s="1092">
        <f ca="1">ROUND(IF(AU6&gt;HoldPeriod/12,0,Returns!D13),-3)/1000000</f>
        <v>-1.7000000000000001E-2</v>
      </c>
      <c r="AV8" s="1092">
        <f ca="1">ROUND(IF(AV6&gt;HoldPeriod/12,0,Returns!E13),-3)/1000000</f>
        <v>0.46</v>
      </c>
      <c r="AW8" s="1092">
        <f ca="1">ROUND(IF(AW6&gt;HoldPeriod/12,0,Returns!F13),-3)/1000000</f>
        <v>3.1080000000000001</v>
      </c>
      <c r="AX8" s="1092">
        <f ca="1">ROUND(IF(AX6&gt;HoldPeriod/12,0,Returns!G13),-3)/1000000</f>
        <v>1.1519999999999999</v>
      </c>
      <c r="AY8" s="1092">
        <f ca="1">ROUND(IF(AY6&gt;HoldPeriod/12,0,Returns!H13),-3)/1000000</f>
        <v>35.561999999999998</v>
      </c>
      <c r="AZ8" s="1092">
        <f>ROUND(IF(AZ6&gt;HoldPeriod/12,0,Returns!I13),-3)/1000000</f>
        <v>0</v>
      </c>
      <c r="BA8" s="1092">
        <f>ROUND(IF(BA6&gt;HoldPeriod/12,0,Returns!J13),-3)/1000000</f>
        <v>0</v>
      </c>
      <c r="BB8" s="1092">
        <f>ROUND(IF(BB6&gt;HoldPeriod/12,0,Returns!K13),-3)/1000000</f>
        <v>0</v>
      </c>
      <c r="BC8" s="1092">
        <f>ROUND(IF(BC6&gt;HoldPeriod/12,0,Returns!L13),-3)/1000000</f>
        <v>0</v>
      </c>
      <c r="BD8" s="1093">
        <f>ROUND(IF(BD6&gt;HoldPeriod/12,0,Returns!M13),-3)/1000000</f>
        <v>0</v>
      </c>
    </row>
    <row r="9" spans="1:59" x14ac:dyDescent="0.2">
      <c r="A9" s="144"/>
      <c r="B9" s="1082" t="s">
        <v>57</v>
      </c>
      <c r="C9" s="144"/>
      <c r="D9" s="609"/>
      <c r="E9" s="1083" t="s">
        <v>926</v>
      </c>
      <c r="F9" s="1060"/>
      <c r="G9" s="1295" t="str">
        <f>'Unit Mix-Reno Schedule'!B7</f>
        <v>Unit Type</v>
      </c>
      <c r="H9" s="1305" t="str">
        <f>'Unit Mix-Reno Schedule'!C7</f>
        <v># Units</v>
      </c>
      <c r="I9" s="1305" t="str">
        <f>'Unit Mix-Reno Schedule'!D7</f>
        <v>% Total</v>
      </c>
      <c r="J9" s="1305" t="str">
        <f>'Unit Mix-Reno Schedule'!E7</f>
        <v>Avg SF</v>
      </c>
      <c r="K9" s="1305" t="str">
        <f>'Unit Mix-Reno Schedule'!I7</f>
        <v>% Occupied</v>
      </c>
      <c r="L9" s="1305" t="str">
        <f>'Unit Mix-Reno Schedule'!J7</f>
        <v>% Vacant</v>
      </c>
      <c r="M9" s="1305" t="s">
        <v>96</v>
      </c>
      <c r="N9" s="1305" t="str">
        <f>'Unit Mix-Reno Schedule'!M7</f>
        <v>PSF</v>
      </c>
      <c r="O9" s="1305" t="s">
        <v>299</v>
      </c>
      <c r="P9" s="1306" t="str">
        <f>'Unit Mix-Reno Schedule'!O7</f>
        <v>PSF</v>
      </c>
      <c r="Q9" s="1060"/>
      <c r="AO9" s="1076"/>
      <c r="AP9" s="1077"/>
      <c r="AQ9" s="1095" t="e">
        <f>IF(#REF!="","3 Bedroom",#REF!)</f>
        <v>#REF!</v>
      </c>
      <c r="AR9" s="1096">
        <f>IFERROR(IF(AQ9="","",SUMIF(#REF!,"*"&amp;Summary!AQ9&amp;"*",#REF!)/units),1)</f>
        <v>1</v>
      </c>
      <c r="AS9" s="1077"/>
      <c r="AT9" s="1097"/>
      <c r="AU9" s="1097"/>
      <c r="AV9" s="1097"/>
      <c r="AW9" s="1097"/>
      <c r="AX9" s="1097"/>
      <c r="AY9" s="1097"/>
      <c r="AZ9" s="1097"/>
      <c r="BA9" s="1097"/>
      <c r="BB9" s="1097"/>
      <c r="BC9" s="1097"/>
      <c r="BD9" s="1078"/>
    </row>
    <row r="10" spans="1:59" x14ac:dyDescent="0.2">
      <c r="A10" s="144"/>
      <c r="B10" s="1082" t="s">
        <v>47</v>
      </c>
      <c r="C10" s="1098">
        <v>2022</v>
      </c>
      <c r="D10" s="1099" t="s">
        <v>60</v>
      </c>
      <c r="E10" s="1083">
        <v>3</v>
      </c>
      <c r="F10" s="1060"/>
      <c r="G10" s="1296" t="str">
        <f>IFERROR('Unit Mix-Reno Schedule'!B8,"")</f>
        <v>1x1</v>
      </c>
      <c r="H10" s="1290">
        <f>'Unit Mix-Reno Schedule'!C8</f>
        <v>38</v>
      </c>
      <c r="I10" s="1291">
        <f>'Unit Mix-Reno Schedule'!D8</f>
        <v>0.15573770491803279</v>
      </c>
      <c r="J10" s="1290">
        <f>'Unit Mix-Reno Schedule'!E8</f>
        <v>642</v>
      </c>
      <c r="K10" s="1292">
        <f>'Unit Mix-Reno Schedule'!I8</f>
        <v>0.97368421052631582</v>
      </c>
      <c r="L10" s="1292">
        <f>'Unit Mix-Reno Schedule'!J8</f>
        <v>2.6315789473684209E-2</v>
      </c>
      <c r="M10" s="1293">
        <f>'Unit Mix-Reno Schedule'!L8</f>
        <v>1081.8421052631579</v>
      </c>
      <c r="N10" s="1294">
        <f>'Unit Mix-Reno Schedule'!M8</f>
        <v>1.6851123134940154</v>
      </c>
      <c r="O10" s="1293">
        <f>'Unit Mix-Reno Schedule'!N8</f>
        <v>1027.2972972972973</v>
      </c>
      <c r="P10" s="1297">
        <f>'Unit Mix-Reno Schedule'!O8</f>
        <v>1.6001515534225814</v>
      </c>
      <c r="Q10" s="1060"/>
      <c r="R10" s="1100"/>
      <c r="S10" s="1101"/>
      <c r="T10" s="1101"/>
      <c r="U10" s="1101"/>
      <c r="AO10" s="1076"/>
      <c r="AP10" s="1077"/>
      <c r="AQ10" s="1077"/>
      <c r="AR10" s="1102"/>
      <c r="AS10" s="1072" t="s">
        <v>13</v>
      </c>
      <c r="AT10" s="1103" t="str">
        <f ca="1">"Year "&amp;OFFSET(Summary!$AT$6,,,,1+COUNTIF(Summary!$AT$6:$BD$6,"&lt;="&amp;HoldPeriod/12))</f>
        <v>Year T12</v>
      </c>
      <c r="AU10" s="1077"/>
      <c r="AV10" s="1077"/>
      <c r="AW10" s="1077"/>
      <c r="AX10" s="1077"/>
      <c r="AY10" s="1077"/>
      <c r="AZ10" s="1077"/>
      <c r="BA10" s="1077"/>
      <c r="BB10" s="1077"/>
      <c r="BC10" s="1077"/>
      <c r="BD10" s="1078"/>
    </row>
    <row r="11" spans="1:59" x14ac:dyDescent="0.2">
      <c r="A11" s="144"/>
      <c r="B11" s="1082" t="s">
        <v>58</v>
      </c>
      <c r="C11" s="1104">
        <v>23</v>
      </c>
      <c r="D11" s="158" t="s">
        <v>59</v>
      </c>
      <c r="E11" s="1105">
        <f>C11*43560</f>
        <v>1001880</v>
      </c>
      <c r="F11" s="1060"/>
      <c r="G11" s="1296" t="str">
        <f>IFERROR('Unit Mix-Reno Schedule'!B9,"")</f>
        <v>1x1</v>
      </c>
      <c r="H11" s="1290">
        <f>'Unit Mix-Reno Schedule'!C9</f>
        <v>12</v>
      </c>
      <c r="I11" s="1291">
        <f>'Unit Mix-Reno Schedule'!D9</f>
        <v>4.9180327868852458E-2</v>
      </c>
      <c r="J11" s="1290">
        <f>'Unit Mix-Reno Schedule'!E9</f>
        <v>727</v>
      </c>
      <c r="K11" s="1292">
        <f>'Unit Mix-Reno Schedule'!I9</f>
        <v>1</v>
      </c>
      <c r="L11" s="1292">
        <f>'Unit Mix-Reno Schedule'!J9</f>
        <v>0</v>
      </c>
      <c r="M11" s="1293">
        <f>'Unit Mix-Reno Schedule'!L9</f>
        <v>1135</v>
      </c>
      <c r="N11" s="1294">
        <f>'Unit Mix-Reno Schedule'!M9</f>
        <v>1.5612104539202201</v>
      </c>
      <c r="O11" s="1293">
        <f>'Unit Mix-Reno Schedule'!N9</f>
        <v>1049.5833333333333</v>
      </c>
      <c r="P11" s="1297">
        <f>'Unit Mix-Reno Schedule'!O9</f>
        <v>1.4437184777624941</v>
      </c>
      <c r="Q11" s="1060"/>
      <c r="R11" s="1106"/>
      <c r="S11" s="1106"/>
      <c r="T11" s="1107"/>
      <c r="U11" s="1108"/>
      <c r="AO11" s="1076"/>
      <c r="AP11" s="1077"/>
      <c r="AQ11" s="1077"/>
      <c r="AR11" s="1102"/>
      <c r="AS11" s="1077" t="s">
        <v>50</v>
      </c>
      <c r="AT11" s="1109">
        <f ca="1">OFFSET(Summary!$AT$7,,,,1+COUNTIF(Summary!$AT$6:$BD$6,"&lt;="&amp;HoldPeriod/12))</f>
        <v>2.6749999999999998</v>
      </c>
      <c r="AU11" s="1077"/>
      <c r="AV11" s="1077"/>
      <c r="AW11" s="1077"/>
      <c r="AX11" s="1077"/>
      <c r="AY11" s="1077"/>
      <c r="AZ11" s="1077"/>
      <c r="BA11" s="1077"/>
      <c r="BB11" s="1077"/>
      <c r="BC11" s="1077"/>
      <c r="BD11" s="1078"/>
    </row>
    <row r="12" spans="1:59" x14ac:dyDescent="0.2">
      <c r="A12" s="144"/>
      <c r="B12" s="1082" t="s">
        <v>48</v>
      </c>
      <c r="C12" s="1110">
        <v>450</v>
      </c>
      <c r="D12" s="609" t="s">
        <v>10</v>
      </c>
      <c r="E12" s="1111">
        <f>units</f>
        <v>244</v>
      </c>
      <c r="F12" s="1060"/>
      <c r="G12" s="1296" t="str">
        <f>IFERROR('Unit Mix-Reno Schedule'!B10,"")</f>
        <v>1x1</v>
      </c>
      <c r="H12" s="1290">
        <f>'Unit Mix-Reno Schedule'!C10</f>
        <v>24</v>
      </c>
      <c r="I12" s="1291">
        <f>'Unit Mix-Reno Schedule'!D10</f>
        <v>9.8360655737704916E-2</v>
      </c>
      <c r="J12" s="1290">
        <f>'Unit Mix-Reno Schedule'!E10</f>
        <v>804</v>
      </c>
      <c r="K12" s="1292">
        <f>'Unit Mix-Reno Schedule'!I10</f>
        <v>1</v>
      </c>
      <c r="L12" s="1292">
        <f>'Unit Mix-Reno Schedule'!J10</f>
        <v>0</v>
      </c>
      <c r="M12" s="1293">
        <f>'Unit Mix-Reno Schedule'!L10</f>
        <v>1162.5</v>
      </c>
      <c r="N12" s="1294">
        <f>'Unit Mix-Reno Schedule'!M10</f>
        <v>1.4458955223880596</v>
      </c>
      <c r="O12" s="1293">
        <f>'Unit Mix-Reno Schedule'!N10</f>
        <v>1058.9583333333333</v>
      </c>
      <c r="P12" s="1297">
        <f>'Unit Mix-Reno Schedule'!O10</f>
        <v>1.3171123548922055</v>
      </c>
      <c r="Q12" s="1060"/>
      <c r="R12" s="1106"/>
      <c r="AO12" s="1076"/>
      <c r="AP12" s="1077"/>
      <c r="AQ12" s="1077"/>
      <c r="AR12" s="1102"/>
      <c r="AS12" s="1112" t="s">
        <v>49</v>
      </c>
      <c r="AT12" s="1113" t="e">
        <f ca="1">OFFSET(Summary!$AT$8,,,,1+COUNTIF(Summary!$AT$6:$BD$6,"&lt;="&amp;HoldPeriod/12))</f>
        <v>#REF!</v>
      </c>
      <c r="AU12" s="1077"/>
      <c r="AV12" s="1077"/>
      <c r="AW12" s="1077"/>
      <c r="AX12" s="1077"/>
      <c r="AY12" s="1077"/>
      <c r="AZ12" s="1077"/>
      <c r="BA12" s="1077"/>
      <c r="BB12" s="1077"/>
      <c r="BC12" s="1077"/>
      <c r="BD12" s="1078"/>
    </row>
    <row r="13" spans="1:59" x14ac:dyDescent="0.2">
      <c r="A13" s="144"/>
      <c r="B13" s="1088" t="s">
        <v>9</v>
      </c>
      <c r="C13" s="1114">
        <v>0</v>
      </c>
      <c r="D13" s="1115" t="s">
        <v>77</v>
      </c>
      <c r="E13" s="1116">
        <f>NRA</f>
        <v>233472</v>
      </c>
      <c r="F13" s="1060"/>
      <c r="G13" s="1296" t="str">
        <f>IFERROR('Unit Mix-Reno Schedule'!B11,"")</f>
        <v>1x1-S</v>
      </c>
      <c r="H13" s="1290">
        <f>'Unit Mix-Reno Schedule'!C11</f>
        <v>2</v>
      </c>
      <c r="I13" s="1291">
        <f>'Unit Mix-Reno Schedule'!D11</f>
        <v>8.1967213114754103E-3</v>
      </c>
      <c r="J13" s="1290">
        <f>'Unit Mix-Reno Schedule'!E11</f>
        <v>805</v>
      </c>
      <c r="K13" s="1292">
        <f>'Unit Mix-Reno Schedule'!I11</f>
        <v>1</v>
      </c>
      <c r="L13" s="1292">
        <f>'Unit Mix-Reno Schedule'!J11</f>
        <v>0</v>
      </c>
      <c r="M13" s="1293">
        <f>'Unit Mix-Reno Schedule'!L11</f>
        <v>1155</v>
      </c>
      <c r="N13" s="1294">
        <f>'Unit Mix-Reno Schedule'!M11</f>
        <v>1.4347826086956521</v>
      </c>
      <c r="O13" s="1293">
        <f>'Unit Mix-Reno Schedule'!N11</f>
        <v>1132.5</v>
      </c>
      <c r="P13" s="1297">
        <f>'Unit Mix-Reno Schedule'!O11</f>
        <v>1.4068322981366459</v>
      </c>
      <c r="Q13" s="1060"/>
      <c r="R13" s="1106"/>
      <c r="AO13" s="1076"/>
      <c r="AP13" s="1077"/>
      <c r="AQ13" s="1077"/>
      <c r="AR13" s="1102"/>
      <c r="AS13" s="1077"/>
      <c r="AT13" s="1077"/>
      <c r="AU13" s="1077"/>
      <c r="AV13" s="1077"/>
      <c r="AW13" s="1077"/>
      <c r="AX13" s="1077"/>
      <c r="AY13" s="1077"/>
      <c r="AZ13" s="1077"/>
      <c r="BA13" s="1077"/>
      <c r="BB13" s="1077"/>
      <c r="BC13" s="1077"/>
      <c r="BD13" s="1078"/>
    </row>
    <row r="14" spans="1:59" x14ac:dyDescent="0.2">
      <c r="A14" s="144"/>
      <c r="B14" s="1117"/>
      <c r="C14" s="1117"/>
      <c r="D14" s="1117"/>
      <c r="E14" s="1117"/>
      <c r="F14" s="1060"/>
      <c r="G14" s="1296" t="str">
        <f>IFERROR('Unit Mix-Reno Schedule'!B12,"")</f>
        <v>1x1</v>
      </c>
      <c r="H14" s="1290">
        <f>'Unit Mix-Reno Schedule'!C12</f>
        <v>4</v>
      </c>
      <c r="I14" s="1291">
        <f>'Unit Mix-Reno Schedule'!D12</f>
        <v>1.6393442622950821E-2</v>
      </c>
      <c r="J14" s="1290">
        <f>'Unit Mix-Reno Schedule'!E12</f>
        <v>855</v>
      </c>
      <c r="K14" s="1292">
        <f>'Unit Mix-Reno Schedule'!I12</f>
        <v>1</v>
      </c>
      <c r="L14" s="1292">
        <f>'Unit Mix-Reno Schedule'!J12</f>
        <v>0</v>
      </c>
      <c r="M14" s="1293">
        <f>'Unit Mix-Reno Schedule'!L12</f>
        <v>1270</v>
      </c>
      <c r="N14" s="1294">
        <f>'Unit Mix-Reno Schedule'!M12</f>
        <v>1.4853801169590644</v>
      </c>
      <c r="O14" s="1293">
        <f>'Unit Mix-Reno Schedule'!N12</f>
        <v>1231.25</v>
      </c>
      <c r="P14" s="1297">
        <f>'Unit Mix-Reno Schedule'!O12</f>
        <v>1.4400584795321638</v>
      </c>
      <c r="Q14" s="1060"/>
      <c r="R14" s="1106"/>
      <c r="AO14" s="1076"/>
      <c r="AP14" s="1077"/>
      <c r="AQ14" s="1077"/>
      <c r="AR14" s="1102"/>
      <c r="AS14" s="1118"/>
      <c r="AT14" s="1077"/>
      <c r="AU14" s="1077"/>
      <c r="AV14" s="1077"/>
      <c r="AW14" s="1077"/>
      <c r="AX14" s="1077"/>
      <c r="AY14" s="1077"/>
      <c r="AZ14" s="1077"/>
      <c r="BA14" s="1077"/>
      <c r="BB14" s="1077"/>
      <c r="BC14" s="1077"/>
      <c r="BD14" s="1078"/>
    </row>
    <row r="15" spans="1:59" x14ac:dyDescent="0.2">
      <c r="A15" s="144"/>
      <c r="B15" s="1119" t="s">
        <v>145</v>
      </c>
      <c r="C15" s="1120"/>
      <c r="D15" s="1120"/>
      <c r="E15" s="1121"/>
      <c r="F15" s="1060"/>
      <c r="G15" s="1296" t="str">
        <f>IFERROR('Unit Mix-Reno Schedule'!B13,"")</f>
        <v>1x1-S</v>
      </c>
      <c r="H15" s="1290">
        <f>'Unit Mix-Reno Schedule'!C13</f>
        <v>4</v>
      </c>
      <c r="I15" s="1291">
        <f>'Unit Mix-Reno Schedule'!D13</f>
        <v>1.6393442622950821E-2</v>
      </c>
      <c r="J15" s="1290">
        <f>'Unit Mix-Reno Schedule'!E13</f>
        <v>931</v>
      </c>
      <c r="K15" s="1292">
        <f>'Unit Mix-Reno Schedule'!I13</f>
        <v>1</v>
      </c>
      <c r="L15" s="1292">
        <f>'Unit Mix-Reno Schedule'!J13</f>
        <v>0</v>
      </c>
      <c r="M15" s="1293">
        <f>'Unit Mix-Reno Schedule'!L13</f>
        <v>1250</v>
      </c>
      <c r="N15" s="1294">
        <f>'Unit Mix-Reno Schedule'!M13</f>
        <v>1.3426423200859292</v>
      </c>
      <c r="O15" s="1293">
        <f>'Unit Mix-Reno Schedule'!N13</f>
        <v>1145</v>
      </c>
      <c r="P15" s="1297">
        <f>'Unit Mix-Reno Schedule'!O13</f>
        <v>1.229860365198711</v>
      </c>
      <c r="Q15" s="1060"/>
      <c r="R15" s="1106"/>
      <c r="AO15" s="1076"/>
      <c r="AP15" s="1077"/>
      <c r="AQ15" s="1077"/>
      <c r="AR15" s="1102"/>
      <c r="AS15" s="1118" t="str">
        <f ca="1">"Untrended Increase in NOI ("&amp;TEXT($AT$15,"0.00%")&amp;" Over 12 Months)"</f>
        <v>Untrended Increase in NOI (0.00% Over 12 Months)</v>
      </c>
      <c r="AT15" s="1122">
        <f ca="1">IFERROR(AT17/AT16-1,0)</f>
        <v>0</v>
      </c>
      <c r="AU15" s="1077"/>
      <c r="AV15" s="1077"/>
      <c r="AW15" s="1077"/>
      <c r="AX15" s="1077"/>
      <c r="AY15" s="1077"/>
      <c r="AZ15" s="1077"/>
      <c r="BA15" s="1077"/>
      <c r="BB15" s="1077"/>
      <c r="BC15" s="1077"/>
      <c r="BD15" s="1078"/>
    </row>
    <row r="16" spans="1:59" x14ac:dyDescent="0.2">
      <c r="A16" s="144"/>
      <c r="B16" s="1123" t="s">
        <v>110</v>
      </c>
      <c r="C16" s="1117"/>
      <c r="D16" s="1117"/>
      <c r="E16" s="1124">
        <v>50000000</v>
      </c>
      <c r="F16" s="1060"/>
      <c r="G16" s="1296" t="str">
        <f>IFERROR('Unit Mix-Reno Schedule'!B14,"")</f>
        <v>1x1</v>
      </c>
      <c r="H16" s="1290">
        <f>'Unit Mix-Reno Schedule'!C14</f>
        <v>10</v>
      </c>
      <c r="I16" s="1291">
        <f>'Unit Mix-Reno Schedule'!D14</f>
        <v>4.0983606557377046E-2</v>
      </c>
      <c r="J16" s="1290">
        <f>'Unit Mix-Reno Schedule'!E14</f>
        <v>1020</v>
      </c>
      <c r="K16" s="1292">
        <f>'Unit Mix-Reno Schedule'!I14</f>
        <v>1</v>
      </c>
      <c r="L16" s="1292">
        <f>'Unit Mix-Reno Schedule'!J14</f>
        <v>0</v>
      </c>
      <c r="M16" s="1293">
        <f>'Unit Mix-Reno Schedule'!L14</f>
        <v>1304</v>
      </c>
      <c r="N16" s="1294">
        <f>'Unit Mix-Reno Schedule'!M14</f>
        <v>1.2784313725490195</v>
      </c>
      <c r="O16" s="1293">
        <f>'Unit Mix-Reno Schedule'!N14</f>
        <v>1192.5</v>
      </c>
      <c r="P16" s="1297">
        <f>'Unit Mix-Reno Schedule'!O14</f>
        <v>1.1691176470588236</v>
      </c>
      <c r="Q16" s="1060"/>
      <c r="R16" s="1106"/>
      <c r="AO16" s="1076"/>
      <c r="AP16" s="1125"/>
      <c r="AQ16" s="1077"/>
      <c r="AR16" s="1102"/>
      <c r="AS16" s="1118" t="s">
        <v>170</v>
      </c>
      <c r="AT16" s="1092">
        <f ca="1">E24/1000000</f>
        <v>2.6752492838350834</v>
      </c>
      <c r="AU16" s="1077"/>
      <c r="AV16" s="1077"/>
      <c r="AW16" s="1077"/>
      <c r="AX16" s="1077"/>
      <c r="AY16" s="1077"/>
      <c r="AZ16" s="1077"/>
      <c r="BA16" s="1077"/>
      <c r="BB16" s="1077"/>
      <c r="BC16" s="1077"/>
      <c r="BD16" s="1078"/>
      <c r="BG16" s="1126"/>
    </row>
    <row r="17" spans="1:59" x14ac:dyDescent="0.2">
      <c r="A17" s="144"/>
      <c r="B17" s="1082" t="s">
        <v>191</v>
      </c>
      <c r="C17" s="1060"/>
      <c r="D17" s="1060"/>
      <c r="E17" s="1127">
        <f>IF(OR(PurchasePrice="[Insert]",units=0),0,ROUND(PurchasePrice/units,-2))</f>
        <v>204900</v>
      </c>
      <c r="F17" s="1060"/>
      <c r="G17" s="1296" t="str">
        <f>IFERROR('Unit Mix-Reno Schedule'!B15,"")</f>
        <v>1x1-S</v>
      </c>
      <c r="H17" s="1290">
        <f>'Unit Mix-Reno Schedule'!C15</f>
        <v>2</v>
      </c>
      <c r="I17" s="1291">
        <f>'Unit Mix-Reno Schedule'!D15</f>
        <v>8.1967213114754103E-3</v>
      </c>
      <c r="J17" s="1290">
        <f>'Unit Mix-Reno Schedule'!E15</f>
        <v>1153</v>
      </c>
      <c r="K17" s="1292">
        <f>'Unit Mix-Reno Schedule'!I15</f>
        <v>1</v>
      </c>
      <c r="L17" s="1292">
        <f>'Unit Mix-Reno Schedule'!J15</f>
        <v>0</v>
      </c>
      <c r="M17" s="1293">
        <f>'Unit Mix-Reno Schedule'!L15</f>
        <v>1420</v>
      </c>
      <c r="N17" s="1294">
        <f>'Unit Mix-Reno Schedule'!M15</f>
        <v>1.2315698178664354</v>
      </c>
      <c r="O17" s="1293">
        <f>'Unit Mix-Reno Schedule'!N15</f>
        <v>1327.5</v>
      </c>
      <c r="P17" s="1297">
        <f>'Unit Mix-Reno Schedule'!O15</f>
        <v>1.1513443191673893</v>
      </c>
      <c r="Q17" s="1060"/>
      <c r="AO17" s="1076"/>
      <c r="AP17" s="1128"/>
      <c r="AQ17" s="1077"/>
      <c r="AR17" s="1102"/>
      <c r="AS17" s="1077" t="s">
        <v>203</v>
      </c>
      <c r="AT17" s="1092" t="e">
        <f ca="1">('Annual Pro Forma'!E38/(1+#REF!))/1000000</f>
        <v>#REF!</v>
      </c>
      <c r="AU17" s="1077"/>
      <c r="AV17" s="1077"/>
      <c r="AW17" s="1077"/>
      <c r="AX17" s="1077"/>
      <c r="AY17" s="1077"/>
      <c r="AZ17" s="1077"/>
      <c r="BA17" s="1077"/>
      <c r="BB17" s="1077"/>
      <c r="BC17" s="1077"/>
      <c r="BD17" s="1078"/>
      <c r="BG17" s="1126"/>
    </row>
    <row r="18" spans="1:59" x14ac:dyDescent="0.2">
      <c r="A18" s="144"/>
      <c r="B18" s="1082" t="s">
        <v>0</v>
      </c>
      <c r="C18" s="1060"/>
      <c r="D18" s="1129">
        <f>IFERROR(E18/PurchasePrice,0)</f>
        <v>4.718E-3</v>
      </c>
      <c r="E18" s="1130">
        <f>SUMIF('Closing Budget'!$B$7:$B$90,"Closing Costs",'Closing Budget'!I7:I90)</f>
        <v>235900</v>
      </c>
      <c r="F18" s="1060"/>
      <c r="G18" s="1296" t="str">
        <f>IFERROR('Unit Mix-Reno Schedule'!B16,"")</f>
        <v>2x2</v>
      </c>
      <c r="H18" s="1290">
        <f>'Unit Mix-Reno Schedule'!C16</f>
        <v>88</v>
      </c>
      <c r="I18" s="1291">
        <f>'Unit Mix-Reno Schedule'!D16</f>
        <v>0.36065573770491804</v>
      </c>
      <c r="J18" s="1290">
        <f>'Unit Mix-Reno Schedule'!E16</f>
        <v>1000</v>
      </c>
      <c r="K18" s="1292">
        <f>'Unit Mix-Reno Schedule'!I16</f>
        <v>0.92045454545454541</v>
      </c>
      <c r="L18" s="1292">
        <f>'Unit Mix-Reno Schedule'!J16</f>
        <v>7.9545454545454544E-2</v>
      </c>
      <c r="M18" s="1293">
        <f>'Unit Mix-Reno Schedule'!L16</f>
        <v>1373.9772727272727</v>
      </c>
      <c r="N18" s="1294">
        <f>'Unit Mix-Reno Schedule'!M16</f>
        <v>1.3739772727272728</v>
      </c>
      <c r="O18" s="1293">
        <f>'Unit Mix-Reno Schedule'!N16</f>
        <v>1271.6666666666667</v>
      </c>
      <c r="P18" s="1297">
        <f>'Unit Mix-Reno Schedule'!O16</f>
        <v>1.2716666666666667</v>
      </c>
      <c r="Q18" s="1060"/>
      <c r="AO18" s="1076"/>
      <c r="AP18" s="1131"/>
      <c r="AQ18" s="1077"/>
      <c r="AR18" s="1077"/>
      <c r="AS18" s="1077"/>
      <c r="AT18" s="1077"/>
      <c r="AU18" s="1077"/>
      <c r="AV18" s="1077"/>
      <c r="AW18" s="1077"/>
      <c r="AX18" s="1077"/>
      <c r="AY18" s="1077"/>
      <c r="AZ18" s="1077"/>
      <c r="BA18" s="1077"/>
      <c r="BB18" s="1077"/>
      <c r="BC18" s="1077"/>
      <c r="BD18" s="1078"/>
      <c r="BG18" s="1126"/>
    </row>
    <row r="19" spans="1:59" x14ac:dyDescent="0.2">
      <c r="A19" s="144"/>
      <c r="B19" s="1082" t="s">
        <v>139</v>
      </c>
      <c r="C19" s="1060"/>
      <c r="D19" s="1132">
        <f>'Closing Budget'!D35</f>
        <v>1.2500000000000001E-2</v>
      </c>
      <c r="E19" s="1130">
        <f>IFERROR(AcquisitionFee*PurchasePrice,0)</f>
        <v>625000</v>
      </c>
      <c r="F19" s="1060"/>
      <c r="G19" s="1296" t="str">
        <f>IFERROR('Unit Mix-Reno Schedule'!B17,"")</f>
        <v>2x2-S</v>
      </c>
      <c r="H19" s="1290">
        <f>'Unit Mix-Reno Schedule'!C17</f>
        <v>32</v>
      </c>
      <c r="I19" s="1291">
        <f>'Unit Mix-Reno Schedule'!D17</f>
        <v>0.13114754098360656</v>
      </c>
      <c r="J19" s="1290">
        <f>'Unit Mix-Reno Schedule'!E17</f>
        <v>1099</v>
      </c>
      <c r="K19" s="1292">
        <f>'Unit Mix-Reno Schedule'!I17</f>
        <v>0.9375</v>
      </c>
      <c r="L19" s="1292">
        <f>'Unit Mix-Reno Schedule'!J17</f>
        <v>6.25E-2</v>
      </c>
      <c r="M19" s="1293">
        <f>'Unit Mix-Reno Schedule'!L17</f>
        <v>1450</v>
      </c>
      <c r="N19" s="1294">
        <f>'Unit Mix-Reno Schedule'!M17</f>
        <v>1.3193812556869882</v>
      </c>
      <c r="O19" s="1293">
        <f>'Unit Mix-Reno Schedule'!N17</f>
        <v>1325.5</v>
      </c>
      <c r="P19" s="1297">
        <f>'Unit Mix-Reno Schedule'!O17</f>
        <v>1.2060964513193813</v>
      </c>
      <c r="Q19" s="1060"/>
      <c r="AO19" s="1076"/>
      <c r="AP19" s="1077"/>
      <c r="AQ19" s="1077" t="str">
        <f ca="1">"IRR Partitioning (IRR "&amp;TEXT(P64,"0.0%")&amp;")"</f>
        <v>IRR Partitioning (IRR 35.2%)</v>
      </c>
      <c r="AR19" s="1077"/>
      <c r="AS19" s="1077"/>
      <c r="AT19" s="1077"/>
      <c r="AU19" s="1077"/>
      <c r="AV19" s="1077"/>
      <c r="AW19" s="1077"/>
      <c r="AX19" s="1077"/>
      <c r="AY19" s="1077"/>
      <c r="AZ19" s="1077"/>
      <c r="BA19" s="1077"/>
      <c r="BB19" s="1077"/>
      <c r="BC19" s="1077"/>
      <c r="BD19" s="1078"/>
    </row>
    <row r="20" spans="1:59" x14ac:dyDescent="0.2">
      <c r="A20" s="144"/>
      <c r="B20" s="1082" t="s">
        <v>195</v>
      </c>
      <c r="C20" s="1060"/>
      <c r="D20" s="1060"/>
      <c r="E20" s="1130">
        <f>Capex</f>
        <v>1300000</v>
      </c>
      <c r="F20" s="1060"/>
      <c r="G20" s="1296" t="str">
        <f>IFERROR('Unit Mix-Reno Schedule'!B18,"")</f>
        <v>3x2</v>
      </c>
      <c r="H20" s="1290">
        <f>'Unit Mix-Reno Schedule'!C18</f>
        <v>20</v>
      </c>
      <c r="I20" s="1291">
        <f>'Unit Mix-Reno Schedule'!D18</f>
        <v>8.1967213114754092E-2</v>
      </c>
      <c r="J20" s="1290">
        <f>'Unit Mix-Reno Schedule'!E18</f>
        <v>1277</v>
      </c>
      <c r="K20" s="1292">
        <f>'Unit Mix-Reno Schedule'!I18</f>
        <v>1</v>
      </c>
      <c r="L20" s="1292">
        <f>'Unit Mix-Reno Schedule'!J18</f>
        <v>0</v>
      </c>
      <c r="M20" s="1293">
        <f>'Unit Mix-Reno Schedule'!L18</f>
        <v>1533</v>
      </c>
      <c r="N20" s="1294">
        <f>'Unit Mix-Reno Schedule'!M18</f>
        <v>1.2004698512137824</v>
      </c>
      <c r="O20" s="1293">
        <f>'Unit Mix-Reno Schedule'!N18</f>
        <v>1432.25</v>
      </c>
      <c r="P20" s="1297">
        <f>'Unit Mix-Reno Schedule'!O18</f>
        <v>1.1215740015661708</v>
      </c>
      <c r="Q20" s="1060"/>
      <c r="AO20" s="1076"/>
      <c r="AP20" s="1077"/>
      <c r="AQ20" s="1077" t="s">
        <v>217</v>
      </c>
      <c r="AR20" s="1125" t="e">
        <f>'Monthly Pro Forma'!#REF!</f>
        <v>#REF!</v>
      </c>
      <c r="AS20" s="1077"/>
      <c r="AT20" s="1077"/>
      <c r="AU20" s="1077"/>
      <c r="AV20" s="1077"/>
      <c r="AW20" s="1077"/>
      <c r="AX20" s="1077"/>
      <c r="AY20" s="1077"/>
      <c r="AZ20" s="1077"/>
      <c r="BA20" s="1077"/>
      <c r="BB20" s="1077"/>
      <c r="BC20" s="1077"/>
      <c r="BD20" s="1078"/>
    </row>
    <row r="21" spans="1:59" x14ac:dyDescent="0.2">
      <c r="A21" s="144"/>
      <c r="B21" s="1082" t="s">
        <v>749</v>
      </c>
      <c r="C21" s="1060"/>
      <c r="D21" s="1132">
        <f>IFERROR(E21/PurchasePrice,0)</f>
        <v>1.4442747007740231E-2</v>
      </c>
      <c r="E21" s="1130">
        <f>'Closing Budget'!I71</f>
        <v>722137.35038701154</v>
      </c>
      <c r="F21" s="1060"/>
      <c r="G21" s="1296" t="str">
        <f>IFERROR('Unit Mix-Reno Schedule'!B19,"")</f>
        <v>3x2-S</v>
      </c>
      <c r="H21" s="1290">
        <f>'Unit Mix-Reno Schedule'!C19</f>
        <v>8</v>
      </c>
      <c r="I21" s="1291">
        <f>'Unit Mix-Reno Schedule'!D19</f>
        <v>3.2786885245901641E-2</v>
      </c>
      <c r="J21" s="1290">
        <f>'Unit Mix-Reno Schedule'!E19</f>
        <v>1386</v>
      </c>
      <c r="K21" s="1292">
        <f>'Unit Mix-Reno Schedule'!I19</f>
        <v>1</v>
      </c>
      <c r="L21" s="1292">
        <f>'Unit Mix-Reno Schedule'!J19</f>
        <v>0</v>
      </c>
      <c r="M21" s="1293">
        <f>'Unit Mix-Reno Schedule'!L19</f>
        <v>1555</v>
      </c>
      <c r="N21" s="1294">
        <f>'Unit Mix-Reno Schedule'!M19</f>
        <v>1.121933621933622</v>
      </c>
      <c r="O21" s="1293">
        <f>'Unit Mix-Reno Schedule'!N19</f>
        <v>1513.125</v>
      </c>
      <c r="P21" s="1297">
        <f>'Unit Mix-Reno Schedule'!O19</f>
        <v>1.0917207792207793</v>
      </c>
      <c r="Q21" s="1060"/>
      <c r="AO21" s="1133"/>
      <c r="AQ21" s="1077" t="s">
        <v>218</v>
      </c>
      <c r="AR21" s="1125" t="e">
        <f>'Monthly Pro Forma'!#REF!</f>
        <v>#REF!</v>
      </c>
      <c r="AU21" s="1134"/>
      <c r="AV21" s="1134"/>
      <c r="AW21" s="1134"/>
      <c r="AX21" s="1134"/>
      <c r="AY21" s="1134"/>
      <c r="AZ21" s="1134"/>
      <c r="BA21" s="1134"/>
      <c r="BD21" s="1078"/>
    </row>
    <row r="22" spans="1:59" x14ac:dyDescent="0.2">
      <c r="A22" s="144"/>
      <c r="B22" s="1082" t="s">
        <v>750</v>
      </c>
      <c r="C22" s="1060"/>
      <c r="D22" s="1129">
        <f>E22/PurchasePrice</f>
        <v>0</v>
      </c>
      <c r="E22" s="1130">
        <v>0</v>
      </c>
      <c r="F22" s="1060"/>
      <c r="G22" s="1082"/>
      <c r="H22" s="1060"/>
      <c r="I22" s="1060"/>
      <c r="J22" s="1060"/>
      <c r="K22" s="1060"/>
      <c r="L22" s="1060"/>
      <c r="M22" s="1060"/>
      <c r="N22" s="1060"/>
      <c r="O22" s="1060"/>
      <c r="P22" s="1085"/>
      <c r="Q22" s="1060"/>
      <c r="AO22" s="1133"/>
      <c r="AU22" s="1137"/>
      <c r="AV22" s="1138"/>
      <c r="AW22" s="1138"/>
      <c r="AX22" s="1138"/>
      <c r="AY22" s="1138"/>
      <c r="AZ22" s="1138"/>
      <c r="BA22" s="1138"/>
      <c r="BD22" s="1078"/>
    </row>
    <row r="23" spans="1:59" x14ac:dyDescent="0.2">
      <c r="A23" s="144"/>
      <c r="B23" s="1139" t="s">
        <v>196</v>
      </c>
      <c r="C23" s="1140"/>
      <c r="D23" s="1140"/>
      <c r="E23" s="1141">
        <f>IF(PurchasePrice="[Insert]",0,PurchasePrice+SUM(E18:E22))</f>
        <v>52883037.350387014</v>
      </c>
      <c r="F23" s="1060"/>
      <c r="G23" s="1082"/>
      <c r="H23" s="1060"/>
      <c r="I23" s="1060"/>
      <c r="J23" s="1060"/>
      <c r="K23" s="1060"/>
      <c r="L23" s="1060"/>
      <c r="M23" s="1060"/>
      <c r="N23" s="1060"/>
      <c r="O23" s="1060"/>
      <c r="P23" s="1085"/>
      <c r="Q23" s="144"/>
      <c r="AO23" s="1142"/>
      <c r="AP23" s="1143"/>
      <c r="AQ23" s="1143"/>
      <c r="AR23" s="1143"/>
      <c r="AS23" s="1143"/>
      <c r="AT23" s="1143"/>
      <c r="AU23" s="1144"/>
      <c r="AV23" s="1145"/>
      <c r="AW23" s="1146"/>
      <c r="AX23" s="1146"/>
      <c r="AY23" s="1147"/>
      <c r="AZ23" s="1146"/>
      <c r="BA23" s="1146"/>
      <c r="BB23" s="1143"/>
      <c r="BC23" s="1143"/>
      <c r="BD23" s="1148"/>
    </row>
    <row r="24" spans="1:59" x14ac:dyDescent="0.2">
      <c r="A24" s="144"/>
      <c r="B24" s="1082" t="s">
        <v>875</v>
      </c>
      <c r="C24" s="1060"/>
      <c r="D24" s="1060"/>
      <c r="E24" s="1130">
        <f ca="1">Financials!BA34</f>
        <v>2675249.2838350832</v>
      </c>
      <c r="F24" s="1060"/>
      <c r="G24" s="1082"/>
      <c r="H24" s="1060"/>
      <c r="I24" s="1060"/>
      <c r="J24" s="1060"/>
      <c r="K24" s="1060"/>
      <c r="L24" s="1060"/>
      <c r="M24" s="1060"/>
      <c r="N24" s="1060"/>
      <c r="O24" s="1060"/>
      <c r="P24" s="1085"/>
      <c r="Q24" s="144"/>
      <c r="AU24" s="1152"/>
      <c r="AV24" s="1153"/>
      <c r="AW24" s="1154"/>
      <c r="AX24" s="1154"/>
      <c r="AY24" s="1154"/>
      <c r="AZ24" s="1154"/>
      <c r="BA24" s="1154"/>
    </row>
    <row r="25" spans="1:59" x14ac:dyDescent="0.2">
      <c r="A25" s="144"/>
      <c r="B25" s="1088" t="s">
        <v>894</v>
      </c>
      <c r="C25" s="1155"/>
      <c r="D25" s="1155"/>
      <c r="E25" s="1156">
        <f ca="1">IF(PurchasePrice="[Insert]",0,E24/PurchasePrice)</f>
        <v>5.3504985676701665E-2</v>
      </c>
      <c r="F25" s="1060"/>
      <c r="G25" s="1082"/>
      <c r="H25" s="1060"/>
      <c r="I25" s="1060"/>
      <c r="J25" s="1060"/>
      <c r="K25" s="1060"/>
      <c r="L25" s="1060"/>
      <c r="M25" s="1060"/>
      <c r="N25" s="1060"/>
      <c r="O25" s="1060"/>
      <c r="P25" s="1085"/>
      <c r="Q25" s="144"/>
      <c r="AO25" s="1157" t="s">
        <v>13</v>
      </c>
      <c r="AP25" s="1158" t="s">
        <v>219</v>
      </c>
      <c r="AQ25" s="1158" t="s">
        <v>220</v>
      </c>
      <c r="AR25" s="1159" t="s">
        <v>221</v>
      </c>
      <c r="AU25" s="1152"/>
      <c r="AV25" s="1153"/>
      <c r="AW25" s="1154"/>
      <c r="AX25" s="1154"/>
      <c r="AY25" s="1154"/>
      <c r="AZ25" s="1154"/>
      <c r="BA25" s="1154"/>
    </row>
    <row r="26" spans="1:59" x14ac:dyDescent="0.2">
      <c r="A26" s="144"/>
      <c r="B26" s="144"/>
      <c r="C26" s="144"/>
      <c r="D26" s="144"/>
      <c r="E26" s="144"/>
      <c r="F26" s="1060"/>
      <c r="G26" s="1082"/>
      <c r="H26" s="1060"/>
      <c r="I26" s="1060"/>
      <c r="J26" s="1060"/>
      <c r="K26" s="1060"/>
      <c r="L26" s="1060"/>
      <c r="M26" s="1060"/>
      <c r="N26" s="1060"/>
      <c r="O26" s="1060"/>
      <c r="P26" s="1085"/>
      <c r="Q26" s="144"/>
      <c r="AO26" s="1160">
        <v>1</v>
      </c>
      <c r="AP26" s="1161" t="e">
        <f>#REF!</f>
        <v>#REF!</v>
      </c>
      <c r="AQ26" s="1162" t="e">
        <f t="shared" ref="AQ26:AQ35" si="0">IF(AO26=ROUNDUP(HoldPeriod/12,0),(HoldPeriod-AO25*12)/12,1)*AP26</f>
        <v>#REF!</v>
      </c>
      <c r="AR26" s="1163" t="e">
        <f>1+AQ26</f>
        <v>#REF!</v>
      </c>
      <c r="AU26" s="1152"/>
      <c r="AV26" s="1164"/>
      <c r="AW26" s="1154"/>
      <c r="AX26" s="1154"/>
      <c r="AY26" s="1154"/>
      <c r="AZ26" s="1154"/>
      <c r="BA26" s="1154"/>
    </row>
    <row r="27" spans="1:59" ht="15" thickBot="1" x14ac:dyDescent="0.25">
      <c r="A27" s="144"/>
      <c r="B27" s="1079" t="s">
        <v>97</v>
      </c>
      <c r="C27" s="1080" t="str">
        <f>IF(DealStructureSwitch="Complex","Return (IRR)","Return (Simple Int)")</f>
        <v>Return (Simple Int)</v>
      </c>
      <c r="D27" s="1080" t="s">
        <v>116</v>
      </c>
      <c r="E27" s="1081" t="s">
        <v>99</v>
      </c>
      <c r="F27" s="1060"/>
      <c r="G27" s="1082"/>
      <c r="H27" s="1060"/>
      <c r="I27" s="1060"/>
      <c r="J27" s="1060"/>
      <c r="K27" s="1060"/>
      <c r="L27" s="1060"/>
      <c r="M27" s="1060"/>
      <c r="N27" s="1060"/>
      <c r="O27" s="1060"/>
      <c r="P27" s="1085"/>
      <c r="Q27" s="144"/>
      <c r="AO27" s="1160">
        <v>2</v>
      </c>
      <c r="AP27" s="1161" t="e">
        <f>#REF!</f>
        <v>#REF!</v>
      </c>
      <c r="AQ27" s="1162" t="e">
        <f t="shared" si="0"/>
        <v>#REF!</v>
      </c>
      <c r="AR27" s="1163" t="e">
        <f>AR26*(1+AQ27)</f>
        <v>#REF!</v>
      </c>
      <c r="AU27" s="1152"/>
      <c r="AV27" s="1153"/>
      <c r="AW27" s="1154"/>
      <c r="AX27" s="1154"/>
      <c r="AY27" s="1154"/>
      <c r="AZ27" s="1154"/>
      <c r="BA27" s="1154"/>
    </row>
    <row r="28" spans="1:59" x14ac:dyDescent="0.2">
      <c r="A28" s="144"/>
      <c r="B28" s="1165" t="s">
        <v>138</v>
      </c>
      <c r="C28" s="1166"/>
      <c r="D28" s="1166"/>
      <c r="E28" s="1277" t="s">
        <v>142</v>
      </c>
      <c r="F28" s="1060"/>
      <c r="G28" s="1088"/>
      <c r="H28" s="1155"/>
      <c r="I28" s="1155"/>
      <c r="J28" s="1155"/>
      <c r="K28" s="1155"/>
      <c r="L28" s="1155"/>
      <c r="M28" s="1155"/>
      <c r="N28" s="1155"/>
      <c r="O28" s="1155"/>
      <c r="P28" s="1302"/>
      <c r="Q28" s="144"/>
      <c r="X28" s="1167"/>
      <c r="AO28" s="1160">
        <v>3</v>
      </c>
      <c r="AP28" s="1161" t="e">
        <f>#REF!</f>
        <v>#REF!</v>
      </c>
      <c r="AQ28" s="1162" t="e">
        <f t="shared" si="0"/>
        <v>#REF!</v>
      </c>
      <c r="AR28" s="1163" t="e">
        <f t="shared" ref="AR28:AR35" si="1">AR27*(1+AQ28)</f>
        <v>#REF!</v>
      </c>
      <c r="AU28" s="1152"/>
      <c r="AV28" s="1153"/>
      <c r="AW28" s="1154"/>
      <c r="AX28" s="1154"/>
      <c r="AY28" s="1154"/>
      <c r="AZ28" s="1154"/>
      <c r="BA28" s="1154"/>
    </row>
    <row r="29" spans="1:59" x14ac:dyDescent="0.2">
      <c r="A29" s="144"/>
      <c r="B29" s="1082" t="s">
        <v>37</v>
      </c>
      <c r="C29" s="1060"/>
      <c r="D29" s="1168">
        <f>'Closing Budget'!K94</f>
        <v>0.5</v>
      </c>
      <c r="E29" s="1169">
        <f>1-D29</f>
        <v>0.5</v>
      </c>
      <c r="F29" s="1060"/>
      <c r="G29" s="1088" t="str">
        <f>'Unit Mix-Reno Schedule'!B22</f>
        <v>Total/Average</v>
      </c>
      <c r="H29" s="1298">
        <f>'Unit Mix-Reno Schedule'!C22</f>
        <v>244</v>
      </c>
      <c r="I29" s="1304"/>
      <c r="J29" s="1303">
        <f>'Unit Mix-Reno Schedule'!E22</f>
        <v>956.85245901639348</v>
      </c>
      <c r="K29" s="1304">
        <f>'Unit Mix-Reno Schedule'!I22</f>
        <v>0.95901639344262291</v>
      </c>
      <c r="L29" s="1373">
        <f>'Unit Mix-Reno Schedule'!J22</f>
        <v>4.0983606557377046E-2</v>
      </c>
      <c r="M29" s="1299">
        <f>'Unit Mix-Reno Schedule'!L22</f>
        <v>1316.844262295082</v>
      </c>
      <c r="N29" s="1300">
        <f>'Unit Mix-Reno Schedule'!M22</f>
        <v>1.3762249862938596</v>
      </c>
      <c r="O29" s="1299">
        <f>'Unit Mix-Reno Schedule'!N22</f>
        <v>1221.7521367521367</v>
      </c>
      <c r="P29" s="1301">
        <f>'Unit Mix-Reno Schedule'!O22</f>
        <v>1.2768448523485529</v>
      </c>
      <c r="Q29" s="144"/>
      <c r="X29" s="1167"/>
      <c r="AO29" s="1160">
        <v>4</v>
      </c>
      <c r="AP29" s="1161" t="e">
        <f>#REF!</f>
        <v>#REF!</v>
      </c>
      <c r="AQ29" s="1162" t="e">
        <f t="shared" si="0"/>
        <v>#REF!</v>
      </c>
      <c r="AR29" s="1163" t="e">
        <f t="shared" si="1"/>
        <v>#REF!</v>
      </c>
    </row>
    <row r="30" spans="1:59" x14ac:dyDescent="0.2">
      <c r="A30" s="144"/>
      <c r="B30" s="1082" t="str">
        <f>"Preferred Return "&amp;IF(DealStructureSwitch="Complex","(Hurdle 1)","")</f>
        <v xml:space="preserve">Preferred Return </v>
      </c>
      <c r="C30" s="1170">
        <v>7.0000000000000007E-2</v>
      </c>
      <c r="D30" s="1168">
        <f>InvestorContribution</f>
        <v>0.5</v>
      </c>
      <c r="E30" s="1169">
        <f>1-D30</f>
        <v>0.5</v>
      </c>
      <c r="F30" s="1060"/>
      <c r="G30" s="1060"/>
      <c r="H30" s="1060"/>
      <c r="I30" s="1060"/>
      <c r="J30" s="1060"/>
      <c r="K30" s="1060"/>
      <c r="L30" s="1060"/>
      <c r="M30" s="1060"/>
      <c r="N30" s="1060"/>
      <c r="O30" s="1060"/>
      <c r="P30" s="1060"/>
      <c r="Q30" s="144"/>
      <c r="X30" s="1167"/>
      <c r="AO30" s="1160">
        <v>5</v>
      </c>
      <c r="AP30" s="1161" t="e">
        <f>#REF!</f>
        <v>#REF!</v>
      </c>
      <c r="AQ30" s="1162" t="e">
        <f t="shared" si="0"/>
        <v>#REF!</v>
      </c>
      <c r="AR30" s="1163" t="e">
        <f t="shared" si="1"/>
        <v>#REF!</v>
      </c>
      <c r="AU30" s="1134"/>
      <c r="AV30" s="1134"/>
    </row>
    <row r="31" spans="1:59" x14ac:dyDescent="0.2">
      <c r="A31" s="144"/>
      <c r="B31" s="1082" t="str">
        <f>IF(DealStructureSwitch="Complex","Hurdle 2","Remaining Split")</f>
        <v>Remaining Split</v>
      </c>
      <c r="C31" s="1171" t="s">
        <v>772</v>
      </c>
      <c r="D31" s="1168">
        <v>0.7</v>
      </c>
      <c r="E31" s="1169">
        <f>1-D31</f>
        <v>0.30000000000000004</v>
      </c>
      <c r="F31" s="1060"/>
      <c r="G31" s="1060"/>
      <c r="H31" s="1060"/>
      <c r="I31" s="1060"/>
      <c r="J31" s="1060"/>
      <c r="K31" s="1060"/>
      <c r="L31" s="1060"/>
      <c r="M31" s="1060"/>
      <c r="N31" s="1060"/>
      <c r="O31" s="1060"/>
      <c r="P31" s="1060"/>
      <c r="Q31" s="144"/>
      <c r="X31" s="1167"/>
      <c r="AO31" s="1160">
        <v>6</v>
      </c>
      <c r="AP31" s="1161" t="e">
        <f>#REF!</f>
        <v>#REF!</v>
      </c>
      <c r="AQ31" s="1162" t="e">
        <f t="shared" si="0"/>
        <v>#REF!</v>
      </c>
      <c r="AR31" s="1163" t="e">
        <f t="shared" si="1"/>
        <v>#REF!</v>
      </c>
      <c r="AU31" s="1134"/>
      <c r="AV31" s="1134"/>
    </row>
    <row r="32" spans="1:59" x14ac:dyDescent="0.2">
      <c r="A32" s="144"/>
      <c r="B32" s="1082" t="s">
        <v>98</v>
      </c>
      <c r="C32" s="609" t="str">
        <f>"&gt;"&amp;TEXT(C31,"0.00%")</f>
        <v>&gt;N/A</v>
      </c>
      <c r="D32" s="1168">
        <v>0.7</v>
      </c>
      <c r="E32" s="1169">
        <f>1-D32</f>
        <v>0.30000000000000004</v>
      </c>
      <c r="F32" s="1060"/>
      <c r="G32" s="1060"/>
      <c r="H32" s="1060"/>
      <c r="I32" s="1149"/>
      <c r="J32" s="1150"/>
      <c r="K32" s="1150"/>
      <c r="L32" s="1151" t="str">
        <f t="shared" ref="L32" si="2">IFERROR(J32/I32,"")</f>
        <v/>
      </c>
      <c r="M32" s="1150"/>
      <c r="N32" s="1151"/>
      <c r="O32" s="1150"/>
      <c r="P32" s="1151"/>
      <c r="Q32" s="144"/>
      <c r="X32" s="1167"/>
      <c r="AO32" s="1160">
        <v>7</v>
      </c>
      <c r="AP32" s="1161" t="e">
        <f>#REF!</f>
        <v>#REF!</v>
      </c>
      <c r="AQ32" s="1162" t="e">
        <f t="shared" si="0"/>
        <v>#REF!</v>
      </c>
      <c r="AR32" s="1163" t="e">
        <f t="shared" si="1"/>
        <v>#REF!</v>
      </c>
      <c r="AV32" s="1172"/>
    </row>
    <row r="33" spans="1:48" ht="15" thickBot="1" x14ac:dyDescent="0.25">
      <c r="A33" s="144"/>
      <c r="B33" s="1173" t="s">
        <v>148</v>
      </c>
      <c r="C33" s="1174"/>
      <c r="D33" s="1174"/>
      <c r="E33" s="1175">
        <v>0</v>
      </c>
      <c r="F33" s="1060"/>
      <c r="G33" s="1060"/>
      <c r="H33" s="1060"/>
      <c r="I33" s="1149"/>
      <c r="J33" s="1150"/>
      <c r="K33" s="1150"/>
      <c r="L33" s="1079" t="s">
        <v>189</v>
      </c>
      <c r="M33" s="1080"/>
      <c r="N33" s="1120"/>
      <c r="O33" s="1081"/>
      <c r="P33" s="1151"/>
      <c r="Q33" s="144"/>
      <c r="AO33" s="1160">
        <v>8</v>
      </c>
      <c r="AP33" s="1161" t="e">
        <f>#REF!</f>
        <v>#REF!</v>
      </c>
      <c r="AQ33" s="1162" t="e">
        <f t="shared" si="0"/>
        <v>#REF!</v>
      </c>
      <c r="AR33" s="1163" t="e">
        <f t="shared" si="1"/>
        <v>#REF!</v>
      </c>
      <c r="AV33" s="1176"/>
    </row>
    <row r="34" spans="1:48" x14ac:dyDescent="0.2">
      <c r="A34" s="144"/>
      <c r="B34" s="144"/>
      <c r="C34" s="144"/>
      <c r="D34" s="144"/>
      <c r="E34" s="144"/>
      <c r="F34" s="144"/>
      <c r="G34" s="144"/>
      <c r="H34" s="144"/>
      <c r="I34" s="1149"/>
      <c r="J34" s="1150"/>
      <c r="K34" s="1150"/>
      <c r="L34" s="1177" t="s">
        <v>146</v>
      </c>
      <c r="M34" s="1178"/>
      <c r="N34" s="1117"/>
      <c r="O34" s="1130">
        <f ca="1">ROUND('Annual Pro Forma'!E13,-3)</f>
        <v>4016000</v>
      </c>
      <c r="P34" s="1151"/>
      <c r="Q34" s="144"/>
      <c r="AO34" s="1160">
        <v>9</v>
      </c>
      <c r="AP34" s="1161" t="e">
        <f>#REF!</f>
        <v>#REF!</v>
      </c>
      <c r="AQ34" s="1162" t="e">
        <f t="shared" si="0"/>
        <v>#REF!</v>
      </c>
      <c r="AR34" s="1163" t="e">
        <f t="shared" si="1"/>
        <v>#REF!</v>
      </c>
      <c r="AV34" s="1179"/>
    </row>
    <row r="35" spans="1:48" x14ac:dyDescent="0.2">
      <c r="A35" s="144"/>
      <c r="B35" s="1135" t="s">
        <v>68</v>
      </c>
      <c r="C35" s="1136" t="s">
        <v>100</v>
      </c>
      <c r="D35" s="1136" t="s">
        <v>115</v>
      </c>
      <c r="E35" s="1180" t="s">
        <v>69</v>
      </c>
      <c r="F35" s="1060"/>
      <c r="G35" s="1135" t="s">
        <v>929</v>
      </c>
      <c r="H35" s="1136"/>
      <c r="I35" s="144"/>
      <c r="J35" s="144"/>
      <c r="K35" s="144"/>
      <c r="L35" s="1177" t="s">
        <v>21</v>
      </c>
      <c r="M35" s="1178"/>
      <c r="N35" s="1060"/>
      <c r="O35" s="1130">
        <f ca="1">ROUND('Annual Pro Forma'!E24,-3)</f>
        <v>4140000</v>
      </c>
      <c r="P35" s="144"/>
      <c r="Q35" s="144"/>
      <c r="AO35" s="1181">
        <v>10</v>
      </c>
      <c r="AP35" s="1182" t="e">
        <f>#REF!</f>
        <v>#REF!</v>
      </c>
      <c r="AQ35" s="1183" t="e">
        <f t="shared" si="0"/>
        <v>#REF!</v>
      </c>
      <c r="AR35" s="1184" t="e">
        <f t="shared" si="1"/>
        <v>#REF!</v>
      </c>
    </row>
    <row r="36" spans="1:48" x14ac:dyDescent="0.2">
      <c r="A36" s="144"/>
      <c r="B36" s="1082" t="s">
        <v>65</v>
      </c>
      <c r="C36" s="1060"/>
      <c r="D36" s="1185"/>
      <c r="E36" s="1186">
        <v>36</v>
      </c>
      <c r="F36" s="1060"/>
      <c r="G36" s="1123" t="s">
        <v>784</v>
      </c>
      <c r="H36" s="1278">
        <f>_xlfn.XLOOKUP(RefiMonth,'Loan Schedule'!$C$6:$EE$6,'Loan Schedule'!$C$11:$EE$11)</f>
        <v>27670612.810821023</v>
      </c>
      <c r="I36" s="1060"/>
      <c r="J36" s="1060"/>
      <c r="K36" s="144"/>
      <c r="L36" s="1187" t="s">
        <v>185</v>
      </c>
      <c r="M36" s="209"/>
      <c r="N36" s="1188"/>
      <c r="O36" s="1130">
        <f ca="1">ROUND(-'Annual Pro Forma'!E36-'Annual Pro Forma'!E44,-3)</f>
        <v>1975000</v>
      </c>
      <c r="P36" s="1060"/>
      <c r="Q36" s="144"/>
    </row>
    <row r="37" spans="1:48" x14ac:dyDescent="0.2">
      <c r="A37" s="144"/>
      <c r="B37" s="1082" t="s">
        <v>70</v>
      </c>
      <c r="C37" s="1189">
        <f>Financials!AU67</f>
        <v>28000000</v>
      </c>
      <c r="D37" s="1150">
        <f>IF(PurchasePrice="[Insert]",0,MAX(0,JuniorLTV*PurchasePrice))</f>
        <v>0</v>
      </c>
      <c r="E37" s="1190">
        <f ca="1">H41</f>
        <v>49291943.027310237</v>
      </c>
      <c r="F37" s="1060"/>
      <c r="G37" s="402" t="s">
        <v>785</v>
      </c>
      <c r="H37" s="1279">
        <f ca="1">_xlfn.XLOOKUP(RefiMonth,'Monthly Pro Forma'!$F$4:$EH$4,'Monthly Pro Forma'!$F$57:$EH$57)</f>
        <v>3912058.9704214479</v>
      </c>
      <c r="I37" s="144"/>
      <c r="J37" s="144"/>
      <c r="K37" s="144"/>
      <c r="L37" s="1177" t="s">
        <v>153</v>
      </c>
      <c r="M37" s="1178"/>
      <c r="N37" s="1060"/>
      <c r="O37" s="1130">
        <f ca="1">ROUND('Annual Pro Forma'!E38+'Annual Pro Forma'!E41,-3)</f>
        <v>2675000</v>
      </c>
      <c r="P37" s="144"/>
      <c r="Q37" s="144"/>
    </row>
    <row r="38" spans="1:48" x14ac:dyDescent="0.2">
      <c r="A38" s="144"/>
      <c r="B38" s="1082" t="s">
        <v>136</v>
      </c>
      <c r="C38" s="1191">
        <f>Senior_Proceeds/PurchasePrice</f>
        <v>0.56000000000000005</v>
      </c>
      <c r="D38" s="1168">
        <v>0</v>
      </c>
      <c r="E38" s="1192">
        <f>H40</f>
        <v>0.63</v>
      </c>
      <c r="F38" s="1060"/>
      <c r="G38" s="402" t="s">
        <v>786</v>
      </c>
      <c r="H38" s="1280">
        <v>0.05</v>
      </c>
      <c r="I38" s="144"/>
      <c r="J38" s="144"/>
      <c r="K38" s="144"/>
      <c r="L38" s="1187" t="s">
        <v>184</v>
      </c>
      <c r="M38" s="209"/>
      <c r="N38" s="1060"/>
      <c r="O38" s="1130">
        <f>ROUND(-'Annual Pro Forma'!E62,-3)</f>
        <v>2660000</v>
      </c>
      <c r="P38" s="144"/>
      <c r="Q38" s="144"/>
    </row>
    <row r="39" spans="1:48" x14ac:dyDescent="0.2">
      <c r="A39" s="144"/>
      <c r="B39" s="1082" t="s">
        <v>137</v>
      </c>
      <c r="C39" s="1193">
        <f>IFERROR(C37/TotalProjectCosts,0)</f>
        <v>0.46517597265756055</v>
      </c>
      <c r="D39" s="1194" t="str">
        <f>IF(D37=0,"N/A",D37/TotalProjectCosts)</f>
        <v>N/A</v>
      </c>
      <c r="E39" s="1195">
        <f ca="1">IF(E37=0,"N/A",E37/TotalProjectCosts)</f>
        <v>0.81890812649678923</v>
      </c>
      <c r="F39" s="1060"/>
      <c r="G39" s="402" t="s">
        <v>787</v>
      </c>
      <c r="H39" s="1281">
        <f ca="1">H37/H38</f>
        <v>78241179.408428952</v>
      </c>
      <c r="I39" s="144"/>
      <c r="J39" s="144"/>
      <c r="K39" s="144"/>
      <c r="L39" s="1177" t="s">
        <v>180</v>
      </c>
      <c r="M39" s="1178"/>
      <c r="N39" s="1060"/>
      <c r="O39" s="1130">
        <f ca="1">O37-O38</f>
        <v>15000</v>
      </c>
      <c r="P39" s="144"/>
      <c r="Q39" s="144"/>
    </row>
    <row r="40" spans="1:48" x14ac:dyDescent="0.2">
      <c r="A40" s="144"/>
      <c r="B40" s="1082" t="s">
        <v>45</v>
      </c>
      <c r="C40" s="1196">
        <f ca="1">IFERROR(O37/C37,"N/A")</f>
        <v>9.5535714285714279E-2</v>
      </c>
      <c r="D40" s="1196">
        <f ca="1">IFERROR(O37/(JuniorLoanAmount+C37),"N/A")</f>
        <v>9.5535714285714279E-2</v>
      </c>
      <c r="E40" s="1197">
        <f ca="1">IFERROR(SUMIFS('Monthly Pro Forma'!F56:EH56,'Monthly Pro Forma'!F4:EH4,"&gt;"&amp;RefiMonth,'Monthly Pro Forma'!F4:EH4,"&lt;="&amp;RefiMonth+12)/RefiLoanAmount,"N/A")</f>
        <v>7.9365079365079375E-2</v>
      </c>
      <c r="F40" s="1060"/>
      <c r="G40" s="402" t="s">
        <v>788</v>
      </c>
      <c r="H40" s="1282">
        <v>0.63</v>
      </c>
      <c r="I40" s="144"/>
      <c r="J40" s="144"/>
      <c r="K40" s="144"/>
      <c r="L40" s="1177" t="s">
        <v>181</v>
      </c>
      <c r="M40" s="1178"/>
      <c r="N40" s="1060"/>
      <c r="O40" s="1130">
        <f ca="1">ROUND(O39/12,-3)</f>
        <v>1000</v>
      </c>
      <c r="P40" s="144"/>
      <c r="Q40" s="144"/>
    </row>
    <row r="41" spans="1:48" x14ac:dyDescent="0.2">
      <c r="A41" s="144"/>
      <c r="B41" s="1082" t="s">
        <v>44</v>
      </c>
      <c r="C41" s="1198">
        <f ca="1">IFERROR(-O37/(SUM('Loan Schedule'!D15:O15)),"N/A")</f>
        <v>1.6614906832298135</v>
      </c>
      <c r="D41" s="1198">
        <f ca="1">IFERROR(-O37/(SUM('Loan Schedule'!D24:O24,'Loan Schedule'!D15:O15)),"N/A")</f>
        <v>1.6614906832298135</v>
      </c>
      <c r="E41" s="1199">
        <f ca="1">IFERROR(SUMIFS('Monthly Pro Forma'!F56:EH56,'Monthly Pro Forma'!F4:EH4,"&gt;"&amp;RefiMonth,'Monthly Pro Forma'!F4:EH4,"&lt;="&amp;RefiMonth+12)/(12*PMT(RefiInterestRate/12,RefiAmor*12,-RefiLoanAmount)),"N/A")</f>
        <v>1.443001439200581</v>
      </c>
      <c r="F41" s="1060"/>
      <c r="G41" s="1283" t="s">
        <v>789</v>
      </c>
      <c r="H41" s="1284">
        <f ca="1">H39*H40</f>
        <v>49291943.027310237</v>
      </c>
      <c r="I41" s="144"/>
      <c r="J41" s="144"/>
      <c r="K41" s="144"/>
      <c r="L41" s="1177" t="s">
        <v>182</v>
      </c>
      <c r="M41" s="1178"/>
      <c r="N41" s="1060"/>
      <c r="O41" s="1130">
        <f ca="1">ROUND(Returns!D23,-3)</f>
        <v>41000</v>
      </c>
      <c r="P41" s="144"/>
      <c r="Q41" s="144"/>
    </row>
    <row r="42" spans="1:48" x14ac:dyDescent="0.2">
      <c r="A42" s="144"/>
      <c r="B42" s="1082" t="s">
        <v>88</v>
      </c>
      <c r="C42" s="1200">
        <f>Financials!AU44</f>
        <v>5.7499999999999996E-2</v>
      </c>
      <c r="D42" s="1170">
        <v>0</v>
      </c>
      <c r="E42" s="1201">
        <v>5.5E-2</v>
      </c>
      <c r="F42" s="1060"/>
      <c r="G42" s="144"/>
      <c r="H42" s="144"/>
      <c r="I42" s="144"/>
      <c r="J42" s="144"/>
      <c r="K42" s="144"/>
      <c r="L42" s="1202" t="s">
        <v>183</v>
      </c>
      <c r="M42" s="1203"/>
      <c r="N42" s="1204"/>
      <c r="O42" s="1205">
        <f ca="1">O41/12</f>
        <v>3416.6666666666665</v>
      </c>
      <c r="P42" s="144"/>
      <c r="Q42" s="144"/>
    </row>
    <row r="43" spans="1:48" ht="14.65" customHeight="1" x14ac:dyDescent="0.2">
      <c r="A43" s="144"/>
      <c r="B43" s="1082" t="s">
        <v>117</v>
      </c>
      <c r="C43" s="1206">
        <v>24</v>
      </c>
      <c r="D43" s="1206">
        <v>0</v>
      </c>
      <c r="E43" s="1207">
        <v>24</v>
      </c>
      <c r="F43" s="1060"/>
      <c r="G43" s="144"/>
      <c r="H43" s="144"/>
      <c r="I43" s="144"/>
      <c r="J43" s="144"/>
      <c r="K43" s="1060"/>
      <c r="L43" s="144"/>
      <c r="M43" s="144"/>
      <c r="N43" s="144"/>
      <c r="O43" s="144"/>
      <c r="P43" s="144"/>
      <c r="Q43" s="144"/>
    </row>
    <row r="44" spans="1:48" ht="13.9" customHeight="1" x14ac:dyDescent="0.2">
      <c r="A44" s="144"/>
      <c r="B44" s="1082" t="s">
        <v>242</v>
      </c>
      <c r="C44" s="1129">
        <f>'Closing Budget'!D60</f>
        <v>0</v>
      </c>
      <c r="D44" s="1170">
        <v>0</v>
      </c>
      <c r="E44" s="1201">
        <v>0.01</v>
      </c>
      <c r="F44" s="1060"/>
      <c r="G44" s="144"/>
      <c r="H44" s="144"/>
      <c r="I44" s="144"/>
      <c r="J44" s="144"/>
      <c r="K44" s="1060"/>
      <c r="L44" s="144"/>
      <c r="M44" s="144"/>
      <c r="N44" s="144"/>
      <c r="O44" s="144"/>
      <c r="P44" s="144"/>
      <c r="Q44" s="144"/>
      <c r="S44" s="1208"/>
    </row>
    <row r="45" spans="1:48" x14ac:dyDescent="0.2">
      <c r="A45" s="144"/>
      <c r="B45" s="1082" t="s">
        <v>177</v>
      </c>
      <c r="C45" s="1171" t="s">
        <v>193</v>
      </c>
      <c r="D45" s="1171" t="s">
        <v>193</v>
      </c>
      <c r="E45" s="1209" t="s">
        <v>193</v>
      </c>
      <c r="F45" s="1060"/>
      <c r="G45" s="144"/>
      <c r="H45" s="144"/>
      <c r="I45" s="144"/>
      <c r="J45" s="144"/>
      <c r="K45" s="1060"/>
      <c r="L45" s="1119" t="s">
        <v>71</v>
      </c>
      <c r="M45" s="342"/>
      <c r="N45" s="1120"/>
      <c r="O45" s="1120"/>
      <c r="P45" s="1121"/>
      <c r="Q45" s="144"/>
    </row>
    <row r="46" spans="1:48" x14ac:dyDescent="0.2">
      <c r="A46" s="144"/>
      <c r="B46" s="1082" t="s">
        <v>215</v>
      </c>
      <c r="C46" s="1170">
        <v>0.01</v>
      </c>
      <c r="D46" s="1170">
        <v>0</v>
      </c>
      <c r="E46" s="1201">
        <v>0.01</v>
      </c>
      <c r="F46" s="1060"/>
      <c r="G46" s="144"/>
      <c r="H46" s="144"/>
      <c r="I46" s="144"/>
      <c r="J46" s="144"/>
      <c r="K46" s="1060"/>
      <c r="L46" s="1210" t="s">
        <v>73</v>
      </c>
      <c r="M46" s="1211"/>
      <c r="N46" s="1117"/>
      <c r="O46" s="1117"/>
      <c r="P46" s="1212">
        <v>0.05</v>
      </c>
      <c r="Q46" s="144"/>
    </row>
    <row r="47" spans="1:48" x14ac:dyDescent="0.2">
      <c r="A47" s="144"/>
      <c r="B47" s="1082" t="s">
        <v>1</v>
      </c>
      <c r="C47" s="1206">
        <v>360</v>
      </c>
      <c r="D47" s="1213">
        <v>10</v>
      </c>
      <c r="E47" s="1207">
        <v>360</v>
      </c>
      <c r="F47" s="1060"/>
      <c r="G47" s="144"/>
      <c r="H47" s="144"/>
      <c r="I47" s="1060"/>
      <c r="J47" s="1060"/>
      <c r="K47" s="1060"/>
      <c r="L47" s="1082" t="s">
        <v>198</v>
      </c>
      <c r="M47" s="1060"/>
      <c r="N47" s="1060"/>
      <c r="O47" s="1060"/>
      <c r="P47" s="1130">
        <f ca="1">SUM(OFFSET('Monthly Pro Forma'!G56,,HoldPeriod,,12))</f>
        <v>4265047.6516390881</v>
      </c>
      <c r="Q47" s="144"/>
    </row>
    <row r="48" spans="1:48" x14ac:dyDescent="0.2">
      <c r="A48" s="144"/>
      <c r="B48" s="1088" t="s">
        <v>211</v>
      </c>
      <c r="C48" s="1214">
        <v>7</v>
      </c>
      <c r="D48" s="1214">
        <v>12</v>
      </c>
      <c r="E48" s="1215">
        <v>5</v>
      </c>
      <c r="F48" s="1060"/>
      <c r="G48" s="1060"/>
      <c r="H48" s="1060"/>
      <c r="I48" s="1060"/>
      <c r="J48" s="1060"/>
      <c r="K48" s="1060"/>
      <c r="L48" s="1216" t="s">
        <v>199</v>
      </c>
      <c r="M48" s="1188"/>
      <c r="N48" s="1188"/>
      <c r="O48" s="1217"/>
      <c r="P48" s="1218">
        <f ca="1">P47/ExitCap</f>
        <v>85300953.03278175</v>
      </c>
      <c r="Q48" s="144"/>
    </row>
    <row r="49" spans="1:23" x14ac:dyDescent="0.2">
      <c r="A49" s="144"/>
      <c r="B49" s="1219"/>
      <c r="C49" s="1220"/>
      <c r="D49" s="1220"/>
      <c r="E49" s="1221"/>
      <c r="F49" s="1060"/>
      <c r="G49" s="1060"/>
      <c r="H49" s="1060"/>
      <c r="I49" s="1060"/>
      <c r="J49" s="1060"/>
      <c r="K49" s="1060"/>
      <c r="L49" s="1082" t="s">
        <v>200</v>
      </c>
      <c r="M49" s="1060"/>
      <c r="N49" s="1060"/>
      <c r="O49" s="1060"/>
      <c r="P49" s="1127">
        <f ca="1">IF(units=0,0,P48/units)</f>
        <v>349594.06980648258</v>
      </c>
      <c r="Q49" s="144"/>
    </row>
    <row r="50" spans="1:23" x14ac:dyDescent="0.2">
      <c r="A50" s="1060"/>
      <c r="B50" s="1060"/>
      <c r="C50" s="1060"/>
      <c r="D50" s="1060"/>
      <c r="E50" s="1060"/>
      <c r="F50" s="1060"/>
      <c r="G50" s="1060"/>
      <c r="H50" s="1060"/>
      <c r="I50" s="1060"/>
      <c r="J50" s="1060"/>
      <c r="K50" s="1060"/>
      <c r="L50" s="1187" t="s">
        <v>26</v>
      </c>
      <c r="M50" s="209"/>
      <c r="N50" s="1060"/>
      <c r="O50" s="1222">
        <v>1.4999999999999999E-2</v>
      </c>
      <c r="P50" s="1223">
        <f ca="1">P48*CostsofSale</f>
        <v>1279514.2954917261</v>
      </c>
      <c r="Q50" s="1060"/>
    </row>
    <row r="51" spans="1:23" ht="15" thickBot="1" x14ac:dyDescent="0.25">
      <c r="A51" s="1060"/>
      <c r="B51" s="1224" t="s">
        <v>7</v>
      </c>
      <c r="C51" s="1225" t="s">
        <v>5</v>
      </c>
      <c r="D51" s="1225" t="s">
        <v>83</v>
      </c>
      <c r="E51" s="1226" t="s">
        <v>158</v>
      </c>
      <c r="F51" s="1060"/>
      <c r="G51" s="1060"/>
      <c r="H51" s="1060"/>
      <c r="I51" s="1060"/>
      <c r="J51" s="1060"/>
      <c r="K51" s="1060"/>
      <c r="L51" s="1082" t="s">
        <v>190</v>
      </c>
      <c r="M51" s="1060"/>
      <c r="N51" s="1060"/>
      <c r="O51" s="1222">
        <v>0</v>
      </c>
      <c r="P51" s="1223">
        <f ca="1">P48*DispositionFee</f>
        <v>0</v>
      </c>
      <c r="Q51" s="1060"/>
    </row>
    <row r="52" spans="1:23" ht="15" thickBot="1" x14ac:dyDescent="0.25">
      <c r="A52" s="1060"/>
      <c r="B52" s="1227" t="s">
        <v>2</v>
      </c>
      <c r="C52" s="1228"/>
      <c r="D52" s="1228"/>
      <c r="E52" s="1229"/>
      <c r="F52" s="1060"/>
      <c r="G52" s="1060"/>
      <c r="H52" s="1060"/>
      <c r="I52" s="1060"/>
      <c r="J52" s="1060"/>
      <c r="K52" s="1060"/>
      <c r="L52" s="1082" t="s">
        <v>201</v>
      </c>
      <c r="M52" s="1060"/>
      <c r="N52" s="1060"/>
      <c r="O52" s="1060"/>
      <c r="P52" s="1230">
        <f ca="1">-OFFSET('Monthly Pro Forma'!G93,,HoldPeriod-1,,)</f>
        <v>492919.43027310236</v>
      </c>
      <c r="Q52" s="1060"/>
    </row>
    <row r="53" spans="1:23" x14ac:dyDescent="0.2">
      <c r="A53" s="1060"/>
      <c r="B53" s="1231" t="s">
        <v>3</v>
      </c>
      <c r="C53" s="1232">
        <f>SUBTOTAL(9,C54:C55)</f>
        <v>32192274.850387014</v>
      </c>
      <c r="D53" s="1233">
        <f t="shared" ref="D53:D58" si="3">IF(units=0,0,C53/units)</f>
        <v>131935.55266552055</v>
      </c>
      <c r="E53" s="1234">
        <f>IF(NRA=0,0,C53/NRA)</f>
        <v>137.88494916044328</v>
      </c>
      <c r="F53" s="1060"/>
      <c r="G53" s="1060"/>
      <c r="H53" s="1060"/>
      <c r="I53" s="1060"/>
      <c r="J53" s="1060"/>
      <c r="K53" s="1060"/>
      <c r="L53" s="1082" t="s">
        <v>28</v>
      </c>
      <c r="M53" s="1060"/>
      <c r="N53" s="1060"/>
      <c r="O53" s="1060"/>
      <c r="P53" s="1130">
        <f ca="1">-MIN('Monthly Pro Forma'!D87,'Monthly Pro Forma'!D94)</f>
        <v>49291943.027310237</v>
      </c>
      <c r="Q53" s="1060"/>
    </row>
    <row r="54" spans="1:23" x14ac:dyDescent="0.2">
      <c r="A54" s="1060"/>
      <c r="B54" s="1235" t="s">
        <v>223</v>
      </c>
      <c r="C54" s="1150">
        <f>'Closing Budget'!I89</f>
        <v>15000000</v>
      </c>
      <c r="D54" s="1236">
        <f t="shared" ref="D54" si="4">IF(units=0,0,C54/units)</f>
        <v>61475.409836065577</v>
      </c>
      <c r="E54" s="1237">
        <f>IF(NRA=0,0,C54/NRA)</f>
        <v>64.247532894736835</v>
      </c>
      <c r="F54" s="1060"/>
      <c r="G54" s="1060"/>
      <c r="H54" s="1060"/>
      <c r="I54" s="1060"/>
      <c r="J54" s="1060"/>
      <c r="K54" s="1060"/>
      <c r="L54" s="1238" t="s">
        <v>202</v>
      </c>
      <c r="M54" s="1204"/>
      <c r="N54" s="1204"/>
      <c r="O54" s="1217"/>
      <c r="P54" s="1218">
        <f ca="1">P48-SUM(P50:P53)</f>
        <v>34236576.279706687</v>
      </c>
      <c r="Q54" s="1060"/>
    </row>
    <row r="55" spans="1:23" x14ac:dyDescent="0.2">
      <c r="A55" s="1060"/>
      <c r="B55" s="1235" t="s">
        <v>121</v>
      </c>
      <c r="C55" s="1150">
        <f>CommonEquity</f>
        <v>17192274.850387014</v>
      </c>
      <c r="D55" s="1236">
        <f t="shared" si="3"/>
        <v>70460.142829454984</v>
      </c>
      <c r="E55" s="1237">
        <f t="shared" ref="E55:E58" si="5">IF(NRA=0,0,C55/NRA)</f>
        <v>73.637416265706449</v>
      </c>
      <c r="F55" s="1060"/>
      <c r="G55" s="1060"/>
      <c r="H55" s="1060"/>
      <c r="I55" s="1060"/>
      <c r="J55" s="1232"/>
      <c r="K55" s="1060"/>
      <c r="L55" s="1060"/>
      <c r="M55" s="1060"/>
      <c r="N55" s="1060"/>
      <c r="O55" s="1060"/>
      <c r="P55" s="1060"/>
      <c r="Q55" s="1060"/>
    </row>
    <row r="56" spans="1:23" x14ac:dyDescent="0.2">
      <c r="A56" s="1060"/>
      <c r="B56" s="1231" t="s">
        <v>4</v>
      </c>
      <c r="C56" s="1232">
        <f>SUBTOTAL(9,C57:C58)</f>
        <v>28000000</v>
      </c>
      <c r="D56" s="1233">
        <f t="shared" si="3"/>
        <v>114754.09836065574</v>
      </c>
      <c r="E56" s="1234">
        <f t="shared" si="5"/>
        <v>119.92872807017544</v>
      </c>
      <c r="F56" s="1060"/>
      <c r="G56" s="1060"/>
      <c r="H56" s="1239"/>
      <c r="I56" s="1060"/>
      <c r="J56" s="1232"/>
      <c r="K56" s="1060"/>
      <c r="L56" s="1240" t="s">
        <v>62</v>
      </c>
      <c r="M56" s="218"/>
      <c r="N56" s="1241"/>
      <c r="O56" s="1241" t="s">
        <v>46</v>
      </c>
      <c r="P56" s="1242" t="s">
        <v>63</v>
      </c>
      <c r="Q56" s="1060"/>
    </row>
    <row r="57" spans="1:23" x14ac:dyDescent="0.2">
      <c r="A57" s="1060"/>
      <c r="B57" s="1235" t="s">
        <v>122</v>
      </c>
      <c r="C57" s="1150">
        <f>C37</f>
        <v>28000000</v>
      </c>
      <c r="D57" s="1236">
        <f t="shared" si="3"/>
        <v>114754.09836065574</v>
      </c>
      <c r="E57" s="1237">
        <f t="shared" si="5"/>
        <v>119.92872807017544</v>
      </c>
      <c r="F57" s="1060"/>
      <c r="G57" s="1060"/>
      <c r="H57" s="1060"/>
      <c r="I57" s="1232"/>
      <c r="J57" s="1232"/>
      <c r="K57" s="1060"/>
      <c r="L57" s="1123" t="s">
        <v>44</v>
      </c>
      <c r="M57" s="1117"/>
      <c r="N57" s="1117"/>
      <c r="O57" s="1243">
        <f ca="1">MIN('Monthly Pro Forma'!G100:EH100)</f>
        <v>0.97910865865089647</v>
      </c>
      <c r="P57" s="1244">
        <f ca="1">IFERROR(AVERAGE('Monthly Pro Forma'!G100:EH100),"N/A")</f>
        <v>1.2779577938560343</v>
      </c>
      <c r="Q57" s="1060"/>
    </row>
    <row r="58" spans="1:23" x14ac:dyDescent="0.2">
      <c r="A58" s="1060"/>
      <c r="B58" s="1235" t="s">
        <v>123</v>
      </c>
      <c r="C58" s="1150">
        <f>JuniorLoanAmount</f>
        <v>0</v>
      </c>
      <c r="D58" s="1236">
        <f t="shared" si="3"/>
        <v>0</v>
      </c>
      <c r="E58" s="1237">
        <f t="shared" si="5"/>
        <v>0</v>
      </c>
      <c r="F58" s="1060"/>
      <c r="G58" s="1245"/>
      <c r="H58" s="1245"/>
      <c r="I58" s="1060"/>
      <c r="J58" s="1060"/>
      <c r="K58" s="1060"/>
      <c r="L58" s="1082" t="s">
        <v>45</v>
      </c>
      <c r="M58" s="1060"/>
      <c r="N58" s="1060"/>
      <c r="O58" s="1196">
        <f>MIN('Monthly Pro Forma'!G102:EH102)</f>
        <v>0</v>
      </c>
      <c r="P58" s="1197" t="str">
        <f>IFERROR(AVERAGE('Monthly Pro Forma'!G102:EH102),"N/A")</f>
        <v>N/A</v>
      </c>
      <c r="Q58" s="1060"/>
    </row>
    <row r="59" spans="1:23" x14ac:dyDescent="0.2">
      <c r="A59" s="1060"/>
      <c r="B59" s="1216" t="s">
        <v>5</v>
      </c>
      <c r="C59" s="1246">
        <f>SUBTOTAL(9,C53:C58)</f>
        <v>60192274.850387014</v>
      </c>
      <c r="D59" s="1247">
        <f>IF(units=0,0,C59/units)</f>
        <v>246689.65102617629</v>
      </c>
      <c r="E59" s="1248">
        <f>IF(NRA=0,0,C59/NRA)</f>
        <v>257.81367723061874</v>
      </c>
      <c r="F59" s="1060"/>
      <c r="G59" s="1060"/>
      <c r="H59" s="1060"/>
      <c r="I59" s="1060"/>
      <c r="J59" s="1060"/>
      <c r="K59" s="1060"/>
      <c r="L59" s="1088" t="s">
        <v>124</v>
      </c>
      <c r="M59" s="1155"/>
      <c r="N59" s="1155"/>
      <c r="O59" s="1249">
        <f ca="1">MAX('Monthly Pro Forma'!G101:EH101)</f>
        <v>0.96885191115608515</v>
      </c>
      <c r="P59" s="1250">
        <f ca="1">IFERROR(AVERAGE('Monthly Pro Forma'!G101:EH101),"N/A")</f>
        <v>0.82982118438071606</v>
      </c>
      <c r="Q59" s="1060"/>
    </row>
    <row r="60" spans="1:23" ht="15" thickBot="1" x14ac:dyDescent="0.25">
      <c r="A60" s="1060"/>
      <c r="B60" s="1251" t="s">
        <v>6</v>
      </c>
      <c r="C60" s="1285" t="str">
        <f>IF(C59=TotalProjectCosts,"OK","ERROR")</f>
        <v>OK</v>
      </c>
      <c r="D60" s="1252"/>
      <c r="E60" s="1253"/>
      <c r="F60" s="1060"/>
      <c r="G60" s="1060"/>
      <c r="H60" s="1060"/>
      <c r="I60" s="1060"/>
      <c r="J60" s="1060"/>
      <c r="K60" s="1060"/>
      <c r="L60" s="1060"/>
      <c r="M60" s="1060"/>
      <c r="N60" s="1060"/>
      <c r="O60" s="1060"/>
      <c r="P60" s="1060"/>
      <c r="Q60" s="1060"/>
    </row>
    <row r="61" spans="1:23" x14ac:dyDescent="0.2">
      <c r="A61" s="1060"/>
      <c r="B61" s="1187" t="s">
        <v>110</v>
      </c>
      <c r="C61" s="1150">
        <f>SUMIF('Closing Budget'!$B$7:$B$84,Summary!$B61,'Closing Budget'!I$7:I$84)</f>
        <v>57219000</v>
      </c>
      <c r="D61" s="1236">
        <f t="shared" ref="D61:D62" si="6">IF(units=0,0,C61/units)</f>
        <v>234504.09836065574</v>
      </c>
      <c r="E61" s="1237">
        <f t="shared" ref="E61:E64" si="7">IF(NRA=0,0,C61/NRA)</f>
        <v>245.07863898026315</v>
      </c>
      <c r="F61" s="1060"/>
      <c r="G61" s="1060"/>
      <c r="H61" s="1060"/>
      <c r="I61" s="1060"/>
      <c r="J61" s="1060"/>
      <c r="K61" s="1060"/>
      <c r="L61" s="1119" t="s">
        <v>72</v>
      </c>
      <c r="M61" s="1120" t="s">
        <v>99</v>
      </c>
      <c r="N61" s="1120" t="s">
        <v>197</v>
      </c>
      <c r="O61" s="1120" t="s">
        <v>223</v>
      </c>
      <c r="P61" s="1121" t="s">
        <v>125</v>
      </c>
      <c r="Q61" s="1060"/>
    </row>
    <row r="62" spans="1:23" x14ac:dyDescent="0.2">
      <c r="A62" s="1060"/>
      <c r="B62" s="1187" t="s">
        <v>0</v>
      </c>
      <c r="C62" s="1150">
        <f>SUMIF('Closing Budget'!$B$7:$B$84,Summary!$B62,'Closing Budget'!I$7:I$84)</f>
        <v>235900</v>
      </c>
      <c r="D62" s="1236">
        <f t="shared" si="6"/>
        <v>966.80327868852464</v>
      </c>
      <c r="E62" s="1237">
        <f t="shared" si="7"/>
        <v>1.0103995339912282</v>
      </c>
      <c r="F62" s="1060"/>
      <c r="G62" s="1060"/>
      <c r="H62" s="1060"/>
      <c r="I62" s="1060"/>
      <c r="J62" s="1060"/>
      <c r="K62" s="1060"/>
      <c r="L62" s="1254" t="s">
        <v>134</v>
      </c>
      <c r="M62" s="1255"/>
      <c r="N62" s="1255"/>
      <c r="O62" s="1255"/>
      <c r="P62" s="1256">
        <f ca="1">IF(TotalProjectCosts=0,0,('Annual Pro Forma'!E38)/'Summary Metrics'!D26)</f>
        <v>5.355881008466392E-2</v>
      </c>
      <c r="Q62" s="1060"/>
      <c r="S62" s="1119" t="s">
        <v>135</v>
      </c>
      <c r="T62" s="342"/>
      <c r="U62" s="1120"/>
      <c r="V62" s="1120"/>
      <c r="W62" s="1121"/>
    </row>
    <row r="63" spans="1:23" x14ac:dyDescent="0.2">
      <c r="A63" s="1060"/>
      <c r="B63" s="1187" t="s">
        <v>139</v>
      </c>
      <c r="C63" s="1150">
        <f>SUMIF('Closing Budget'!$B$7:$B$84,Summary!$B63,'Closing Budget'!I$7:I$84)</f>
        <v>715237.5</v>
      </c>
      <c r="D63" s="1236">
        <f t="shared" ref="D63:D64" si="8">IF(units=0,0,C63/units)</f>
        <v>2931.3012295081967</v>
      </c>
      <c r="E63" s="1237">
        <f t="shared" si="7"/>
        <v>3.0634829872532894</v>
      </c>
      <c r="F63" s="1060"/>
      <c r="G63" s="1060"/>
      <c r="H63" s="1060"/>
      <c r="I63" s="1060"/>
      <c r="J63" s="1060"/>
      <c r="K63" s="1060"/>
      <c r="L63" s="1177" t="s">
        <v>212</v>
      </c>
      <c r="M63" s="1257"/>
      <c r="N63" s="1258">
        <f ca="1">Returns!C27</f>
        <v>0.45189927251329165</v>
      </c>
      <c r="O63" s="1258">
        <f>Returns!C47</f>
        <v>9.5665332846716397E-2</v>
      </c>
      <c r="P63" s="1259">
        <f ca="1">Returns!C17</f>
        <v>0.61156454509240599</v>
      </c>
      <c r="Q63" s="1060"/>
      <c r="S63" s="1260"/>
      <c r="T63" s="1060"/>
      <c r="U63" s="1060"/>
      <c r="V63" s="1060"/>
      <c r="W63" s="1261"/>
    </row>
    <row r="64" spans="1:23" x14ac:dyDescent="0.2">
      <c r="A64" s="1060"/>
      <c r="B64" s="1187" t="s">
        <v>893</v>
      </c>
      <c r="C64" s="1262">
        <f>SUMIF('Closing Budget'!$B$7:$B$84,Summary!$B64,'Closing Budget'!I$7:I$84)</f>
        <v>1300000</v>
      </c>
      <c r="D64" s="1236">
        <f t="shared" si="8"/>
        <v>5327.8688524590161</v>
      </c>
      <c r="E64" s="1237">
        <f t="shared" si="7"/>
        <v>5.5681195175438596</v>
      </c>
      <c r="F64" s="1060"/>
      <c r="G64" s="1060"/>
      <c r="H64" s="1060"/>
      <c r="I64" s="1060"/>
      <c r="J64" s="1060"/>
      <c r="K64" s="1060"/>
      <c r="L64" s="1177" t="s">
        <v>85</v>
      </c>
      <c r="M64" s="1263"/>
      <c r="N64" s="1258">
        <f ca="1">'Monthly Pro Forma'!D145</f>
        <v>0.29265416264534005</v>
      </c>
      <c r="O64" s="1258">
        <f>Returns!C46</f>
        <v>0.14361117482185365</v>
      </c>
      <c r="P64" s="1259">
        <f ca="1">Returns!C16</f>
        <v>0.35231075882911678</v>
      </c>
      <c r="Q64" s="1060"/>
      <c r="S64" s="1260"/>
      <c r="T64" s="1060"/>
      <c r="U64" s="1060"/>
      <c r="V64" s="1060"/>
      <c r="W64" s="1261"/>
    </row>
    <row r="65" spans="1:23" x14ac:dyDescent="0.2">
      <c r="A65" s="1060"/>
      <c r="B65" s="1187" t="s">
        <v>114</v>
      </c>
      <c r="C65" s="1150">
        <f>SUMIF('Closing Budget'!$B$7:$B$84,Summary!$B65,'Closing Budget'!I$7:I$84)</f>
        <v>722137.35038701154</v>
      </c>
      <c r="D65" s="1236">
        <f>IF(units=0,0,C65/units)</f>
        <v>2959.5793048648015</v>
      </c>
      <c r="E65" s="1237">
        <f>IF(NRA=0,0,C65/NRA)</f>
        <v>3.0930362115671755</v>
      </c>
      <c r="F65" s="1060"/>
      <c r="G65" s="1060"/>
      <c r="H65" s="1060"/>
      <c r="I65" s="1060"/>
      <c r="J65" s="1060"/>
      <c r="K65" s="1060"/>
      <c r="L65" s="1177" t="s">
        <v>64</v>
      </c>
      <c r="M65" s="1264"/>
      <c r="N65" s="1264">
        <f ca="1">'Monthly Pro Forma'!D146</f>
        <v>3.2464025064375082</v>
      </c>
      <c r="O65" s="1264">
        <f>Returns!C48</f>
        <v>1.4783266642335822</v>
      </c>
      <c r="P65" s="1265">
        <f ca="1">'Monthly Pro Forma'!C102</f>
        <v>4.0694803478973913</v>
      </c>
      <c r="Q65" s="1060"/>
      <c r="S65" s="1260"/>
      <c r="T65" s="1060"/>
      <c r="U65" s="1060"/>
      <c r="V65" s="1060"/>
      <c r="W65" s="1261"/>
    </row>
    <row r="66" spans="1:23" x14ac:dyDescent="0.2">
      <c r="A66" s="1060"/>
      <c r="B66" s="1238" t="s">
        <v>5</v>
      </c>
      <c r="C66" s="1246">
        <f>SUM(C61:C65)</f>
        <v>60192274.850387014</v>
      </c>
      <c r="D66" s="1247">
        <f>IF(units=0,0,C66/units)</f>
        <v>246689.65102617629</v>
      </c>
      <c r="E66" s="1248">
        <f>IF(NRA=0,0,C66/NRA)</f>
        <v>257.81367723061874</v>
      </c>
      <c r="F66" s="1060"/>
      <c r="G66" s="1060"/>
      <c r="H66" s="1060"/>
      <c r="I66" s="1060"/>
      <c r="J66" s="1060"/>
      <c r="K66" s="1060"/>
      <c r="L66" s="1082" t="s">
        <v>37</v>
      </c>
      <c r="M66" s="1266"/>
      <c r="N66" s="1267">
        <f ca="1">-'Monthly Pro Forma'!D142</f>
        <v>9966098.6551120188</v>
      </c>
      <c r="O66" s="1267">
        <f>Returns!C50</f>
        <v>14999999.999999929</v>
      </c>
      <c r="P66" s="1230">
        <f ca="1">-'Monthly Pro Forma'!D116</f>
        <v>9966098.6551120188</v>
      </c>
      <c r="Q66" s="1060"/>
      <c r="S66" s="1260"/>
      <c r="T66" s="1060"/>
      <c r="U66" s="1060"/>
      <c r="V66" s="1060"/>
      <c r="W66" s="1261"/>
    </row>
    <row r="67" spans="1:23" x14ac:dyDescent="0.2">
      <c r="A67" s="1060"/>
      <c r="B67" s="223" t="s">
        <v>753</v>
      </c>
      <c r="C67" s="1268" t="str">
        <f>IF(C66='Closing Budget'!I84,"OK","ERROR")</f>
        <v>OK</v>
      </c>
      <c r="D67" s="144"/>
      <c r="E67" s="144"/>
      <c r="F67" s="1060"/>
      <c r="G67" s="1060"/>
      <c r="H67" s="1060"/>
      <c r="I67" s="1060"/>
      <c r="J67" s="1060"/>
      <c r="K67" s="1060"/>
      <c r="L67" s="1082" t="s">
        <v>38</v>
      </c>
      <c r="M67" s="1289">
        <f ca="1">'Monthly Pro Forma'!D149</f>
        <v>7967846.7248608219</v>
      </c>
      <c r="N67" s="1267">
        <f ca="1">'Monthly Pro Forma'!D143</f>
        <v>32353967.653359137</v>
      </c>
      <c r="O67" s="1267">
        <f>Returns!C51</f>
        <v>21553075.300000004</v>
      </c>
      <c r="P67" s="1230">
        <f ca="1">'Monthly Pro Forma'!D117</f>
        <v>40321814.378219962</v>
      </c>
      <c r="Q67" s="1060"/>
      <c r="S67" s="1260"/>
      <c r="T67" s="1060"/>
      <c r="U67" s="1060"/>
      <c r="V67" s="1060"/>
      <c r="W67" s="1261"/>
    </row>
    <row r="68" spans="1:23" x14ac:dyDescent="0.2">
      <c r="A68" s="1060"/>
      <c r="B68" s="144"/>
      <c r="C68" s="144"/>
      <c r="D68" s="144"/>
      <c r="E68" s="144"/>
      <c r="F68" s="1060"/>
      <c r="G68" s="1060"/>
      <c r="H68" s="1060"/>
      <c r="I68" s="1060"/>
      <c r="J68" s="1060"/>
      <c r="K68" s="1060"/>
      <c r="L68" s="1088" t="s">
        <v>92</v>
      </c>
      <c r="M68" s="1269">
        <f ca="1">M67-M66</f>
        <v>7967846.7248608219</v>
      </c>
      <c r="N68" s="1269">
        <f ca="1">N67-N66</f>
        <v>22387868.998247117</v>
      </c>
      <c r="O68" s="1269">
        <f>O67-O66</f>
        <v>6553075.3000000753</v>
      </c>
      <c r="P68" s="1205">
        <f ca="1">P67-P66</f>
        <v>30355715.723107941</v>
      </c>
      <c r="Q68" s="1060"/>
      <c r="S68" s="1260"/>
      <c r="T68" s="1060"/>
      <c r="U68" s="1060"/>
      <c r="V68" s="1060"/>
      <c r="W68" s="1261"/>
    </row>
    <row r="69" spans="1:23" x14ac:dyDescent="0.2">
      <c r="A69" s="1060"/>
      <c r="B69" s="144"/>
      <c r="C69" s="144"/>
      <c r="D69" s="144"/>
      <c r="E69" s="144"/>
      <c r="F69" s="1060"/>
      <c r="G69" s="1060"/>
      <c r="H69" s="1060"/>
      <c r="I69" s="1060"/>
      <c r="J69" s="1060"/>
      <c r="K69" s="1060"/>
      <c r="L69" s="144"/>
      <c r="M69" s="144"/>
      <c r="N69" s="144"/>
      <c r="O69" s="144"/>
      <c r="P69" s="144"/>
      <c r="Q69" s="1060"/>
      <c r="S69" s="1260"/>
      <c r="T69" s="1060"/>
      <c r="U69" s="1060"/>
      <c r="V69" s="1060"/>
      <c r="W69" s="1261"/>
    </row>
    <row r="70" spans="1:23" x14ac:dyDescent="0.2">
      <c r="A70" s="1060"/>
      <c r="B70" s="144"/>
      <c r="C70" s="144"/>
      <c r="D70" s="144"/>
      <c r="E70" s="144"/>
      <c r="F70" s="1060"/>
      <c r="G70" s="1060"/>
      <c r="H70" s="1060"/>
      <c r="I70" s="1060"/>
      <c r="J70" s="1060"/>
      <c r="K70" s="1060"/>
      <c r="L70" s="144"/>
      <c r="M70" s="144"/>
      <c r="N70" s="144"/>
      <c r="O70" s="144"/>
      <c r="P70" s="144"/>
      <c r="Q70" s="1060"/>
      <c r="S70" s="1260"/>
      <c r="T70" s="1060"/>
      <c r="U70" s="1060"/>
      <c r="V70" s="1060"/>
      <c r="W70" s="1261"/>
    </row>
    <row r="71" spans="1:23" x14ac:dyDescent="0.2">
      <c r="A71" s="1060"/>
      <c r="B71" s="144"/>
      <c r="C71" s="144"/>
      <c r="D71" s="144"/>
      <c r="E71" s="144"/>
      <c r="F71" s="1060"/>
      <c r="G71" s="1060"/>
      <c r="H71" s="1060"/>
      <c r="I71" s="1060"/>
      <c r="J71" s="1060"/>
      <c r="K71" s="1060"/>
      <c r="L71" s="144"/>
      <c r="M71" s="144"/>
      <c r="N71" s="144"/>
      <c r="O71" s="144"/>
      <c r="P71" s="144"/>
      <c r="Q71" s="1060"/>
      <c r="S71" s="1260"/>
      <c r="T71" s="1060"/>
      <c r="U71" s="1060"/>
      <c r="V71" s="1060"/>
      <c r="W71" s="1261"/>
    </row>
    <row r="72" spans="1:23" x14ac:dyDescent="0.2">
      <c r="A72" s="1060"/>
      <c r="B72" s="144"/>
      <c r="C72" s="144"/>
      <c r="D72" s="144"/>
      <c r="E72" s="144"/>
      <c r="F72" s="1060"/>
      <c r="G72" s="1060"/>
      <c r="H72" s="1060"/>
      <c r="I72" s="1060"/>
      <c r="J72" s="1060"/>
      <c r="K72" s="1060"/>
      <c r="L72" s="144"/>
      <c r="M72" s="144"/>
      <c r="N72" s="144"/>
      <c r="O72" s="144"/>
      <c r="P72" s="144"/>
      <c r="Q72" s="1060"/>
      <c r="S72" s="1270"/>
      <c r="T72" s="1271"/>
      <c r="U72" s="1271"/>
      <c r="V72" s="1271"/>
      <c r="W72" s="1272"/>
    </row>
    <row r="73" spans="1:23" ht="24" customHeight="1" x14ac:dyDescent="0.2">
      <c r="A73" s="1060"/>
      <c r="B73" s="209"/>
      <c r="C73" s="209"/>
      <c r="D73" s="209"/>
      <c r="E73" s="1222"/>
      <c r="F73" s="1060"/>
      <c r="G73" s="1060"/>
      <c r="H73" s="1060"/>
      <c r="I73" s="1060"/>
      <c r="J73" s="1060"/>
      <c r="K73" s="1060"/>
      <c r="L73" s="1060"/>
      <c r="M73" s="1060"/>
      <c r="N73" s="1060"/>
      <c r="O73" s="1060"/>
      <c r="P73" s="1060"/>
      <c r="Q73" s="1060"/>
    </row>
    <row r="74" spans="1:23" ht="9.75" customHeight="1" x14ac:dyDescent="0.2">
      <c r="A74" s="1273"/>
      <c r="B74" s="1274"/>
      <c r="C74" s="1274"/>
      <c r="D74" s="1274"/>
      <c r="E74" s="1275"/>
      <c r="F74" s="1273"/>
      <c r="G74" s="1273"/>
      <c r="H74" s="1273"/>
      <c r="I74" s="1273"/>
      <c r="J74" s="1273"/>
      <c r="K74" s="1273"/>
      <c r="L74" s="1273"/>
      <c r="M74" s="1273"/>
      <c r="N74" s="1273"/>
      <c r="O74" s="1273"/>
      <c r="P74" s="1273"/>
      <c r="Q74" s="1273"/>
    </row>
    <row r="75" spans="1:23" ht="6.75" customHeight="1" x14ac:dyDescent="0.2">
      <c r="A75" s="1060"/>
      <c r="B75" s="209"/>
      <c r="C75" s="209"/>
      <c r="D75" s="209"/>
      <c r="E75" s="1222"/>
      <c r="F75" s="1060"/>
      <c r="G75" s="1060"/>
      <c r="H75" s="1060"/>
      <c r="I75" s="1060"/>
      <c r="J75" s="1060"/>
      <c r="K75" s="1060"/>
      <c r="L75" s="1060"/>
      <c r="M75" s="1060"/>
      <c r="N75" s="1060"/>
      <c r="O75" s="1060"/>
      <c r="P75" s="1060"/>
      <c r="Q75" s="1060"/>
    </row>
    <row r="87" spans="9:9" x14ac:dyDescent="0.2">
      <c r="I87" s="1276"/>
    </row>
  </sheetData>
  <sheetProtection selectLockedCells="1" selectUnlockedCells="1"/>
  <sortState xmlns:xlrd2="http://schemas.microsoft.com/office/spreadsheetml/2017/richdata2" ref="B76:B96">
    <sortCondition ref="B96"/>
  </sortState>
  <customSheetViews>
    <customSheetView guid="{C48E6361-ADB0-4860-9633-040747E5D3D8}" scale="80" showPageBreaks="1" showGridLines="0" fitToPage="1" printArea="1" view="pageBreakPreview" topLeftCell="A22">
      <selection activeCell="H8" sqref="H8"/>
      <rowBreaks count="1" manualBreakCount="1">
        <brk id="48" max="16383" man="1"/>
      </rowBreaks>
      <colBreaks count="1" manualBreakCount="1">
        <brk id="15" max="1048575" man="1"/>
      </colBreaks>
      <pageMargins left="0.25" right="0.25" top="0.75" bottom="0.75" header="0.3" footer="0.3"/>
      <pageSetup scale="74" orientation="landscape" horizontalDpi="0" verticalDpi="0" r:id="rId1"/>
      <headerFooter>
        <oddFooter>&amp;R&amp;Pof&amp;N</oddFooter>
      </headerFooter>
    </customSheetView>
  </customSheetViews>
  <conditionalFormatting sqref="C13 H6 J7 C38 C44 P46 C47">
    <cfRule type="containsBlanks" dxfId="192" priority="52">
      <formula>LEN(TRIM(C6))=0</formula>
    </cfRule>
  </conditionalFormatting>
  <conditionalFormatting sqref="C12">
    <cfRule type="containsBlanks" dxfId="191" priority="42">
      <formula>LEN(TRIM(C12))=0</formula>
    </cfRule>
  </conditionalFormatting>
  <conditionalFormatting sqref="E6:E9">
    <cfRule type="containsBlanks" dxfId="190" priority="37">
      <formula>LEN(TRIM(E6))=0</formula>
    </cfRule>
  </conditionalFormatting>
  <conditionalFormatting sqref="E10:E11">
    <cfRule type="containsBlanks" dxfId="189" priority="36">
      <formula>LEN(TRIM(E10))=0</formula>
    </cfRule>
  </conditionalFormatting>
  <conditionalFormatting sqref="B32:E32">
    <cfRule type="expression" dxfId="188" priority="9">
      <formula>$E$28="Simple"</formula>
    </cfRule>
  </conditionalFormatting>
  <conditionalFormatting sqref="C48">
    <cfRule type="containsBlanks" dxfId="187" priority="4">
      <formula>LEN(TRIM(C48))=0</formula>
    </cfRule>
  </conditionalFormatting>
  <conditionalFormatting sqref="E6:E11 C10:C13 E16">
    <cfRule type="containsText" dxfId="186" priority="3" operator="containsText" text="[Insert]">
      <formula>NOT(ISERROR(SEARCH("[Insert]",C6)))</formula>
    </cfRule>
  </conditionalFormatting>
  <conditionalFormatting sqref="C49:D49">
    <cfRule type="expression" dxfId="185" priority="1">
      <formula>$E$49="No"</formula>
    </cfRule>
  </conditionalFormatting>
  <pageMargins left="0" right="0" top="0" bottom="0" header="0" footer="0"/>
  <pageSetup scale="17" orientation="landscape" r:id="rId2"/>
  <headerFooter>
    <oddFooter>&amp;R&amp;"Calibri,Regular"&amp;K000000Page &amp;P of &amp;N</oddFooter>
  </headerFooter>
  <rowBreaks count="1" manualBreakCount="1">
    <brk id="49" max="16383" man="1"/>
  </rowBreaks>
  <colBreaks count="1" manualBreakCount="1">
    <brk id="16" max="1048575" man="1"/>
  </colBreak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4760BE5-C304-474C-94E8-395AB3560ADD}">
          <x14:formula1>
            <xm:f>Dropdowns!$H$6:$H$7</xm:f>
          </x14:formula1>
          <xm:sqref>E28</xm:sqref>
        </x14:dataValidation>
        <x14:dataValidation type="list" allowBlank="1" showInputMessage="1" showErrorMessage="1" xr:uid="{363D22D8-2236-4652-88FD-11EC6B4FBF9F}">
          <x14:formula1>
            <xm:f>Dropdowns!$J$6:$J$8</xm:f>
          </x14:formula1>
          <xm:sqref>C45:E45</xm:sqref>
        </x14:dataValidation>
        <x14:dataValidation type="list" allowBlank="1" showInputMessage="1" showErrorMessage="1" xr:uid="{D2071428-166D-4535-9EFB-559C9FD295E4}">
          <x14:formula1>
            <xm:f>Dropdowns!$C$6:$C$7</xm:f>
          </x14:formula1>
          <xm:sqref>E49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B3C8-4FBB-4943-9E7C-B3162CD8605D}">
  <sheetPr codeName="Sheet2">
    <tabColor rgb="FF002641"/>
  </sheetPr>
  <dimension ref="A1:V216"/>
  <sheetViews>
    <sheetView showGridLines="0" topLeftCell="A3" zoomScale="85" zoomScaleNormal="85" workbookViewId="0">
      <selection activeCell="S16" sqref="S16"/>
    </sheetView>
  </sheetViews>
  <sheetFormatPr defaultColWidth="0" defaultRowHeight="14.25" zeroHeight="1" x14ac:dyDescent="0.2"/>
  <cols>
    <col min="1" max="1" width="3.140625" style="144" customWidth="1"/>
    <col min="2" max="2" width="18.28515625" style="144" customWidth="1"/>
    <col min="3" max="3" width="34.7109375" style="144" bestFit="1" customWidth="1"/>
    <col min="4" max="4" width="12" style="144" customWidth="1"/>
    <col min="5" max="5" width="12.5703125" style="144" bestFit="1" customWidth="1"/>
    <col min="6" max="6" width="2" style="144" customWidth="1"/>
    <col min="7" max="7" width="11.28515625" style="144" bestFit="1" customWidth="1"/>
    <col min="8" max="8" width="2" style="144" customWidth="1"/>
    <col min="9" max="9" width="12.5703125" style="144" bestFit="1" customWidth="1"/>
    <col min="10" max="10" width="15" style="144" bestFit="1" customWidth="1"/>
    <col min="11" max="11" width="15.85546875" style="144" customWidth="1"/>
    <col min="12" max="12" width="33" style="144" customWidth="1"/>
    <col min="13" max="13" width="3.140625" style="144" customWidth="1"/>
    <col min="14" max="14" width="20.28515625" style="144" customWidth="1"/>
    <col min="15" max="17" width="13.7109375" style="144" customWidth="1"/>
    <col min="18" max="18" width="13.42578125" style="144" customWidth="1"/>
    <col min="19" max="19" width="9" style="144" bestFit="1" customWidth="1"/>
    <col min="20" max="22" width="8.85546875" style="144" customWidth="1"/>
    <col min="23" max="16384" width="8.85546875" style="144" hidden="1"/>
  </cols>
  <sheetData>
    <row r="1" spans="2:20" x14ac:dyDescent="0.2"/>
    <row r="2" spans="2:20" ht="19.5" x14ac:dyDescent="0.25">
      <c r="B2" s="167" t="s">
        <v>848</v>
      </c>
    </row>
    <row r="3" spans="2:20" ht="18" x14ac:dyDescent="0.25">
      <c r="B3" s="168" t="str">
        <f>Name</f>
        <v>Property Name</v>
      </c>
      <c r="I3" s="151"/>
      <c r="J3" s="151"/>
    </row>
    <row r="4" spans="2:20" x14ac:dyDescent="0.2">
      <c r="I4" s="151"/>
    </row>
    <row r="5" spans="2:20" x14ac:dyDescent="0.2">
      <c r="C5" s="878" t="s">
        <v>6</v>
      </c>
      <c r="D5" s="145"/>
      <c r="E5" s="663" t="s">
        <v>708</v>
      </c>
      <c r="F5" s="663"/>
      <c r="G5" s="663" t="s">
        <v>743</v>
      </c>
      <c r="H5" s="663"/>
      <c r="I5" s="663" t="s">
        <v>5</v>
      </c>
      <c r="J5" s="663" t="s">
        <v>748</v>
      </c>
      <c r="K5" s="663" t="s">
        <v>855</v>
      </c>
      <c r="L5" s="878" t="s">
        <v>43</v>
      </c>
    </row>
    <row r="6" spans="2:20" x14ac:dyDescent="0.2">
      <c r="C6" s="145" t="s">
        <v>697</v>
      </c>
      <c r="N6" s="878" t="s">
        <v>6</v>
      </c>
      <c r="O6" s="1018" t="s">
        <v>708</v>
      </c>
      <c r="P6" s="1018" t="s">
        <v>743</v>
      </c>
      <c r="Q6" s="1018" t="s">
        <v>5</v>
      </c>
      <c r="R6" s="1018" t="s">
        <v>83</v>
      </c>
      <c r="S6" s="1018" t="s">
        <v>892</v>
      </c>
    </row>
    <row r="7" spans="2:20" x14ac:dyDescent="0.2">
      <c r="B7" s="144" t="s">
        <v>110</v>
      </c>
      <c r="C7" s="144" t="s">
        <v>709</v>
      </c>
      <c r="E7" s="1019">
        <f>I7</f>
        <v>0</v>
      </c>
      <c r="F7" s="151"/>
      <c r="G7" s="151">
        <f>I7-E7</f>
        <v>0</v>
      </c>
      <c r="H7" s="151"/>
      <c r="I7" s="148">
        <v>0</v>
      </c>
      <c r="J7" s="151"/>
      <c r="N7" s="144" t="s">
        <v>110</v>
      </c>
      <c r="O7" s="151">
        <f>SUMIF($B$7:$B$95,$N7,E$7:E$95)</f>
        <v>57219000</v>
      </c>
      <c r="P7" s="151">
        <f>SUMIF($B$7:$B$95,$N7,G$7:G$95)</f>
        <v>0</v>
      </c>
      <c r="Q7" s="151">
        <f>P7+O7</f>
        <v>57219000</v>
      </c>
      <c r="R7" s="1020">
        <f t="shared" ref="R7:R12" si="0">O7/units</f>
        <v>234504.09836065574</v>
      </c>
      <c r="S7" s="152">
        <f>O7/$O$12</f>
        <v>0.97158753241171458</v>
      </c>
    </row>
    <row r="8" spans="2:20" x14ac:dyDescent="0.2">
      <c r="B8" s="144" t="s">
        <v>110</v>
      </c>
      <c r="C8" s="144" t="s">
        <v>110</v>
      </c>
      <c r="E8" s="1019">
        <f>I8</f>
        <v>57219000</v>
      </c>
      <c r="F8" s="151"/>
      <c r="G8" s="151">
        <f>I8-E8</f>
        <v>0</v>
      </c>
      <c r="H8" s="151"/>
      <c r="I8" s="148">
        <v>57219000</v>
      </c>
      <c r="J8" s="148"/>
      <c r="N8" s="144" t="s">
        <v>0</v>
      </c>
      <c r="O8" s="151">
        <f>SUMIF($B$7:$B$95,$N8,E$7:E$95)</f>
        <v>235900</v>
      </c>
      <c r="P8" s="151">
        <f>SUMIF($B$7:$B$95,$N8,G$7:G$95)</f>
        <v>0</v>
      </c>
      <c r="Q8" s="151">
        <f t="shared" ref="Q8:Q11" si="1">P8+O8</f>
        <v>235900</v>
      </c>
      <c r="R8" s="1020">
        <f t="shared" si="0"/>
        <v>966.80327868852464</v>
      </c>
      <c r="S8" s="152">
        <f t="shared" ref="S8:S12" si="2">O8/$O$12</f>
        <v>4.0056187437026774E-3</v>
      </c>
    </row>
    <row r="9" spans="2:20" x14ac:dyDescent="0.2">
      <c r="B9" s="144" t="s">
        <v>110</v>
      </c>
      <c r="C9" s="144" t="s">
        <v>735</v>
      </c>
      <c r="E9" s="1019">
        <f>I9</f>
        <v>0</v>
      </c>
      <c r="F9" s="151"/>
      <c r="G9" s="151">
        <f>I9-E9</f>
        <v>0</v>
      </c>
      <c r="H9" s="151"/>
      <c r="I9" s="148">
        <v>0</v>
      </c>
      <c r="J9" s="148"/>
      <c r="K9" s="982"/>
      <c r="N9" s="144" t="s">
        <v>139</v>
      </c>
      <c r="O9" s="151">
        <f>SUMIF($B$7:$B$95,$N9,E$7:E$95)</f>
        <v>715237.5</v>
      </c>
      <c r="P9" s="151">
        <f>SUMIF($B$7:$B$95,$N9,G$7:G$95)</f>
        <v>0</v>
      </c>
      <c r="Q9" s="151">
        <f t="shared" si="1"/>
        <v>715237.5</v>
      </c>
      <c r="R9" s="1020">
        <f t="shared" si="0"/>
        <v>2931.3012295081967</v>
      </c>
      <c r="S9" s="152">
        <f t="shared" si="2"/>
        <v>1.2144844155146432E-2</v>
      </c>
    </row>
    <row r="10" spans="2:20" x14ac:dyDescent="0.2">
      <c r="C10" s="828" t="s">
        <v>728</v>
      </c>
      <c r="D10" s="828"/>
      <c r="E10" s="1021">
        <f>SUM(E8:E9)</f>
        <v>57219000</v>
      </c>
      <c r="F10" s="1021"/>
      <c r="G10" s="1021">
        <f>SUM(G8:G9)</f>
        <v>0</v>
      </c>
      <c r="H10" s="1021"/>
      <c r="I10" s="1022">
        <f>SUM(I8:I9)</f>
        <v>57219000</v>
      </c>
      <c r="J10" s="1023">
        <f>IFERROR(I10/units,0)</f>
        <v>234504.09836065574</v>
      </c>
      <c r="K10" s="1024">
        <f>IFERROR(I10/$I$73,0)</f>
        <v>0.95060371355331996</v>
      </c>
      <c r="N10" s="144" t="s">
        <v>893</v>
      </c>
      <c r="O10" s="151">
        <f>SUMIF($B$7:$B$95,$N10,E$7:E$95)</f>
        <v>0</v>
      </c>
      <c r="P10" s="151">
        <f>SUMIF($B$7:$B$95,$N10,G$7:G$95)</f>
        <v>1300000</v>
      </c>
      <c r="Q10" s="151">
        <f t="shared" si="1"/>
        <v>1300000</v>
      </c>
      <c r="R10" s="1020">
        <f t="shared" si="0"/>
        <v>0</v>
      </c>
      <c r="S10" s="152">
        <f t="shared" si="2"/>
        <v>0</v>
      </c>
      <c r="T10" s="145"/>
    </row>
    <row r="11" spans="2:20" x14ac:dyDescent="0.2">
      <c r="E11" s="151"/>
      <c r="F11" s="151"/>
      <c r="G11" s="151"/>
      <c r="H11" s="151"/>
      <c r="I11" s="148"/>
      <c r="J11" s="1025"/>
      <c r="N11" s="144" t="s">
        <v>114</v>
      </c>
      <c r="O11" s="151">
        <f>SUMIF($B$7:$B$95,$N11,E$7:E$95)</f>
        <v>722137.35038701154</v>
      </c>
      <c r="P11" s="151">
        <f>SUMIF($B$7:$B$95,$N11,G$7:G$95)</f>
        <v>0</v>
      </c>
      <c r="Q11" s="151">
        <f t="shared" si="1"/>
        <v>722137.35038701154</v>
      </c>
      <c r="R11" s="1020">
        <f t="shared" si="0"/>
        <v>2959.5793048648015</v>
      </c>
      <c r="S11" s="152">
        <f t="shared" si="2"/>
        <v>1.2262004689436206E-2</v>
      </c>
    </row>
    <row r="12" spans="2:20" x14ac:dyDescent="0.2">
      <c r="C12" s="145" t="s">
        <v>710</v>
      </c>
      <c r="E12" s="151"/>
      <c r="F12" s="151"/>
      <c r="G12" s="151"/>
      <c r="H12" s="151"/>
      <c r="I12" s="148"/>
      <c r="J12" s="1025"/>
      <c r="N12" s="828" t="s">
        <v>837</v>
      </c>
      <c r="O12" s="1021">
        <f>SUM(O7:O11)</f>
        <v>58892274.850387014</v>
      </c>
      <c r="P12" s="1021">
        <f t="shared" ref="P12:Q12" si="3">SUM(P7:P11)</f>
        <v>1300000</v>
      </c>
      <c r="Q12" s="1021">
        <f t="shared" si="3"/>
        <v>60192274.850387014</v>
      </c>
      <c r="R12" s="1021">
        <f t="shared" si="0"/>
        <v>241361.78217371728</v>
      </c>
      <c r="S12" s="1026">
        <f t="shared" si="2"/>
        <v>1</v>
      </c>
    </row>
    <row r="13" spans="2:20" x14ac:dyDescent="0.2">
      <c r="B13" s="144" t="s">
        <v>0</v>
      </c>
      <c r="C13" s="144" t="s">
        <v>711</v>
      </c>
      <c r="E13" s="1019">
        <f>I13</f>
        <v>120000</v>
      </c>
      <c r="F13" s="151"/>
      <c r="G13" s="151">
        <f>I13-E13</f>
        <v>0</v>
      </c>
      <c r="H13" s="151"/>
      <c r="I13" s="148">
        <v>120000</v>
      </c>
      <c r="J13" s="1025"/>
      <c r="K13" s="982"/>
      <c r="R13" s="145"/>
    </row>
    <row r="14" spans="2:20" x14ac:dyDescent="0.2">
      <c r="B14" s="144" t="s">
        <v>0</v>
      </c>
      <c r="C14" s="144" t="s">
        <v>712</v>
      </c>
      <c r="E14" s="1019">
        <f t="shared" ref="E14:E16" si="4">I14</f>
        <v>0</v>
      </c>
      <c r="F14" s="151"/>
      <c r="G14" s="151">
        <f t="shared" ref="G14:G16" si="5">I14-E14</f>
        <v>0</v>
      </c>
      <c r="H14" s="151"/>
      <c r="I14" s="148">
        <v>0</v>
      </c>
      <c r="J14" s="1025"/>
      <c r="K14" s="982"/>
      <c r="N14" s="878" t="s">
        <v>2</v>
      </c>
    </row>
    <row r="15" spans="2:20" x14ac:dyDescent="0.2">
      <c r="B15" s="144" t="s">
        <v>0</v>
      </c>
      <c r="C15" s="144" t="s">
        <v>713</v>
      </c>
      <c r="E15" s="1019">
        <f t="shared" si="4"/>
        <v>0</v>
      </c>
      <c r="F15" s="151"/>
      <c r="G15" s="151">
        <f t="shared" si="5"/>
        <v>0</v>
      </c>
      <c r="H15" s="151"/>
      <c r="I15" s="148">
        <v>0</v>
      </c>
      <c r="J15" s="1025"/>
      <c r="K15" s="982"/>
      <c r="N15" s="144" t="s">
        <v>745</v>
      </c>
      <c r="O15" s="151">
        <f>SUMIF($B$7:$B$95,$N15,E$7:E$95)</f>
        <v>28000000</v>
      </c>
      <c r="P15" s="151">
        <f>SUMIF($B$7:$B$95,$N15,G$7:G$95)</f>
        <v>0</v>
      </c>
      <c r="Q15" s="151">
        <f>P15+O15</f>
        <v>28000000</v>
      </c>
      <c r="R15" s="1020">
        <f>O15/units</f>
        <v>114754.09836065574</v>
      </c>
      <c r="S15" s="982">
        <f t="shared" ref="S15:S18" si="6">O15/$O$12</f>
        <v>0.47544436127034745</v>
      </c>
    </row>
    <row r="16" spans="2:20" x14ac:dyDescent="0.2">
      <c r="B16" s="144" t="s">
        <v>0</v>
      </c>
      <c r="C16" s="144" t="s">
        <v>714</v>
      </c>
      <c r="E16" s="1019">
        <f t="shared" si="4"/>
        <v>0</v>
      </c>
      <c r="F16" s="151"/>
      <c r="G16" s="151">
        <f t="shared" si="5"/>
        <v>0</v>
      </c>
      <c r="H16" s="151"/>
      <c r="I16" s="148">
        <v>0</v>
      </c>
      <c r="J16" s="1025"/>
      <c r="K16" s="982"/>
      <c r="N16" s="144" t="s">
        <v>891</v>
      </c>
      <c r="O16" s="151">
        <f>SUMIF($B$7:$B$95,$N16,E$7:E$95)</f>
        <v>13700000</v>
      </c>
      <c r="P16" s="151">
        <f>SUMIF($B$7:$B$95,$N16,G$7:G$95)</f>
        <v>1300000</v>
      </c>
      <c r="Q16" s="151">
        <f t="shared" ref="Q16:Q17" si="7">P16+O16</f>
        <v>15000000</v>
      </c>
      <c r="R16" s="1020">
        <f>O16/units</f>
        <v>56147.540983606559</v>
      </c>
      <c r="S16" s="982">
        <f t="shared" si="6"/>
        <v>0.23262813390727713</v>
      </c>
    </row>
    <row r="17" spans="2:19" x14ac:dyDescent="0.2">
      <c r="C17" s="145" t="s">
        <v>715</v>
      </c>
      <c r="E17" s="1019"/>
      <c r="F17" s="151"/>
      <c r="G17" s="151"/>
      <c r="H17" s="151"/>
      <c r="I17" s="148"/>
      <c r="J17" s="1025"/>
      <c r="N17" s="144" t="s">
        <v>744</v>
      </c>
      <c r="O17" s="151">
        <f>SUMIF($B$7:$B$95,$N17,E$7:E$95)</f>
        <v>17192274.850387014</v>
      </c>
      <c r="P17" s="151">
        <f>SUMIF($B$7:$B$95,$N17,G$7:G$95)</f>
        <v>0</v>
      </c>
      <c r="Q17" s="151">
        <f t="shared" si="7"/>
        <v>17192274.850387014</v>
      </c>
      <c r="R17" s="1020">
        <f>O17/units</f>
        <v>70460.142829454984</v>
      </c>
      <c r="S17" s="982">
        <f t="shared" si="6"/>
        <v>0.29192750482237545</v>
      </c>
    </row>
    <row r="18" spans="2:19" x14ac:dyDescent="0.2">
      <c r="B18" s="144" t="s">
        <v>0</v>
      </c>
      <c r="C18" s="144" t="s">
        <v>716</v>
      </c>
      <c r="E18" s="1019">
        <f>I18</f>
        <v>55000</v>
      </c>
      <c r="F18" s="151"/>
      <c r="G18" s="151">
        <f t="shared" ref="G18:G21" si="8">I18-E18</f>
        <v>0</v>
      </c>
      <c r="H18" s="151"/>
      <c r="I18" s="148">
        <v>55000</v>
      </c>
      <c r="J18" s="1025"/>
      <c r="K18" s="982"/>
      <c r="N18" s="828" t="s">
        <v>799</v>
      </c>
      <c r="O18" s="1021">
        <f>SUM(O15:O17)</f>
        <v>58892274.850387014</v>
      </c>
      <c r="P18" s="1021">
        <f>SUM(P15:P17)</f>
        <v>1300000</v>
      </c>
      <c r="Q18" s="1021">
        <f>SUM(Q15:Q17)</f>
        <v>60192274.850387014</v>
      </c>
      <c r="R18" s="1021">
        <f>O18/units</f>
        <v>241361.78217371728</v>
      </c>
      <c r="S18" s="1026">
        <f t="shared" si="6"/>
        <v>1</v>
      </c>
    </row>
    <row r="19" spans="2:19" x14ac:dyDescent="0.2">
      <c r="B19" s="144" t="s">
        <v>0</v>
      </c>
      <c r="C19" s="144" t="s">
        <v>717</v>
      </c>
      <c r="E19" s="1019">
        <f t="shared" ref="E19:E21" si="9">I19</f>
        <v>5000</v>
      </c>
      <c r="F19" s="151"/>
      <c r="G19" s="151">
        <f t="shared" si="8"/>
        <v>0</v>
      </c>
      <c r="H19" s="151"/>
      <c r="I19" s="148">
        <v>5000</v>
      </c>
      <c r="J19" s="1025"/>
      <c r="K19" s="982"/>
    </row>
    <row r="20" spans="2:19" x14ac:dyDescent="0.2">
      <c r="B20" s="144" t="s">
        <v>0</v>
      </c>
      <c r="C20" s="144" t="s">
        <v>718</v>
      </c>
      <c r="E20" s="1019">
        <f t="shared" si="9"/>
        <v>0</v>
      </c>
      <c r="F20" s="151"/>
      <c r="G20" s="151">
        <f t="shared" si="8"/>
        <v>0</v>
      </c>
      <c r="H20" s="151"/>
      <c r="I20" s="148">
        <v>0</v>
      </c>
      <c r="J20" s="1025"/>
      <c r="K20" s="982"/>
    </row>
    <row r="21" spans="2:19" x14ac:dyDescent="0.2">
      <c r="B21" s="144" t="s">
        <v>0</v>
      </c>
      <c r="C21" s="144" t="s">
        <v>719</v>
      </c>
      <c r="E21" s="1019">
        <f t="shared" si="9"/>
        <v>0</v>
      </c>
      <c r="F21" s="151"/>
      <c r="G21" s="151">
        <f t="shared" si="8"/>
        <v>0</v>
      </c>
      <c r="H21" s="151"/>
      <c r="I21" s="148">
        <v>0</v>
      </c>
      <c r="J21" s="1025"/>
      <c r="K21" s="982"/>
      <c r="O21" s="151"/>
      <c r="P21" s="151"/>
      <c r="Q21" s="151"/>
    </row>
    <row r="22" spans="2:19" x14ac:dyDescent="0.2">
      <c r="C22" s="145" t="s">
        <v>720</v>
      </c>
      <c r="E22" s="1019"/>
      <c r="F22" s="151"/>
      <c r="G22" s="151"/>
      <c r="H22" s="151"/>
      <c r="I22" s="148"/>
      <c r="J22" s="1025"/>
      <c r="O22" s="151"/>
      <c r="P22" s="151"/>
      <c r="Q22" s="151"/>
    </row>
    <row r="23" spans="2:19" x14ac:dyDescent="0.2">
      <c r="B23" s="144" t="s">
        <v>0</v>
      </c>
      <c r="C23" s="144" t="s">
        <v>721</v>
      </c>
      <c r="E23" s="1019">
        <f>I23</f>
        <v>0</v>
      </c>
      <c r="F23" s="151"/>
      <c r="G23" s="151">
        <f>I23-E23</f>
        <v>0</v>
      </c>
      <c r="H23" s="151"/>
      <c r="I23" s="148">
        <v>0</v>
      </c>
      <c r="J23" s="1025"/>
      <c r="K23" s="982"/>
      <c r="O23" s="151"/>
      <c r="P23" s="151"/>
      <c r="Q23" s="151"/>
    </row>
    <row r="24" spans="2:19" x14ac:dyDescent="0.2">
      <c r="B24" s="144" t="s">
        <v>0</v>
      </c>
      <c r="C24" s="144" t="s">
        <v>722</v>
      </c>
      <c r="E24" s="1019">
        <f t="shared" ref="E24:E29" si="10">I24</f>
        <v>0</v>
      </c>
      <c r="F24" s="151"/>
      <c r="G24" s="151">
        <f t="shared" ref="G24:G29" si="11">I24-E24</f>
        <v>0</v>
      </c>
      <c r="H24" s="151"/>
      <c r="I24" s="148">
        <v>0</v>
      </c>
      <c r="J24" s="1025"/>
      <c r="K24" s="982"/>
      <c r="O24" s="151"/>
      <c r="P24" s="151"/>
      <c r="Q24" s="151"/>
    </row>
    <row r="25" spans="2:19" x14ac:dyDescent="0.2">
      <c r="B25" s="144" t="s">
        <v>0</v>
      </c>
      <c r="C25" s="144" t="s">
        <v>723</v>
      </c>
      <c r="E25" s="1019">
        <f t="shared" si="10"/>
        <v>1250</v>
      </c>
      <c r="F25" s="151"/>
      <c r="G25" s="151">
        <f t="shared" si="11"/>
        <v>0</v>
      </c>
      <c r="H25" s="151"/>
      <c r="I25" s="148">
        <v>1250</v>
      </c>
      <c r="J25" s="1025"/>
      <c r="K25" s="982"/>
      <c r="O25" s="151"/>
      <c r="P25" s="151"/>
      <c r="Q25" s="151"/>
    </row>
    <row r="26" spans="2:19" x14ac:dyDescent="0.2">
      <c r="B26" s="144" t="s">
        <v>0</v>
      </c>
      <c r="C26" s="144" t="s">
        <v>724</v>
      </c>
      <c r="E26" s="1019">
        <f t="shared" si="10"/>
        <v>5000</v>
      </c>
      <c r="F26" s="151"/>
      <c r="G26" s="151">
        <f t="shared" si="11"/>
        <v>0</v>
      </c>
      <c r="H26" s="151"/>
      <c r="I26" s="148">
        <v>5000</v>
      </c>
      <c r="J26" s="1025"/>
      <c r="K26" s="982"/>
      <c r="O26" s="151"/>
      <c r="P26" s="151"/>
      <c r="Q26" s="151"/>
    </row>
    <row r="27" spans="2:19" x14ac:dyDescent="0.2">
      <c r="B27" s="144" t="s">
        <v>0</v>
      </c>
      <c r="C27" s="144" t="s">
        <v>725</v>
      </c>
      <c r="E27" s="1019">
        <f t="shared" si="10"/>
        <v>10000</v>
      </c>
      <c r="F27" s="151"/>
      <c r="G27" s="151">
        <f t="shared" si="11"/>
        <v>0</v>
      </c>
      <c r="H27" s="151"/>
      <c r="I27" s="148">
        <v>10000</v>
      </c>
      <c r="J27" s="1025"/>
      <c r="K27" s="982"/>
      <c r="O27" s="151"/>
      <c r="P27" s="151"/>
      <c r="Q27" s="151"/>
    </row>
    <row r="28" spans="2:19" x14ac:dyDescent="0.2">
      <c r="B28" s="144" t="s">
        <v>0</v>
      </c>
      <c r="C28" s="144" t="s">
        <v>900</v>
      </c>
      <c r="E28" s="1019">
        <f t="shared" ref="E28" si="12">I28</f>
        <v>900</v>
      </c>
      <c r="F28" s="151"/>
      <c r="G28" s="151">
        <f t="shared" ref="G28" si="13">I28-E28</f>
        <v>0</v>
      </c>
      <c r="H28" s="151"/>
      <c r="I28" s="148">
        <v>900</v>
      </c>
      <c r="J28" s="1025"/>
      <c r="K28" s="982"/>
      <c r="O28" s="151"/>
      <c r="P28" s="151"/>
      <c r="Q28" s="151"/>
    </row>
    <row r="29" spans="2:19" x14ac:dyDescent="0.2">
      <c r="B29" s="144" t="s">
        <v>0</v>
      </c>
      <c r="C29" s="144" t="s">
        <v>726</v>
      </c>
      <c r="E29" s="1019">
        <f t="shared" si="10"/>
        <v>0</v>
      </c>
      <c r="F29" s="151"/>
      <c r="G29" s="151">
        <f t="shared" si="11"/>
        <v>0</v>
      </c>
      <c r="H29" s="151"/>
      <c r="I29" s="148">
        <v>0</v>
      </c>
      <c r="J29" s="1025"/>
      <c r="K29" s="982"/>
      <c r="O29" s="151"/>
      <c r="P29" s="151"/>
      <c r="Q29" s="151"/>
    </row>
    <row r="30" spans="2:19" x14ac:dyDescent="0.2">
      <c r="B30" s="144" t="s">
        <v>0</v>
      </c>
      <c r="C30" s="144" t="s">
        <v>771</v>
      </c>
      <c r="E30" s="1019">
        <f>I30</f>
        <v>3000</v>
      </c>
      <c r="F30" s="151"/>
      <c r="G30" s="151">
        <f>I30-E30</f>
        <v>0</v>
      </c>
      <c r="H30" s="151"/>
      <c r="I30" s="148">
        <v>3000</v>
      </c>
      <c r="J30" s="1025"/>
      <c r="K30" s="982"/>
      <c r="O30" s="151"/>
      <c r="P30" s="151"/>
      <c r="Q30" s="151"/>
    </row>
    <row r="31" spans="2:19" x14ac:dyDescent="0.2">
      <c r="B31" s="144" t="s">
        <v>0</v>
      </c>
      <c r="C31" s="144" t="s">
        <v>727</v>
      </c>
      <c r="E31" s="1019">
        <f>I31</f>
        <v>750</v>
      </c>
      <c r="F31" s="151"/>
      <c r="G31" s="151">
        <f>I31-E31</f>
        <v>0</v>
      </c>
      <c r="H31" s="151"/>
      <c r="I31" s="148">
        <v>750</v>
      </c>
      <c r="J31" s="1025"/>
      <c r="K31" s="982"/>
      <c r="O31" s="151"/>
      <c r="P31" s="151"/>
      <c r="Q31" s="151"/>
    </row>
    <row r="32" spans="2:19" x14ac:dyDescent="0.2">
      <c r="C32" s="828" t="s">
        <v>0</v>
      </c>
      <c r="D32" s="1027"/>
      <c r="E32" s="1021">
        <f>SUM(E13:E31)</f>
        <v>200900</v>
      </c>
      <c r="F32" s="1021"/>
      <c r="G32" s="1021">
        <f>SUM(G13:G31)</f>
        <v>0</v>
      </c>
      <c r="H32" s="1021"/>
      <c r="I32" s="1021">
        <f>SUM(I13:I31)</f>
        <v>200900</v>
      </c>
      <c r="J32" s="1023">
        <f>IFERROR(I32/units,0)</f>
        <v>823.36065573770497</v>
      </c>
      <c r="K32" s="1024">
        <f>IFERROR(I32/$I$73,0)</f>
        <v>3.337637603817997E-3</v>
      </c>
      <c r="O32" s="151"/>
      <c r="P32" s="151"/>
      <c r="Q32" s="151"/>
    </row>
    <row r="33" spans="2:17" x14ac:dyDescent="0.2">
      <c r="C33" s="145"/>
      <c r="D33" s="722"/>
      <c r="E33" s="882"/>
      <c r="F33" s="882"/>
      <c r="G33" s="882"/>
      <c r="H33" s="882"/>
      <c r="I33" s="882"/>
      <c r="J33" s="1025"/>
      <c r="K33" s="152"/>
      <c r="O33" s="151"/>
      <c r="P33" s="151"/>
      <c r="Q33" s="151"/>
    </row>
    <row r="34" spans="2:17" x14ac:dyDescent="0.2">
      <c r="C34" s="145" t="s">
        <v>513</v>
      </c>
      <c r="D34" s="722"/>
      <c r="E34" s="151"/>
      <c r="F34" s="151"/>
      <c r="G34" s="151"/>
      <c r="H34" s="151"/>
      <c r="I34" s="151"/>
      <c r="J34" s="1025"/>
      <c r="O34" s="151"/>
      <c r="P34" s="151"/>
      <c r="Q34" s="151"/>
    </row>
    <row r="35" spans="2:17" x14ac:dyDescent="0.2">
      <c r="B35" s="144" t="s">
        <v>139</v>
      </c>
      <c r="C35" s="144" t="s">
        <v>139</v>
      </c>
      <c r="D35" s="1028">
        <v>1.2500000000000001E-2</v>
      </c>
      <c r="E35" s="1019">
        <f>I35</f>
        <v>715237.5</v>
      </c>
      <c r="F35" s="151"/>
      <c r="G35" s="151">
        <f>I35-E35</f>
        <v>0</v>
      </c>
      <c r="H35" s="151"/>
      <c r="I35" s="151">
        <f>D35*I8</f>
        <v>715237.5</v>
      </c>
      <c r="J35" s="1025"/>
      <c r="K35" s="982"/>
      <c r="L35" s="151"/>
      <c r="O35" s="151"/>
      <c r="P35" s="151"/>
      <c r="Q35" s="151"/>
    </row>
    <row r="36" spans="2:17" x14ac:dyDescent="0.2">
      <c r="B36" s="144" t="s">
        <v>0</v>
      </c>
      <c r="C36" s="144" t="s">
        <v>909</v>
      </c>
      <c r="D36" s="1028"/>
      <c r="E36" s="1019">
        <f>I36</f>
        <v>0</v>
      </c>
      <c r="F36" s="151"/>
      <c r="G36" s="151">
        <f>I36-E36</f>
        <v>0</v>
      </c>
      <c r="H36" s="151"/>
      <c r="I36" s="151">
        <v>0</v>
      </c>
      <c r="J36" s="1025"/>
      <c r="K36" s="982"/>
      <c r="L36" s="151"/>
      <c r="O36" s="151"/>
      <c r="P36" s="151"/>
      <c r="Q36" s="151"/>
    </row>
    <row r="37" spans="2:17" x14ac:dyDescent="0.2">
      <c r="B37" s="144" t="s">
        <v>0</v>
      </c>
      <c r="C37" s="144" t="s">
        <v>737</v>
      </c>
      <c r="D37" s="1029">
        <v>0</v>
      </c>
      <c r="E37" s="1019">
        <f>I37</f>
        <v>0</v>
      </c>
      <c r="F37" s="151"/>
      <c r="G37" s="151">
        <f>I37-E37</f>
        <v>0</v>
      </c>
      <c r="H37" s="151"/>
      <c r="I37" s="151">
        <f>D37*Senior_Proceeds</f>
        <v>0</v>
      </c>
      <c r="J37" s="1025"/>
      <c r="O37" s="151"/>
      <c r="P37" s="151"/>
      <c r="Q37" s="151"/>
    </row>
    <row r="38" spans="2:17" x14ac:dyDescent="0.2">
      <c r="B38" s="144" t="s">
        <v>0</v>
      </c>
      <c r="C38" s="144" t="s">
        <v>769</v>
      </c>
      <c r="E38" s="1019">
        <f>I38</f>
        <v>30000</v>
      </c>
      <c r="F38" s="151"/>
      <c r="G38" s="151">
        <f>I38-E38</f>
        <v>0</v>
      </c>
      <c r="H38" s="151"/>
      <c r="I38" s="148">
        <v>30000</v>
      </c>
      <c r="J38" s="1025"/>
      <c r="O38" s="151"/>
      <c r="P38" s="151"/>
      <c r="Q38" s="151"/>
    </row>
    <row r="39" spans="2:17" x14ac:dyDescent="0.2">
      <c r="B39" s="144" t="s">
        <v>0</v>
      </c>
      <c r="C39" s="144" t="s">
        <v>770</v>
      </c>
      <c r="E39" s="1019">
        <f>I39</f>
        <v>5000</v>
      </c>
      <c r="F39" s="151"/>
      <c r="G39" s="151">
        <f>I39-E39</f>
        <v>0</v>
      </c>
      <c r="H39" s="151"/>
      <c r="I39" s="148">
        <v>5000</v>
      </c>
      <c r="J39" s="1025"/>
      <c r="O39" s="151"/>
      <c r="P39" s="151"/>
      <c r="Q39" s="151"/>
    </row>
    <row r="40" spans="2:17" x14ac:dyDescent="0.2">
      <c r="C40" s="828" t="s">
        <v>836</v>
      </c>
      <c r="D40" s="828"/>
      <c r="E40" s="1022">
        <f>SUM(E35:E39)</f>
        <v>750237.5</v>
      </c>
      <c r="F40" s="1021"/>
      <c r="G40" s="1021">
        <f>SUM(G35:G39)</f>
        <v>0</v>
      </c>
      <c r="H40" s="1021"/>
      <c r="I40" s="1021">
        <f>SUM(I35:I39)</f>
        <v>750237.5</v>
      </c>
      <c r="J40" s="1023">
        <f>IFERROR(I40/units,0)</f>
        <v>3074.7438524590166</v>
      </c>
      <c r="K40" s="1024">
        <f>IFERROR(I40/$I$73,0)</f>
        <v>1.246401638523845E-2</v>
      </c>
      <c r="L40" s="151"/>
      <c r="O40" s="151"/>
      <c r="P40" s="151"/>
      <c r="Q40" s="151"/>
    </row>
    <row r="41" spans="2:17" x14ac:dyDescent="0.2">
      <c r="E41" s="1019"/>
      <c r="F41" s="151"/>
      <c r="G41" s="151"/>
      <c r="H41" s="151"/>
      <c r="I41" s="151"/>
      <c r="J41" s="1025"/>
      <c r="O41" s="151"/>
      <c r="P41" s="151"/>
      <c r="Q41" s="151"/>
    </row>
    <row r="42" spans="2:17" ht="15" thickBot="1" x14ac:dyDescent="0.25">
      <c r="C42" s="708" t="s">
        <v>736</v>
      </c>
      <c r="D42" s="708"/>
      <c r="E42" s="912">
        <f>E40+E32+E10</f>
        <v>58170137.5</v>
      </c>
      <c r="F42" s="912"/>
      <c r="G42" s="912">
        <f>G40+G32+G10</f>
        <v>0</v>
      </c>
      <c r="H42" s="912"/>
      <c r="I42" s="912">
        <f>I40+I32+I10</f>
        <v>58170137.5</v>
      </c>
      <c r="J42" s="1025"/>
      <c r="O42" s="151"/>
      <c r="P42" s="151"/>
      <c r="Q42" s="151"/>
    </row>
    <row r="43" spans="2:17" x14ac:dyDescent="0.2">
      <c r="J43" s="1025"/>
      <c r="L43" s="151"/>
      <c r="O43" s="151"/>
      <c r="P43" s="151"/>
      <c r="Q43" s="151"/>
    </row>
    <row r="44" spans="2:17" x14ac:dyDescent="0.2">
      <c r="C44" s="145" t="s">
        <v>834</v>
      </c>
      <c r="E44" s="151"/>
      <c r="F44" s="151"/>
      <c r="G44" s="151"/>
      <c r="H44" s="151"/>
      <c r="I44" s="151"/>
      <c r="J44" s="1025"/>
      <c r="O44" s="151"/>
      <c r="P44" s="151"/>
      <c r="Q44" s="151"/>
    </row>
    <row r="45" spans="2:17" x14ac:dyDescent="0.2">
      <c r="B45" s="144" t="s">
        <v>893</v>
      </c>
      <c r="C45" s="144" t="s">
        <v>630</v>
      </c>
      <c r="E45" s="1019">
        <f>'Renovation Budget'!L22</f>
        <v>0</v>
      </c>
      <c r="F45" s="151"/>
      <c r="G45" s="151">
        <f>I45-E45</f>
        <v>0</v>
      </c>
      <c r="H45" s="151"/>
      <c r="I45" s="151">
        <f>'Renovation Budget'!D22</f>
        <v>0</v>
      </c>
      <c r="J45" s="1025"/>
      <c r="K45" s="982"/>
      <c r="O45" s="151"/>
      <c r="P45" s="151"/>
      <c r="Q45" s="151"/>
    </row>
    <row r="46" spans="2:17" x14ac:dyDescent="0.2">
      <c r="B46" s="144" t="s">
        <v>893</v>
      </c>
      <c r="C46" s="144" t="s">
        <v>640</v>
      </c>
      <c r="E46" s="1019">
        <f>'Renovation Budget'!L39</f>
        <v>0</v>
      </c>
      <c r="F46" s="151"/>
      <c r="G46" s="151">
        <f t="shared" ref="G46:G54" si="14">I46-E46</f>
        <v>200000</v>
      </c>
      <c r="H46" s="151"/>
      <c r="I46" s="151">
        <f>'Renovation Budget'!D39</f>
        <v>200000</v>
      </c>
      <c r="J46" s="1025"/>
      <c r="K46" s="982"/>
    </row>
    <row r="47" spans="2:17" x14ac:dyDescent="0.2">
      <c r="B47" s="144" t="s">
        <v>893</v>
      </c>
      <c r="C47" s="144" t="s">
        <v>631</v>
      </c>
      <c r="E47" s="1019">
        <f>'Renovation Budget'!L93</f>
        <v>0</v>
      </c>
      <c r="F47" s="151"/>
      <c r="G47" s="151">
        <f t="shared" si="14"/>
        <v>0</v>
      </c>
      <c r="H47" s="151"/>
      <c r="I47" s="151">
        <f>'Renovation Budget'!D93</f>
        <v>0</v>
      </c>
      <c r="J47" s="1025"/>
      <c r="K47" s="982"/>
    </row>
    <row r="48" spans="2:17" x14ac:dyDescent="0.2">
      <c r="B48" s="144" t="s">
        <v>893</v>
      </c>
      <c r="C48" s="144" t="s">
        <v>734</v>
      </c>
      <c r="E48" s="1019">
        <f>'Renovation Budget'!L62</f>
        <v>0</v>
      </c>
      <c r="F48" s="151"/>
      <c r="G48" s="151">
        <f t="shared" si="14"/>
        <v>1100000</v>
      </c>
      <c r="H48" s="151"/>
      <c r="I48" s="151">
        <f>'Renovation Budget'!D62</f>
        <v>1100000</v>
      </c>
      <c r="J48" s="1025"/>
      <c r="K48" s="982"/>
    </row>
    <row r="49" spans="2:11" x14ac:dyDescent="0.2">
      <c r="B49" s="144" t="s">
        <v>893</v>
      </c>
      <c r="C49" s="144" t="s">
        <v>865</v>
      </c>
      <c r="E49" s="1019"/>
      <c r="F49" s="151"/>
      <c r="G49" s="151"/>
      <c r="H49" s="151"/>
      <c r="I49" s="151"/>
      <c r="J49" s="1025"/>
      <c r="K49" s="982"/>
    </row>
    <row r="50" spans="2:11" x14ac:dyDescent="0.2">
      <c r="C50" s="145" t="s">
        <v>835</v>
      </c>
      <c r="E50" s="1019"/>
      <c r="F50" s="151"/>
      <c r="G50" s="151"/>
      <c r="H50" s="151"/>
      <c r="I50" s="151"/>
      <c r="J50" s="1025"/>
    </row>
    <row r="51" spans="2:11" x14ac:dyDescent="0.2">
      <c r="B51" s="144" t="s">
        <v>893</v>
      </c>
      <c r="C51" s="144" t="s">
        <v>858</v>
      </c>
      <c r="E51" s="1019">
        <f>'Renovation Budget'!L98</f>
        <v>0</v>
      </c>
      <c r="F51" s="151"/>
      <c r="G51" s="151">
        <f t="shared" si="14"/>
        <v>0</v>
      </c>
      <c r="H51" s="151"/>
      <c r="I51" s="1030">
        <f>'Renovation Budget'!D98</f>
        <v>0</v>
      </c>
      <c r="J51" s="1025"/>
      <c r="K51" s="982"/>
    </row>
    <row r="52" spans="2:11" x14ac:dyDescent="0.2">
      <c r="B52" s="144" t="s">
        <v>893</v>
      </c>
      <c r="C52" s="144" t="s">
        <v>859</v>
      </c>
      <c r="E52" s="1019">
        <f>'Renovation Budget'!L99</f>
        <v>0</v>
      </c>
      <c r="F52" s="151"/>
      <c r="G52" s="151">
        <f t="shared" si="14"/>
        <v>0</v>
      </c>
      <c r="H52" s="151"/>
      <c r="I52" s="1030">
        <f>'Renovation Budget'!D99</f>
        <v>0</v>
      </c>
      <c r="J52" s="1025"/>
      <c r="K52" s="982"/>
    </row>
    <row r="53" spans="2:11" x14ac:dyDescent="0.2">
      <c r="B53" s="144" t="s">
        <v>893</v>
      </c>
      <c r="C53" s="144" t="s">
        <v>860</v>
      </c>
      <c r="E53" s="1019">
        <f>SUM('Renovation Budget'!L100:L102)</f>
        <v>0</v>
      </c>
      <c r="F53" s="151"/>
      <c r="G53" s="151">
        <f t="shared" ref="G53" si="15">I53-E53</f>
        <v>0</v>
      </c>
      <c r="H53" s="151"/>
      <c r="I53" s="1030">
        <f>SUM('Renovation Budget'!D100:D102)</f>
        <v>0</v>
      </c>
      <c r="J53" s="1025"/>
      <c r="K53" s="982"/>
    </row>
    <row r="54" spans="2:11" x14ac:dyDescent="0.2">
      <c r="B54" s="144" t="s">
        <v>893</v>
      </c>
      <c r="C54" s="144" t="s">
        <v>205</v>
      </c>
      <c r="D54" s="1031">
        <f>IFERROR(I54/SUM(I45:I53),0)</f>
        <v>0</v>
      </c>
      <c r="E54" s="1019">
        <f>'Renovation Budget'!L103</f>
        <v>0</v>
      </c>
      <c r="F54" s="151"/>
      <c r="G54" s="151">
        <f t="shared" si="14"/>
        <v>0</v>
      </c>
      <c r="H54" s="151"/>
      <c r="I54" s="151">
        <f>'Renovation Budget'!D103</f>
        <v>0</v>
      </c>
      <c r="J54" s="1025"/>
      <c r="K54" s="982"/>
    </row>
    <row r="55" spans="2:11" x14ac:dyDescent="0.2">
      <c r="C55" s="828" t="s">
        <v>738</v>
      </c>
      <c r="D55" s="828"/>
      <c r="E55" s="1021">
        <f>SUM(E45:E54)</f>
        <v>0</v>
      </c>
      <c r="F55" s="1021"/>
      <c r="G55" s="1021">
        <f>SUM(G45:G54)</f>
        <v>1300000</v>
      </c>
      <c r="H55" s="1021"/>
      <c r="I55" s="1021">
        <f>SUM(I45:I54)</f>
        <v>1300000</v>
      </c>
      <c r="J55" s="1023"/>
      <c r="K55" s="1024"/>
    </row>
    <row r="56" spans="2:11" x14ac:dyDescent="0.2">
      <c r="C56" s="145"/>
      <c r="D56" s="145"/>
      <c r="E56" s="882"/>
      <c r="F56" s="882"/>
      <c r="G56" s="882"/>
      <c r="H56" s="882"/>
      <c r="I56" s="882"/>
      <c r="J56" s="1025"/>
    </row>
    <row r="57" spans="2:11" ht="15" thickBot="1" x14ac:dyDescent="0.25">
      <c r="C57" s="708" t="s">
        <v>742</v>
      </c>
      <c r="D57" s="708"/>
      <c r="E57" s="912">
        <f>E55+E42</f>
        <v>58170137.5</v>
      </c>
      <c r="F57" s="912"/>
      <c r="G57" s="912">
        <f>G55+G42</f>
        <v>1300000</v>
      </c>
      <c r="H57" s="912"/>
      <c r="I57" s="912">
        <f>I55+I42</f>
        <v>59470137.5</v>
      </c>
      <c r="J57" s="1025"/>
    </row>
    <row r="58" spans="2:11" x14ac:dyDescent="0.2">
      <c r="C58" s="145"/>
      <c r="D58" s="145"/>
      <c r="E58" s="882"/>
      <c r="F58" s="882"/>
      <c r="G58" s="882"/>
      <c r="H58" s="882"/>
      <c r="I58" s="882"/>
      <c r="J58" s="1025"/>
    </row>
    <row r="59" spans="2:11" x14ac:dyDescent="0.2">
      <c r="C59" s="145" t="s">
        <v>729</v>
      </c>
      <c r="E59" s="151"/>
      <c r="F59" s="151"/>
      <c r="G59" s="151"/>
      <c r="H59" s="151"/>
      <c r="I59" s="151"/>
      <c r="J59" s="1025"/>
    </row>
    <row r="60" spans="2:11" x14ac:dyDescent="0.2">
      <c r="B60" s="144" t="s">
        <v>114</v>
      </c>
      <c r="C60" s="144" t="s">
        <v>739</v>
      </c>
      <c r="D60" s="1032">
        <f>Snr_Loan_Fee/I78</f>
        <v>0</v>
      </c>
      <c r="E60" s="1019">
        <f>I60</f>
        <v>0</v>
      </c>
      <c r="F60" s="151"/>
      <c r="G60" s="151">
        <f>I60-E60</f>
        <v>0</v>
      </c>
      <c r="H60" s="151"/>
      <c r="I60" s="148">
        <v>0</v>
      </c>
      <c r="J60" s="1025"/>
      <c r="K60" s="982"/>
    </row>
    <row r="61" spans="2:11" x14ac:dyDescent="0.2">
      <c r="B61" s="144" t="s">
        <v>114</v>
      </c>
      <c r="C61" s="144" t="s">
        <v>901</v>
      </c>
      <c r="E61" s="1019">
        <f t="shared" ref="E61:E69" si="16">I61</f>
        <v>26485</v>
      </c>
      <c r="F61" s="151"/>
      <c r="G61" s="151">
        <f t="shared" ref="G61:G70" si="17">I61-E61</f>
        <v>0</v>
      </c>
      <c r="H61" s="151"/>
      <c r="I61" s="148">
        <v>26485</v>
      </c>
      <c r="J61" s="1025"/>
      <c r="K61" s="982"/>
    </row>
    <row r="62" spans="2:11" x14ac:dyDescent="0.2">
      <c r="B62" s="144" t="s">
        <v>114</v>
      </c>
      <c r="C62" s="144" t="s">
        <v>902</v>
      </c>
      <c r="E62" s="1019">
        <f t="shared" ref="E62" si="18">I62</f>
        <v>1500</v>
      </c>
      <c r="F62" s="151"/>
      <c r="G62" s="151">
        <f t="shared" ref="G62" si="19">I62-E62</f>
        <v>0</v>
      </c>
      <c r="H62" s="151"/>
      <c r="I62" s="148">
        <v>1500</v>
      </c>
      <c r="J62" s="1025"/>
      <c r="K62" s="982"/>
    </row>
    <row r="63" spans="2:11" x14ac:dyDescent="0.2">
      <c r="B63" s="144" t="s">
        <v>114</v>
      </c>
      <c r="C63" s="144" t="s">
        <v>904</v>
      </c>
      <c r="E63" s="1019">
        <f t="shared" si="16"/>
        <v>5000</v>
      </c>
      <c r="F63" s="151"/>
      <c r="G63" s="151">
        <f t="shared" si="17"/>
        <v>0</v>
      </c>
      <c r="H63" s="151"/>
      <c r="I63" s="148">
        <v>5000</v>
      </c>
      <c r="J63" s="1025"/>
      <c r="K63" s="982"/>
    </row>
    <row r="64" spans="2:11" x14ac:dyDescent="0.2">
      <c r="B64" s="144" t="s">
        <v>114</v>
      </c>
      <c r="C64" s="144" t="s">
        <v>903</v>
      </c>
      <c r="E64" s="1019">
        <f t="shared" si="16"/>
        <v>20000</v>
      </c>
      <c r="F64" s="151"/>
      <c r="G64" s="151">
        <f t="shared" si="17"/>
        <v>0</v>
      </c>
      <c r="H64" s="151"/>
      <c r="I64" s="148">
        <v>20000</v>
      </c>
      <c r="J64" s="1025"/>
      <c r="K64" s="982"/>
    </row>
    <row r="65" spans="2:17" x14ac:dyDescent="0.2">
      <c r="B65" s="144" t="s">
        <v>114</v>
      </c>
      <c r="C65" s="144" t="s">
        <v>730</v>
      </c>
      <c r="D65" s="149">
        <v>6.0411553709646968E-3</v>
      </c>
      <c r="E65" s="1019">
        <f t="shared" si="16"/>
        <v>169152.35038701151</v>
      </c>
      <c r="F65" s="151"/>
      <c r="G65" s="151">
        <f t="shared" si="17"/>
        <v>0</v>
      </c>
      <c r="H65" s="151"/>
      <c r="I65" s="151">
        <f>D65*Senior_Proceeds</f>
        <v>169152.35038701151</v>
      </c>
      <c r="J65" s="1025"/>
      <c r="K65" s="982"/>
    </row>
    <row r="66" spans="2:17" x14ac:dyDescent="0.2">
      <c r="B66" s="144" t="s">
        <v>114</v>
      </c>
      <c r="C66" s="144" t="s">
        <v>905</v>
      </c>
      <c r="D66" s="1031">
        <f>IFERROR(PEfee/I89,0)</f>
        <v>0.01</v>
      </c>
      <c r="E66" s="1019">
        <f t="shared" si="16"/>
        <v>150000</v>
      </c>
      <c r="F66" s="151"/>
      <c r="G66" s="151">
        <f t="shared" si="17"/>
        <v>0</v>
      </c>
      <c r="H66" s="151"/>
      <c r="I66" s="148">
        <v>150000</v>
      </c>
      <c r="J66" s="1025"/>
      <c r="K66" s="982"/>
    </row>
    <row r="67" spans="2:17" x14ac:dyDescent="0.2">
      <c r="B67" s="144" t="s">
        <v>114</v>
      </c>
      <c r="C67" s="144" t="s">
        <v>740</v>
      </c>
      <c r="E67" s="1019">
        <f t="shared" si="16"/>
        <v>50000</v>
      </c>
      <c r="G67" s="151">
        <f t="shared" si="17"/>
        <v>0</v>
      </c>
      <c r="I67" s="148">
        <v>50000</v>
      </c>
      <c r="J67" s="1025"/>
      <c r="K67" s="982"/>
    </row>
    <row r="68" spans="2:17" x14ac:dyDescent="0.2">
      <c r="B68" s="144" t="s">
        <v>114</v>
      </c>
      <c r="C68" s="144" t="s">
        <v>938</v>
      </c>
      <c r="D68" s="1029">
        <v>0.01</v>
      </c>
      <c r="E68" s="1019">
        <f t="shared" ref="E68" si="20">I68</f>
        <v>150000</v>
      </c>
      <c r="F68" s="151"/>
      <c r="G68" s="151">
        <f t="shared" ref="G68" si="21">I68-E68</f>
        <v>0</v>
      </c>
      <c r="H68" s="151"/>
      <c r="I68" s="1030">
        <f>D68*I89</f>
        <v>150000</v>
      </c>
      <c r="J68" s="1025"/>
      <c r="K68" s="982"/>
    </row>
    <row r="69" spans="2:17" x14ac:dyDescent="0.2">
      <c r="B69" s="144" t="s">
        <v>114</v>
      </c>
      <c r="C69" s="144" t="s">
        <v>731</v>
      </c>
      <c r="D69" s="1031">
        <f>IFERROR(I69/I89,0)</f>
        <v>0.01</v>
      </c>
      <c r="E69" s="1019">
        <f t="shared" si="16"/>
        <v>150000</v>
      </c>
      <c r="F69" s="151"/>
      <c r="G69" s="151">
        <f t="shared" si="17"/>
        <v>0</v>
      </c>
      <c r="H69" s="151"/>
      <c r="I69" s="148">
        <v>150000</v>
      </c>
      <c r="J69" s="1025"/>
      <c r="K69" s="982"/>
    </row>
    <row r="70" spans="2:17" x14ac:dyDescent="0.2">
      <c r="B70" s="144" t="s">
        <v>751</v>
      </c>
      <c r="C70" s="144" t="s">
        <v>733</v>
      </c>
      <c r="E70" s="1019">
        <f>I70</f>
        <v>0</v>
      </c>
      <c r="F70" s="151"/>
      <c r="G70" s="151">
        <f t="shared" si="17"/>
        <v>0</v>
      </c>
      <c r="H70" s="151"/>
      <c r="I70" s="148">
        <v>0</v>
      </c>
      <c r="J70" s="1025"/>
      <c r="K70" s="982"/>
    </row>
    <row r="71" spans="2:17" x14ac:dyDescent="0.2">
      <c r="C71" s="828" t="s">
        <v>741</v>
      </c>
      <c r="D71" s="828"/>
      <c r="E71" s="1021">
        <f>SUM(E60:E70)</f>
        <v>722137.35038701154</v>
      </c>
      <c r="F71" s="1021"/>
      <c r="G71" s="1021">
        <f>SUM(G60:G70)</f>
        <v>0</v>
      </c>
      <c r="H71" s="1021"/>
      <c r="I71" s="1021">
        <f>SUM(I60:I70)</f>
        <v>722137.35038701154</v>
      </c>
      <c r="J71" s="1023">
        <f>IFERROR(I71/units,0)</f>
        <v>2959.5793048648015</v>
      </c>
      <c r="K71" s="1024">
        <f>IFERROR(I71/$I$73,0)</f>
        <v>1.1997176584236846E-2</v>
      </c>
    </row>
    <row r="72" spans="2:17" x14ac:dyDescent="0.2">
      <c r="E72" s="151"/>
      <c r="F72" s="151"/>
      <c r="G72" s="151"/>
      <c r="H72" s="151"/>
      <c r="I72" s="151"/>
      <c r="J72" s="1025"/>
    </row>
    <row r="73" spans="2:17" ht="15" thickBot="1" x14ac:dyDescent="0.25">
      <c r="C73" s="708" t="s">
        <v>837</v>
      </c>
      <c r="D73" s="708"/>
      <c r="E73" s="912">
        <f>E71+E57</f>
        <v>58892274.850387014</v>
      </c>
      <c r="F73" s="912"/>
      <c r="G73" s="912">
        <f>G71+G57</f>
        <v>1300000</v>
      </c>
      <c r="H73" s="912"/>
      <c r="I73" s="912">
        <f>I71+I57</f>
        <v>60192274.850387014</v>
      </c>
      <c r="J73" s="1023">
        <f>IFERROR(I73/units,0)</f>
        <v>246689.65102617629</v>
      </c>
      <c r="K73" s="1024">
        <f>IFERROR(I73/$I$73,0)</f>
        <v>1</v>
      </c>
    </row>
    <row r="74" spans="2:17" x14ac:dyDescent="0.2">
      <c r="E74" s="151"/>
      <c r="F74" s="151"/>
      <c r="G74" s="151"/>
      <c r="H74" s="151"/>
      <c r="I74" s="151"/>
      <c r="J74" s="1025"/>
    </row>
    <row r="75" spans="2:17" x14ac:dyDescent="0.2">
      <c r="E75" s="151"/>
      <c r="F75" s="151"/>
      <c r="G75" s="151"/>
      <c r="H75" s="151"/>
      <c r="I75" s="151"/>
      <c r="J75" s="1025"/>
    </row>
    <row r="76" spans="2:17" x14ac:dyDescent="0.2">
      <c r="C76" s="878" t="s">
        <v>2</v>
      </c>
      <c r="E76" s="151"/>
      <c r="F76" s="151"/>
      <c r="G76" s="151"/>
      <c r="H76" s="151"/>
      <c r="I76" s="151"/>
      <c r="J76" s="1025"/>
      <c r="N76" s="910"/>
    </row>
    <row r="77" spans="2:17" x14ac:dyDescent="0.2">
      <c r="C77" s="910" t="s">
        <v>747</v>
      </c>
      <c r="E77" s="151"/>
      <c r="F77" s="151"/>
      <c r="G77" s="151"/>
      <c r="H77" s="151"/>
      <c r="I77" s="151"/>
      <c r="J77" s="1025"/>
      <c r="O77" s="151"/>
      <c r="P77" s="151"/>
      <c r="Q77" s="151"/>
    </row>
    <row r="78" spans="2:17" x14ac:dyDescent="0.2">
      <c r="B78" s="144" t="s">
        <v>745</v>
      </c>
      <c r="C78" s="144" t="s">
        <v>70</v>
      </c>
      <c r="D78" s="1033">
        <f>IFERROR(I78/I10,0)</f>
        <v>0.48934794386480013</v>
      </c>
      <c r="E78" s="1019">
        <f>I78</f>
        <v>28000000</v>
      </c>
      <c r="F78" s="151"/>
      <c r="G78" s="151">
        <f>I78-E78</f>
        <v>0</v>
      </c>
      <c r="H78" s="151"/>
      <c r="I78" s="151">
        <f>Senior_Proceeds</f>
        <v>28000000</v>
      </c>
      <c r="O78" s="1032"/>
      <c r="P78" s="1032"/>
      <c r="Q78" s="1032"/>
    </row>
    <row r="79" spans="2:17" x14ac:dyDescent="0.2">
      <c r="B79" s="144" t="s">
        <v>745</v>
      </c>
      <c r="C79" s="144" t="s">
        <v>732</v>
      </c>
      <c r="E79" s="1019">
        <f>-G79</f>
        <v>0</v>
      </c>
      <c r="G79" s="148">
        <v>0</v>
      </c>
      <c r="I79" s="1030">
        <f>G79+E79</f>
        <v>0</v>
      </c>
      <c r="J79" s="1025"/>
      <c r="K79" s="902"/>
      <c r="O79" s="1034"/>
      <c r="P79" s="1034"/>
      <c r="Q79" s="1034"/>
    </row>
    <row r="80" spans="2:17" x14ac:dyDescent="0.2">
      <c r="C80" s="1035" t="s">
        <v>747</v>
      </c>
      <c r="D80" s="1035"/>
      <c r="E80" s="1036">
        <f>SUM(E78:E79)</f>
        <v>28000000</v>
      </c>
      <c r="F80" s="821"/>
      <c r="G80" s="1036">
        <f>SUM(G78:G79)</f>
        <v>0</v>
      </c>
      <c r="H80" s="821"/>
      <c r="I80" s="1036">
        <f>SUM(I78:I79)</f>
        <v>28000000</v>
      </c>
      <c r="J80" s="1023">
        <f>IFERROR(I80/units,0)</f>
        <v>114754.09836065574</v>
      </c>
      <c r="K80" s="1024">
        <f>IFERROR(I80/$I$73,0)</f>
        <v>0.46517597265756055</v>
      </c>
      <c r="O80" s="1037"/>
      <c r="P80" s="1037"/>
      <c r="Q80" s="1037"/>
    </row>
    <row r="81" spans="2:20" x14ac:dyDescent="0.2">
      <c r="O81" s="151"/>
      <c r="P81" s="151"/>
      <c r="Q81" s="151"/>
    </row>
    <row r="82" spans="2:20" x14ac:dyDescent="0.2">
      <c r="B82" s="144" t="s">
        <v>3</v>
      </c>
      <c r="C82" s="1035" t="s">
        <v>746</v>
      </c>
      <c r="D82" s="1038"/>
      <c r="E82" s="1039">
        <f>E73-E80</f>
        <v>30892274.850387014</v>
      </c>
      <c r="F82" s="1036"/>
      <c r="G82" s="1039">
        <f>G73-G80</f>
        <v>1300000</v>
      </c>
      <c r="H82" s="1036"/>
      <c r="I82" s="1036">
        <f>I73-I80</f>
        <v>32192274.850387014</v>
      </c>
      <c r="J82" s="1023">
        <f>IFERROR(I82/units,0)</f>
        <v>131935.55266552055</v>
      </c>
      <c r="K82" s="1024">
        <f>IFERROR(I82/$I$73,0)</f>
        <v>0.53482402734243939</v>
      </c>
      <c r="O82" s="1040"/>
      <c r="P82" s="1040"/>
      <c r="Q82" s="1040"/>
    </row>
    <row r="83" spans="2:20" x14ac:dyDescent="0.2">
      <c r="C83" s="910"/>
      <c r="D83" s="225"/>
      <c r="E83" s="1041"/>
      <c r="F83" s="151"/>
      <c r="G83" s="1041"/>
      <c r="H83" s="151"/>
      <c r="I83" s="882"/>
      <c r="J83" s="1023"/>
      <c r="K83" s="1042"/>
      <c r="O83" s="1043"/>
      <c r="P83" s="1043"/>
      <c r="Q83" s="1043"/>
    </row>
    <row r="84" spans="2:20" ht="15" thickBot="1" x14ac:dyDescent="0.25">
      <c r="C84" s="708" t="s">
        <v>799</v>
      </c>
      <c r="D84" s="1044"/>
      <c r="E84" s="1045">
        <f>E82+E80</f>
        <v>58892274.850387014</v>
      </c>
      <c r="F84" s="1046"/>
      <c r="G84" s="1045">
        <f>G82+G80</f>
        <v>1300000</v>
      </c>
      <c r="H84" s="1046"/>
      <c r="I84" s="912">
        <f>I82+I80</f>
        <v>60192274.850387014</v>
      </c>
      <c r="J84" s="1023">
        <f>IFERROR(I84/units,0)</f>
        <v>246689.65102617629</v>
      </c>
      <c r="K84" s="1024">
        <f>IFERROR(I84/$I$73,0)</f>
        <v>1</v>
      </c>
      <c r="N84" s="145"/>
      <c r="O84" s="882"/>
      <c r="P84" s="882"/>
      <c r="Q84" s="882"/>
    </row>
    <row r="85" spans="2:20" x14ac:dyDescent="0.2">
      <c r="I85" s="155" t="str">
        <f>IF(I84=I73,"OK","ERROR")</f>
        <v>OK</v>
      </c>
      <c r="O85" s="1047"/>
      <c r="P85" s="1047"/>
      <c r="Q85" s="1047"/>
    </row>
    <row r="86" spans="2:20" x14ac:dyDescent="0.2">
      <c r="I86" s="155"/>
      <c r="O86" s="1047"/>
      <c r="P86" s="1047"/>
      <c r="Q86" s="1047"/>
    </row>
    <row r="87" spans="2:20" x14ac:dyDescent="0.2">
      <c r="C87" s="878" t="s">
        <v>908</v>
      </c>
      <c r="O87" s="150"/>
      <c r="P87" s="150"/>
      <c r="Q87" s="150"/>
    </row>
    <row r="88" spans="2:20" x14ac:dyDescent="0.2">
      <c r="C88" s="1048" t="s">
        <v>930</v>
      </c>
      <c r="D88" s="1049"/>
      <c r="E88" s="1050">
        <f>E82</f>
        <v>30892274.850387014</v>
      </c>
      <c r="F88" s="1050"/>
      <c r="G88" s="1050">
        <f>G82</f>
        <v>1300000</v>
      </c>
      <c r="H88" s="1050"/>
      <c r="I88" s="1050">
        <f>I82</f>
        <v>32192274.850387014</v>
      </c>
      <c r="J88" s="1025"/>
    </row>
    <row r="89" spans="2:20" x14ac:dyDescent="0.2">
      <c r="B89" s="144" t="s">
        <v>891</v>
      </c>
      <c r="C89" s="223" t="s">
        <v>931</v>
      </c>
      <c r="D89" s="1051"/>
      <c r="E89" s="1052">
        <f>I89-G89</f>
        <v>13700000</v>
      </c>
      <c r="F89" s="1006"/>
      <c r="G89" s="1006">
        <f>G82</f>
        <v>1300000</v>
      </c>
      <c r="H89" s="1006"/>
      <c r="I89" s="1053">
        <v>15000000</v>
      </c>
      <c r="J89" s="1054">
        <f>IFERROR(I89/units,0)</f>
        <v>61475.409836065577</v>
      </c>
      <c r="K89" s="1055">
        <f>IFERROR(I89/$I$82,0)</f>
        <v>0.46595029614130146</v>
      </c>
      <c r="L89" s="762">
        <f>(I89+I80)/I8</f>
        <v>0.75149862807808598</v>
      </c>
    </row>
    <row r="90" spans="2:20" x14ac:dyDescent="0.2">
      <c r="B90" s="144" t="s">
        <v>744</v>
      </c>
      <c r="C90" s="223" t="s">
        <v>932</v>
      </c>
      <c r="D90" s="223"/>
      <c r="E90" s="1052">
        <f>E82-E89</f>
        <v>17192274.850387014</v>
      </c>
      <c r="F90" s="1006"/>
      <c r="G90" s="1006">
        <f>I90-E90</f>
        <v>0</v>
      </c>
      <c r="H90" s="1006"/>
      <c r="I90" s="1006">
        <f>I82-I89</f>
        <v>17192274.850387014</v>
      </c>
      <c r="J90" s="1054">
        <f>IFERROR(I90/units,0)</f>
        <v>70460.142829454984</v>
      </c>
      <c r="K90" s="1055">
        <f>IFERROR(I90/$I$82,0)</f>
        <v>0.53404970385869854</v>
      </c>
      <c r="O90" s="1056"/>
      <c r="P90" s="1056"/>
      <c r="Q90" s="1056"/>
      <c r="R90" s="151"/>
      <c r="S90" s="151"/>
      <c r="T90" s="151"/>
    </row>
    <row r="91" spans="2:20" x14ac:dyDescent="0.2">
      <c r="E91" s="151"/>
      <c r="F91" s="151"/>
      <c r="G91" s="151"/>
      <c r="J91" s="1025"/>
      <c r="O91" s="1020"/>
      <c r="P91" s="1020"/>
      <c r="Q91" s="1020"/>
      <c r="R91" s="151"/>
      <c r="S91" s="151"/>
      <c r="T91" s="151"/>
    </row>
    <row r="92" spans="2:20" x14ac:dyDescent="0.2">
      <c r="E92" s="151"/>
      <c r="F92" s="151"/>
      <c r="G92" s="151"/>
      <c r="J92" s="1025"/>
      <c r="O92" s="1020"/>
      <c r="P92" s="1020"/>
      <c r="Q92" s="1020"/>
      <c r="R92" s="151"/>
      <c r="S92" s="151"/>
      <c r="T92" s="151"/>
    </row>
    <row r="93" spans="2:20" x14ac:dyDescent="0.2">
      <c r="C93" s="1048" t="s">
        <v>935</v>
      </c>
      <c r="D93" s="1048"/>
      <c r="E93" s="1057">
        <f>E90</f>
        <v>17192274.850387014</v>
      </c>
      <c r="F93" s="1057"/>
      <c r="G93" s="1057">
        <f>I93-E93</f>
        <v>0</v>
      </c>
      <c r="H93" s="1057"/>
      <c r="I93" s="1057">
        <f>CommonEquity</f>
        <v>17192274.850387014</v>
      </c>
      <c r="J93" s="1041"/>
      <c r="K93" s="145"/>
      <c r="O93" s="1020"/>
      <c r="P93" s="1020"/>
      <c r="Q93" s="1020"/>
    </row>
    <row r="94" spans="2:20" x14ac:dyDescent="0.2">
      <c r="C94" s="144" t="s">
        <v>933</v>
      </c>
      <c r="D94" s="1058"/>
      <c r="E94" s="1006">
        <f>I94-G94</f>
        <v>8596137.4251935072</v>
      </c>
      <c r="F94" s="1006"/>
      <c r="G94" s="1006">
        <f>$G$93*K94</f>
        <v>0</v>
      </c>
      <c r="H94" s="1006"/>
      <c r="I94" s="1006">
        <f>I93*K94</f>
        <v>8596137.4251935072</v>
      </c>
      <c r="J94" s="1054">
        <f>IFERROR(I94/units,0)</f>
        <v>35230.071414727492</v>
      </c>
      <c r="K94" s="1051">
        <v>0.5</v>
      </c>
    </row>
    <row r="95" spans="2:20" x14ac:dyDescent="0.2">
      <c r="C95" s="144" t="s">
        <v>934</v>
      </c>
      <c r="D95" s="1058"/>
      <c r="E95" s="1006">
        <f>I95-G95</f>
        <v>8596137.4251935072</v>
      </c>
      <c r="F95" s="1006"/>
      <c r="G95" s="1006">
        <f>$G$93*K95</f>
        <v>0</v>
      </c>
      <c r="H95" s="1006"/>
      <c r="I95" s="1059">
        <f>I93-I94</f>
        <v>8596137.4251935072</v>
      </c>
      <c r="J95" s="1054">
        <f>IFERROR(I95/units,0)</f>
        <v>35230.071414727492</v>
      </c>
      <c r="K95" s="939">
        <f>1-K94</f>
        <v>0.5</v>
      </c>
    </row>
    <row r="96" spans="2:20" x14ac:dyDescent="0.2">
      <c r="E96" s="151"/>
      <c r="F96" s="151"/>
      <c r="G96" s="151"/>
      <c r="H96" s="151"/>
      <c r="I96" s="151"/>
      <c r="J96" s="1025"/>
    </row>
    <row r="97" spans="5:10" x14ac:dyDescent="0.2">
      <c r="E97" s="151"/>
      <c r="F97" s="151"/>
      <c r="G97" s="151"/>
      <c r="H97" s="151"/>
      <c r="I97" s="151"/>
      <c r="J97" s="1025"/>
    </row>
    <row r="98" spans="5:10" x14ac:dyDescent="0.2">
      <c r="E98" s="151"/>
      <c r="F98" s="151"/>
      <c r="G98" s="151"/>
      <c r="H98" s="151"/>
      <c r="I98" s="151"/>
      <c r="J98" s="1025"/>
    </row>
    <row r="99" spans="5:10" x14ac:dyDescent="0.2">
      <c r="E99" s="151"/>
      <c r="F99" s="151"/>
      <c r="G99" s="151"/>
      <c r="H99" s="151"/>
      <c r="I99" s="151"/>
      <c r="J99" s="151"/>
    </row>
    <row r="101" spans="5:10" hidden="1" x14ac:dyDescent="0.2">
      <c r="E101" s="151"/>
      <c r="F101" s="151"/>
      <c r="G101" s="151"/>
      <c r="H101" s="151"/>
      <c r="I101" s="151"/>
      <c r="J101" s="151"/>
    </row>
    <row r="102" spans="5:10" hidden="1" x14ac:dyDescent="0.2">
      <c r="E102" s="151"/>
      <c r="F102" s="151"/>
      <c r="G102" s="151"/>
      <c r="H102" s="151"/>
      <c r="I102" s="151"/>
      <c r="J102" s="151"/>
    </row>
    <row r="103" spans="5:10" hidden="1" x14ac:dyDescent="0.2">
      <c r="E103" s="151"/>
      <c r="F103" s="151"/>
      <c r="G103" s="151"/>
      <c r="H103" s="151"/>
      <c r="I103" s="151"/>
      <c r="J103" s="151"/>
    </row>
    <row r="104" spans="5:10" hidden="1" x14ac:dyDescent="0.2">
      <c r="E104" s="151"/>
      <c r="F104" s="151"/>
      <c r="G104" s="151"/>
      <c r="H104" s="151"/>
      <c r="I104" s="151"/>
      <c r="J104" s="151"/>
    </row>
    <row r="105" spans="5:10" hidden="1" x14ac:dyDescent="0.2">
      <c r="E105" s="151"/>
      <c r="F105" s="151"/>
      <c r="G105" s="151"/>
      <c r="H105" s="151"/>
      <c r="I105" s="151"/>
      <c r="J105" s="151"/>
    </row>
    <row r="106" spans="5:10" hidden="1" x14ac:dyDescent="0.2">
      <c r="E106" s="151"/>
      <c r="F106" s="151"/>
      <c r="G106" s="151"/>
      <c r="H106" s="151"/>
      <c r="I106" s="151"/>
      <c r="J106" s="151"/>
    </row>
    <row r="107" spans="5:10" hidden="1" x14ac:dyDescent="0.2">
      <c r="E107" s="151"/>
      <c r="F107" s="151"/>
      <c r="G107" s="151"/>
      <c r="H107" s="151"/>
      <c r="I107" s="151"/>
      <c r="J107" s="151"/>
    </row>
    <row r="108" spans="5:10" hidden="1" x14ac:dyDescent="0.2">
      <c r="E108" s="151"/>
      <c r="F108" s="151"/>
      <c r="G108" s="151"/>
      <c r="H108" s="151"/>
      <c r="I108" s="151"/>
      <c r="J108" s="151"/>
    </row>
    <row r="109" spans="5:10" hidden="1" x14ac:dyDescent="0.2">
      <c r="E109" s="151"/>
      <c r="F109" s="151"/>
      <c r="G109" s="151"/>
      <c r="H109" s="151"/>
      <c r="I109" s="151"/>
      <c r="J109" s="151"/>
    </row>
    <row r="110" spans="5:10" hidden="1" x14ac:dyDescent="0.2">
      <c r="E110" s="151"/>
      <c r="F110" s="151"/>
      <c r="G110" s="151"/>
      <c r="H110" s="151"/>
      <c r="I110" s="151"/>
      <c r="J110" s="151"/>
    </row>
    <row r="111" spans="5:10" hidden="1" x14ac:dyDescent="0.2">
      <c r="E111" s="151"/>
      <c r="F111" s="151"/>
      <c r="G111" s="151"/>
      <c r="H111" s="151"/>
      <c r="I111" s="151"/>
      <c r="J111" s="151"/>
    </row>
    <row r="112" spans="5:10" hidden="1" x14ac:dyDescent="0.2">
      <c r="E112" s="151"/>
      <c r="F112" s="151"/>
      <c r="G112" s="151"/>
      <c r="H112" s="151"/>
      <c r="I112" s="151"/>
      <c r="J112" s="151"/>
    </row>
    <row r="113" spans="5:10" hidden="1" x14ac:dyDescent="0.2">
      <c r="E113" s="151"/>
      <c r="F113" s="151"/>
      <c r="G113" s="151"/>
      <c r="H113" s="151"/>
      <c r="I113" s="151"/>
      <c r="J113" s="151"/>
    </row>
    <row r="114" spans="5:10" hidden="1" x14ac:dyDescent="0.2">
      <c r="E114" s="151"/>
      <c r="F114" s="151"/>
      <c r="G114" s="151"/>
      <c r="H114" s="151"/>
      <c r="I114" s="151"/>
      <c r="J114" s="151"/>
    </row>
    <row r="115" spans="5:10" hidden="1" x14ac:dyDescent="0.2">
      <c r="E115" s="151"/>
      <c r="F115" s="151"/>
      <c r="G115" s="151"/>
      <c r="H115" s="151"/>
      <c r="I115" s="151"/>
      <c r="J115" s="151"/>
    </row>
    <row r="116" spans="5:10" hidden="1" x14ac:dyDescent="0.2">
      <c r="E116" s="151"/>
      <c r="F116" s="151"/>
      <c r="G116" s="151"/>
      <c r="H116" s="151"/>
      <c r="I116" s="151"/>
      <c r="J116" s="151"/>
    </row>
    <row r="117" spans="5:10" hidden="1" x14ac:dyDescent="0.2">
      <c r="E117" s="151"/>
      <c r="F117" s="151"/>
      <c r="G117" s="151"/>
      <c r="H117" s="151"/>
      <c r="I117" s="151"/>
      <c r="J117" s="151"/>
    </row>
    <row r="118" spans="5:10" hidden="1" x14ac:dyDescent="0.2">
      <c r="E118" s="151"/>
      <c r="F118" s="151"/>
      <c r="G118" s="151"/>
      <c r="H118" s="151"/>
      <c r="I118" s="151"/>
      <c r="J118" s="151"/>
    </row>
    <row r="119" spans="5:10" hidden="1" x14ac:dyDescent="0.2">
      <c r="E119" s="151"/>
      <c r="F119" s="151"/>
      <c r="G119" s="151"/>
      <c r="H119" s="151"/>
      <c r="I119" s="151"/>
      <c r="J119" s="151"/>
    </row>
    <row r="120" spans="5:10" hidden="1" x14ac:dyDescent="0.2">
      <c r="E120" s="151"/>
      <c r="F120" s="151"/>
      <c r="G120" s="151"/>
      <c r="H120" s="151"/>
      <c r="I120" s="151"/>
      <c r="J120" s="151"/>
    </row>
    <row r="121" spans="5:10" hidden="1" x14ac:dyDescent="0.2">
      <c r="E121" s="151"/>
      <c r="F121" s="151"/>
      <c r="G121" s="151"/>
      <c r="H121" s="151"/>
      <c r="I121" s="151"/>
      <c r="J121" s="151"/>
    </row>
    <row r="122" spans="5:10" hidden="1" x14ac:dyDescent="0.2">
      <c r="E122" s="151"/>
      <c r="F122" s="151"/>
      <c r="G122" s="151"/>
      <c r="H122" s="151"/>
      <c r="I122" s="151"/>
      <c r="J122" s="151"/>
    </row>
    <row r="123" spans="5:10" hidden="1" x14ac:dyDescent="0.2">
      <c r="E123" s="151"/>
      <c r="F123" s="151"/>
      <c r="G123" s="151"/>
      <c r="H123" s="151"/>
      <c r="I123" s="151"/>
      <c r="J123" s="151"/>
    </row>
    <row r="124" spans="5:10" hidden="1" x14ac:dyDescent="0.2">
      <c r="E124" s="151"/>
      <c r="F124" s="151"/>
      <c r="G124" s="151"/>
      <c r="H124" s="151"/>
      <c r="I124" s="151"/>
      <c r="J124" s="151"/>
    </row>
    <row r="125" spans="5:10" hidden="1" x14ac:dyDescent="0.2">
      <c r="E125" s="151"/>
      <c r="F125" s="151"/>
      <c r="G125" s="151"/>
      <c r="H125" s="151"/>
      <c r="I125" s="151"/>
      <c r="J125" s="151"/>
    </row>
    <row r="126" spans="5:10" hidden="1" x14ac:dyDescent="0.2">
      <c r="E126" s="151"/>
      <c r="F126" s="151"/>
      <c r="G126" s="151"/>
      <c r="H126" s="151"/>
      <c r="I126" s="151"/>
      <c r="J126" s="151"/>
    </row>
    <row r="127" spans="5:10" hidden="1" x14ac:dyDescent="0.2">
      <c r="E127" s="151"/>
      <c r="F127" s="151"/>
      <c r="G127" s="151"/>
      <c r="H127" s="151"/>
      <c r="I127" s="151"/>
      <c r="J127" s="151"/>
    </row>
    <row r="128" spans="5:10" hidden="1" x14ac:dyDescent="0.2">
      <c r="E128" s="151"/>
      <c r="F128" s="151"/>
      <c r="G128" s="151"/>
      <c r="H128" s="151"/>
      <c r="I128" s="151"/>
      <c r="J128" s="151"/>
    </row>
    <row r="129" spans="5:10" hidden="1" x14ac:dyDescent="0.2">
      <c r="E129" s="151"/>
      <c r="F129" s="151"/>
      <c r="G129" s="151"/>
      <c r="H129" s="151"/>
      <c r="I129" s="151"/>
      <c r="J129" s="151"/>
    </row>
    <row r="130" spans="5:10" hidden="1" x14ac:dyDescent="0.2">
      <c r="E130" s="151"/>
      <c r="F130" s="151"/>
      <c r="G130" s="151"/>
      <c r="H130" s="151"/>
      <c r="I130" s="151"/>
      <c r="J130" s="151"/>
    </row>
    <row r="131" spans="5:10" hidden="1" x14ac:dyDescent="0.2">
      <c r="E131" s="151"/>
      <c r="F131" s="151"/>
      <c r="G131" s="151"/>
      <c r="H131" s="151"/>
      <c r="I131" s="151"/>
      <c r="J131" s="151"/>
    </row>
    <row r="132" spans="5:10" hidden="1" x14ac:dyDescent="0.2">
      <c r="E132" s="151"/>
      <c r="F132" s="151"/>
      <c r="G132" s="151"/>
      <c r="H132" s="151"/>
      <c r="I132" s="151"/>
      <c r="J132" s="151"/>
    </row>
    <row r="133" spans="5:10" hidden="1" x14ac:dyDescent="0.2">
      <c r="E133" s="151"/>
      <c r="F133" s="151"/>
      <c r="G133" s="151"/>
      <c r="H133" s="151"/>
      <c r="I133" s="151"/>
      <c r="J133" s="151"/>
    </row>
    <row r="134" spans="5:10" hidden="1" x14ac:dyDescent="0.2">
      <c r="E134" s="151"/>
      <c r="F134" s="151"/>
      <c r="G134" s="151"/>
      <c r="H134" s="151"/>
      <c r="I134" s="151"/>
      <c r="J134" s="151"/>
    </row>
    <row r="135" spans="5:10" hidden="1" x14ac:dyDescent="0.2">
      <c r="E135" s="151"/>
      <c r="F135" s="151"/>
      <c r="G135" s="151"/>
      <c r="H135" s="151"/>
      <c r="I135" s="151"/>
      <c r="J135" s="151"/>
    </row>
    <row r="136" spans="5:10" hidden="1" x14ac:dyDescent="0.2">
      <c r="E136" s="151"/>
      <c r="F136" s="151"/>
      <c r="G136" s="151"/>
      <c r="H136" s="151"/>
      <c r="I136" s="151"/>
      <c r="J136" s="151"/>
    </row>
    <row r="137" spans="5:10" hidden="1" x14ac:dyDescent="0.2">
      <c r="E137" s="151"/>
      <c r="F137" s="151"/>
      <c r="G137" s="151"/>
      <c r="H137" s="151"/>
      <c r="I137" s="151"/>
      <c r="J137" s="151"/>
    </row>
    <row r="138" spans="5:10" hidden="1" x14ac:dyDescent="0.2">
      <c r="E138" s="151"/>
      <c r="F138" s="151"/>
      <c r="G138" s="151"/>
      <c r="H138" s="151"/>
      <c r="I138" s="151"/>
      <c r="J138" s="151"/>
    </row>
    <row r="139" spans="5:10" hidden="1" x14ac:dyDescent="0.2">
      <c r="E139" s="151"/>
      <c r="F139" s="151"/>
      <c r="G139" s="151"/>
      <c r="H139" s="151"/>
      <c r="I139" s="151"/>
      <c r="J139" s="151"/>
    </row>
    <row r="140" spans="5:10" hidden="1" x14ac:dyDescent="0.2">
      <c r="E140" s="151"/>
      <c r="F140" s="151"/>
      <c r="G140" s="151"/>
      <c r="H140" s="151"/>
      <c r="I140" s="151"/>
      <c r="J140" s="151"/>
    </row>
    <row r="141" spans="5:10" hidden="1" x14ac:dyDescent="0.2">
      <c r="E141" s="151"/>
      <c r="F141" s="151"/>
      <c r="G141" s="151"/>
      <c r="H141" s="151"/>
      <c r="I141" s="151"/>
      <c r="J141" s="151"/>
    </row>
    <row r="142" spans="5:10" hidden="1" x14ac:dyDescent="0.2">
      <c r="E142" s="151"/>
      <c r="F142" s="151"/>
      <c r="G142" s="151"/>
      <c r="H142" s="151"/>
      <c r="I142" s="151"/>
      <c r="J142" s="151"/>
    </row>
    <row r="143" spans="5:10" hidden="1" x14ac:dyDescent="0.2">
      <c r="E143" s="151"/>
      <c r="F143" s="151"/>
      <c r="G143" s="151"/>
      <c r="H143" s="151"/>
      <c r="I143" s="151"/>
      <c r="J143" s="151"/>
    </row>
    <row r="144" spans="5:10" hidden="1" x14ac:dyDescent="0.2">
      <c r="E144" s="151"/>
      <c r="F144" s="151"/>
      <c r="G144" s="151"/>
      <c r="H144" s="151"/>
      <c r="I144" s="151"/>
      <c r="J144" s="151"/>
    </row>
    <row r="145" spans="5:10" hidden="1" x14ac:dyDescent="0.2">
      <c r="E145" s="151"/>
      <c r="F145" s="151"/>
      <c r="G145" s="151"/>
      <c r="H145" s="151"/>
      <c r="I145" s="151"/>
      <c r="J145" s="151"/>
    </row>
    <row r="146" spans="5:10" hidden="1" x14ac:dyDescent="0.2">
      <c r="E146" s="151"/>
      <c r="F146" s="151"/>
      <c r="G146" s="151"/>
      <c r="H146" s="151"/>
      <c r="I146" s="151"/>
      <c r="J146" s="151"/>
    </row>
    <row r="147" spans="5:10" hidden="1" x14ac:dyDescent="0.2">
      <c r="E147" s="151"/>
      <c r="F147" s="151"/>
      <c r="G147" s="151"/>
      <c r="H147" s="151"/>
      <c r="I147" s="151"/>
      <c r="J147" s="151"/>
    </row>
    <row r="148" spans="5:10" hidden="1" x14ac:dyDescent="0.2">
      <c r="E148" s="151"/>
      <c r="F148" s="151"/>
      <c r="G148" s="151"/>
      <c r="H148" s="151"/>
      <c r="I148" s="151"/>
      <c r="J148" s="151"/>
    </row>
    <row r="149" spans="5:10" hidden="1" x14ac:dyDescent="0.2">
      <c r="E149" s="151"/>
      <c r="F149" s="151"/>
      <c r="G149" s="151"/>
      <c r="H149" s="151"/>
      <c r="I149" s="151"/>
      <c r="J149" s="151"/>
    </row>
    <row r="150" spans="5:10" hidden="1" x14ac:dyDescent="0.2">
      <c r="E150" s="151"/>
      <c r="F150" s="151"/>
      <c r="G150" s="151"/>
      <c r="H150" s="151"/>
      <c r="I150" s="151"/>
      <c r="J150" s="151"/>
    </row>
    <row r="151" spans="5:10" hidden="1" x14ac:dyDescent="0.2">
      <c r="E151" s="151"/>
      <c r="F151" s="151"/>
      <c r="G151" s="151"/>
      <c r="H151" s="151"/>
      <c r="I151" s="151"/>
      <c r="J151" s="151"/>
    </row>
    <row r="152" spans="5:10" hidden="1" x14ac:dyDescent="0.2">
      <c r="E152" s="151"/>
      <c r="F152" s="151"/>
      <c r="G152" s="151"/>
      <c r="H152" s="151"/>
      <c r="I152" s="151"/>
      <c r="J152" s="151"/>
    </row>
    <row r="153" spans="5:10" hidden="1" x14ac:dyDescent="0.2">
      <c r="E153" s="151"/>
      <c r="F153" s="151"/>
      <c r="G153" s="151"/>
      <c r="H153" s="151"/>
      <c r="I153" s="151"/>
      <c r="J153" s="151"/>
    </row>
    <row r="154" spans="5:10" hidden="1" x14ac:dyDescent="0.2">
      <c r="E154" s="151"/>
      <c r="F154" s="151"/>
      <c r="G154" s="151"/>
      <c r="H154" s="151"/>
      <c r="I154" s="151"/>
      <c r="J154" s="151"/>
    </row>
    <row r="155" spans="5:10" hidden="1" x14ac:dyDescent="0.2">
      <c r="E155" s="151"/>
      <c r="F155" s="151"/>
      <c r="G155" s="151"/>
      <c r="H155" s="151"/>
      <c r="I155" s="151"/>
      <c r="J155" s="151"/>
    </row>
    <row r="156" spans="5:10" hidden="1" x14ac:dyDescent="0.2">
      <c r="E156" s="151"/>
      <c r="F156" s="151"/>
      <c r="G156" s="151"/>
      <c r="H156" s="151"/>
      <c r="I156" s="151"/>
      <c r="J156" s="151"/>
    </row>
    <row r="157" spans="5:10" hidden="1" x14ac:dyDescent="0.2">
      <c r="E157" s="151"/>
      <c r="F157" s="151"/>
      <c r="G157" s="151"/>
      <c r="H157" s="151"/>
      <c r="I157" s="151"/>
      <c r="J157" s="151"/>
    </row>
    <row r="158" spans="5:10" hidden="1" x14ac:dyDescent="0.2">
      <c r="E158" s="151"/>
      <c r="F158" s="151"/>
      <c r="G158" s="151"/>
      <c r="H158" s="151"/>
      <c r="I158" s="151"/>
      <c r="J158" s="151"/>
    </row>
    <row r="159" spans="5:10" hidden="1" x14ac:dyDescent="0.2">
      <c r="E159" s="151"/>
      <c r="F159" s="151"/>
      <c r="G159" s="151"/>
      <c r="H159" s="151"/>
      <c r="I159" s="151"/>
      <c r="J159" s="151"/>
    </row>
    <row r="160" spans="5:10" hidden="1" x14ac:dyDescent="0.2">
      <c r="E160" s="151"/>
      <c r="F160" s="151"/>
      <c r="G160" s="151"/>
      <c r="H160" s="151"/>
      <c r="I160" s="151"/>
      <c r="J160" s="151"/>
    </row>
    <row r="161" spans="5:10" hidden="1" x14ac:dyDescent="0.2">
      <c r="E161" s="151"/>
      <c r="F161" s="151"/>
      <c r="G161" s="151"/>
      <c r="H161" s="151"/>
      <c r="I161" s="151"/>
      <c r="J161" s="151"/>
    </row>
    <row r="162" spans="5:10" hidden="1" x14ac:dyDescent="0.2">
      <c r="E162" s="151"/>
      <c r="F162" s="151"/>
      <c r="G162" s="151"/>
      <c r="H162" s="151"/>
      <c r="I162" s="151"/>
      <c r="J162" s="151"/>
    </row>
    <row r="163" spans="5:10" hidden="1" x14ac:dyDescent="0.2">
      <c r="E163" s="151"/>
      <c r="F163" s="151"/>
      <c r="G163" s="151"/>
      <c r="H163" s="151"/>
      <c r="I163" s="151"/>
      <c r="J163" s="151"/>
    </row>
    <row r="164" spans="5:10" hidden="1" x14ac:dyDescent="0.2">
      <c r="E164" s="151"/>
      <c r="F164" s="151"/>
      <c r="G164" s="151"/>
      <c r="H164" s="151"/>
      <c r="I164" s="151"/>
      <c r="J164" s="151"/>
    </row>
    <row r="165" spans="5:10" hidden="1" x14ac:dyDescent="0.2">
      <c r="E165" s="151"/>
      <c r="F165" s="151"/>
      <c r="G165" s="151"/>
      <c r="H165" s="151"/>
      <c r="I165" s="151"/>
      <c r="J165" s="151"/>
    </row>
    <row r="166" spans="5:10" hidden="1" x14ac:dyDescent="0.2">
      <c r="E166" s="151"/>
      <c r="F166" s="151"/>
      <c r="G166" s="151"/>
      <c r="H166" s="151"/>
      <c r="I166" s="151"/>
      <c r="J166" s="151"/>
    </row>
    <row r="167" spans="5:10" hidden="1" x14ac:dyDescent="0.2">
      <c r="E167" s="151"/>
      <c r="F167" s="151"/>
      <c r="G167" s="151"/>
      <c r="H167" s="151"/>
      <c r="I167" s="151"/>
      <c r="J167" s="151"/>
    </row>
    <row r="168" spans="5:10" hidden="1" x14ac:dyDescent="0.2">
      <c r="E168" s="151"/>
      <c r="F168" s="151"/>
      <c r="G168" s="151"/>
      <c r="H168" s="151"/>
      <c r="I168" s="151"/>
      <c r="J168" s="151"/>
    </row>
    <row r="169" spans="5:10" hidden="1" x14ac:dyDescent="0.2">
      <c r="E169" s="151"/>
      <c r="F169" s="151"/>
      <c r="G169" s="151"/>
      <c r="H169" s="151"/>
      <c r="I169" s="151"/>
      <c r="J169" s="151"/>
    </row>
    <row r="170" spans="5:10" hidden="1" x14ac:dyDescent="0.2">
      <c r="E170" s="151"/>
      <c r="F170" s="151"/>
      <c r="G170" s="151"/>
      <c r="H170" s="151"/>
      <c r="I170" s="151"/>
      <c r="J170" s="151"/>
    </row>
    <row r="171" spans="5:10" hidden="1" x14ac:dyDescent="0.2">
      <c r="E171" s="151"/>
      <c r="F171" s="151"/>
      <c r="G171" s="151"/>
      <c r="H171" s="151"/>
      <c r="I171" s="151"/>
      <c r="J171" s="151"/>
    </row>
    <row r="172" spans="5:10" hidden="1" x14ac:dyDescent="0.2">
      <c r="E172" s="151"/>
      <c r="F172" s="151"/>
      <c r="G172" s="151"/>
      <c r="H172" s="151"/>
      <c r="I172" s="151"/>
      <c r="J172" s="151"/>
    </row>
    <row r="173" spans="5:10" hidden="1" x14ac:dyDescent="0.2">
      <c r="E173" s="151"/>
      <c r="F173" s="151"/>
      <c r="G173" s="151"/>
      <c r="H173" s="151"/>
      <c r="I173" s="151"/>
      <c r="J173" s="151"/>
    </row>
    <row r="174" spans="5:10" hidden="1" x14ac:dyDescent="0.2">
      <c r="E174" s="151"/>
      <c r="F174" s="151"/>
      <c r="G174" s="151"/>
      <c r="H174" s="151"/>
      <c r="I174" s="151"/>
      <c r="J174" s="151"/>
    </row>
    <row r="175" spans="5:10" hidden="1" x14ac:dyDescent="0.2">
      <c r="E175" s="151"/>
      <c r="F175" s="151"/>
      <c r="G175" s="151"/>
      <c r="H175" s="151"/>
      <c r="I175" s="151"/>
      <c r="J175" s="151"/>
    </row>
    <row r="176" spans="5:10" hidden="1" x14ac:dyDescent="0.2">
      <c r="E176" s="151"/>
      <c r="F176" s="151"/>
      <c r="G176" s="151"/>
      <c r="H176" s="151"/>
      <c r="I176" s="151"/>
      <c r="J176" s="151"/>
    </row>
    <row r="177" spans="5:10" hidden="1" x14ac:dyDescent="0.2">
      <c r="E177" s="151"/>
      <c r="F177" s="151"/>
      <c r="G177" s="151"/>
      <c r="H177" s="151"/>
      <c r="I177" s="151"/>
      <c r="J177" s="151"/>
    </row>
    <row r="178" spans="5:10" hidden="1" x14ac:dyDescent="0.2">
      <c r="E178" s="151"/>
      <c r="F178" s="151"/>
      <c r="G178" s="151"/>
      <c r="H178" s="151"/>
      <c r="I178" s="151"/>
      <c r="J178" s="151"/>
    </row>
    <row r="179" spans="5:10" hidden="1" x14ac:dyDescent="0.2">
      <c r="E179" s="151"/>
      <c r="F179" s="151"/>
      <c r="G179" s="151"/>
      <c r="H179" s="151"/>
      <c r="I179" s="151"/>
      <c r="J179" s="151"/>
    </row>
    <row r="180" spans="5:10" hidden="1" x14ac:dyDescent="0.2">
      <c r="E180" s="151"/>
      <c r="F180" s="151"/>
      <c r="G180" s="151"/>
      <c r="H180" s="151"/>
      <c r="I180" s="151"/>
      <c r="J180" s="151"/>
    </row>
    <row r="181" spans="5:10" hidden="1" x14ac:dyDescent="0.2">
      <c r="E181" s="151"/>
      <c r="F181" s="151"/>
      <c r="G181" s="151"/>
      <c r="H181" s="151"/>
      <c r="I181" s="151"/>
      <c r="J181" s="151"/>
    </row>
    <row r="182" spans="5:10" hidden="1" x14ac:dyDescent="0.2">
      <c r="E182" s="151"/>
      <c r="F182" s="151"/>
      <c r="G182" s="151"/>
      <c r="H182" s="151"/>
      <c r="I182" s="151"/>
      <c r="J182" s="151"/>
    </row>
    <row r="183" spans="5:10" hidden="1" x14ac:dyDescent="0.2">
      <c r="E183" s="151"/>
      <c r="F183" s="151"/>
      <c r="G183" s="151"/>
      <c r="H183" s="151"/>
      <c r="I183" s="151"/>
      <c r="J183" s="151"/>
    </row>
    <row r="184" spans="5:10" hidden="1" x14ac:dyDescent="0.2">
      <c r="E184" s="151"/>
      <c r="F184" s="151"/>
      <c r="G184" s="151"/>
      <c r="H184" s="151"/>
      <c r="I184" s="151"/>
      <c r="J184" s="151"/>
    </row>
    <row r="185" spans="5:10" hidden="1" x14ac:dyDescent="0.2">
      <c r="E185" s="151"/>
      <c r="F185" s="151"/>
      <c r="G185" s="151"/>
      <c r="H185" s="151"/>
      <c r="I185" s="151"/>
      <c r="J185" s="151"/>
    </row>
    <row r="186" spans="5:10" hidden="1" x14ac:dyDescent="0.2">
      <c r="E186" s="151"/>
      <c r="F186" s="151"/>
      <c r="G186" s="151"/>
      <c r="H186" s="151"/>
      <c r="I186" s="151"/>
      <c r="J186" s="151"/>
    </row>
    <row r="187" spans="5:10" hidden="1" x14ac:dyDescent="0.2">
      <c r="E187" s="151"/>
      <c r="F187" s="151"/>
      <c r="G187" s="151"/>
      <c r="H187" s="151"/>
      <c r="I187" s="151"/>
      <c r="J187" s="151"/>
    </row>
    <row r="188" spans="5:10" hidden="1" x14ac:dyDescent="0.2">
      <c r="E188" s="151"/>
      <c r="F188" s="151"/>
      <c r="G188" s="151"/>
      <c r="H188" s="151"/>
      <c r="I188" s="151"/>
      <c r="J188" s="151"/>
    </row>
    <row r="189" spans="5:10" hidden="1" x14ac:dyDescent="0.2">
      <c r="E189" s="151"/>
      <c r="F189" s="151"/>
      <c r="G189" s="151"/>
      <c r="H189" s="151"/>
      <c r="I189" s="151"/>
      <c r="J189" s="151"/>
    </row>
    <row r="190" spans="5:10" hidden="1" x14ac:dyDescent="0.2">
      <c r="E190" s="151"/>
      <c r="F190" s="151"/>
      <c r="G190" s="151"/>
      <c r="H190" s="151"/>
      <c r="I190" s="151"/>
      <c r="J190" s="151"/>
    </row>
    <row r="191" spans="5:10" hidden="1" x14ac:dyDescent="0.2">
      <c r="E191" s="151"/>
      <c r="F191" s="151"/>
      <c r="G191" s="151"/>
      <c r="H191" s="151"/>
      <c r="I191" s="151"/>
      <c r="J191" s="151"/>
    </row>
    <row r="192" spans="5:10" hidden="1" x14ac:dyDescent="0.2">
      <c r="E192" s="151"/>
      <c r="F192" s="151"/>
      <c r="G192" s="151"/>
      <c r="H192" s="151"/>
      <c r="I192" s="151"/>
      <c r="J192" s="151"/>
    </row>
    <row r="193" spans="5:10" hidden="1" x14ac:dyDescent="0.2">
      <c r="E193" s="151"/>
      <c r="F193" s="151"/>
      <c r="G193" s="151"/>
      <c r="H193" s="151"/>
      <c r="I193" s="151"/>
      <c r="J193" s="151"/>
    </row>
    <row r="194" spans="5:10" hidden="1" x14ac:dyDescent="0.2">
      <c r="E194" s="151"/>
      <c r="F194" s="151"/>
      <c r="G194" s="151"/>
      <c r="H194" s="151"/>
      <c r="I194" s="151"/>
      <c r="J194" s="151"/>
    </row>
    <row r="195" spans="5:10" hidden="1" x14ac:dyDescent="0.2">
      <c r="E195" s="151"/>
      <c r="F195" s="151"/>
      <c r="G195" s="151"/>
      <c r="H195" s="151"/>
      <c r="I195" s="151"/>
      <c r="J195" s="151"/>
    </row>
    <row r="196" spans="5:10" hidden="1" x14ac:dyDescent="0.2">
      <c r="E196" s="151"/>
      <c r="F196" s="151"/>
      <c r="G196" s="151"/>
      <c r="H196" s="151"/>
      <c r="I196" s="151"/>
      <c r="J196" s="151"/>
    </row>
    <row r="197" spans="5:10" hidden="1" x14ac:dyDescent="0.2">
      <c r="E197" s="151"/>
      <c r="F197" s="151"/>
      <c r="G197" s="151"/>
      <c r="H197" s="151"/>
      <c r="I197" s="151"/>
      <c r="J197" s="151"/>
    </row>
    <row r="198" spans="5:10" hidden="1" x14ac:dyDescent="0.2">
      <c r="E198" s="151"/>
      <c r="F198" s="151"/>
      <c r="G198" s="151"/>
      <c r="H198" s="151"/>
      <c r="I198" s="151"/>
      <c r="J198" s="151"/>
    </row>
    <row r="199" spans="5:10" hidden="1" x14ac:dyDescent="0.2">
      <c r="E199" s="151"/>
      <c r="F199" s="151"/>
      <c r="G199" s="151"/>
      <c r="H199" s="151"/>
      <c r="I199" s="151"/>
      <c r="J199" s="151"/>
    </row>
    <row r="200" spans="5:10" hidden="1" x14ac:dyDescent="0.2">
      <c r="E200" s="151"/>
      <c r="F200" s="151"/>
      <c r="G200" s="151"/>
      <c r="H200" s="151"/>
      <c r="I200" s="151"/>
      <c r="J200" s="151"/>
    </row>
    <row r="201" spans="5:10" hidden="1" x14ac:dyDescent="0.2">
      <c r="E201" s="151"/>
      <c r="F201" s="151"/>
      <c r="G201" s="151"/>
      <c r="H201" s="151"/>
      <c r="I201" s="151"/>
      <c r="J201" s="151"/>
    </row>
    <row r="202" spans="5:10" hidden="1" x14ac:dyDescent="0.2">
      <c r="E202" s="151"/>
      <c r="F202" s="151"/>
      <c r="G202" s="151"/>
      <c r="H202" s="151"/>
      <c r="I202" s="151"/>
      <c r="J202" s="151"/>
    </row>
    <row r="203" spans="5:10" hidden="1" x14ac:dyDescent="0.2">
      <c r="E203" s="151"/>
      <c r="F203" s="151"/>
      <c r="G203" s="151"/>
      <c r="H203" s="151"/>
      <c r="I203" s="151"/>
      <c r="J203" s="151"/>
    </row>
    <row r="204" spans="5:10" hidden="1" x14ac:dyDescent="0.2">
      <c r="E204" s="151"/>
      <c r="F204" s="151"/>
      <c r="G204" s="151"/>
      <c r="H204" s="151"/>
      <c r="I204" s="151"/>
      <c r="J204" s="151"/>
    </row>
    <row r="205" spans="5:10" hidden="1" x14ac:dyDescent="0.2">
      <c r="E205" s="151"/>
      <c r="F205" s="151"/>
      <c r="G205" s="151"/>
      <c r="H205" s="151"/>
      <c r="I205" s="151"/>
      <c r="J205" s="151"/>
    </row>
    <row r="206" spans="5:10" hidden="1" x14ac:dyDescent="0.2">
      <c r="E206" s="151"/>
      <c r="F206" s="151"/>
      <c r="G206" s="151"/>
      <c r="H206" s="151"/>
      <c r="I206" s="151"/>
      <c r="J206" s="151"/>
    </row>
    <row r="207" spans="5:10" hidden="1" x14ac:dyDescent="0.2">
      <c r="E207" s="151"/>
      <c r="F207" s="151"/>
      <c r="G207" s="151"/>
      <c r="H207" s="151"/>
      <c r="I207" s="151"/>
      <c r="J207" s="151"/>
    </row>
    <row r="208" spans="5:10" hidden="1" x14ac:dyDescent="0.2">
      <c r="E208" s="151"/>
      <c r="F208" s="151"/>
      <c r="G208" s="151"/>
      <c r="H208" s="151"/>
      <c r="I208" s="151"/>
      <c r="J208" s="151"/>
    </row>
    <row r="209" spans="5:10" hidden="1" x14ac:dyDescent="0.2">
      <c r="E209" s="151"/>
      <c r="F209" s="151"/>
      <c r="G209" s="151"/>
      <c r="H209" s="151"/>
      <c r="I209" s="151"/>
      <c r="J209" s="151"/>
    </row>
    <row r="210" spans="5:10" hidden="1" x14ac:dyDescent="0.2">
      <c r="E210" s="151"/>
      <c r="F210" s="151"/>
      <c r="G210" s="151"/>
      <c r="H210" s="151"/>
      <c r="I210" s="151"/>
      <c r="J210" s="151"/>
    </row>
    <row r="211" spans="5:10" hidden="1" x14ac:dyDescent="0.2">
      <c r="E211" s="151"/>
      <c r="F211" s="151"/>
      <c r="G211" s="151"/>
      <c r="H211" s="151"/>
      <c r="I211" s="151"/>
      <c r="J211" s="151"/>
    </row>
    <row r="212" spans="5:10" hidden="1" x14ac:dyDescent="0.2">
      <c r="E212" s="151"/>
      <c r="F212" s="151"/>
      <c r="G212" s="151"/>
      <c r="H212" s="151"/>
      <c r="I212" s="151"/>
      <c r="J212" s="151"/>
    </row>
    <row r="213" spans="5:10" hidden="1" x14ac:dyDescent="0.2">
      <c r="E213" s="151"/>
      <c r="F213" s="151"/>
      <c r="G213" s="151"/>
      <c r="H213" s="151"/>
      <c r="I213" s="151"/>
      <c r="J213" s="151"/>
    </row>
    <row r="214" spans="5:10" hidden="1" x14ac:dyDescent="0.2">
      <c r="E214" s="151"/>
      <c r="F214" s="151"/>
      <c r="G214" s="151"/>
      <c r="H214" s="151"/>
      <c r="I214" s="151"/>
      <c r="J214" s="151"/>
    </row>
    <row r="215" spans="5:10" hidden="1" x14ac:dyDescent="0.2">
      <c r="E215" s="151"/>
      <c r="F215" s="151"/>
      <c r="G215" s="151"/>
      <c r="H215" s="151"/>
      <c r="I215" s="151"/>
      <c r="J215" s="151"/>
    </row>
    <row r="216" spans="5:10" hidden="1" x14ac:dyDescent="0.2">
      <c r="E216" s="151"/>
      <c r="F216" s="151"/>
      <c r="G216" s="151"/>
      <c r="H216" s="151"/>
      <c r="I216" s="151"/>
      <c r="J216" s="151"/>
    </row>
  </sheetData>
  <conditionalFormatting sqref="I85:I86">
    <cfRule type="containsText" dxfId="184" priority="1" operator="containsText" text="ERROR">
      <formula>NOT(ISERROR(SEARCH("ERROR",I85)))</formula>
    </cfRule>
    <cfRule type="containsText" dxfId="183" priority="2" operator="containsText" text="OK">
      <formula>NOT(ISERROR(SEARCH("OK",I85)))</formula>
    </cfRule>
  </conditionalFormatting>
  <dataValidations disablePrompts="1" count="1">
    <dataValidation type="list" allowBlank="1" showInputMessage="1" showErrorMessage="1" sqref="O83:Q83" xr:uid="{C692F83D-9D30-4D4C-A48E-5FB83C0ABA0B}">
      <formula1>"Amort,I/O"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0FBA-D675-425F-84C7-6CE400CEE616}">
  <sheetPr codeName="Sheet20">
    <tabColor rgb="FF002641"/>
  </sheetPr>
  <dimension ref="B1:AJ420"/>
  <sheetViews>
    <sheetView showGridLines="0" zoomScaleNormal="100" workbookViewId="0">
      <selection activeCell="J245" sqref="J245"/>
    </sheetView>
  </sheetViews>
  <sheetFormatPr defaultColWidth="8.85546875" defaultRowHeight="14.25" outlineLevelRow="1" outlineLevelCol="1" x14ac:dyDescent="0.2"/>
  <cols>
    <col min="1" max="1" width="2" style="144" customWidth="1"/>
    <col min="2" max="2" width="8.7109375" style="144" bestFit="1" customWidth="1"/>
    <col min="3" max="4" width="10.7109375" style="144" customWidth="1"/>
    <col min="5" max="5" width="6" style="144" customWidth="1"/>
    <col min="6" max="6" width="10.85546875" style="144" bestFit="1" customWidth="1"/>
    <col min="7" max="7" width="9.85546875" style="144" bestFit="1" customWidth="1"/>
    <col min="8" max="8" width="9.7109375" style="144" bestFit="1" customWidth="1"/>
    <col min="9" max="9" width="9.85546875" style="144" bestFit="1" customWidth="1"/>
    <col min="10" max="10" width="9.7109375" style="144" bestFit="1" customWidth="1"/>
    <col min="11" max="12" width="9.85546875" style="144" bestFit="1" customWidth="1"/>
    <col min="13" max="13" width="14" style="144" bestFit="1" customWidth="1"/>
    <col min="14" max="14" width="11" style="144" bestFit="1" customWidth="1"/>
    <col min="15" max="15" width="11.28515625" style="144" customWidth="1"/>
    <col min="16" max="16" width="16.85546875" style="144" customWidth="1"/>
    <col min="17" max="17" width="10.5703125" style="144" bestFit="1" customWidth="1"/>
    <col min="18" max="18" width="9.7109375" style="144" bestFit="1" customWidth="1"/>
    <col min="19" max="19" width="10.5703125" style="144" bestFit="1" customWidth="1"/>
    <col min="20" max="20" width="9.140625" style="144" bestFit="1" customWidth="1"/>
    <col min="21" max="21" width="10.85546875" style="144" customWidth="1"/>
    <col min="22" max="22" width="9.7109375" style="144" bestFit="1" customWidth="1"/>
    <col min="23" max="27" width="9.140625" style="144" bestFit="1" customWidth="1"/>
    <col min="28" max="29" width="9" style="144" hidden="1" customWidth="1" outlineLevel="1"/>
    <col min="30" max="30" width="9.7109375" style="144" hidden="1" customWidth="1" outlineLevel="1"/>
    <col min="31" max="31" width="8.85546875" style="144" hidden="1" customWidth="1" outlineLevel="1"/>
    <col min="32" max="32" width="10" style="144" hidden="1" customWidth="1" outlineLevel="1"/>
    <col min="33" max="34" width="9" style="144" hidden="1" customWidth="1" outlineLevel="1"/>
    <col min="35" max="35" width="9.7109375" style="144" hidden="1" customWidth="1" outlineLevel="1"/>
    <col min="36" max="36" width="9" style="144" bestFit="1" customWidth="1" collapsed="1"/>
    <col min="37" max="39" width="9" style="144" bestFit="1" customWidth="1"/>
    <col min="40" max="16384" width="8.85546875" style="144"/>
  </cols>
  <sheetData>
    <row r="1" spans="2:36" x14ac:dyDescent="0.2">
      <c r="AJ1" s="1308"/>
    </row>
    <row r="2" spans="2:36" ht="19.899999999999999" customHeight="1" x14ac:dyDescent="0.2">
      <c r="D2" s="1309" t="s">
        <v>251</v>
      </c>
      <c r="F2" s="1310" t="str">
        <f>Name</f>
        <v>Property Name</v>
      </c>
      <c r="P2" s="1311" t="s">
        <v>252</v>
      </c>
      <c r="AJ2" s="1374" t="s">
        <v>940</v>
      </c>
    </row>
    <row r="3" spans="2:36" ht="15" x14ac:dyDescent="0.2">
      <c r="D3" s="1312" t="s">
        <v>253</v>
      </c>
      <c r="F3" s="1313">
        <f ca="1">TODAY()</f>
        <v>44951</v>
      </c>
      <c r="P3" s="1314" t="s">
        <v>254</v>
      </c>
      <c r="Q3" s="1315">
        <v>44819</v>
      </c>
      <c r="AJ3" s="1374"/>
    </row>
    <row r="4" spans="2:36" x14ac:dyDescent="0.2">
      <c r="AJ4" s="1374"/>
    </row>
    <row r="5" spans="2:36" ht="18.399999999999999" customHeight="1" thickBot="1" x14ac:dyDescent="0.25">
      <c r="B5" s="1375" t="s">
        <v>255</v>
      </c>
      <c r="C5" s="1375"/>
      <c r="D5" s="1375"/>
      <c r="E5" s="1375"/>
      <c r="F5" s="1375"/>
      <c r="G5" s="1376"/>
      <c r="H5" s="1375" t="s">
        <v>256</v>
      </c>
      <c r="I5" s="1375"/>
      <c r="J5" s="1316"/>
      <c r="K5" s="1377" t="s">
        <v>257</v>
      </c>
      <c r="L5" s="1375"/>
      <c r="M5" s="1375"/>
      <c r="N5" s="1376"/>
      <c r="O5" s="1377" t="s">
        <v>258</v>
      </c>
      <c r="P5" s="1375"/>
      <c r="Q5" s="1376"/>
      <c r="R5" s="1377" t="s">
        <v>259</v>
      </c>
      <c r="S5" s="1375"/>
      <c r="T5" s="1375"/>
      <c r="U5" s="1375"/>
      <c r="V5" s="1376"/>
      <c r="W5" s="1377" t="s">
        <v>260</v>
      </c>
      <c r="X5" s="1375"/>
      <c r="Y5" s="1375"/>
      <c r="Z5" s="1375"/>
      <c r="AA5" s="1376"/>
      <c r="AB5" s="1378" t="s">
        <v>261</v>
      </c>
      <c r="AC5" s="1379"/>
      <c r="AD5" s="1379"/>
      <c r="AE5" s="1379"/>
      <c r="AF5" s="1379"/>
      <c r="AG5" s="1379"/>
      <c r="AH5" s="1379"/>
      <c r="AI5" s="1380"/>
      <c r="AJ5" s="1374"/>
    </row>
    <row r="6" spans="2:36" ht="32.1" customHeight="1" thickBot="1" x14ac:dyDescent="0.25">
      <c r="B6" s="1317" t="s">
        <v>231</v>
      </c>
      <c r="C6" s="1317" t="s">
        <v>262</v>
      </c>
      <c r="D6" s="1318" t="s">
        <v>263</v>
      </c>
      <c r="E6" s="1317" t="s">
        <v>264</v>
      </c>
      <c r="F6" s="1317" t="s">
        <v>265</v>
      </c>
      <c r="G6" s="1319" t="s">
        <v>266</v>
      </c>
      <c r="H6" s="1320" t="s">
        <v>267</v>
      </c>
      <c r="I6" s="1320" t="s">
        <v>268</v>
      </c>
      <c r="J6" s="1321" t="s">
        <v>172</v>
      </c>
      <c r="K6" s="1322" t="s">
        <v>269</v>
      </c>
      <c r="L6" s="1323" t="s">
        <v>270</v>
      </c>
      <c r="M6" s="1324" t="s">
        <v>271</v>
      </c>
      <c r="N6" s="1325" t="s">
        <v>272</v>
      </c>
      <c r="O6" s="1326" t="s">
        <v>273</v>
      </c>
      <c r="P6" s="1323" t="s">
        <v>274</v>
      </c>
      <c r="Q6" s="1327" t="s">
        <v>275</v>
      </c>
      <c r="R6" s="1326" t="s">
        <v>276</v>
      </c>
      <c r="S6" s="1328" t="s">
        <v>277</v>
      </c>
      <c r="T6" s="1328" t="s">
        <v>278</v>
      </c>
      <c r="U6" s="1328" t="s">
        <v>279</v>
      </c>
      <c r="V6" s="1329" t="s">
        <v>280</v>
      </c>
      <c r="W6" s="1330" t="s">
        <v>281</v>
      </c>
      <c r="X6" s="1331" t="s">
        <v>282</v>
      </c>
      <c r="Y6" s="1331" t="s">
        <v>283</v>
      </c>
      <c r="Z6" s="1331" t="s">
        <v>829</v>
      </c>
      <c r="AA6" s="1332" t="s">
        <v>284</v>
      </c>
      <c r="AB6" s="1333" t="s">
        <v>285</v>
      </c>
      <c r="AC6" s="1328" t="s">
        <v>286</v>
      </c>
      <c r="AD6" s="1334" t="s">
        <v>287</v>
      </c>
      <c r="AE6" s="1334" t="s">
        <v>288</v>
      </c>
      <c r="AF6" s="1334" t="s">
        <v>289</v>
      </c>
      <c r="AG6" s="1323" t="s">
        <v>290</v>
      </c>
      <c r="AH6" s="1323" t="s">
        <v>291</v>
      </c>
      <c r="AI6" s="1335" t="s">
        <v>292</v>
      </c>
      <c r="AJ6" s="1374"/>
    </row>
    <row r="7" spans="2:36" x14ac:dyDescent="0.2">
      <c r="B7" s="638"/>
      <c r="C7" s="638">
        <v>102</v>
      </c>
      <c r="D7" s="638" t="s">
        <v>866</v>
      </c>
      <c r="E7" s="162" t="str">
        <f>IF(Rent_Roll[[#This Row],[Floor-
plan]]="studio",0,LEFT(Rent_Roll[[#This Row],[Floor-
plan]],1))</f>
        <v>2</v>
      </c>
      <c r="F7" s="162" cm="1">
        <f t="array" ref="F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7" s="1336">
        <v>1000</v>
      </c>
      <c r="H7" s="722" t="s">
        <v>244</v>
      </c>
      <c r="I7" s="722"/>
      <c r="J7" s="1337" t="str" cm="1">
        <f t="array" ref="J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7" s="1338">
        <v>44520</v>
      </c>
      <c r="L7" s="147">
        <v>44884</v>
      </c>
      <c r="M7" s="1339" cm="1">
        <f t="array" ref="M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7" s="1337" t="str">
        <f>IF(OR(Rent_Roll[[#This Row],[MTM Fee]]="",Rent_Roll[[#This Row],[MTM Fee]]=0),"","MTM Lease")</f>
        <v/>
      </c>
      <c r="O7" s="1340">
        <f ca="1">IFERROR(IF(Rent_Roll[[#This Row],[Lease
Exp]]="","",DATEDIF($F$3,Rent_Roll[[#This Row],[Lease
Exp]],"m")+1),0)</f>
        <v>0</v>
      </c>
      <c r="P7" s="1341"/>
      <c r="Q7" s="1342" t="str" cm="1">
        <f t="array" ref="Q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7" s="1343">
        <v>1370</v>
      </c>
      <c r="S7" s="723">
        <v>1370</v>
      </c>
      <c r="T7" s="723"/>
      <c r="U7" s="550">
        <f>Rent_Roll[[#This Row],[Lease
Rent]]+Rent_Roll[[#This Row],[Corp
Rent]]</f>
        <v>1370</v>
      </c>
      <c r="V7" s="1344">
        <f>IF(Rent_Roll[[#This Row],[Total In-Place
Rent]]=0,0,Rent_Roll[[#This Row],[Total In-Place
Rent]]-Rent_Roll[[#This Row],[Market
Rent]])</f>
        <v>0</v>
      </c>
      <c r="W7" s="1343">
        <v>0</v>
      </c>
      <c r="X7" s="723"/>
      <c r="Y7" s="723"/>
      <c r="Z7" s="723"/>
      <c r="AA7" s="1345"/>
      <c r="AB7" s="723"/>
      <c r="AC7" s="723"/>
      <c r="AD7" s="723"/>
      <c r="AE7" s="723"/>
      <c r="AF7" s="723"/>
      <c r="AG7" s="147"/>
      <c r="AH7" s="147"/>
      <c r="AI7" s="1346" t="str">
        <f>IF(Rent_Roll[[#This Row],[Future
Lease Start]]="","",DATEDIF(Rent_Roll[[#This Row],[Future
Lease Start]],Rent_Roll[[#This Row],[Future
Lease Exp]],"m")+1)</f>
        <v/>
      </c>
      <c r="AJ7" s="1347"/>
    </row>
    <row r="8" spans="2:36" x14ac:dyDescent="0.2">
      <c r="B8" s="638"/>
      <c r="C8" s="638">
        <v>103</v>
      </c>
      <c r="D8" s="638" t="s">
        <v>868</v>
      </c>
      <c r="E8" s="162" t="str">
        <f>IF(Rent_Roll[[#This Row],[Floor-
plan]]="studio",0,LEFT(Rent_Roll[[#This Row],[Floor-
plan]],1))</f>
        <v>1</v>
      </c>
      <c r="F8" s="162" cm="1">
        <f t="array" ref="F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8" s="1336">
        <v>642</v>
      </c>
      <c r="H8" s="722" t="s">
        <v>244</v>
      </c>
      <c r="I8" s="722"/>
      <c r="J8" s="1337" t="str" cm="1">
        <f t="array" ref="J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8" s="1338">
        <v>44593</v>
      </c>
      <c r="L8" s="147">
        <v>44957</v>
      </c>
      <c r="M8" s="1339" cm="1">
        <f t="array" ref="M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8" s="1337" t="str">
        <f>IF(OR(Rent_Roll[[#This Row],[MTM Fee]]="",Rent_Roll[[#This Row],[MTM Fee]]=0),"","MTM Lease")</f>
        <v/>
      </c>
      <c r="O8" s="1340">
        <f ca="1">IFERROR(IF(Rent_Roll[[#This Row],[Lease
Exp]]="","",DATEDIF($F$3,Rent_Roll[[#This Row],[Lease
Exp]],"m")+1),0)</f>
        <v>1</v>
      </c>
      <c r="P8" s="1341"/>
      <c r="Q8" s="1342" t="str" cm="1">
        <f t="array" ref="Q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8" s="1343">
        <v>1085</v>
      </c>
      <c r="S8" s="723">
        <v>925</v>
      </c>
      <c r="T8" s="723"/>
      <c r="U8" s="550">
        <f>Rent_Roll[[#This Row],[Lease
Rent]]+Rent_Roll[[#This Row],[Corp
Rent]]</f>
        <v>925</v>
      </c>
      <c r="V8" s="1344">
        <f>IF(Rent_Roll[[#This Row],[Total In-Place
Rent]]=0,0,Rent_Roll[[#This Row],[Total In-Place
Rent]]-Rent_Roll[[#This Row],[Market
Rent]])</f>
        <v>-160</v>
      </c>
      <c r="W8" s="1343">
        <v>0</v>
      </c>
      <c r="X8" s="723"/>
      <c r="Y8" s="723"/>
      <c r="Z8" s="723"/>
      <c r="AA8" s="1345"/>
      <c r="AB8" s="723"/>
      <c r="AC8" s="723"/>
      <c r="AD8" s="723"/>
      <c r="AE8" s="723"/>
      <c r="AF8" s="723"/>
      <c r="AG8" s="147"/>
      <c r="AH8" s="147"/>
      <c r="AI8" s="1348" t="str">
        <f>IF(Rent_Roll[[#This Row],[Future
Lease Start]]="","",DATEDIF(Rent_Roll[[#This Row],[Future
Lease Start]],Rent_Roll[[#This Row],[Future
Lease Exp]],"m")+1)</f>
        <v/>
      </c>
      <c r="AJ8" s="1347"/>
    </row>
    <row r="9" spans="2:36" x14ac:dyDescent="0.2">
      <c r="B9" s="638"/>
      <c r="C9" s="638">
        <v>106</v>
      </c>
      <c r="D9" s="638" t="s">
        <v>868</v>
      </c>
      <c r="E9" s="162" t="str">
        <f>IF(Rent_Roll[[#This Row],[Floor-
plan]]="studio",0,LEFT(Rent_Roll[[#This Row],[Floor-
plan]],1))</f>
        <v>1</v>
      </c>
      <c r="F9" s="162" cm="1">
        <f t="array" ref="F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9" s="1336">
        <v>642</v>
      </c>
      <c r="H9" s="722" t="s">
        <v>244</v>
      </c>
      <c r="I9" s="722"/>
      <c r="J9" s="1337" t="str" cm="1">
        <f t="array" ref="J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9" s="1338">
        <v>44743</v>
      </c>
      <c r="L9" s="147">
        <v>45107</v>
      </c>
      <c r="M9" s="1339" cm="1">
        <f t="array" ref="M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9" s="1337" t="str">
        <f>IF(OR(Rent_Roll[[#This Row],[MTM Fee]]="",Rent_Roll[[#This Row],[MTM Fee]]=0),"","MTM Lease")</f>
        <v/>
      </c>
      <c r="O9" s="1340">
        <f ca="1">IFERROR(IF(Rent_Roll[[#This Row],[Lease
Exp]]="","",DATEDIF($F$3,Rent_Roll[[#This Row],[Lease
Exp]],"m")+1),0)</f>
        <v>6</v>
      </c>
      <c r="P9" s="1341"/>
      <c r="Q9" s="1342" t="str" cm="1">
        <f t="array" ref="Q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9" s="1343">
        <v>1085</v>
      </c>
      <c r="S9" s="723">
        <v>1085</v>
      </c>
      <c r="T9" s="723"/>
      <c r="U9" s="550">
        <f>Rent_Roll[[#This Row],[Lease
Rent]]+Rent_Roll[[#This Row],[Corp
Rent]]</f>
        <v>1085</v>
      </c>
      <c r="V9" s="1344">
        <f>IF(Rent_Roll[[#This Row],[Total In-Place
Rent]]=0,0,Rent_Roll[[#This Row],[Total In-Place
Rent]]-Rent_Roll[[#This Row],[Market
Rent]])</f>
        <v>0</v>
      </c>
      <c r="W9" s="1343">
        <v>0</v>
      </c>
      <c r="X9" s="723"/>
      <c r="Y9" s="723"/>
      <c r="Z9" s="723"/>
      <c r="AA9" s="1345"/>
      <c r="AB9" s="723"/>
      <c r="AC9" s="723"/>
      <c r="AD9" s="723"/>
      <c r="AE9" s="723"/>
      <c r="AF9" s="723"/>
      <c r="AG9" s="147"/>
      <c r="AH9" s="147"/>
      <c r="AI9" s="1348" t="str">
        <f>IF(Rent_Roll[[#This Row],[Future
Lease Start]]="","",DATEDIF(Rent_Roll[[#This Row],[Future
Lease Start]],Rent_Roll[[#This Row],[Future
Lease Exp]],"m")+1)</f>
        <v/>
      </c>
      <c r="AJ9" s="1347"/>
    </row>
    <row r="10" spans="2:36" x14ac:dyDescent="0.2">
      <c r="B10" s="638"/>
      <c r="C10" s="638">
        <v>107</v>
      </c>
      <c r="D10" s="638" t="s">
        <v>866</v>
      </c>
      <c r="E10" s="162" t="str">
        <f>IF(Rent_Roll[[#This Row],[Floor-
plan]]="studio",0,LEFT(Rent_Roll[[#This Row],[Floor-
plan]],1))</f>
        <v>2</v>
      </c>
      <c r="F10" s="162" cm="1">
        <f t="array" ref="F1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0" s="1336">
        <v>1000</v>
      </c>
      <c r="H10" s="722" t="s">
        <v>244</v>
      </c>
      <c r="I10" s="722"/>
      <c r="J10" s="1337" t="str" cm="1">
        <f t="array" ref="J1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0" s="1338">
        <v>44713</v>
      </c>
      <c r="L10" s="147">
        <v>45077</v>
      </c>
      <c r="M10" s="1339" cm="1">
        <f t="array" ref="M1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0" s="1337" t="str">
        <f>IF(OR(Rent_Roll[[#This Row],[MTM Fee]]="",Rent_Roll[[#This Row],[MTM Fee]]=0),"","MTM Lease")</f>
        <v/>
      </c>
      <c r="O10" s="1340">
        <f ca="1">IFERROR(IF(Rent_Roll[[#This Row],[Lease
Exp]]="","",DATEDIF($F$3,Rent_Roll[[#This Row],[Lease
Exp]],"m")+1),0)</f>
        <v>5</v>
      </c>
      <c r="P10" s="1341"/>
      <c r="Q10" s="1342" t="str" cm="1">
        <f t="array" ref="Q1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0" s="1343">
        <v>1370</v>
      </c>
      <c r="S10" s="723">
        <v>1185</v>
      </c>
      <c r="T10" s="723"/>
      <c r="U10" s="550">
        <f>Rent_Roll[[#This Row],[Lease
Rent]]+Rent_Roll[[#This Row],[Corp
Rent]]</f>
        <v>1185</v>
      </c>
      <c r="V10" s="1344">
        <f>IF(Rent_Roll[[#This Row],[Total In-Place
Rent]]=0,0,Rent_Roll[[#This Row],[Total In-Place
Rent]]-Rent_Roll[[#This Row],[Market
Rent]])</f>
        <v>-185</v>
      </c>
      <c r="W10" s="1343">
        <v>0</v>
      </c>
      <c r="X10" s="723"/>
      <c r="Y10" s="723"/>
      <c r="Z10" s="723"/>
      <c r="AA10" s="1345"/>
      <c r="AB10" s="723"/>
      <c r="AC10" s="723"/>
      <c r="AD10" s="723"/>
      <c r="AE10" s="723"/>
      <c r="AF10" s="723"/>
      <c r="AG10" s="147"/>
      <c r="AH10" s="147"/>
      <c r="AI10" s="1348" t="str">
        <f>IF(Rent_Roll[[#This Row],[Future
Lease Start]]="","",DATEDIF(Rent_Roll[[#This Row],[Future
Lease Start]],Rent_Roll[[#This Row],[Future
Lease Exp]],"m")+1)</f>
        <v/>
      </c>
      <c r="AJ10" s="1347"/>
    </row>
    <row r="11" spans="2:36" x14ac:dyDescent="0.2">
      <c r="B11" s="638"/>
      <c r="C11" s="638">
        <v>111</v>
      </c>
      <c r="D11" s="638" t="s">
        <v>866</v>
      </c>
      <c r="E11" s="162" t="str">
        <f>IF(Rent_Roll[[#This Row],[Floor-
plan]]="studio",0,LEFT(Rent_Roll[[#This Row],[Floor-
plan]],1))</f>
        <v>2</v>
      </c>
      <c r="F11" s="162" cm="1">
        <f t="array" ref="F1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1" s="1336">
        <v>1000</v>
      </c>
      <c r="H11" s="722" t="s">
        <v>244</v>
      </c>
      <c r="I11" s="722"/>
      <c r="J11" s="1337" t="str" cm="1">
        <f t="array" ref="J1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1" s="1338">
        <v>44435</v>
      </c>
      <c r="L11" s="147">
        <v>44983</v>
      </c>
      <c r="M11" s="1339" cm="1">
        <f t="array" ref="M11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1" s="1337" t="str">
        <f>IF(OR(Rent_Roll[[#This Row],[MTM Fee]]="",Rent_Roll[[#This Row],[MTM Fee]]=0),"","MTM Lease")</f>
        <v/>
      </c>
      <c r="O11" s="1340">
        <f ca="1">IFERROR(IF(Rent_Roll[[#This Row],[Lease
Exp]]="","",DATEDIF($F$3,Rent_Roll[[#This Row],[Lease
Exp]],"m")+1),0)</f>
        <v>2</v>
      </c>
      <c r="P11" s="1341"/>
      <c r="Q11" s="1342" t="str" cm="1">
        <f t="array" ref="Q1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1" s="1343">
        <v>1380</v>
      </c>
      <c r="S11" s="723">
        <v>1200</v>
      </c>
      <c r="T11" s="723"/>
      <c r="U11" s="550">
        <f>Rent_Roll[[#This Row],[Lease
Rent]]+Rent_Roll[[#This Row],[Corp
Rent]]</f>
        <v>1200</v>
      </c>
      <c r="V11" s="1344">
        <f>IF(Rent_Roll[[#This Row],[Total In-Place
Rent]]=0,0,Rent_Roll[[#This Row],[Total In-Place
Rent]]-Rent_Roll[[#This Row],[Market
Rent]])</f>
        <v>-180</v>
      </c>
      <c r="W11" s="1343">
        <v>0</v>
      </c>
      <c r="X11" s="723"/>
      <c r="Y11" s="723"/>
      <c r="Z11" s="723"/>
      <c r="AA11" s="1345"/>
      <c r="AB11" s="723"/>
      <c r="AC11" s="723"/>
      <c r="AD11" s="723"/>
      <c r="AE11" s="723"/>
      <c r="AF11" s="723"/>
      <c r="AG11" s="147"/>
      <c r="AH11" s="147"/>
      <c r="AI11" s="1348" t="str">
        <f>IF(Rent_Roll[[#This Row],[Future
Lease Start]]="","",DATEDIF(Rent_Roll[[#This Row],[Future
Lease Start]],Rent_Roll[[#This Row],[Future
Lease Exp]],"m")+1)</f>
        <v/>
      </c>
      <c r="AJ11" s="1347"/>
    </row>
    <row r="12" spans="2:36" x14ac:dyDescent="0.2">
      <c r="B12" s="638"/>
      <c r="C12" s="638">
        <v>112</v>
      </c>
      <c r="D12" s="638" t="s">
        <v>866</v>
      </c>
      <c r="E12" s="162" t="str">
        <f>IF(Rent_Roll[[#This Row],[Floor-
plan]]="studio",0,LEFT(Rent_Roll[[#This Row],[Floor-
plan]],1))</f>
        <v>2</v>
      </c>
      <c r="F12" s="162" cm="1">
        <f t="array" ref="F1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2" s="1336">
        <v>1000</v>
      </c>
      <c r="H12" s="722" t="s">
        <v>244</v>
      </c>
      <c r="I12" s="722"/>
      <c r="J12" s="1337" t="str" cm="1">
        <f t="array" ref="J1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2" s="1338">
        <v>44480</v>
      </c>
      <c r="L12" s="147">
        <v>44844</v>
      </c>
      <c r="M12" s="1339" cm="1">
        <f t="array" ref="M1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2" s="1337" t="str">
        <f>IF(OR(Rent_Roll[[#This Row],[MTM Fee]]="",Rent_Roll[[#This Row],[MTM Fee]]=0),"","MTM Lease")</f>
        <v/>
      </c>
      <c r="O12" s="1340">
        <f ca="1">IFERROR(IF(Rent_Roll[[#This Row],[Lease
Exp]]="","",DATEDIF($F$3,Rent_Roll[[#This Row],[Lease
Exp]],"m")+1),0)</f>
        <v>0</v>
      </c>
      <c r="P12" s="1341"/>
      <c r="Q12" s="1342" t="str" cm="1">
        <f t="array" ref="Q1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2" s="1343">
        <v>1410</v>
      </c>
      <c r="S12" s="723">
        <v>1230</v>
      </c>
      <c r="T12" s="723"/>
      <c r="U12" s="550">
        <f>Rent_Roll[[#This Row],[Lease
Rent]]+Rent_Roll[[#This Row],[Corp
Rent]]</f>
        <v>1230</v>
      </c>
      <c r="V12" s="1344">
        <f>IF(Rent_Roll[[#This Row],[Total In-Place
Rent]]=0,0,Rent_Roll[[#This Row],[Total In-Place
Rent]]-Rent_Roll[[#This Row],[Market
Rent]])</f>
        <v>-180</v>
      </c>
      <c r="W12" s="1343">
        <v>0</v>
      </c>
      <c r="X12" s="723"/>
      <c r="Y12" s="723"/>
      <c r="Z12" s="723"/>
      <c r="AA12" s="1345"/>
      <c r="AB12" s="723"/>
      <c r="AC12" s="723"/>
      <c r="AD12" s="723"/>
      <c r="AE12" s="723"/>
      <c r="AF12" s="723"/>
      <c r="AG12" s="147"/>
      <c r="AH12" s="147"/>
      <c r="AI12" s="1348" t="str">
        <f>IF(Rent_Roll[[#This Row],[Future
Lease Start]]="","",DATEDIF(Rent_Roll[[#This Row],[Future
Lease Start]],Rent_Roll[[#This Row],[Future
Lease Exp]],"m")+1)</f>
        <v/>
      </c>
      <c r="AJ12" s="1347"/>
    </row>
    <row r="13" spans="2:36" x14ac:dyDescent="0.2">
      <c r="B13" s="638"/>
      <c r="C13" s="638">
        <v>113</v>
      </c>
      <c r="D13" s="638" t="s">
        <v>868</v>
      </c>
      <c r="E13" s="162" t="str">
        <f>IF(Rent_Roll[[#This Row],[Floor-
plan]]="studio",0,LEFT(Rent_Roll[[#This Row],[Floor-
plan]],1))</f>
        <v>1</v>
      </c>
      <c r="F13" s="162" cm="1">
        <f t="array" ref="F1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3" s="1336">
        <v>642</v>
      </c>
      <c r="H13" s="722" t="s">
        <v>244</v>
      </c>
      <c r="I13" s="722"/>
      <c r="J13" s="1337" t="str" cm="1">
        <f t="array" ref="J1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3" s="1338">
        <v>44511</v>
      </c>
      <c r="L13" s="147">
        <v>44875</v>
      </c>
      <c r="M13" s="1339" cm="1">
        <f t="array" ref="M1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3" s="1337" t="str">
        <f>IF(OR(Rent_Roll[[#This Row],[MTM Fee]]="",Rent_Roll[[#This Row],[MTM Fee]]=0),"","MTM Lease")</f>
        <v/>
      </c>
      <c r="O13" s="1340">
        <f ca="1">IFERROR(IF(Rent_Roll[[#This Row],[Lease
Exp]]="","",DATEDIF($F$3,Rent_Roll[[#This Row],[Lease
Exp]],"m")+1),0)</f>
        <v>0</v>
      </c>
      <c r="P13" s="1341"/>
      <c r="Q13" s="1342" t="str" cm="1">
        <f t="array" ref="Q1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3" s="1343">
        <v>1125</v>
      </c>
      <c r="S13" s="723">
        <v>1015</v>
      </c>
      <c r="T13" s="723"/>
      <c r="U13" s="550">
        <f>Rent_Roll[[#This Row],[Lease
Rent]]+Rent_Roll[[#This Row],[Corp
Rent]]</f>
        <v>1015</v>
      </c>
      <c r="V13" s="1344">
        <f>IF(Rent_Roll[[#This Row],[Total In-Place
Rent]]=0,0,Rent_Roll[[#This Row],[Total In-Place
Rent]]-Rent_Roll[[#This Row],[Market
Rent]])</f>
        <v>-110</v>
      </c>
      <c r="W13" s="1343">
        <v>0</v>
      </c>
      <c r="X13" s="723"/>
      <c r="Y13" s="723"/>
      <c r="Z13" s="723"/>
      <c r="AA13" s="1345"/>
      <c r="AB13" s="723"/>
      <c r="AC13" s="723"/>
      <c r="AD13" s="723"/>
      <c r="AE13" s="723"/>
      <c r="AF13" s="723"/>
      <c r="AG13" s="147"/>
      <c r="AH13" s="147"/>
      <c r="AI13" s="1348" t="str">
        <f>IF(Rent_Roll[[#This Row],[Future
Lease Start]]="","",DATEDIF(Rent_Roll[[#This Row],[Future
Lease Start]],Rent_Roll[[#This Row],[Future
Lease Exp]],"m")+1)</f>
        <v/>
      </c>
      <c r="AJ13" s="1347"/>
    </row>
    <row r="14" spans="2:36" x14ac:dyDescent="0.2">
      <c r="B14" s="638"/>
      <c r="C14" s="638">
        <v>114</v>
      </c>
      <c r="D14" s="638" t="s">
        <v>868</v>
      </c>
      <c r="E14" s="162" t="str">
        <f>IF(Rent_Roll[[#This Row],[Floor-
plan]]="studio",0,LEFT(Rent_Roll[[#This Row],[Floor-
plan]],1))</f>
        <v>1</v>
      </c>
      <c r="F14" s="162" cm="1">
        <f t="array" ref="F1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4" s="1336">
        <v>642</v>
      </c>
      <c r="H14" s="722" t="s">
        <v>244</v>
      </c>
      <c r="I14" s="722"/>
      <c r="J14" s="1337" t="str" cm="1">
        <f t="array" ref="J1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4" s="1338">
        <v>44750</v>
      </c>
      <c r="L14" s="147">
        <v>45114</v>
      </c>
      <c r="M14" s="1339" cm="1">
        <f t="array" ref="M1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4" s="1337" t="str">
        <f>IF(OR(Rent_Roll[[#This Row],[MTM Fee]]="",Rent_Roll[[#This Row],[MTM Fee]]=0),"","MTM Lease")</f>
        <v/>
      </c>
      <c r="O14" s="1340">
        <f ca="1">IFERROR(IF(Rent_Roll[[#This Row],[Lease
Exp]]="","",DATEDIF($F$3,Rent_Roll[[#This Row],[Lease
Exp]],"m")+1),0)</f>
        <v>6</v>
      </c>
      <c r="P14" s="1341"/>
      <c r="Q14" s="1342" t="str" cm="1">
        <f t="array" ref="Q1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4" s="1343">
        <v>1095</v>
      </c>
      <c r="S14" s="723">
        <v>1095</v>
      </c>
      <c r="T14" s="723"/>
      <c r="U14" s="550">
        <f>Rent_Roll[[#This Row],[Lease
Rent]]+Rent_Roll[[#This Row],[Corp
Rent]]</f>
        <v>1095</v>
      </c>
      <c r="V14" s="1344">
        <f>IF(Rent_Roll[[#This Row],[Total In-Place
Rent]]=0,0,Rent_Roll[[#This Row],[Total In-Place
Rent]]-Rent_Roll[[#This Row],[Market
Rent]])</f>
        <v>0</v>
      </c>
      <c r="W14" s="1343">
        <v>0</v>
      </c>
      <c r="X14" s="723"/>
      <c r="Y14" s="723"/>
      <c r="Z14" s="723"/>
      <c r="AA14" s="1345"/>
      <c r="AB14" s="723"/>
      <c r="AC14" s="723"/>
      <c r="AD14" s="723"/>
      <c r="AE14" s="723"/>
      <c r="AF14" s="723"/>
      <c r="AG14" s="147"/>
      <c r="AH14" s="147"/>
      <c r="AI14" s="1348" t="str">
        <f>IF(Rent_Roll[[#This Row],[Future
Lease Start]]="","",DATEDIF(Rent_Roll[[#This Row],[Future
Lease Start]],Rent_Roll[[#This Row],[Future
Lease Exp]],"m")+1)</f>
        <v/>
      </c>
      <c r="AJ14" s="1347"/>
    </row>
    <row r="15" spans="2:36" x14ac:dyDescent="0.2">
      <c r="B15" s="638"/>
      <c r="C15" s="638">
        <v>115</v>
      </c>
      <c r="D15" s="638" t="s">
        <v>868</v>
      </c>
      <c r="E15" s="162" t="str">
        <f>IF(Rent_Roll[[#This Row],[Floor-
plan]]="studio",0,LEFT(Rent_Roll[[#This Row],[Floor-
plan]],1))</f>
        <v>1</v>
      </c>
      <c r="F15" s="162" cm="1">
        <f t="array" ref="F1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5" s="1336">
        <v>642</v>
      </c>
      <c r="H15" s="722" t="s">
        <v>244</v>
      </c>
      <c r="I15" s="722"/>
      <c r="J15" s="1337" t="str" cm="1">
        <f t="array" ref="J1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5" s="1338">
        <v>44659</v>
      </c>
      <c r="L15" s="147">
        <v>45206</v>
      </c>
      <c r="M15" s="1339" cm="1">
        <f t="array" ref="M15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5" s="1337" t="str">
        <f>IF(OR(Rent_Roll[[#This Row],[MTM Fee]]="",Rent_Roll[[#This Row],[MTM Fee]]=0),"","MTM Lease")</f>
        <v/>
      </c>
      <c r="O15" s="1340">
        <f ca="1">IFERROR(IF(Rent_Roll[[#This Row],[Lease
Exp]]="","",DATEDIF($F$3,Rent_Roll[[#This Row],[Lease
Exp]],"m")+1),0)</f>
        <v>9</v>
      </c>
      <c r="P15" s="1341"/>
      <c r="Q15" s="1342" t="str" cm="1">
        <f t="array" ref="Q1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5" s="1343">
        <v>1095</v>
      </c>
      <c r="S15" s="723">
        <v>1095</v>
      </c>
      <c r="T15" s="723"/>
      <c r="U15" s="550">
        <f>Rent_Roll[[#This Row],[Lease
Rent]]+Rent_Roll[[#This Row],[Corp
Rent]]</f>
        <v>1095</v>
      </c>
      <c r="V15" s="1344">
        <f>IF(Rent_Roll[[#This Row],[Total In-Place
Rent]]=0,0,Rent_Roll[[#This Row],[Total In-Place
Rent]]-Rent_Roll[[#This Row],[Market
Rent]])</f>
        <v>0</v>
      </c>
      <c r="W15" s="1343">
        <v>0</v>
      </c>
      <c r="X15" s="723"/>
      <c r="Y15" s="723"/>
      <c r="Z15" s="723"/>
      <c r="AA15" s="1345"/>
      <c r="AB15" s="723"/>
      <c r="AC15" s="723"/>
      <c r="AD15" s="723"/>
      <c r="AE15" s="723"/>
      <c r="AF15" s="723"/>
      <c r="AG15" s="147"/>
      <c r="AH15" s="147"/>
      <c r="AI15" s="1348" t="str">
        <f>IF(Rent_Roll[[#This Row],[Future
Lease Start]]="","",DATEDIF(Rent_Roll[[#This Row],[Future
Lease Start]],Rent_Roll[[#This Row],[Future
Lease Exp]],"m")+1)</f>
        <v/>
      </c>
      <c r="AJ15" s="1347"/>
    </row>
    <row r="16" spans="2:36" x14ac:dyDescent="0.2">
      <c r="B16" s="638"/>
      <c r="C16" s="638">
        <v>116</v>
      </c>
      <c r="D16" s="638" t="s">
        <v>868</v>
      </c>
      <c r="E16" s="162" t="str">
        <f>IF(Rent_Roll[[#This Row],[Floor-
plan]]="studio",0,LEFT(Rent_Roll[[#This Row],[Floor-
plan]],1))</f>
        <v>1</v>
      </c>
      <c r="F16" s="162" cm="1">
        <f t="array" ref="F1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6" s="1336">
        <v>642</v>
      </c>
      <c r="H16" s="722" t="s">
        <v>244</v>
      </c>
      <c r="I16" s="722"/>
      <c r="J16" s="1337" t="str" cm="1">
        <f t="array" ref="J1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6" s="1338">
        <v>44778</v>
      </c>
      <c r="L16" s="147">
        <v>45142</v>
      </c>
      <c r="M16" s="1339" cm="1">
        <f t="array" ref="M1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6" s="1337" t="str">
        <f>IF(OR(Rent_Roll[[#This Row],[MTM Fee]]="",Rent_Roll[[#This Row],[MTM Fee]]=0),"","MTM Lease")</f>
        <v/>
      </c>
      <c r="O16" s="1340">
        <f ca="1">IFERROR(IF(Rent_Roll[[#This Row],[Lease
Exp]]="","",DATEDIF($F$3,Rent_Roll[[#This Row],[Lease
Exp]],"m")+1),0)</f>
        <v>7</v>
      </c>
      <c r="P16" s="1341"/>
      <c r="Q16" s="1342" t="str" cm="1">
        <f t="array" ref="Q1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6" s="1343">
        <v>1125</v>
      </c>
      <c r="S16" s="723">
        <v>1100</v>
      </c>
      <c r="T16" s="723"/>
      <c r="U16" s="550">
        <f>Rent_Roll[[#This Row],[Lease
Rent]]+Rent_Roll[[#This Row],[Corp
Rent]]</f>
        <v>1100</v>
      </c>
      <c r="V16" s="1344">
        <f>IF(Rent_Roll[[#This Row],[Total In-Place
Rent]]=0,0,Rent_Roll[[#This Row],[Total In-Place
Rent]]-Rent_Roll[[#This Row],[Market
Rent]])</f>
        <v>-25</v>
      </c>
      <c r="W16" s="1343">
        <v>0</v>
      </c>
      <c r="X16" s="723"/>
      <c r="Y16" s="723"/>
      <c r="Z16" s="723"/>
      <c r="AA16" s="1345"/>
      <c r="AB16" s="723"/>
      <c r="AC16" s="723"/>
      <c r="AD16" s="723"/>
      <c r="AE16" s="723"/>
      <c r="AF16" s="723"/>
      <c r="AG16" s="147"/>
      <c r="AH16" s="147"/>
      <c r="AI16" s="1348" t="str">
        <f>IF(Rent_Roll[[#This Row],[Future
Lease Start]]="","",DATEDIF(Rent_Roll[[#This Row],[Future
Lease Start]],Rent_Roll[[#This Row],[Future
Lease Exp]],"m")+1)</f>
        <v/>
      </c>
      <c r="AJ16" s="1347"/>
    </row>
    <row r="17" spans="2:36" x14ac:dyDescent="0.2">
      <c r="B17" s="638"/>
      <c r="C17" s="638">
        <v>117</v>
      </c>
      <c r="D17" s="638" t="s">
        <v>866</v>
      </c>
      <c r="E17" s="162" t="str">
        <f>IF(Rent_Roll[[#This Row],[Floor-
plan]]="studio",0,LEFT(Rent_Roll[[#This Row],[Floor-
plan]],1))</f>
        <v>2</v>
      </c>
      <c r="F17" s="162" cm="1">
        <f t="array" ref="F1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7" s="1336">
        <v>1000</v>
      </c>
      <c r="H17" s="722" t="s">
        <v>244</v>
      </c>
      <c r="I17" s="722"/>
      <c r="J17" s="1337" t="str" cm="1">
        <f t="array" ref="J1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7" s="1338">
        <v>44470</v>
      </c>
      <c r="L17" s="147">
        <v>45016</v>
      </c>
      <c r="M17" s="1339" cm="1">
        <f t="array" ref="M17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7" s="1337" t="str">
        <f>IF(OR(Rent_Roll[[#This Row],[MTM Fee]]="",Rent_Roll[[#This Row],[MTM Fee]]=0),"","MTM Lease")</f>
        <v/>
      </c>
      <c r="O17" s="1340">
        <f ca="1">IFERROR(IF(Rent_Roll[[#This Row],[Lease
Exp]]="","",DATEDIF($F$3,Rent_Roll[[#This Row],[Lease
Exp]],"m")+1),0)</f>
        <v>3</v>
      </c>
      <c r="P17" s="1341"/>
      <c r="Q17" s="1342" t="str" cm="1">
        <f t="array" ref="Q1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7" s="1343">
        <v>1380</v>
      </c>
      <c r="S17" s="723">
        <v>1370</v>
      </c>
      <c r="T17" s="723"/>
      <c r="U17" s="550">
        <f>Rent_Roll[[#This Row],[Lease
Rent]]+Rent_Roll[[#This Row],[Corp
Rent]]</f>
        <v>1370</v>
      </c>
      <c r="V17" s="1344">
        <f>IF(Rent_Roll[[#This Row],[Total In-Place
Rent]]=0,0,Rent_Roll[[#This Row],[Total In-Place
Rent]]-Rent_Roll[[#This Row],[Market
Rent]])</f>
        <v>-10</v>
      </c>
      <c r="W17" s="1343">
        <v>0</v>
      </c>
      <c r="X17" s="723"/>
      <c r="Y17" s="723"/>
      <c r="Z17" s="723"/>
      <c r="AA17" s="1345"/>
      <c r="AB17" s="723"/>
      <c r="AC17" s="723"/>
      <c r="AD17" s="723"/>
      <c r="AE17" s="723"/>
      <c r="AF17" s="723"/>
      <c r="AG17" s="147"/>
      <c r="AH17" s="147"/>
      <c r="AI17" s="1348" t="str">
        <f>IF(Rent_Roll[[#This Row],[Future
Lease Start]]="","",DATEDIF(Rent_Roll[[#This Row],[Future
Lease Start]],Rent_Roll[[#This Row],[Future
Lease Exp]],"m")+1)</f>
        <v/>
      </c>
      <c r="AJ17" s="1347"/>
    </row>
    <row r="18" spans="2:36" x14ac:dyDescent="0.2">
      <c r="B18" s="638"/>
      <c r="C18" s="638">
        <v>118</v>
      </c>
      <c r="D18" s="638" t="s">
        <v>866</v>
      </c>
      <c r="E18" s="162" t="str">
        <f>IF(Rent_Roll[[#This Row],[Floor-
plan]]="studio",0,LEFT(Rent_Roll[[#This Row],[Floor-
plan]],1))</f>
        <v>2</v>
      </c>
      <c r="F18" s="162" cm="1">
        <f t="array" ref="F1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8" s="1336">
        <v>1000</v>
      </c>
      <c r="H18" s="722" t="s">
        <v>244</v>
      </c>
      <c r="I18" s="722"/>
      <c r="J18" s="1337" t="str" cm="1">
        <f t="array" ref="J1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8" s="1338">
        <v>44807</v>
      </c>
      <c r="L18" s="147">
        <v>45171</v>
      </c>
      <c r="M18" s="1339" cm="1">
        <f t="array" ref="M1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8" s="1337" t="str">
        <f>IF(OR(Rent_Roll[[#This Row],[MTM Fee]]="",Rent_Roll[[#This Row],[MTM Fee]]=0),"","MTM Lease")</f>
        <v/>
      </c>
      <c r="O18" s="1340">
        <f ca="1">IFERROR(IF(Rent_Roll[[#This Row],[Lease
Exp]]="","",DATEDIF($F$3,Rent_Roll[[#This Row],[Lease
Exp]],"m")+1),0)</f>
        <v>8</v>
      </c>
      <c r="P18" s="1341"/>
      <c r="Q18" s="1342" t="str" cm="1">
        <f t="array" ref="Q1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8" s="1343">
        <v>1380</v>
      </c>
      <c r="S18" s="723">
        <v>1300</v>
      </c>
      <c r="T18" s="723"/>
      <c r="U18" s="550">
        <f>Rent_Roll[[#This Row],[Lease
Rent]]+Rent_Roll[[#This Row],[Corp
Rent]]</f>
        <v>1300</v>
      </c>
      <c r="V18" s="1344">
        <f>IF(Rent_Roll[[#This Row],[Total In-Place
Rent]]=0,0,Rent_Roll[[#This Row],[Total In-Place
Rent]]-Rent_Roll[[#This Row],[Market
Rent]])</f>
        <v>-80</v>
      </c>
      <c r="W18" s="1343">
        <v>0</v>
      </c>
      <c r="X18" s="723"/>
      <c r="Y18" s="723"/>
      <c r="Z18" s="723"/>
      <c r="AA18" s="1345"/>
      <c r="AB18" s="723"/>
      <c r="AC18" s="723"/>
      <c r="AD18" s="723"/>
      <c r="AE18" s="723"/>
      <c r="AF18" s="723"/>
      <c r="AG18" s="147"/>
      <c r="AH18" s="147"/>
      <c r="AI18" s="1348" t="str">
        <f>IF(Rent_Roll[[#This Row],[Future
Lease Start]]="","",DATEDIF(Rent_Roll[[#This Row],[Future
Lease Start]],Rent_Roll[[#This Row],[Future
Lease Exp]],"m")+1)</f>
        <v/>
      </c>
      <c r="AJ18" s="1347"/>
    </row>
    <row r="19" spans="2:36" x14ac:dyDescent="0.2">
      <c r="B19" s="638"/>
      <c r="C19" s="638">
        <v>121</v>
      </c>
      <c r="D19" s="638" t="s">
        <v>866</v>
      </c>
      <c r="E19" s="162" t="str">
        <f>IF(Rent_Roll[[#This Row],[Floor-
plan]]="studio",0,LEFT(Rent_Roll[[#This Row],[Floor-
plan]],1))</f>
        <v>2</v>
      </c>
      <c r="F19" s="162" cm="1">
        <f t="array" ref="F1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9" s="1336">
        <v>1000</v>
      </c>
      <c r="H19" s="722" t="s">
        <v>244</v>
      </c>
      <c r="I19" s="722"/>
      <c r="J19" s="1337" t="str" cm="1">
        <f t="array" ref="J1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9" s="1338">
        <v>44730</v>
      </c>
      <c r="L19" s="147">
        <v>45094</v>
      </c>
      <c r="M19" s="1339" cm="1">
        <f t="array" ref="M1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9" s="1337" t="str">
        <f>IF(OR(Rent_Roll[[#This Row],[MTM Fee]]="",Rent_Roll[[#This Row],[MTM Fee]]=0),"","MTM Lease")</f>
        <v/>
      </c>
      <c r="O19" s="1340">
        <f ca="1">IFERROR(IF(Rent_Roll[[#This Row],[Lease
Exp]]="","",DATEDIF($F$3,Rent_Roll[[#This Row],[Lease
Exp]],"m")+1),0)</f>
        <v>5</v>
      </c>
      <c r="P19" s="1341"/>
      <c r="Q19" s="1342" t="str" cm="1">
        <f t="array" ref="Q1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9" s="1343">
        <v>1360</v>
      </c>
      <c r="S19" s="723">
        <v>1360</v>
      </c>
      <c r="T19" s="723"/>
      <c r="U19" s="550">
        <f>Rent_Roll[[#This Row],[Lease
Rent]]+Rent_Roll[[#This Row],[Corp
Rent]]</f>
        <v>1360</v>
      </c>
      <c r="V19" s="1344">
        <f>IF(Rent_Roll[[#This Row],[Total In-Place
Rent]]=0,0,Rent_Roll[[#This Row],[Total In-Place
Rent]]-Rent_Roll[[#This Row],[Market
Rent]])</f>
        <v>0</v>
      </c>
      <c r="W19" s="1343">
        <v>0</v>
      </c>
      <c r="X19" s="723"/>
      <c r="Y19" s="723"/>
      <c r="Z19" s="723"/>
      <c r="AA19" s="1345"/>
      <c r="AB19" s="723"/>
      <c r="AC19" s="723"/>
      <c r="AD19" s="723"/>
      <c r="AE19" s="723"/>
      <c r="AF19" s="723"/>
      <c r="AG19" s="147"/>
      <c r="AH19" s="147"/>
      <c r="AI19" s="1348" t="str">
        <f>IF(Rent_Roll[[#This Row],[Future
Lease Start]]="","",DATEDIF(Rent_Roll[[#This Row],[Future
Lease Start]],Rent_Roll[[#This Row],[Future
Lease Exp]],"m")+1)</f>
        <v/>
      </c>
      <c r="AJ19" s="1347"/>
    </row>
    <row r="20" spans="2:36" x14ac:dyDescent="0.2">
      <c r="B20" s="638"/>
      <c r="C20" s="638">
        <v>122</v>
      </c>
      <c r="D20" s="638" t="s">
        <v>866</v>
      </c>
      <c r="E20" s="162" t="str">
        <f>IF(Rent_Roll[[#This Row],[Floor-
plan]]="studio",0,LEFT(Rent_Roll[[#This Row],[Floor-
plan]],1))</f>
        <v>2</v>
      </c>
      <c r="F20" s="162" cm="1">
        <f t="array" ref="F2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0" s="1336">
        <v>1000</v>
      </c>
      <c r="H20" s="722" t="s">
        <v>244</v>
      </c>
      <c r="I20" s="722"/>
      <c r="J20" s="1337" t="str" cm="1">
        <f t="array" ref="J2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0" s="1338">
        <v>44477</v>
      </c>
      <c r="L20" s="147">
        <v>44841</v>
      </c>
      <c r="M20" s="1339" cm="1">
        <f t="array" ref="M2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0" s="1337" t="str">
        <f>IF(OR(Rent_Roll[[#This Row],[MTM Fee]]="",Rent_Roll[[#This Row],[MTM Fee]]=0),"","MTM Lease")</f>
        <v/>
      </c>
      <c r="O20" s="1340">
        <f ca="1">IFERROR(IF(Rent_Roll[[#This Row],[Lease
Exp]]="","",DATEDIF($F$3,Rent_Roll[[#This Row],[Lease
Exp]],"m")+1),0)</f>
        <v>0</v>
      </c>
      <c r="P20" s="1341"/>
      <c r="Q20" s="1342" t="str" cm="1">
        <f t="array" ref="Q2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0" s="1343">
        <v>1390</v>
      </c>
      <c r="S20" s="723">
        <v>1160</v>
      </c>
      <c r="T20" s="723"/>
      <c r="U20" s="550">
        <f>Rent_Roll[[#This Row],[Lease
Rent]]+Rent_Roll[[#This Row],[Corp
Rent]]</f>
        <v>1160</v>
      </c>
      <c r="V20" s="1344">
        <f>IF(Rent_Roll[[#This Row],[Total In-Place
Rent]]=0,0,Rent_Roll[[#This Row],[Total In-Place
Rent]]-Rent_Roll[[#This Row],[Market
Rent]])</f>
        <v>-230</v>
      </c>
      <c r="W20" s="1343">
        <v>0</v>
      </c>
      <c r="X20" s="723"/>
      <c r="Y20" s="723"/>
      <c r="Z20" s="723"/>
      <c r="AA20" s="1345"/>
      <c r="AB20" s="723"/>
      <c r="AC20" s="723"/>
      <c r="AD20" s="723"/>
      <c r="AE20" s="723"/>
      <c r="AF20" s="723"/>
      <c r="AG20" s="147"/>
      <c r="AH20" s="147"/>
      <c r="AI20" s="1348" t="str">
        <f>IF(Rent_Roll[[#This Row],[Future
Lease Start]]="","",DATEDIF(Rent_Roll[[#This Row],[Future
Lease Start]],Rent_Roll[[#This Row],[Future
Lease Exp]],"m")+1)</f>
        <v/>
      </c>
      <c r="AJ20" s="1347"/>
    </row>
    <row r="21" spans="2:36" x14ac:dyDescent="0.2">
      <c r="B21" s="638"/>
      <c r="C21" s="638">
        <v>123</v>
      </c>
      <c r="D21" s="638" t="s">
        <v>868</v>
      </c>
      <c r="E21" s="162" t="str">
        <f>IF(Rent_Roll[[#This Row],[Floor-
plan]]="studio",0,LEFT(Rent_Roll[[#This Row],[Floor-
plan]],1))</f>
        <v>1</v>
      </c>
      <c r="F21" s="162" cm="1">
        <f t="array" ref="F2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1" s="1336">
        <v>642</v>
      </c>
      <c r="H21" s="722" t="s">
        <v>244</v>
      </c>
      <c r="I21" s="722"/>
      <c r="J21" s="1337" t="str" cm="1">
        <f t="array" ref="J2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1" s="1338">
        <v>44426</v>
      </c>
      <c r="L21" s="147">
        <v>44974</v>
      </c>
      <c r="M21" s="1339" cm="1">
        <f t="array" ref="M21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21" s="1337" t="str">
        <f>IF(OR(Rent_Roll[[#This Row],[MTM Fee]]="",Rent_Roll[[#This Row],[MTM Fee]]=0),"","MTM Lease")</f>
        <v/>
      </c>
      <c r="O21" s="1340">
        <f ca="1">IFERROR(IF(Rent_Roll[[#This Row],[Lease
Exp]]="","",DATEDIF($F$3,Rent_Roll[[#This Row],[Lease
Exp]],"m")+1),0)</f>
        <v>1</v>
      </c>
      <c r="P21" s="1341"/>
      <c r="Q21" s="1342" t="str" cm="1">
        <f t="array" ref="Q2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1" s="1343">
        <v>1105</v>
      </c>
      <c r="S21" s="723">
        <v>1000</v>
      </c>
      <c r="T21" s="723"/>
      <c r="U21" s="550">
        <f>Rent_Roll[[#This Row],[Lease
Rent]]+Rent_Roll[[#This Row],[Corp
Rent]]</f>
        <v>1000</v>
      </c>
      <c r="V21" s="1344">
        <f>IF(Rent_Roll[[#This Row],[Total In-Place
Rent]]=0,0,Rent_Roll[[#This Row],[Total In-Place
Rent]]-Rent_Roll[[#This Row],[Market
Rent]])</f>
        <v>-105</v>
      </c>
      <c r="W21" s="1343">
        <v>0</v>
      </c>
      <c r="X21" s="723"/>
      <c r="Y21" s="723"/>
      <c r="Z21" s="723"/>
      <c r="AA21" s="1345"/>
      <c r="AB21" s="723"/>
      <c r="AC21" s="723"/>
      <c r="AD21" s="723"/>
      <c r="AE21" s="723"/>
      <c r="AF21" s="723"/>
      <c r="AG21" s="147"/>
      <c r="AH21" s="147"/>
      <c r="AI21" s="1348" t="str">
        <f>IF(Rent_Roll[[#This Row],[Future
Lease Start]]="","",DATEDIF(Rent_Roll[[#This Row],[Future
Lease Start]],Rent_Roll[[#This Row],[Future
Lease Exp]],"m")+1)</f>
        <v/>
      </c>
      <c r="AJ21" s="1347"/>
    </row>
    <row r="22" spans="2:36" x14ac:dyDescent="0.2">
      <c r="B22" s="638"/>
      <c r="C22" s="638">
        <v>124</v>
      </c>
      <c r="D22" s="638" t="s">
        <v>868</v>
      </c>
      <c r="E22" s="162" t="str">
        <f>IF(Rent_Roll[[#This Row],[Floor-
plan]]="studio",0,LEFT(Rent_Roll[[#This Row],[Floor-
plan]],1))</f>
        <v>1</v>
      </c>
      <c r="F22" s="162" cm="1">
        <f t="array" ref="F2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2" s="1336">
        <v>642</v>
      </c>
      <c r="H22" s="722" t="s">
        <v>244</v>
      </c>
      <c r="I22" s="722"/>
      <c r="J22" s="1337" t="str" cm="1">
        <f t="array" ref="J2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2" s="1338">
        <v>44719</v>
      </c>
      <c r="L22" s="147">
        <v>45083</v>
      </c>
      <c r="M22" s="1339" cm="1">
        <f t="array" ref="M2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2" s="1337" t="str">
        <f>IF(OR(Rent_Roll[[#This Row],[MTM Fee]]="",Rent_Roll[[#This Row],[MTM Fee]]=0),"","MTM Lease")</f>
        <v/>
      </c>
      <c r="O22" s="1340">
        <f ca="1">IFERROR(IF(Rent_Roll[[#This Row],[Lease
Exp]]="","",DATEDIF($F$3,Rent_Roll[[#This Row],[Lease
Exp]],"m")+1),0)</f>
        <v>5</v>
      </c>
      <c r="P22" s="1341"/>
      <c r="Q22" s="1342" t="str" cm="1">
        <f t="array" ref="Q2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2" s="1343">
        <v>1075</v>
      </c>
      <c r="S22" s="723">
        <v>1075</v>
      </c>
      <c r="T22" s="723"/>
      <c r="U22" s="550">
        <f>Rent_Roll[[#This Row],[Lease
Rent]]+Rent_Roll[[#This Row],[Corp
Rent]]</f>
        <v>1075</v>
      </c>
      <c r="V22" s="1344">
        <f>IF(Rent_Roll[[#This Row],[Total In-Place
Rent]]=0,0,Rent_Roll[[#This Row],[Total In-Place
Rent]]-Rent_Roll[[#This Row],[Market
Rent]])</f>
        <v>0</v>
      </c>
      <c r="W22" s="1343">
        <v>0</v>
      </c>
      <c r="X22" s="723"/>
      <c r="Y22" s="723"/>
      <c r="Z22" s="723"/>
      <c r="AA22" s="1345"/>
      <c r="AB22" s="723"/>
      <c r="AC22" s="723"/>
      <c r="AD22" s="723"/>
      <c r="AE22" s="723"/>
      <c r="AF22" s="723"/>
      <c r="AG22" s="147"/>
      <c r="AH22" s="147"/>
      <c r="AI22" s="1348" t="str">
        <f>IF(Rent_Roll[[#This Row],[Future
Lease Start]]="","",DATEDIF(Rent_Roll[[#This Row],[Future
Lease Start]],Rent_Roll[[#This Row],[Future
Lease Exp]],"m")+1)</f>
        <v/>
      </c>
      <c r="AJ22" s="1347"/>
    </row>
    <row r="23" spans="2:36" x14ac:dyDescent="0.2">
      <c r="B23" s="638"/>
      <c r="C23" s="638">
        <v>125</v>
      </c>
      <c r="D23" s="638" t="s">
        <v>868</v>
      </c>
      <c r="E23" s="162" t="str">
        <f>IF(Rent_Roll[[#This Row],[Floor-
plan]]="studio",0,LEFT(Rent_Roll[[#This Row],[Floor-
plan]],1))</f>
        <v>1</v>
      </c>
      <c r="F23" s="162" cm="1">
        <f t="array" ref="F2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3" s="1336">
        <v>642</v>
      </c>
      <c r="H23" s="722" t="s">
        <v>244</v>
      </c>
      <c r="I23" s="722"/>
      <c r="J23" s="1337" t="str" cm="1">
        <f t="array" ref="J2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3" s="1338">
        <v>44778</v>
      </c>
      <c r="L23" s="147">
        <v>44820</v>
      </c>
      <c r="M23" s="1339" t="str" cm="1">
        <f t="array" ref="M23">_xlfn.IFS(Rent_Roll[[#This Row],[Lease
Exp]]="","",Rent_Roll[[#This Row],[MTM
Lease]]="MTM Lease","--",Rent_Roll[[#This Row],[Lease
Exp]]&gt;0,(DATEDIF(Rent_Roll[[#This Row],[Lease
Start]],Rent_Roll[[#This Row],[Lease
Exp]],"m")+1))</f>
        <v>--</v>
      </c>
      <c r="N23" s="1337" t="str">
        <f>IF(OR(Rent_Roll[[#This Row],[MTM Fee]]="",Rent_Roll[[#This Row],[MTM Fee]]=0),"","MTM Lease")</f>
        <v>MTM Lease</v>
      </c>
      <c r="O23" s="1340">
        <f ca="1">IFERROR(IF(Rent_Roll[[#This Row],[Lease
Exp]]="","",DATEDIF($F$3,Rent_Roll[[#This Row],[Lease
Exp]],"m")+1),0)</f>
        <v>0</v>
      </c>
      <c r="P23" s="1341">
        <v>44820</v>
      </c>
      <c r="Q23" s="1342" t="str" cm="1">
        <f t="array" ref="Q2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23" s="1343">
        <v>1075</v>
      </c>
      <c r="S23" s="723">
        <v>1125</v>
      </c>
      <c r="T23" s="723"/>
      <c r="U23" s="550">
        <f>Rent_Roll[[#This Row],[Lease
Rent]]+Rent_Roll[[#This Row],[Corp
Rent]]</f>
        <v>1125</v>
      </c>
      <c r="V23" s="1344">
        <f>IF(Rent_Roll[[#This Row],[Total In-Place
Rent]]=0,0,Rent_Roll[[#This Row],[Total In-Place
Rent]]-Rent_Roll[[#This Row],[Market
Rent]])</f>
        <v>50</v>
      </c>
      <c r="W23" s="1343">
        <v>200</v>
      </c>
      <c r="X23" s="723"/>
      <c r="Y23" s="723"/>
      <c r="Z23" s="723"/>
      <c r="AA23" s="1345"/>
      <c r="AB23" s="723"/>
      <c r="AC23" s="723"/>
      <c r="AD23" s="723"/>
      <c r="AE23" s="723"/>
      <c r="AF23" s="723"/>
      <c r="AG23" s="147"/>
      <c r="AH23" s="147"/>
      <c r="AI23" s="1348" t="str">
        <f>IF(Rent_Roll[[#This Row],[Future
Lease Start]]="","",DATEDIF(Rent_Roll[[#This Row],[Future
Lease Start]],Rent_Roll[[#This Row],[Future
Lease Exp]],"m")+1)</f>
        <v/>
      </c>
      <c r="AJ23" s="1347"/>
    </row>
    <row r="24" spans="2:36" x14ac:dyDescent="0.2">
      <c r="B24" s="638"/>
      <c r="C24" s="638">
        <v>126</v>
      </c>
      <c r="D24" s="638" t="s">
        <v>868</v>
      </c>
      <c r="E24" s="162" t="str">
        <f>IF(Rent_Roll[[#This Row],[Floor-
plan]]="studio",0,LEFT(Rent_Roll[[#This Row],[Floor-
plan]],1))</f>
        <v>1</v>
      </c>
      <c r="F24" s="162" cm="1">
        <f t="array" ref="F2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4" s="1336">
        <v>642</v>
      </c>
      <c r="H24" s="722" t="s">
        <v>244</v>
      </c>
      <c r="I24" s="722"/>
      <c r="J24" s="1337" t="str" cm="1">
        <f t="array" ref="J2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4" s="1338">
        <v>44772</v>
      </c>
      <c r="L24" s="147">
        <v>44834</v>
      </c>
      <c r="M24" s="1339" t="str" cm="1">
        <f t="array" ref="M24">_xlfn.IFS(Rent_Roll[[#This Row],[Lease
Exp]]="","",Rent_Roll[[#This Row],[MTM
Lease]]="MTM Lease","--",Rent_Roll[[#This Row],[Lease
Exp]]&gt;0,(DATEDIF(Rent_Roll[[#This Row],[Lease
Start]],Rent_Roll[[#This Row],[Lease
Exp]],"m")+1))</f>
        <v>--</v>
      </c>
      <c r="N24" s="1337" t="str">
        <f>IF(OR(Rent_Roll[[#This Row],[MTM Fee]]="",Rent_Roll[[#This Row],[MTM Fee]]=0),"","MTM Lease")</f>
        <v>MTM Lease</v>
      </c>
      <c r="O24" s="1340">
        <f ca="1">IFERROR(IF(Rent_Roll[[#This Row],[Lease
Exp]]="","",DATEDIF($F$3,Rent_Roll[[#This Row],[Lease
Exp]],"m")+1),0)</f>
        <v>0</v>
      </c>
      <c r="P24" s="1341"/>
      <c r="Q24" s="1342" t="str" cm="1">
        <f t="array" ref="Q2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4" s="1343">
        <v>1075</v>
      </c>
      <c r="S24" s="723">
        <v>1075</v>
      </c>
      <c r="T24" s="723"/>
      <c r="U24" s="550">
        <f>Rent_Roll[[#This Row],[Lease
Rent]]+Rent_Roll[[#This Row],[Corp
Rent]]</f>
        <v>1075</v>
      </c>
      <c r="V24" s="1344">
        <f>IF(Rent_Roll[[#This Row],[Total In-Place
Rent]]=0,0,Rent_Roll[[#This Row],[Total In-Place
Rent]]-Rent_Roll[[#This Row],[Market
Rent]])</f>
        <v>0</v>
      </c>
      <c r="W24" s="1343">
        <v>200</v>
      </c>
      <c r="X24" s="723"/>
      <c r="Y24" s="723"/>
      <c r="Z24" s="723"/>
      <c r="AA24" s="1345"/>
      <c r="AB24" s="723"/>
      <c r="AC24" s="723"/>
      <c r="AD24" s="723"/>
      <c r="AE24" s="723"/>
      <c r="AF24" s="723"/>
      <c r="AG24" s="147"/>
      <c r="AH24" s="147"/>
      <c r="AI24" s="1348" t="str">
        <f>IF(Rent_Roll[[#This Row],[Future
Lease Start]]="","",DATEDIF(Rent_Roll[[#This Row],[Future
Lease Start]],Rent_Roll[[#This Row],[Future
Lease Exp]],"m")+1)</f>
        <v/>
      </c>
      <c r="AJ24" s="1347"/>
    </row>
    <row r="25" spans="2:36" x14ac:dyDescent="0.2">
      <c r="B25" s="638"/>
      <c r="C25" s="638">
        <v>127</v>
      </c>
      <c r="D25" s="638" t="s">
        <v>866</v>
      </c>
      <c r="E25" s="162" t="str">
        <f>IF(Rent_Roll[[#This Row],[Floor-
plan]]="studio",0,LEFT(Rent_Roll[[#This Row],[Floor-
plan]],1))</f>
        <v>2</v>
      </c>
      <c r="F25" s="162" cm="1">
        <f t="array" ref="F2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5" s="1336">
        <v>1000</v>
      </c>
      <c r="H25" s="722" t="s">
        <v>245</v>
      </c>
      <c r="I25" s="722"/>
      <c r="J25" s="1337" t="str" cm="1">
        <f t="array" ref="J2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5" s="1338" t="s">
        <v>873</v>
      </c>
      <c r="L25" s="147" t="s">
        <v>873</v>
      </c>
      <c r="M25" s="1339" t="str" cm="1">
        <f t="array" ref="M25">_xlfn.IFS(Rent_Roll[[#This Row],[Lease
Exp]]="","",Rent_Roll[[#This Row],[MTM
Lease]]="MTM Lease","--",Rent_Roll[[#This Row],[Lease
Exp]]&gt;0,(DATEDIF(Rent_Roll[[#This Row],[Lease
Start]],Rent_Roll[[#This Row],[Lease
Exp]],"m")+1))</f>
        <v/>
      </c>
      <c r="N25" s="1337" t="str">
        <f>IF(OR(Rent_Roll[[#This Row],[MTM Fee]]="",Rent_Roll[[#This Row],[MTM Fee]]=0),"","MTM Lease")</f>
        <v/>
      </c>
      <c r="O25" s="1340" t="str">
        <f>IFERROR(IF(Rent_Roll[[#This Row],[Lease
Exp]]="","",DATEDIF($F$3,Rent_Roll[[#This Row],[Lease
Exp]],"m")+1),0)</f>
        <v/>
      </c>
      <c r="P25" s="1341"/>
      <c r="Q25" s="1342" t="str" cm="1">
        <f t="array" ref="Q2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5" s="1343">
        <v>1390</v>
      </c>
      <c r="S25" s="723">
        <v>0</v>
      </c>
      <c r="T25" s="723"/>
      <c r="U25" s="550">
        <f>Rent_Roll[[#This Row],[Lease
Rent]]+Rent_Roll[[#This Row],[Corp
Rent]]</f>
        <v>0</v>
      </c>
      <c r="V25" s="1344">
        <f>IF(Rent_Roll[[#This Row],[Total In-Place
Rent]]=0,0,Rent_Roll[[#This Row],[Total In-Place
Rent]]-Rent_Roll[[#This Row],[Market
Rent]])</f>
        <v>0</v>
      </c>
      <c r="W25" s="1343">
        <v>0</v>
      </c>
      <c r="X25" s="723"/>
      <c r="Y25" s="723"/>
      <c r="Z25" s="723"/>
      <c r="AA25" s="1345"/>
      <c r="AB25" s="723"/>
      <c r="AC25" s="723"/>
      <c r="AD25" s="723"/>
      <c r="AE25" s="723"/>
      <c r="AF25" s="723"/>
      <c r="AG25" s="147"/>
      <c r="AH25" s="147"/>
      <c r="AI25" s="1348" t="str">
        <f>IF(Rent_Roll[[#This Row],[Future
Lease Start]]="","",DATEDIF(Rent_Roll[[#This Row],[Future
Lease Start]],Rent_Roll[[#This Row],[Future
Lease Exp]],"m")+1)</f>
        <v/>
      </c>
      <c r="AJ25" s="1347"/>
    </row>
    <row r="26" spans="2:36" x14ac:dyDescent="0.2">
      <c r="B26" s="638"/>
      <c r="C26" s="638">
        <v>128</v>
      </c>
      <c r="D26" s="638" t="s">
        <v>866</v>
      </c>
      <c r="E26" s="162" t="str">
        <f>IF(Rent_Roll[[#This Row],[Floor-
plan]]="studio",0,LEFT(Rent_Roll[[#This Row],[Floor-
plan]],1))</f>
        <v>2</v>
      </c>
      <c r="F26" s="162" cm="1">
        <f t="array" ref="F2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6" s="1336">
        <v>1000</v>
      </c>
      <c r="H26" s="722" t="s">
        <v>244</v>
      </c>
      <c r="I26" s="722"/>
      <c r="J26" s="1337" t="str" cm="1">
        <f t="array" ref="J2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6" s="1338">
        <v>44527</v>
      </c>
      <c r="L26" s="147">
        <v>44891</v>
      </c>
      <c r="M26" s="1339" cm="1">
        <f t="array" ref="M2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6" s="1337" t="str">
        <f>IF(OR(Rent_Roll[[#This Row],[MTM Fee]]="",Rent_Roll[[#This Row],[MTM Fee]]=0),"","MTM Lease")</f>
        <v/>
      </c>
      <c r="O26" s="1340">
        <f ca="1">IFERROR(IF(Rent_Roll[[#This Row],[Lease
Exp]]="","",DATEDIF($F$3,Rent_Roll[[#This Row],[Lease
Exp]],"m")+1),0)</f>
        <v>0</v>
      </c>
      <c r="P26" s="1341"/>
      <c r="Q26" s="1342" t="str" cm="1">
        <f t="array" ref="Q2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6" s="1343">
        <v>1360</v>
      </c>
      <c r="S26" s="723">
        <v>1185</v>
      </c>
      <c r="T26" s="723"/>
      <c r="U26" s="550">
        <f>Rent_Roll[[#This Row],[Lease
Rent]]+Rent_Roll[[#This Row],[Corp
Rent]]</f>
        <v>1185</v>
      </c>
      <c r="V26" s="1344">
        <f>IF(Rent_Roll[[#This Row],[Total In-Place
Rent]]=0,0,Rent_Roll[[#This Row],[Total In-Place
Rent]]-Rent_Roll[[#This Row],[Market
Rent]])</f>
        <v>-175</v>
      </c>
      <c r="W26" s="1343">
        <v>0</v>
      </c>
      <c r="X26" s="723"/>
      <c r="Y26" s="723"/>
      <c r="Z26" s="723"/>
      <c r="AA26" s="1345"/>
      <c r="AB26" s="723"/>
      <c r="AC26" s="723"/>
      <c r="AD26" s="723"/>
      <c r="AE26" s="723"/>
      <c r="AF26" s="723"/>
      <c r="AG26" s="147"/>
      <c r="AH26" s="147"/>
      <c r="AI26" s="1348" t="str">
        <f>IF(Rent_Roll[[#This Row],[Future
Lease Start]]="","",DATEDIF(Rent_Roll[[#This Row],[Future
Lease Start]],Rent_Roll[[#This Row],[Future
Lease Exp]],"m")+1)</f>
        <v/>
      </c>
      <c r="AJ26" s="1347"/>
    </row>
    <row r="27" spans="2:36" x14ac:dyDescent="0.2">
      <c r="B27" s="638"/>
      <c r="C27" s="638">
        <v>131</v>
      </c>
      <c r="D27" s="638" t="s">
        <v>866</v>
      </c>
      <c r="E27" s="162" t="str">
        <f>IF(Rent_Roll[[#This Row],[Floor-
plan]]="studio",0,LEFT(Rent_Roll[[#This Row],[Floor-
plan]],1))</f>
        <v>2</v>
      </c>
      <c r="F27" s="162" cm="1">
        <f t="array" ref="F2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7" s="1336">
        <v>1000</v>
      </c>
      <c r="H27" s="722" t="s">
        <v>244</v>
      </c>
      <c r="I27" s="722"/>
      <c r="J27" s="1337" t="str" cm="1">
        <f t="array" ref="J2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7" s="1338">
        <v>44562</v>
      </c>
      <c r="L27" s="147">
        <v>44926</v>
      </c>
      <c r="M27" s="1339" cm="1">
        <f t="array" ref="M2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7" s="1337" t="str">
        <f>IF(OR(Rent_Roll[[#This Row],[MTM Fee]]="",Rent_Roll[[#This Row],[MTM Fee]]=0),"","MTM Lease")</f>
        <v/>
      </c>
      <c r="O27" s="1340">
        <f ca="1">IFERROR(IF(Rent_Roll[[#This Row],[Lease
Exp]]="","",DATEDIF($F$3,Rent_Roll[[#This Row],[Lease
Exp]],"m")+1),0)</f>
        <v>0</v>
      </c>
      <c r="P27" s="1341"/>
      <c r="Q27" s="1342" t="str" cm="1">
        <f t="array" ref="Q2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7" s="1343">
        <v>1340</v>
      </c>
      <c r="S27" s="723">
        <v>1160</v>
      </c>
      <c r="T27" s="723"/>
      <c r="U27" s="550">
        <f>Rent_Roll[[#This Row],[Lease
Rent]]+Rent_Roll[[#This Row],[Corp
Rent]]</f>
        <v>1160</v>
      </c>
      <c r="V27" s="1344">
        <f>IF(Rent_Roll[[#This Row],[Total In-Place
Rent]]=0,0,Rent_Roll[[#This Row],[Total In-Place
Rent]]-Rent_Roll[[#This Row],[Market
Rent]])</f>
        <v>-180</v>
      </c>
      <c r="W27" s="1343">
        <v>0</v>
      </c>
      <c r="X27" s="723"/>
      <c r="Y27" s="723"/>
      <c r="Z27" s="723"/>
      <c r="AA27" s="1345"/>
      <c r="AB27" s="723"/>
      <c r="AC27" s="723"/>
      <c r="AD27" s="723"/>
      <c r="AE27" s="723"/>
      <c r="AF27" s="723"/>
      <c r="AG27" s="147"/>
      <c r="AH27" s="147"/>
      <c r="AI27" s="1348" t="str">
        <f>IF(Rent_Roll[[#This Row],[Future
Lease Start]]="","",DATEDIF(Rent_Roll[[#This Row],[Future
Lease Start]],Rent_Roll[[#This Row],[Future
Lease Exp]],"m")+1)</f>
        <v/>
      </c>
      <c r="AJ27" s="1347"/>
    </row>
    <row r="28" spans="2:36" x14ac:dyDescent="0.2">
      <c r="B28" s="638"/>
      <c r="C28" s="638">
        <v>132</v>
      </c>
      <c r="D28" s="638" t="s">
        <v>866</v>
      </c>
      <c r="E28" s="162" t="str">
        <f>IF(Rent_Roll[[#This Row],[Floor-
plan]]="studio",0,LEFT(Rent_Roll[[#This Row],[Floor-
plan]],1))</f>
        <v>2</v>
      </c>
      <c r="F28" s="162" cm="1">
        <f t="array" ref="F2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8" s="1336">
        <v>1000</v>
      </c>
      <c r="H28" s="722" t="s">
        <v>244</v>
      </c>
      <c r="I28" s="722"/>
      <c r="J28" s="1337" t="str" cm="1">
        <f t="array" ref="J2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8" s="1338">
        <v>44696</v>
      </c>
      <c r="L28" s="147">
        <v>44834</v>
      </c>
      <c r="M28" s="1339" t="str" cm="1">
        <f t="array" ref="M28">_xlfn.IFS(Rent_Roll[[#This Row],[Lease
Exp]]="","",Rent_Roll[[#This Row],[MTM
Lease]]="MTM Lease","--",Rent_Roll[[#This Row],[Lease
Exp]]&gt;0,(DATEDIF(Rent_Roll[[#This Row],[Lease
Start]],Rent_Roll[[#This Row],[Lease
Exp]],"m")+1))</f>
        <v>--</v>
      </c>
      <c r="N28" s="1337" t="str">
        <f>IF(OR(Rent_Roll[[#This Row],[MTM Fee]]="",Rent_Roll[[#This Row],[MTM Fee]]=0),"","MTM Lease")</f>
        <v>MTM Lease</v>
      </c>
      <c r="O28" s="1340">
        <f ca="1">IFERROR(IF(Rent_Roll[[#This Row],[Lease
Exp]]="","",DATEDIF($F$3,Rent_Roll[[#This Row],[Lease
Exp]],"m")+1),0)</f>
        <v>0</v>
      </c>
      <c r="P28" s="1341"/>
      <c r="Q28" s="1342" t="str" cm="1">
        <f t="array" ref="Q2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8" s="1343">
        <v>1370</v>
      </c>
      <c r="S28" s="723">
        <v>1370</v>
      </c>
      <c r="T28" s="723"/>
      <c r="U28" s="550">
        <f>Rent_Roll[[#This Row],[Lease
Rent]]+Rent_Roll[[#This Row],[Corp
Rent]]</f>
        <v>1370</v>
      </c>
      <c r="V28" s="1344">
        <f>IF(Rent_Roll[[#This Row],[Total In-Place
Rent]]=0,0,Rent_Roll[[#This Row],[Total In-Place
Rent]]-Rent_Roll[[#This Row],[Market
Rent]])</f>
        <v>0</v>
      </c>
      <c r="W28" s="1343">
        <v>200</v>
      </c>
      <c r="X28" s="723"/>
      <c r="Y28" s="723"/>
      <c r="Z28" s="723"/>
      <c r="AA28" s="1345"/>
      <c r="AB28" s="723"/>
      <c r="AC28" s="723"/>
      <c r="AD28" s="723"/>
      <c r="AE28" s="723"/>
      <c r="AF28" s="723"/>
      <c r="AG28" s="147"/>
      <c r="AH28" s="147"/>
      <c r="AI28" s="1348" t="str">
        <f>IF(Rent_Roll[[#This Row],[Future
Lease Start]]="","",DATEDIF(Rent_Roll[[#This Row],[Future
Lease Start]],Rent_Roll[[#This Row],[Future
Lease Exp]],"m")+1)</f>
        <v/>
      </c>
      <c r="AJ28" s="1347"/>
    </row>
    <row r="29" spans="2:36" x14ac:dyDescent="0.2">
      <c r="B29" s="638"/>
      <c r="C29" s="638">
        <v>133</v>
      </c>
      <c r="D29" s="638" t="s">
        <v>868</v>
      </c>
      <c r="E29" s="162" t="str">
        <f>IF(Rent_Roll[[#This Row],[Floor-
plan]]="studio",0,LEFT(Rent_Roll[[#This Row],[Floor-
plan]],1))</f>
        <v>1</v>
      </c>
      <c r="F29" s="162" cm="1">
        <f t="array" ref="F2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9" s="1336">
        <v>642</v>
      </c>
      <c r="H29" s="722" t="s">
        <v>244</v>
      </c>
      <c r="I29" s="722"/>
      <c r="J29" s="1337" t="str" cm="1">
        <f t="array" ref="J2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9" s="1338">
        <v>44282</v>
      </c>
      <c r="L29" s="147">
        <v>44830</v>
      </c>
      <c r="M29" s="1339" cm="1">
        <f t="array" ref="M29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29" s="1337" t="str">
        <f>IF(OR(Rent_Roll[[#This Row],[MTM Fee]]="",Rent_Roll[[#This Row],[MTM Fee]]=0),"","MTM Lease")</f>
        <v/>
      </c>
      <c r="O29" s="1340">
        <f ca="1">IFERROR(IF(Rent_Roll[[#This Row],[Lease
Exp]]="","",DATEDIF($F$3,Rent_Roll[[#This Row],[Lease
Exp]],"m")+1),0)</f>
        <v>0</v>
      </c>
      <c r="P29" s="1341">
        <v>44830</v>
      </c>
      <c r="Q29" s="1342" t="str" cm="1">
        <f t="array" ref="Q2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29" s="1343">
        <v>1085</v>
      </c>
      <c r="S29" s="723">
        <v>960</v>
      </c>
      <c r="T29" s="723"/>
      <c r="U29" s="550">
        <f>Rent_Roll[[#This Row],[Lease
Rent]]+Rent_Roll[[#This Row],[Corp
Rent]]</f>
        <v>960</v>
      </c>
      <c r="V29" s="1344">
        <f>IF(Rent_Roll[[#This Row],[Total In-Place
Rent]]=0,0,Rent_Roll[[#This Row],[Total In-Place
Rent]]-Rent_Roll[[#This Row],[Market
Rent]])</f>
        <v>-125</v>
      </c>
      <c r="W29" s="1343">
        <v>0</v>
      </c>
      <c r="X29" s="723"/>
      <c r="Y29" s="723"/>
      <c r="Z29" s="723"/>
      <c r="AA29" s="1345"/>
      <c r="AB29" s="723"/>
      <c r="AC29" s="723"/>
      <c r="AD29" s="723"/>
      <c r="AE29" s="723"/>
      <c r="AF29" s="723"/>
      <c r="AG29" s="147"/>
      <c r="AH29" s="147"/>
      <c r="AI29" s="1348" t="str">
        <f>IF(Rent_Roll[[#This Row],[Future
Lease Start]]="","",DATEDIF(Rent_Roll[[#This Row],[Future
Lease Start]],Rent_Roll[[#This Row],[Future
Lease Exp]],"m")+1)</f>
        <v/>
      </c>
      <c r="AJ29" s="1347"/>
    </row>
    <row r="30" spans="2:36" x14ac:dyDescent="0.2">
      <c r="B30" s="638"/>
      <c r="C30" s="638">
        <v>134</v>
      </c>
      <c r="D30" s="638" t="s">
        <v>868</v>
      </c>
      <c r="E30" s="162" t="str">
        <f>IF(Rent_Roll[[#This Row],[Floor-
plan]]="studio",0,LEFT(Rent_Roll[[#This Row],[Floor-
plan]],1))</f>
        <v>1</v>
      </c>
      <c r="F30" s="162" cm="1">
        <f t="array" ref="F3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30" s="1336">
        <v>642</v>
      </c>
      <c r="H30" s="722" t="s">
        <v>244</v>
      </c>
      <c r="I30" s="722"/>
      <c r="J30" s="1337" t="str" cm="1">
        <f t="array" ref="J3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30" s="1338">
        <v>44676</v>
      </c>
      <c r="L30" s="147">
        <v>45040</v>
      </c>
      <c r="M30" s="1339" cm="1">
        <f t="array" ref="M3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30" s="1337" t="str">
        <f>IF(OR(Rent_Roll[[#This Row],[MTM Fee]]="",Rent_Roll[[#This Row],[MTM Fee]]=0),"","MTM Lease")</f>
        <v/>
      </c>
      <c r="O30" s="1340">
        <f ca="1">IFERROR(IF(Rent_Roll[[#This Row],[Lease
Exp]]="","",DATEDIF($F$3,Rent_Roll[[#This Row],[Lease
Exp]],"m")+1),0)</f>
        <v>3</v>
      </c>
      <c r="P30" s="1341"/>
      <c r="Q30" s="1342" t="str" cm="1">
        <f t="array" ref="Q3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0" s="1343">
        <v>1055</v>
      </c>
      <c r="S30" s="723">
        <v>1055</v>
      </c>
      <c r="T30" s="723"/>
      <c r="U30" s="550">
        <f>Rent_Roll[[#This Row],[Lease
Rent]]+Rent_Roll[[#This Row],[Corp
Rent]]</f>
        <v>1055</v>
      </c>
      <c r="V30" s="1344">
        <f>IF(Rent_Roll[[#This Row],[Total In-Place
Rent]]=0,0,Rent_Roll[[#This Row],[Total In-Place
Rent]]-Rent_Roll[[#This Row],[Market
Rent]])</f>
        <v>0</v>
      </c>
      <c r="W30" s="1343">
        <v>0</v>
      </c>
      <c r="X30" s="723"/>
      <c r="Y30" s="723"/>
      <c r="Z30" s="723"/>
      <c r="AA30" s="1345"/>
      <c r="AB30" s="723"/>
      <c r="AC30" s="723"/>
      <c r="AD30" s="723"/>
      <c r="AE30" s="723"/>
      <c r="AF30" s="723"/>
      <c r="AG30" s="147"/>
      <c r="AH30" s="147"/>
      <c r="AI30" s="1348" t="str">
        <f>IF(Rent_Roll[[#This Row],[Future
Lease Start]]="","",DATEDIF(Rent_Roll[[#This Row],[Future
Lease Start]],Rent_Roll[[#This Row],[Future
Lease Exp]],"m")+1)</f>
        <v/>
      </c>
      <c r="AJ30" s="1347"/>
    </row>
    <row r="31" spans="2:36" x14ac:dyDescent="0.2">
      <c r="B31" s="638"/>
      <c r="C31" s="638">
        <v>135</v>
      </c>
      <c r="D31" s="638" t="s">
        <v>868</v>
      </c>
      <c r="E31" s="162" t="str">
        <f>IF(Rent_Roll[[#This Row],[Floor-
plan]]="studio",0,LEFT(Rent_Roll[[#This Row],[Floor-
plan]],1))</f>
        <v>1</v>
      </c>
      <c r="F31" s="162" cm="1">
        <f t="array" ref="F3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31" s="1336">
        <v>642</v>
      </c>
      <c r="H31" s="722" t="s">
        <v>244</v>
      </c>
      <c r="I31" s="722"/>
      <c r="J31" s="1337" t="str" cm="1">
        <f t="array" ref="J3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31" s="1338">
        <v>44715</v>
      </c>
      <c r="L31" s="147">
        <v>45079</v>
      </c>
      <c r="M31" s="1339" cm="1">
        <f t="array" ref="M3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31" s="1337" t="str">
        <f>IF(OR(Rent_Roll[[#This Row],[MTM Fee]]="",Rent_Roll[[#This Row],[MTM Fee]]=0),"","MTM Lease")</f>
        <v/>
      </c>
      <c r="O31" s="1340">
        <f ca="1">IFERROR(IF(Rent_Roll[[#This Row],[Lease
Exp]]="","",DATEDIF($F$3,Rent_Roll[[#This Row],[Lease
Exp]],"m")+1),0)</f>
        <v>5</v>
      </c>
      <c r="P31" s="1341"/>
      <c r="Q31" s="1342" t="str" cm="1">
        <f t="array" ref="Q3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1" s="1343">
        <v>1055</v>
      </c>
      <c r="S31" s="723">
        <v>1055</v>
      </c>
      <c r="T31" s="723"/>
      <c r="U31" s="550">
        <f>Rent_Roll[[#This Row],[Lease
Rent]]+Rent_Roll[[#This Row],[Corp
Rent]]</f>
        <v>1055</v>
      </c>
      <c r="V31" s="1344">
        <f>IF(Rent_Roll[[#This Row],[Total In-Place
Rent]]=0,0,Rent_Roll[[#This Row],[Total In-Place
Rent]]-Rent_Roll[[#This Row],[Market
Rent]])</f>
        <v>0</v>
      </c>
      <c r="W31" s="1343">
        <v>0</v>
      </c>
      <c r="X31" s="723"/>
      <c r="Y31" s="723"/>
      <c r="Z31" s="723"/>
      <c r="AA31" s="1345"/>
      <c r="AB31" s="723"/>
      <c r="AC31" s="723"/>
      <c r="AD31" s="723"/>
      <c r="AE31" s="723"/>
      <c r="AF31" s="723"/>
      <c r="AG31" s="147"/>
      <c r="AH31" s="147"/>
      <c r="AI31" s="1348" t="str">
        <f>IF(Rent_Roll[[#This Row],[Future
Lease Start]]="","",DATEDIF(Rent_Roll[[#This Row],[Future
Lease Start]],Rent_Roll[[#This Row],[Future
Lease Exp]],"m")+1)</f>
        <v/>
      </c>
      <c r="AJ31" s="1347"/>
    </row>
    <row r="32" spans="2:36" x14ac:dyDescent="0.2">
      <c r="B32" s="638"/>
      <c r="C32" s="638">
        <v>136</v>
      </c>
      <c r="D32" s="638" t="s">
        <v>868</v>
      </c>
      <c r="E32" s="162" t="str">
        <f>IF(Rent_Roll[[#This Row],[Floor-
plan]]="studio",0,LEFT(Rent_Roll[[#This Row],[Floor-
plan]],1))</f>
        <v>1</v>
      </c>
      <c r="F32" s="162" cm="1">
        <f t="array" ref="F3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32" s="1336">
        <v>642</v>
      </c>
      <c r="H32" s="722" t="s">
        <v>244</v>
      </c>
      <c r="I32" s="722"/>
      <c r="J32" s="1337" t="str" cm="1">
        <f t="array" ref="J3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32" s="1338">
        <v>44677</v>
      </c>
      <c r="L32" s="147">
        <v>45041</v>
      </c>
      <c r="M32" s="1339" cm="1">
        <f t="array" ref="M3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32" s="1337" t="str">
        <f>IF(OR(Rent_Roll[[#This Row],[MTM Fee]]="",Rent_Roll[[#This Row],[MTM Fee]]=0),"","MTM Lease")</f>
        <v/>
      </c>
      <c r="O32" s="1340">
        <f ca="1">IFERROR(IF(Rent_Roll[[#This Row],[Lease
Exp]]="","",DATEDIF($F$3,Rent_Roll[[#This Row],[Lease
Exp]],"m")+1),0)</f>
        <v>4</v>
      </c>
      <c r="P32" s="1341"/>
      <c r="Q32" s="1342" t="str" cm="1">
        <f t="array" ref="Q3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2" s="1343">
        <v>1055</v>
      </c>
      <c r="S32" s="723">
        <v>1055</v>
      </c>
      <c r="T32" s="723"/>
      <c r="U32" s="550">
        <f>Rent_Roll[[#This Row],[Lease
Rent]]+Rent_Roll[[#This Row],[Corp
Rent]]</f>
        <v>1055</v>
      </c>
      <c r="V32" s="1344">
        <f>IF(Rent_Roll[[#This Row],[Total In-Place
Rent]]=0,0,Rent_Roll[[#This Row],[Total In-Place
Rent]]-Rent_Roll[[#This Row],[Market
Rent]])</f>
        <v>0</v>
      </c>
      <c r="W32" s="1343">
        <v>0</v>
      </c>
      <c r="X32" s="723"/>
      <c r="Y32" s="723"/>
      <c r="Z32" s="723"/>
      <c r="AA32" s="1345"/>
      <c r="AB32" s="723"/>
      <c r="AC32" s="723"/>
      <c r="AD32" s="723"/>
      <c r="AE32" s="723"/>
      <c r="AF32" s="723"/>
      <c r="AG32" s="147"/>
      <c r="AH32" s="147"/>
      <c r="AI32" s="1348" t="str">
        <f>IF(Rent_Roll[[#This Row],[Future
Lease Start]]="","",DATEDIF(Rent_Roll[[#This Row],[Future
Lease Start]],Rent_Roll[[#This Row],[Future
Lease Exp]],"m")+1)</f>
        <v/>
      </c>
      <c r="AJ32" s="1347"/>
    </row>
    <row r="33" spans="2:36" x14ac:dyDescent="0.2">
      <c r="B33" s="638"/>
      <c r="C33" s="638">
        <v>137</v>
      </c>
      <c r="D33" s="638" t="s">
        <v>866</v>
      </c>
      <c r="E33" s="162" t="str">
        <f>IF(Rent_Roll[[#This Row],[Floor-
plan]]="studio",0,LEFT(Rent_Roll[[#This Row],[Floor-
plan]],1))</f>
        <v>2</v>
      </c>
      <c r="F33" s="162" cm="1">
        <f t="array" ref="F3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33" s="1336">
        <v>1000</v>
      </c>
      <c r="H33" s="722" t="s">
        <v>244</v>
      </c>
      <c r="I33" s="722"/>
      <c r="J33" s="1337" t="str" cm="1">
        <f t="array" ref="J3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33" s="1338">
        <v>44599</v>
      </c>
      <c r="L33" s="147">
        <v>44963</v>
      </c>
      <c r="M33" s="1339" cm="1">
        <f t="array" ref="M3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33" s="1337" t="str">
        <f>IF(OR(Rent_Roll[[#This Row],[MTM Fee]]="",Rent_Roll[[#This Row],[MTM Fee]]=0),"","MTM Lease")</f>
        <v/>
      </c>
      <c r="O33" s="1340">
        <f ca="1">IFERROR(IF(Rent_Roll[[#This Row],[Lease
Exp]]="","",DATEDIF($F$3,Rent_Roll[[#This Row],[Lease
Exp]],"m")+1),0)</f>
        <v>1</v>
      </c>
      <c r="P33" s="1341"/>
      <c r="Q33" s="1342" t="str" cm="1">
        <f t="array" ref="Q3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3" s="1343">
        <v>1370</v>
      </c>
      <c r="S33" s="723">
        <v>1240</v>
      </c>
      <c r="T33" s="723"/>
      <c r="U33" s="550">
        <f>Rent_Roll[[#This Row],[Lease
Rent]]+Rent_Roll[[#This Row],[Corp
Rent]]</f>
        <v>1240</v>
      </c>
      <c r="V33" s="1344">
        <f>IF(Rent_Roll[[#This Row],[Total In-Place
Rent]]=0,0,Rent_Roll[[#This Row],[Total In-Place
Rent]]-Rent_Roll[[#This Row],[Market
Rent]])</f>
        <v>-130</v>
      </c>
      <c r="W33" s="1343">
        <v>0</v>
      </c>
      <c r="X33" s="723"/>
      <c r="Y33" s="723"/>
      <c r="Z33" s="723"/>
      <c r="AA33" s="1345"/>
      <c r="AB33" s="723"/>
      <c r="AC33" s="723"/>
      <c r="AD33" s="723"/>
      <c r="AE33" s="723"/>
      <c r="AF33" s="723"/>
      <c r="AG33" s="147"/>
      <c r="AH33" s="147"/>
      <c r="AI33" s="1348" t="str">
        <f>IF(Rent_Roll[[#This Row],[Future
Lease Start]]="","",DATEDIF(Rent_Roll[[#This Row],[Future
Lease Start]],Rent_Roll[[#This Row],[Future
Lease Exp]],"m")+1)</f>
        <v/>
      </c>
      <c r="AJ33" s="1347"/>
    </row>
    <row r="34" spans="2:36" x14ac:dyDescent="0.2">
      <c r="B34" s="638"/>
      <c r="C34" s="638">
        <v>138</v>
      </c>
      <c r="D34" s="638" t="s">
        <v>866</v>
      </c>
      <c r="E34" s="162" t="str">
        <f>IF(Rent_Roll[[#This Row],[Floor-
plan]]="studio",0,LEFT(Rent_Roll[[#This Row],[Floor-
plan]],1))</f>
        <v>2</v>
      </c>
      <c r="F34" s="162" cm="1">
        <f t="array" ref="F3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34" s="1336">
        <v>1000</v>
      </c>
      <c r="H34" s="722" t="s">
        <v>244</v>
      </c>
      <c r="I34" s="722"/>
      <c r="J34" s="1337" t="str" cm="1">
        <f t="array" ref="J3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34" s="1338">
        <v>44759</v>
      </c>
      <c r="L34" s="147">
        <v>45123</v>
      </c>
      <c r="M34" s="1339" cm="1">
        <f t="array" ref="M3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34" s="1337" t="str">
        <f>IF(OR(Rent_Roll[[#This Row],[MTM Fee]]="",Rent_Roll[[#This Row],[MTM Fee]]=0),"","MTM Lease")</f>
        <v/>
      </c>
      <c r="O34" s="1340">
        <f ca="1">IFERROR(IF(Rent_Roll[[#This Row],[Lease
Exp]]="","",DATEDIF($F$3,Rent_Roll[[#This Row],[Lease
Exp]],"m")+1),0)</f>
        <v>6</v>
      </c>
      <c r="P34" s="1341"/>
      <c r="Q34" s="1342" t="str" cm="1">
        <f t="array" ref="Q3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4" s="1343">
        <v>1340</v>
      </c>
      <c r="S34" s="723">
        <v>1145</v>
      </c>
      <c r="T34" s="723"/>
      <c r="U34" s="550">
        <f>Rent_Roll[[#This Row],[Lease
Rent]]+Rent_Roll[[#This Row],[Corp
Rent]]</f>
        <v>1145</v>
      </c>
      <c r="V34" s="1344">
        <f>IF(Rent_Roll[[#This Row],[Total In-Place
Rent]]=0,0,Rent_Roll[[#This Row],[Total In-Place
Rent]]-Rent_Roll[[#This Row],[Market
Rent]])</f>
        <v>-195</v>
      </c>
      <c r="W34" s="1343">
        <v>0</v>
      </c>
      <c r="X34" s="723"/>
      <c r="Y34" s="723"/>
      <c r="Z34" s="723"/>
      <c r="AA34" s="1345"/>
      <c r="AB34" s="723"/>
      <c r="AC34" s="723"/>
      <c r="AD34" s="723"/>
      <c r="AE34" s="723"/>
      <c r="AF34" s="723"/>
      <c r="AG34" s="147"/>
      <c r="AH34" s="147"/>
      <c r="AI34" s="1348" t="str">
        <f>IF(Rent_Roll[[#This Row],[Future
Lease Start]]="","",DATEDIF(Rent_Roll[[#This Row],[Future
Lease Start]],Rent_Roll[[#This Row],[Future
Lease Exp]],"m")+1)</f>
        <v/>
      </c>
      <c r="AJ34" s="1347"/>
    </row>
    <row r="35" spans="2:36" x14ac:dyDescent="0.2">
      <c r="B35" s="638"/>
      <c r="C35" s="638">
        <v>211</v>
      </c>
      <c r="D35" s="638" t="s">
        <v>866</v>
      </c>
      <c r="E35" s="162" t="str">
        <f>IF(Rent_Roll[[#This Row],[Floor-
plan]]="studio",0,LEFT(Rent_Roll[[#This Row],[Floor-
plan]],1))</f>
        <v>2</v>
      </c>
      <c r="F35" s="162" cm="1">
        <f t="array" ref="F3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35" s="1336">
        <v>1000</v>
      </c>
      <c r="H35" s="722" t="s">
        <v>244</v>
      </c>
      <c r="I35" s="722"/>
      <c r="J35" s="1337" t="str" cm="1">
        <f t="array" ref="J3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35" s="1338">
        <v>44720</v>
      </c>
      <c r="L35" s="147">
        <v>45084</v>
      </c>
      <c r="M35" s="1339" cm="1">
        <f t="array" ref="M3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35" s="1337" t="str">
        <f>IF(OR(Rent_Roll[[#This Row],[MTM Fee]]="",Rent_Roll[[#This Row],[MTM Fee]]=0),"","MTM Lease")</f>
        <v/>
      </c>
      <c r="O35" s="1340">
        <f ca="1">IFERROR(IF(Rent_Roll[[#This Row],[Lease
Exp]]="","",DATEDIF($F$3,Rent_Roll[[#This Row],[Lease
Exp]],"m")+1),0)</f>
        <v>5</v>
      </c>
      <c r="P35" s="1341"/>
      <c r="Q35" s="1342" t="str" cm="1">
        <f t="array" ref="Q3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5" s="1343">
        <v>1380</v>
      </c>
      <c r="S35" s="723">
        <v>1175</v>
      </c>
      <c r="T35" s="723"/>
      <c r="U35" s="550">
        <f>Rent_Roll[[#This Row],[Lease
Rent]]+Rent_Roll[[#This Row],[Corp
Rent]]</f>
        <v>1175</v>
      </c>
      <c r="V35" s="1344">
        <f>IF(Rent_Roll[[#This Row],[Total In-Place
Rent]]=0,0,Rent_Roll[[#This Row],[Total In-Place
Rent]]-Rent_Roll[[#This Row],[Market
Rent]])</f>
        <v>-205</v>
      </c>
      <c r="W35" s="1343">
        <v>0</v>
      </c>
      <c r="X35" s="723"/>
      <c r="Y35" s="723"/>
      <c r="Z35" s="723"/>
      <c r="AA35" s="1345"/>
      <c r="AB35" s="723"/>
      <c r="AC35" s="723"/>
      <c r="AD35" s="723"/>
      <c r="AE35" s="723"/>
      <c r="AF35" s="723"/>
      <c r="AG35" s="147"/>
      <c r="AH35" s="147"/>
      <c r="AI35" s="1348" t="str">
        <f>IF(Rent_Roll[[#This Row],[Future
Lease Start]]="","",DATEDIF(Rent_Roll[[#This Row],[Future
Lease Start]],Rent_Roll[[#This Row],[Future
Lease Exp]],"m")+1)</f>
        <v/>
      </c>
      <c r="AJ35" s="1347"/>
    </row>
    <row r="36" spans="2:36" x14ac:dyDescent="0.2">
      <c r="B36" s="638"/>
      <c r="C36" s="638">
        <v>212</v>
      </c>
      <c r="D36" s="638" t="s">
        <v>870</v>
      </c>
      <c r="E36" s="162" t="str">
        <f>IF(Rent_Roll[[#This Row],[Floor-
plan]]="studio",0,LEFT(Rent_Roll[[#This Row],[Floor-
plan]],1))</f>
        <v>2</v>
      </c>
      <c r="F36" s="162" cm="1">
        <f t="array" ref="F3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36" s="1336">
        <v>1099</v>
      </c>
      <c r="H36" s="722" t="s">
        <v>244</v>
      </c>
      <c r="I36" s="722"/>
      <c r="J36" s="1337" t="str" cm="1">
        <f t="array" ref="J3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36" s="1338">
        <v>44720</v>
      </c>
      <c r="L36" s="147">
        <v>45084</v>
      </c>
      <c r="M36" s="1339" cm="1">
        <f t="array" ref="M3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36" s="1337" t="str">
        <f>IF(OR(Rent_Roll[[#This Row],[MTM Fee]]="",Rent_Roll[[#This Row],[MTM Fee]]=0),"","MTM Lease")</f>
        <v/>
      </c>
      <c r="O36" s="1340">
        <f ca="1">IFERROR(IF(Rent_Roll[[#This Row],[Lease
Exp]]="","",DATEDIF($F$3,Rent_Roll[[#This Row],[Lease
Exp]],"m")+1),0)</f>
        <v>5</v>
      </c>
      <c r="P36" s="1341"/>
      <c r="Q36" s="1342" t="str" cm="1">
        <f t="array" ref="Q3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6" s="1343">
        <v>1500</v>
      </c>
      <c r="S36" s="723">
        <v>1225</v>
      </c>
      <c r="T36" s="723"/>
      <c r="U36" s="550">
        <f>Rent_Roll[[#This Row],[Lease
Rent]]+Rent_Roll[[#This Row],[Corp
Rent]]</f>
        <v>1225</v>
      </c>
      <c r="V36" s="1344">
        <f>IF(Rent_Roll[[#This Row],[Total In-Place
Rent]]=0,0,Rent_Roll[[#This Row],[Total In-Place
Rent]]-Rent_Roll[[#This Row],[Market
Rent]])</f>
        <v>-275</v>
      </c>
      <c r="W36" s="1343">
        <v>0</v>
      </c>
      <c r="X36" s="723"/>
      <c r="Y36" s="723"/>
      <c r="Z36" s="723"/>
      <c r="AA36" s="1345"/>
      <c r="AB36" s="723"/>
      <c r="AC36" s="723"/>
      <c r="AD36" s="723"/>
      <c r="AE36" s="723"/>
      <c r="AF36" s="723"/>
      <c r="AG36" s="147"/>
      <c r="AH36" s="147"/>
      <c r="AI36" s="1348" t="str">
        <f>IF(Rent_Roll[[#This Row],[Future
Lease Start]]="","",DATEDIF(Rent_Roll[[#This Row],[Future
Lease Start]],Rent_Roll[[#This Row],[Future
Lease Exp]],"m")+1)</f>
        <v/>
      </c>
      <c r="AJ36" s="1347"/>
    </row>
    <row r="37" spans="2:36" x14ac:dyDescent="0.2">
      <c r="B37" s="638"/>
      <c r="C37" s="638">
        <v>213</v>
      </c>
      <c r="D37" s="638" t="s">
        <v>871</v>
      </c>
      <c r="E37" s="162" t="str">
        <f>IF(Rent_Roll[[#This Row],[Floor-
plan]]="studio",0,LEFT(Rent_Roll[[#This Row],[Floor-
plan]],1))</f>
        <v>1</v>
      </c>
      <c r="F37" s="162" t="str" cm="1">
        <f t="array" ref="F3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7" s="1336">
        <v>931</v>
      </c>
      <c r="H37" s="722" t="s">
        <v>244</v>
      </c>
      <c r="I37" s="722"/>
      <c r="J37" s="1337" t="str" cm="1">
        <f t="array" ref="J3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1x1-S</v>
      </c>
      <c r="K37" s="1338">
        <v>44692</v>
      </c>
      <c r="L37" s="147">
        <v>45056</v>
      </c>
      <c r="M37" s="1339" cm="1">
        <f t="array" ref="M3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37" s="1337" t="str">
        <f>IF(OR(Rent_Roll[[#This Row],[MTM Fee]]="",Rent_Roll[[#This Row],[MTM Fee]]=0),"","MTM Lease")</f>
        <v/>
      </c>
      <c r="O37" s="1340">
        <f ca="1">IFERROR(IF(Rent_Roll[[#This Row],[Lease
Exp]]="","",DATEDIF($F$3,Rent_Roll[[#This Row],[Lease
Exp]],"m")+1),0)</f>
        <v>4</v>
      </c>
      <c r="P37" s="1341"/>
      <c r="Q37" s="1342" t="str" cm="1">
        <f t="array" ref="Q3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7" s="1343">
        <v>1260</v>
      </c>
      <c r="S37" s="723">
        <v>1135</v>
      </c>
      <c r="T37" s="723"/>
      <c r="U37" s="550">
        <f>Rent_Roll[[#This Row],[Lease
Rent]]+Rent_Roll[[#This Row],[Corp
Rent]]</f>
        <v>1135</v>
      </c>
      <c r="V37" s="1344">
        <f>IF(Rent_Roll[[#This Row],[Total In-Place
Rent]]=0,0,Rent_Roll[[#This Row],[Total In-Place
Rent]]-Rent_Roll[[#This Row],[Market
Rent]])</f>
        <v>-125</v>
      </c>
      <c r="W37" s="1343">
        <v>0</v>
      </c>
      <c r="X37" s="723"/>
      <c r="Y37" s="723"/>
      <c r="Z37" s="723"/>
      <c r="AA37" s="1345"/>
      <c r="AB37" s="723"/>
      <c r="AC37" s="723"/>
      <c r="AD37" s="723"/>
      <c r="AE37" s="723"/>
      <c r="AF37" s="723"/>
      <c r="AG37" s="147"/>
      <c r="AH37" s="147"/>
      <c r="AI37" s="1348" t="str">
        <f>IF(Rent_Roll[[#This Row],[Future
Lease Start]]="","",DATEDIF(Rent_Roll[[#This Row],[Future
Lease Start]],Rent_Roll[[#This Row],[Future
Lease Exp]],"m")+1)</f>
        <v/>
      </c>
      <c r="AJ37" s="1347"/>
    </row>
    <row r="38" spans="2:36" x14ac:dyDescent="0.2">
      <c r="B38" s="638"/>
      <c r="C38" s="638">
        <v>214</v>
      </c>
      <c r="D38" s="638" t="s">
        <v>868</v>
      </c>
      <c r="E38" s="162" t="str">
        <f>IF(Rent_Roll[[#This Row],[Floor-
plan]]="studio",0,LEFT(Rent_Roll[[#This Row],[Floor-
plan]],1))</f>
        <v>1</v>
      </c>
      <c r="F38" s="162" cm="1">
        <f t="array" ref="F3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38" s="1336">
        <v>804</v>
      </c>
      <c r="H38" s="722" t="s">
        <v>244</v>
      </c>
      <c r="I38" s="722"/>
      <c r="J38" s="1337" t="str" cm="1">
        <f t="array" ref="J3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38" s="1338">
        <v>44621</v>
      </c>
      <c r="L38" s="147">
        <v>44985</v>
      </c>
      <c r="M38" s="1339" cm="1">
        <f t="array" ref="M3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38" s="1337" t="str">
        <f>IF(OR(Rent_Roll[[#This Row],[MTM Fee]]="",Rent_Roll[[#This Row],[MTM Fee]]=0),"","MTM Lease")</f>
        <v/>
      </c>
      <c r="O38" s="1340">
        <f ca="1">IFERROR(IF(Rent_Roll[[#This Row],[Lease
Exp]]="","",DATEDIF($F$3,Rent_Roll[[#This Row],[Lease
Exp]],"m")+1),0)</f>
        <v>2</v>
      </c>
      <c r="P38" s="1341"/>
      <c r="Q38" s="1342" t="str" cm="1">
        <f t="array" ref="Q3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8" s="1343">
        <v>1170</v>
      </c>
      <c r="S38" s="723">
        <v>1170</v>
      </c>
      <c r="T38" s="723"/>
      <c r="U38" s="550">
        <f>Rent_Roll[[#This Row],[Lease
Rent]]+Rent_Roll[[#This Row],[Corp
Rent]]</f>
        <v>1170</v>
      </c>
      <c r="V38" s="1344">
        <f>IF(Rent_Roll[[#This Row],[Total In-Place
Rent]]=0,0,Rent_Roll[[#This Row],[Total In-Place
Rent]]-Rent_Roll[[#This Row],[Market
Rent]])</f>
        <v>0</v>
      </c>
      <c r="W38" s="1343">
        <v>0</v>
      </c>
      <c r="X38" s="723"/>
      <c r="Y38" s="723"/>
      <c r="Z38" s="723"/>
      <c r="AA38" s="1345"/>
      <c r="AB38" s="723"/>
      <c r="AC38" s="723"/>
      <c r="AD38" s="723"/>
      <c r="AE38" s="723"/>
      <c r="AF38" s="723"/>
      <c r="AG38" s="147"/>
      <c r="AH38" s="147"/>
      <c r="AI38" s="1348" t="str">
        <f>IF(Rent_Roll[[#This Row],[Future
Lease Start]]="","",DATEDIF(Rent_Roll[[#This Row],[Future
Lease Start]],Rent_Roll[[#This Row],[Future
Lease Exp]],"m")+1)</f>
        <v/>
      </c>
      <c r="AJ38" s="1347"/>
    </row>
    <row r="39" spans="2:36" x14ac:dyDescent="0.2">
      <c r="B39" s="638"/>
      <c r="C39" s="638">
        <v>215</v>
      </c>
      <c r="D39" s="638" t="s">
        <v>868</v>
      </c>
      <c r="E39" s="162" t="str">
        <f>IF(Rent_Roll[[#This Row],[Floor-
plan]]="studio",0,LEFT(Rent_Roll[[#This Row],[Floor-
plan]],1))</f>
        <v>1</v>
      </c>
      <c r="F39" s="162" cm="1">
        <f t="array" ref="F3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39" s="1336">
        <v>804</v>
      </c>
      <c r="H39" s="722" t="s">
        <v>244</v>
      </c>
      <c r="I39" s="722"/>
      <c r="J39" s="1337" t="str" cm="1">
        <f t="array" ref="J3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39" s="1338">
        <v>44562</v>
      </c>
      <c r="L39" s="147">
        <v>45016</v>
      </c>
      <c r="M39" s="1339" cm="1">
        <f t="array" ref="M39">_xlfn.IFS(Rent_Roll[[#This Row],[Lease
Exp]]="","",Rent_Roll[[#This Row],[MTM
Lease]]="MTM Lease","--",Rent_Roll[[#This Row],[Lease
Exp]]&gt;0,(DATEDIF(Rent_Roll[[#This Row],[Lease
Start]],Rent_Roll[[#This Row],[Lease
Exp]],"m")+1))</f>
        <v>15</v>
      </c>
      <c r="N39" s="1337" t="str">
        <f>IF(OR(Rent_Roll[[#This Row],[MTM Fee]]="",Rent_Roll[[#This Row],[MTM Fee]]=0),"","MTM Lease")</f>
        <v/>
      </c>
      <c r="O39" s="1340">
        <f ca="1">IFERROR(IF(Rent_Roll[[#This Row],[Lease
Exp]]="","",DATEDIF($F$3,Rent_Roll[[#This Row],[Lease
Exp]],"m")+1),0)</f>
        <v>3</v>
      </c>
      <c r="P39" s="1341"/>
      <c r="Q39" s="1342" t="str" cm="1">
        <f t="array" ref="Q3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9" s="1343">
        <v>1170</v>
      </c>
      <c r="S39" s="723">
        <v>1060</v>
      </c>
      <c r="T39" s="723"/>
      <c r="U39" s="550">
        <f>Rent_Roll[[#This Row],[Lease
Rent]]+Rent_Roll[[#This Row],[Corp
Rent]]</f>
        <v>1060</v>
      </c>
      <c r="V39" s="1344">
        <f>IF(Rent_Roll[[#This Row],[Total In-Place
Rent]]=0,0,Rent_Roll[[#This Row],[Total In-Place
Rent]]-Rent_Roll[[#This Row],[Market
Rent]])</f>
        <v>-110</v>
      </c>
      <c r="W39" s="1343">
        <v>0</v>
      </c>
      <c r="X39" s="723"/>
      <c r="Y39" s="723"/>
      <c r="Z39" s="723"/>
      <c r="AA39" s="1345"/>
      <c r="AB39" s="723"/>
      <c r="AC39" s="723"/>
      <c r="AD39" s="723"/>
      <c r="AE39" s="723"/>
      <c r="AF39" s="723"/>
      <c r="AG39" s="147"/>
      <c r="AH39" s="147"/>
      <c r="AI39" s="1348" t="str">
        <f>IF(Rent_Roll[[#This Row],[Future
Lease Start]]="","",DATEDIF(Rent_Roll[[#This Row],[Future
Lease Start]],Rent_Roll[[#This Row],[Future
Lease Exp]],"m")+1)</f>
        <v/>
      </c>
      <c r="AJ39" s="1347"/>
    </row>
    <row r="40" spans="2:36" x14ac:dyDescent="0.2">
      <c r="B40" s="638"/>
      <c r="C40" s="638">
        <v>216</v>
      </c>
      <c r="D40" s="638" t="s">
        <v>871</v>
      </c>
      <c r="E40" s="162" t="str">
        <f>IF(Rent_Roll[[#This Row],[Floor-
plan]]="studio",0,LEFT(Rent_Roll[[#This Row],[Floor-
plan]],1))</f>
        <v>1</v>
      </c>
      <c r="F40" s="162" t="str" cm="1">
        <f t="array" ref="F4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0" s="1336">
        <v>931</v>
      </c>
      <c r="H40" s="722" t="s">
        <v>244</v>
      </c>
      <c r="I40" s="722"/>
      <c r="J40" s="1337" t="str" cm="1">
        <f t="array" ref="J4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1x1-S</v>
      </c>
      <c r="K40" s="1338">
        <v>44538</v>
      </c>
      <c r="L40" s="147">
        <v>45023</v>
      </c>
      <c r="M40" s="1339" cm="1">
        <f t="array" ref="M40">_xlfn.IFS(Rent_Roll[[#This Row],[Lease
Exp]]="","",Rent_Roll[[#This Row],[MTM
Lease]]="MTM Lease","--",Rent_Roll[[#This Row],[Lease
Exp]]&gt;0,(DATEDIF(Rent_Roll[[#This Row],[Lease
Start]],Rent_Roll[[#This Row],[Lease
Exp]],"m")+1))</f>
        <v>16</v>
      </c>
      <c r="N40" s="1337" t="str">
        <f>IF(OR(Rent_Roll[[#This Row],[MTM Fee]]="",Rent_Roll[[#This Row],[MTM Fee]]=0),"","MTM Lease")</f>
        <v/>
      </c>
      <c r="O40" s="1340">
        <f ca="1">IFERROR(IF(Rent_Roll[[#This Row],[Lease
Exp]]="","",DATEDIF($F$3,Rent_Roll[[#This Row],[Lease
Exp]],"m")+1),0)</f>
        <v>3</v>
      </c>
      <c r="P40" s="1341"/>
      <c r="Q40" s="1342" t="str" cm="1">
        <f t="array" ref="Q4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0" s="1343">
        <v>1260</v>
      </c>
      <c r="S40" s="723">
        <v>1035</v>
      </c>
      <c r="T40" s="723"/>
      <c r="U40" s="550">
        <f>Rent_Roll[[#This Row],[Lease
Rent]]+Rent_Roll[[#This Row],[Corp
Rent]]</f>
        <v>1035</v>
      </c>
      <c r="V40" s="1344">
        <f>IF(Rent_Roll[[#This Row],[Total In-Place
Rent]]=0,0,Rent_Roll[[#This Row],[Total In-Place
Rent]]-Rent_Roll[[#This Row],[Market
Rent]])</f>
        <v>-225</v>
      </c>
      <c r="W40" s="1343">
        <v>0</v>
      </c>
      <c r="X40" s="723"/>
      <c r="Y40" s="723"/>
      <c r="Z40" s="723"/>
      <c r="AA40" s="1345"/>
      <c r="AB40" s="723"/>
      <c r="AC40" s="723"/>
      <c r="AD40" s="723"/>
      <c r="AE40" s="723"/>
      <c r="AF40" s="723"/>
      <c r="AG40" s="147"/>
      <c r="AH40" s="147"/>
      <c r="AI40" s="1348" t="str">
        <f>IF(Rent_Roll[[#This Row],[Future
Lease Start]]="","",DATEDIF(Rent_Roll[[#This Row],[Future
Lease Start]],Rent_Roll[[#This Row],[Future
Lease Exp]],"m")+1)</f>
        <v/>
      </c>
      <c r="AJ40" s="1347"/>
    </row>
    <row r="41" spans="2:36" x14ac:dyDescent="0.2">
      <c r="B41" s="638"/>
      <c r="C41" s="638">
        <v>217</v>
      </c>
      <c r="D41" s="638" t="s">
        <v>870</v>
      </c>
      <c r="E41" s="162" t="str">
        <f>IF(Rent_Roll[[#This Row],[Floor-
plan]]="studio",0,LEFT(Rent_Roll[[#This Row],[Floor-
plan]],1))</f>
        <v>2</v>
      </c>
      <c r="F41" s="162" cm="1">
        <f t="array" ref="F4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41" s="1336">
        <v>1099</v>
      </c>
      <c r="H41" s="722" t="s">
        <v>244</v>
      </c>
      <c r="I41" s="722"/>
      <c r="J41" s="1337" t="str" cm="1">
        <f t="array" ref="J4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41" s="1338">
        <v>44767</v>
      </c>
      <c r="L41" s="147">
        <v>45131</v>
      </c>
      <c r="M41" s="1339" cm="1">
        <f t="array" ref="M4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41" s="1337" t="str">
        <f>IF(OR(Rent_Roll[[#This Row],[MTM Fee]]="",Rent_Roll[[#This Row],[MTM Fee]]=0),"","MTM Lease")</f>
        <v/>
      </c>
      <c r="O41" s="1340">
        <f ca="1">IFERROR(IF(Rent_Roll[[#This Row],[Lease
Exp]]="","",DATEDIF($F$3,Rent_Roll[[#This Row],[Lease
Exp]],"m")+1),0)</f>
        <v>6</v>
      </c>
      <c r="P41" s="1341"/>
      <c r="Q41" s="1342" t="str" cm="1">
        <f t="array" ref="Q4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1" s="1343">
        <v>1500</v>
      </c>
      <c r="S41" s="723">
        <v>1220</v>
      </c>
      <c r="T41" s="723"/>
      <c r="U41" s="550">
        <f>Rent_Roll[[#This Row],[Lease
Rent]]+Rent_Roll[[#This Row],[Corp
Rent]]</f>
        <v>1220</v>
      </c>
      <c r="V41" s="1344">
        <f>IF(Rent_Roll[[#This Row],[Total In-Place
Rent]]=0,0,Rent_Roll[[#This Row],[Total In-Place
Rent]]-Rent_Roll[[#This Row],[Market
Rent]])</f>
        <v>-280</v>
      </c>
      <c r="W41" s="1343">
        <v>0</v>
      </c>
      <c r="X41" s="723"/>
      <c r="Y41" s="723"/>
      <c r="Z41" s="723"/>
      <c r="AA41" s="1345"/>
      <c r="AB41" s="723"/>
      <c r="AC41" s="723"/>
      <c r="AD41" s="723"/>
      <c r="AE41" s="723"/>
      <c r="AF41" s="723"/>
      <c r="AG41" s="147"/>
      <c r="AH41" s="147"/>
      <c r="AI41" s="1348" t="str">
        <f>IF(Rent_Roll[[#This Row],[Future
Lease Start]]="","",DATEDIF(Rent_Roll[[#This Row],[Future
Lease Start]],Rent_Roll[[#This Row],[Future
Lease Exp]],"m")+1)</f>
        <v/>
      </c>
      <c r="AJ41" s="1347"/>
    </row>
    <row r="42" spans="2:36" x14ac:dyDescent="0.2">
      <c r="B42" s="638"/>
      <c r="C42" s="638">
        <v>218</v>
      </c>
      <c r="D42" s="638" t="s">
        <v>866</v>
      </c>
      <c r="E42" s="162" t="str">
        <f>IF(Rent_Roll[[#This Row],[Floor-
plan]]="studio",0,LEFT(Rent_Roll[[#This Row],[Floor-
plan]],1))</f>
        <v>2</v>
      </c>
      <c r="F42" s="162" cm="1">
        <f t="array" ref="F4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42" s="1336">
        <v>1000</v>
      </c>
      <c r="H42" s="722" t="s">
        <v>245</v>
      </c>
      <c r="I42" s="722"/>
      <c r="J42" s="1337" t="str" cm="1">
        <f t="array" ref="J4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42" s="1338" t="s">
        <v>873</v>
      </c>
      <c r="L42" s="147" t="s">
        <v>873</v>
      </c>
      <c r="M42" s="1339" t="str" cm="1">
        <f t="array" ref="M42">_xlfn.IFS(Rent_Roll[[#This Row],[Lease
Exp]]="","",Rent_Roll[[#This Row],[MTM
Lease]]="MTM Lease","--",Rent_Roll[[#This Row],[Lease
Exp]]&gt;0,(DATEDIF(Rent_Roll[[#This Row],[Lease
Start]],Rent_Roll[[#This Row],[Lease
Exp]],"m")+1))</f>
        <v/>
      </c>
      <c r="N42" s="1337" t="str">
        <f>IF(OR(Rent_Roll[[#This Row],[MTM Fee]]="",Rent_Roll[[#This Row],[MTM Fee]]=0),"","MTM Lease")</f>
        <v/>
      </c>
      <c r="O42" s="1340" t="str">
        <f>IFERROR(IF(Rent_Roll[[#This Row],[Lease
Exp]]="","",DATEDIF($F$3,Rent_Roll[[#This Row],[Lease
Exp]],"m")+1),0)</f>
        <v/>
      </c>
      <c r="P42" s="1341"/>
      <c r="Q42" s="1342" t="str" cm="1">
        <f t="array" ref="Q4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2" s="1343">
        <v>1380</v>
      </c>
      <c r="S42" s="723">
        <v>0</v>
      </c>
      <c r="T42" s="723"/>
      <c r="U42" s="550">
        <f>Rent_Roll[[#This Row],[Lease
Rent]]+Rent_Roll[[#This Row],[Corp
Rent]]</f>
        <v>0</v>
      </c>
      <c r="V42" s="1344">
        <f>IF(Rent_Roll[[#This Row],[Total In-Place
Rent]]=0,0,Rent_Roll[[#This Row],[Total In-Place
Rent]]-Rent_Roll[[#This Row],[Market
Rent]])</f>
        <v>0</v>
      </c>
      <c r="W42" s="1343">
        <v>0</v>
      </c>
      <c r="X42" s="723"/>
      <c r="Y42" s="723"/>
      <c r="Z42" s="723"/>
      <c r="AA42" s="1345"/>
      <c r="AB42" s="723"/>
      <c r="AC42" s="723"/>
      <c r="AD42" s="723"/>
      <c r="AE42" s="723"/>
      <c r="AF42" s="723"/>
      <c r="AG42" s="147"/>
      <c r="AH42" s="147"/>
      <c r="AI42" s="1348" t="str">
        <f>IF(Rent_Roll[[#This Row],[Future
Lease Start]]="","",DATEDIF(Rent_Roll[[#This Row],[Future
Lease Start]],Rent_Roll[[#This Row],[Future
Lease Exp]],"m")+1)</f>
        <v/>
      </c>
      <c r="AJ42" s="1347"/>
    </row>
    <row r="43" spans="2:36" x14ac:dyDescent="0.2">
      <c r="B43" s="638"/>
      <c r="C43" s="638">
        <v>221</v>
      </c>
      <c r="D43" s="638" t="s">
        <v>866</v>
      </c>
      <c r="E43" s="162" t="str">
        <f>IF(Rent_Roll[[#This Row],[Floor-
plan]]="studio",0,LEFT(Rent_Roll[[#This Row],[Floor-
plan]],1))</f>
        <v>2</v>
      </c>
      <c r="F43" s="162" cm="1">
        <f t="array" ref="F4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43" s="1336">
        <v>1000</v>
      </c>
      <c r="H43" s="722" t="s">
        <v>244</v>
      </c>
      <c r="I43" s="722"/>
      <c r="J43" s="1337" t="str" cm="1">
        <f t="array" ref="J4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43" s="1338">
        <v>44470</v>
      </c>
      <c r="L43" s="147">
        <v>44834</v>
      </c>
      <c r="M43" s="1339" cm="1">
        <f t="array" ref="M4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43" s="1337" t="str">
        <f>IF(OR(Rent_Roll[[#This Row],[MTM Fee]]="",Rent_Roll[[#This Row],[MTM Fee]]=0),"","MTM Lease")</f>
        <v/>
      </c>
      <c r="O43" s="1340">
        <f ca="1">IFERROR(IF(Rent_Roll[[#This Row],[Lease
Exp]]="","",DATEDIF($F$3,Rent_Roll[[#This Row],[Lease
Exp]],"m")+1),0)</f>
        <v>0</v>
      </c>
      <c r="P43" s="1341">
        <v>44834</v>
      </c>
      <c r="Q43" s="1342" t="str" cm="1">
        <f t="array" ref="Q4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43" s="1343">
        <v>1360</v>
      </c>
      <c r="S43" s="723">
        <v>1065</v>
      </c>
      <c r="T43" s="723"/>
      <c r="U43" s="550">
        <f>Rent_Roll[[#This Row],[Lease
Rent]]+Rent_Roll[[#This Row],[Corp
Rent]]</f>
        <v>1065</v>
      </c>
      <c r="V43" s="1344">
        <f>IF(Rent_Roll[[#This Row],[Total In-Place
Rent]]=0,0,Rent_Roll[[#This Row],[Total In-Place
Rent]]-Rent_Roll[[#This Row],[Market
Rent]])</f>
        <v>-295</v>
      </c>
      <c r="W43" s="1343">
        <v>0</v>
      </c>
      <c r="X43" s="723"/>
      <c r="Y43" s="723"/>
      <c r="Z43" s="723"/>
      <c r="AA43" s="1345"/>
      <c r="AB43" s="723"/>
      <c r="AC43" s="723"/>
      <c r="AD43" s="723"/>
      <c r="AE43" s="723"/>
      <c r="AF43" s="723"/>
      <c r="AG43" s="147"/>
      <c r="AH43" s="147"/>
      <c r="AI43" s="1348" t="str">
        <f>IF(Rent_Roll[[#This Row],[Future
Lease Start]]="","",DATEDIF(Rent_Roll[[#This Row],[Future
Lease Start]],Rent_Roll[[#This Row],[Future
Lease Exp]],"m")+1)</f>
        <v/>
      </c>
      <c r="AJ43" s="1347"/>
    </row>
    <row r="44" spans="2:36" x14ac:dyDescent="0.2">
      <c r="B44" s="638"/>
      <c r="C44" s="638">
        <v>222</v>
      </c>
      <c r="D44" s="638" t="s">
        <v>870</v>
      </c>
      <c r="E44" s="162" t="str">
        <f>IF(Rent_Roll[[#This Row],[Floor-
plan]]="studio",0,LEFT(Rent_Roll[[#This Row],[Floor-
plan]],1))</f>
        <v>2</v>
      </c>
      <c r="F44" s="162" cm="1">
        <f t="array" ref="F4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44" s="1336">
        <v>1099</v>
      </c>
      <c r="H44" s="722" t="s">
        <v>244</v>
      </c>
      <c r="I44" s="722"/>
      <c r="J44" s="1337" t="str" cm="1">
        <f t="array" ref="J4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44" s="1338">
        <v>44672</v>
      </c>
      <c r="L44" s="147">
        <v>45036</v>
      </c>
      <c r="M44" s="1339" cm="1">
        <f t="array" ref="M4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44" s="1337" t="str">
        <f>IF(OR(Rent_Roll[[#This Row],[MTM Fee]]="",Rent_Roll[[#This Row],[MTM Fee]]=0),"","MTM Lease")</f>
        <v/>
      </c>
      <c r="O44" s="1340">
        <f ca="1">IFERROR(IF(Rent_Roll[[#This Row],[Lease
Exp]]="","",DATEDIF($F$3,Rent_Roll[[#This Row],[Lease
Exp]],"m")+1),0)</f>
        <v>3</v>
      </c>
      <c r="P44" s="1341"/>
      <c r="Q44" s="1342" t="str" cm="1">
        <f t="array" ref="Q4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4" s="1343">
        <v>1480</v>
      </c>
      <c r="S44" s="723">
        <v>1050</v>
      </c>
      <c r="T44" s="723"/>
      <c r="U44" s="550">
        <f>Rent_Roll[[#This Row],[Lease
Rent]]+Rent_Roll[[#This Row],[Corp
Rent]]</f>
        <v>1050</v>
      </c>
      <c r="V44" s="1344">
        <f>IF(Rent_Roll[[#This Row],[Total In-Place
Rent]]=0,0,Rent_Roll[[#This Row],[Total In-Place
Rent]]-Rent_Roll[[#This Row],[Market
Rent]])</f>
        <v>-430</v>
      </c>
      <c r="W44" s="1343">
        <v>0</v>
      </c>
      <c r="X44" s="723"/>
      <c r="Y44" s="723"/>
      <c r="Z44" s="723"/>
      <c r="AA44" s="1345"/>
      <c r="AB44" s="723"/>
      <c r="AC44" s="723"/>
      <c r="AD44" s="723"/>
      <c r="AE44" s="723"/>
      <c r="AF44" s="723"/>
      <c r="AG44" s="147"/>
      <c r="AH44" s="147"/>
      <c r="AI44" s="1348" t="str">
        <f>IF(Rent_Roll[[#This Row],[Future
Lease Start]]="","",DATEDIF(Rent_Roll[[#This Row],[Future
Lease Start]],Rent_Roll[[#This Row],[Future
Lease Exp]],"m")+1)</f>
        <v/>
      </c>
      <c r="AJ44" s="1347"/>
    </row>
    <row r="45" spans="2:36" x14ac:dyDescent="0.2">
      <c r="B45" s="638"/>
      <c r="C45" s="638">
        <v>223</v>
      </c>
      <c r="D45" s="638" t="s">
        <v>871</v>
      </c>
      <c r="E45" s="162" t="str">
        <f>IF(Rent_Roll[[#This Row],[Floor-
plan]]="studio",0,LEFT(Rent_Roll[[#This Row],[Floor-
plan]],1))</f>
        <v>1</v>
      </c>
      <c r="F45" s="162" t="str" cm="1">
        <f t="array" ref="F4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5" s="1336">
        <v>931</v>
      </c>
      <c r="H45" s="722" t="s">
        <v>244</v>
      </c>
      <c r="I45" s="722"/>
      <c r="J45" s="1337" t="str" cm="1">
        <f t="array" ref="J4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1x1-S</v>
      </c>
      <c r="K45" s="1338">
        <v>44727</v>
      </c>
      <c r="L45" s="147">
        <v>45091</v>
      </c>
      <c r="M45" s="1339" cm="1">
        <f t="array" ref="M4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45" s="1337" t="str">
        <f>IF(OR(Rent_Roll[[#This Row],[MTM Fee]]="",Rent_Roll[[#This Row],[MTM Fee]]=0),"","MTM Lease")</f>
        <v/>
      </c>
      <c r="O45" s="1340">
        <f ca="1">IFERROR(IF(Rent_Roll[[#This Row],[Lease
Exp]]="","",DATEDIF($F$3,Rent_Roll[[#This Row],[Lease
Exp]],"m")+1),0)</f>
        <v>5</v>
      </c>
      <c r="P45" s="1341"/>
      <c r="Q45" s="1342" t="str" cm="1">
        <f t="array" ref="Q4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5" s="1343">
        <v>1240</v>
      </c>
      <c r="S45" s="723">
        <v>1240</v>
      </c>
      <c r="T45" s="723"/>
      <c r="U45" s="550">
        <f>Rent_Roll[[#This Row],[Lease
Rent]]+Rent_Roll[[#This Row],[Corp
Rent]]</f>
        <v>1240</v>
      </c>
      <c r="V45" s="1344">
        <f>IF(Rent_Roll[[#This Row],[Total In-Place
Rent]]=0,0,Rent_Roll[[#This Row],[Total In-Place
Rent]]-Rent_Roll[[#This Row],[Market
Rent]])</f>
        <v>0</v>
      </c>
      <c r="W45" s="1343">
        <v>0</v>
      </c>
      <c r="X45" s="723"/>
      <c r="Y45" s="723"/>
      <c r="Z45" s="723"/>
      <c r="AA45" s="1345"/>
      <c r="AB45" s="723"/>
      <c r="AC45" s="723"/>
      <c r="AD45" s="723"/>
      <c r="AE45" s="723"/>
      <c r="AF45" s="723"/>
      <c r="AG45" s="147"/>
      <c r="AH45" s="147"/>
      <c r="AI45" s="1348" t="str">
        <f>IF(Rent_Roll[[#This Row],[Future
Lease Start]]="","",DATEDIF(Rent_Roll[[#This Row],[Future
Lease Start]],Rent_Roll[[#This Row],[Future
Lease Exp]],"m")+1)</f>
        <v/>
      </c>
      <c r="AJ45" s="1347"/>
    </row>
    <row r="46" spans="2:36" x14ac:dyDescent="0.2">
      <c r="B46" s="638"/>
      <c r="C46" s="638">
        <v>224</v>
      </c>
      <c r="D46" s="638" t="s">
        <v>868</v>
      </c>
      <c r="E46" s="162" t="str">
        <f>IF(Rent_Roll[[#This Row],[Floor-
plan]]="studio",0,LEFT(Rent_Roll[[#This Row],[Floor-
plan]],1))</f>
        <v>1</v>
      </c>
      <c r="F46" s="162" cm="1">
        <f t="array" ref="F4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46" s="1336">
        <v>804</v>
      </c>
      <c r="H46" s="722" t="s">
        <v>244</v>
      </c>
      <c r="I46" s="722"/>
      <c r="J46" s="1337" t="str" cm="1">
        <f t="array" ref="J4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46" s="1338">
        <v>44703</v>
      </c>
      <c r="L46" s="147">
        <v>45067</v>
      </c>
      <c r="M46" s="1339" cm="1">
        <f t="array" ref="M4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46" s="1337" t="str">
        <f>IF(OR(Rent_Roll[[#This Row],[MTM Fee]]="",Rent_Roll[[#This Row],[MTM Fee]]=0),"","MTM Lease")</f>
        <v/>
      </c>
      <c r="O46" s="1340">
        <f ca="1">IFERROR(IF(Rent_Roll[[#This Row],[Lease
Exp]]="","",DATEDIF($F$3,Rent_Roll[[#This Row],[Lease
Exp]],"m")+1),0)</f>
        <v>4</v>
      </c>
      <c r="P46" s="1341"/>
      <c r="Q46" s="1342" t="str" cm="1">
        <f t="array" ref="Q4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6" s="1343">
        <v>1150</v>
      </c>
      <c r="S46" s="723">
        <v>985</v>
      </c>
      <c r="T46" s="723"/>
      <c r="U46" s="550">
        <f>Rent_Roll[[#This Row],[Lease
Rent]]+Rent_Roll[[#This Row],[Corp
Rent]]</f>
        <v>985</v>
      </c>
      <c r="V46" s="1344">
        <f>IF(Rent_Roll[[#This Row],[Total In-Place
Rent]]=0,0,Rent_Roll[[#This Row],[Total In-Place
Rent]]-Rent_Roll[[#This Row],[Market
Rent]])</f>
        <v>-165</v>
      </c>
      <c r="W46" s="1343">
        <v>0</v>
      </c>
      <c r="X46" s="723"/>
      <c r="Y46" s="723"/>
      <c r="Z46" s="723"/>
      <c r="AA46" s="1345"/>
      <c r="AB46" s="723"/>
      <c r="AC46" s="723"/>
      <c r="AD46" s="723"/>
      <c r="AE46" s="723"/>
      <c r="AF46" s="723"/>
      <c r="AG46" s="147"/>
      <c r="AH46" s="147"/>
      <c r="AI46" s="1348" t="str">
        <f>IF(Rent_Roll[[#This Row],[Future
Lease Start]]="","",DATEDIF(Rent_Roll[[#This Row],[Future
Lease Start]],Rent_Roll[[#This Row],[Future
Lease Exp]],"m")+1)</f>
        <v/>
      </c>
      <c r="AJ46" s="1347"/>
    </row>
    <row r="47" spans="2:36" x14ac:dyDescent="0.2">
      <c r="B47" s="638"/>
      <c r="C47" s="638">
        <v>225</v>
      </c>
      <c r="D47" s="638" t="s">
        <v>868</v>
      </c>
      <c r="E47" s="162" t="str">
        <f>IF(Rent_Roll[[#This Row],[Floor-
plan]]="studio",0,LEFT(Rent_Roll[[#This Row],[Floor-
plan]],1))</f>
        <v>1</v>
      </c>
      <c r="F47" s="162" cm="1">
        <f t="array" ref="F4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47" s="1336">
        <v>804</v>
      </c>
      <c r="H47" s="722" t="s">
        <v>244</v>
      </c>
      <c r="I47" s="722"/>
      <c r="J47" s="1337" t="str" cm="1">
        <f t="array" ref="J4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47" s="1338">
        <v>44310</v>
      </c>
      <c r="L47" s="147">
        <v>44857</v>
      </c>
      <c r="M47" s="1339" cm="1">
        <f t="array" ref="M47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47" s="1337" t="str">
        <f>IF(OR(Rent_Roll[[#This Row],[MTM Fee]]="",Rent_Roll[[#This Row],[MTM Fee]]=0),"","MTM Lease")</f>
        <v/>
      </c>
      <c r="O47" s="1340">
        <f ca="1">IFERROR(IF(Rent_Roll[[#This Row],[Lease
Exp]]="","",DATEDIF($F$3,Rent_Roll[[#This Row],[Lease
Exp]],"m")+1),0)</f>
        <v>0</v>
      </c>
      <c r="P47" s="1341"/>
      <c r="Q47" s="1342" t="str" cm="1">
        <f t="array" ref="Q4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7" s="1343">
        <v>1150</v>
      </c>
      <c r="S47" s="723">
        <v>1005</v>
      </c>
      <c r="T47" s="723"/>
      <c r="U47" s="550">
        <f>Rent_Roll[[#This Row],[Lease
Rent]]+Rent_Roll[[#This Row],[Corp
Rent]]</f>
        <v>1005</v>
      </c>
      <c r="V47" s="1344">
        <f>IF(Rent_Roll[[#This Row],[Total In-Place
Rent]]=0,0,Rent_Roll[[#This Row],[Total In-Place
Rent]]-Rent_Roll[[#This Row],[Market
Rent]])</f>
        <v>-145</v>
      </c>
      <c r="W47" s="1343">
        <v>0</v>
      </c>
      <c r="X47" s="723"/>
      <c r="Y47" s="723"/>
      <c r="Z47" s="723"/>
      <c r="AA47" s="1345"/>
      <c r="AB47" s="723"/>
      <c r="AC47" s="723"/>
      <c r="AD47" s="723"/>
      <c r="AE47" s="723"/>
      <c r="AF47" s="723"/>
      <c r="AG47" s="147"/>
      <c r="AH47" s="147"/>
      <c r="AI47" s="1348" t="str">
        <f>IF(Rent_Roll[[#This Row],[Future
Lease Start]]="","",DATEDIF(Rent_Roll[[#This Row],[Future
Lease Start]],Rent_Roll[[#This Row],[Future
Lease Exp]],"m")+1)</f>
        <v/>
      </c>
      <c r="AJ47" s="1347"/>
    </row>
    <row r="48" spans="2:36" x14ac:dyDescent="0.2">
      <c r="B48" s="638"/>
      <c r="C48" s="638">
        <v>226</v>
      </c>
      <c r="D48" s="638" t="s">
        <v>871</v>
      </c>
      <c r="E48" s="162" t="str">
        <f>IF(Rent_Roll[[#This Row],[Floor-
plan]]="studio",0,LEFT(Rent_Roll[[#This Row],[Floor-
plan]],1))</f>
        <v>1</v>
      </c>
      <c r="F48" s="162" t="str" cm="1">
        <f t="array" ref="F4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8" s="1336">
        <v>931</v>
      </c>
      <c r="H48" s="722" t="s">
        <v>244</v>
      </c>
      <c r="I48" s="722"/>
      <c r="J48" s="1337" t="str" cm="1">
        <f t="array" ref="J4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1x1-S</v>
      </c>
      <c r="K48" s="1338">
        <v>44785</v>
      </c>
      <c r="L48" s="147">
        <v>45149</v>
      </c>
      <c r="M48" s="1339" cm="1">
        <f t="array" ref="M4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48" s="1337" t="str">
        <f>IF(OR(Rent_Roll[[#This Row],[MTM Fee]]="",Rent_Roll[[#This Row],[MTM Fee]]=0),"","MTM Lease")</f>
        <v/>
      </c>
      <c r="O48" s="1340">
        <f ca="1">IFERROR(IF(Rent_Roll[[#This Row],[Lease
Exp]]="","",DATEDIF($F$3,Rent_Roll[[#This Row],[Lease
Exp]],"m")+1),0)</f>
        <v>7</v>
      </c>
      <c r="P48" s="1341"/>
      <c r="Q48" s="1342" t="str" cm="1">
        <f t="array" ref="Q4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8" s="1343">
        <v>1240</v>
      </c>
      <c r="S48" s="723">
        <v>1170</v>
      </c>
      <c r="T48" s="723"/>
      <c r="U48" s="550">
        <f>Rent_Roll[[#This Row],[Lease
Rent]]+Rent_Roll[[#This Row],[Corp
Rent]]</f>
        <v>1170</v>
      </c>
      <c r="V48" s="1344">
        <f>IF(Rent_Roll[[#This Row],[Total In-Place
Rent]]=0,0,Rent_Roll[[#This Row],[Total In-Place
Rent]]-Rent_Roll[[#This Row],[Market
Rent]])</f>
        <v>-70</v>
      </c>
      <c r="W48" s="1343">
        <v>0</v>
      </c>
      <c r="X48" s="723"/>
      <c r="Y48" s="723"/>
      <c r="Z48" s="723"/>
      <c r="AA48" s="1345"/>
      <c r="AB48" s="723"/>
      <c r="AC48" s="723"/>
      <c r="AD48" s="723"/>
      <c r="AE48" s="723"/>
      <c r="AF48" s="723"/>
      <c r="AG48" s="147"/>
      <c r="AH48" s="147"/>
      <c r="AI48" s="1348" t="str">
        <f>IF(Rent_Roll[[#This Row],[Future
Lease Start]]="","",DATEDIF(Rent_Roll[[#This Row],[Future
Lease Start]],Rent_Roll[[#This Row],[Future
Lease Exp]],"m")+1)</f>
        <v/>
      </c>
      <c r="AJ48" s="1347"/>
    </row>
    <row r="49" spans="2:36" x14ac:dyDescent="0.2">
      <c r="B49" s="638"/>
      <c r="C49" s="638">
        <v>227</v>
      </c>
      <c r="D49" s="638" t="s">
        <v>870</v>
      </c>
      <c r="E49" s="162" t="str">
        <f>IF(Rent_Roll[[#This Row],[Floor-
plan]]="studio",0,LEFT(Rent_Roll[[#This Row],[Floor-
plan]],1))</f>
        <v>2</v>
      </c>
      <c r="F49" s="162" cm="1">
        <f t="array" ref="F4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49" s="1336">
        <v>1099</v>
      </c>
      <c r="H49" s="722" t="s">
        <v>244</v>
      </c>
      <c r="I49" s="722"/>
      <c r="J49" s="1337" t="str" cm="1">
        <f t="array" ref="J4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49" s="1338">
        <v>44774</v>
      </c>
      <c r="L49" s="147">
        <v>45138</v>
      </c>
      <c r="M49" s="1339" cm="1">
        <f t="array" ref="M4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49" s="1337" t="str">
        <f>IF(OR(Rent_Roll[[#This Row],[MTM Fee]]="",Rent_Roll[[#This Row],[MTM Fee]]=0),"","MTM Lease")</f>
        <v/>
      </c>
      <c r="O49" s="1340">
        <f ca="1">IFERROR(IF(Rent_Roll[[#This Row],[Lease
Exp]]="","",DATEDIF($F$3,Rent_Roll[[#This Row],[Lease
Exp]],"m")+1),0)</f>
        <v>7</v>
      </c>
      <c r="P49" s="1341"/>
      <c r="Q49" s="1342" t="str" cm="1">
        <f t="array" ref="Q4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9" s="1343">
        <v>1480</v>
      </c>
      <c r="S49" s="723">
        <v>1480</v>
      </c>
      <c r="T49" s="723"/>
      <c r="U49" s="550">
        <f>Rent_Roll[[#This Row],[Lease
Rent]]+Rent_Roll[[#This Row],[Corp
Rent]]</f>
        <v>1480</v>
      </c>
      <c r="V49" s="1344">
        <f>IF(Rent_Roll[[#This Row],[Total In-Place
Rent]]=0,0,Rent_Roll[[#This Row],[Total In-Place
Rent]]-Rent_Roll[[#This Row],[Market
Rent]])</f>
        <v>0</v>
      </c>
      <c r="W49" s="1343">
        <v>0</v>
      </c>
      <c r="X49" s="723"/>
      <c r="Y49" s="723"/>
      <c r="Z49" s="723"/>
      <c r="AA49" s="1345"/>
      <c r="AB49" s="723"/>
      <c r="AC49" s="723"/>
      <c r="AD49" s="723"/>
      <c r="AE49" s="723"/>
      <c r="AF49" s="723"/>
      <c r="AG49" s="147"/>
      <c r="AH49" s="147"/>
      <c r="AI49" s="1348" t="str">
        <f>IF(Rent_Roll[[#This Row],[Future
Lease Start]]="","",DATEDIF(Rent_Roll[[#This Row],[Future
Lease Start]],Rent_Roll[[#This Row],[Future
Lease Exp]],"m")+1)</f>
        <v/>
      </c>
      <c r="AJ49" s="1347"/>
    </row>
    <row r="50" spans="2:36" x14ac:dyDescent="0.2">
      <c r="B50" s="638"/>
      <c r="C50" s="638">
        <v>228</v>
      </c>
      <c r="D50" s="638" t="s">
        <v>866</v>
      </c>
      <c r="E50" s="162" t="str">
        <f>IF(Rent_Roll[[#This Row],[Floor-
plan]]="studio",0,LEFT(Rent_Roll[[#This Row],[Floor-
plan]],1))</f>
        <v>2</v>
      </c>
      <c r="F50" s="162" cm="1">
        <f t="array" ref="F5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50" s="1336">
        <v>1000</v>
      </c>
      <c r="H50" s="722" t="s">
        <v>244</v>
      </c>
      <c r="I50" s="722"/>
      <c r="J50" s="1337" t="str" cm="1">
        <f t="array" ref="J5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50" s="1338">
        <v>44777</v>
      </c>
      <c r="L50" s="147">
        <v>45141</v>
      </c>
      <c r="M50" s="1339" cm="1">
        <f t="array" ref="M5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50" s="1337" t="str">
        <f>IF(OR(Rent_Roll[[#This Row],[MTM Fee]]="",Rent_Roll[[#This Row],[MTM Fee]]=0),"","MTM Lease")</f>
        <v/>
      </c>
      <c r="O50" s="1340">
        <f ca="1">IFERROR(IF(Rent_Roll[[#This Row],[Lease
Exp]]="","",DATEDIF($F$3,Rent_Roll[[#This Row],[Lease
Exp]],"m")+1),0)</f>
        <v>7</v>
      </c>
      <c r="P50" s="1341"/>
      <c r="Q50" s="1342" t="str" cm="1">
        <f t="array" ref="Q5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50" s="1343">
        <v>1360</v>
      </c>
      <c r="S50" s="723">
        <v>1100</v>
      </c>
      <c r="T50" s="723"/>
      <c r="U50" s="550">
        <f>Rent_Roll[[#This Row],[Lease
Rent]]+Rent_Roll[[#This Row],[Corp
Rent]]</f>
        <v>1100</v>
      </c>
      <c r="V50" s="1344">
        <f>IF(Rent_Roll[[#This Row],[Total In-Place
Rent]]=0,0,Rent_Roll[[#This Row],[Total In-Place
Rent]]-Rent_Roll[[#This Row],[Market
Rent]])</f>
        <v>-260</v>
      </c>
      <c r="W50" s="1343">
        <v>0</v>
      </c>
      <c r="X50" s="723"/>
      <c r="Y50" s="723"/>
      <c r="Z50" s="723"/>
      <c r="AA50" s="1345"/>
      <c r="AB50" s="723"/>
      <c r="AC50" s="723"/>
      <c r="AD50" s="723"/>
      <c r="AE50" s="723"/>
      <c r="AF50" s="723"/>
      <c r="AG50" s="147"/>
      <c r="AH50" s="147"/>
      <c r="AI50" s="1348" t="str">
        <f>IF(Rent_Roll[[#This Row],[Future
Lease Start]]="","",DATEDIF(Rent_Roll[[#This Row],[Future
Lease Start]],Rent_Roll[[#This Row],[Future
Lease Exp]],"m")+1)</f>
        <v/>
      </c>
      <c r="AJ50" s="1347"/>
    </row>
    <row r="51" spans="2:36" x14ac:dyDescent="0.2">
      <c r="B51" s="638"/>
      <c r="C51" s="638">
        <v>231</v>
      </c>
      <c r="D51" s="638" t="s">
        <v>870</v>
      </c>
      <c r="E51" s="162" t="str">
        <f>IF(Rent_Roll[[#This Row],[Floor-
plan]]="studio",0,LEFT(Rent_Roll[[#This Row],[Floor-
plan]],1))</f>
        <v>2</v>
      </c>
      <c r="F51" s="162" cm="1">
        <f t="array" ref="F5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51" s="1336">
        <v>1099</v>
      </c>
      <c r="H51" s="722" t="s">
        <v>244</v>
      </c>
      <c r="I51" s="722"/>
      <c r="J51" s="1337" t="str" cm="1">
        <f t="array" ref="J5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51" s="1338">
        <v>44799</v>
      </c>
      <c r="L51" s="147">
        <v>45194</v>
      </c>
      <c r="M51" s="1339" cm="1">
        <f t="array" ref="M51">_xlfn.IFS(Rent_Roll[[#This Row],[Lease
Exp]]="","",Rent_Roll[[#This Row],[MTM
Lease]]="MTM Lease","--",Rent_Roll[[#This Row],[Lease
Exp]]&gt;0,(DATEDIF(Rent_Roll[[#This Row],[Lease
Start]],Rent_Roll[[#This Row],[Lease
Exp]],"m")+1))</f>
        <v>13</v>
      </c>
      <c r="N51" s="1337" t="str">
        <f>IF(OR(Rent_Roll[[#This Row],[MTM Fee]]="",Rent_Roll[[#This Row],[MTM Fee]]=0),"","MTM Lease")</f>
        <v/>
      </c>
      <c r="O51" s="1340">
        <f ca="1">IFERROR(IF(Rent_Roll[[#This Row],[Lease
Exp]]="","",DATEDIF($F$3,Rent_Roll[[#This Row],[Lease
Exp]],"m")+1),0)</f>
        <v>9</v>
      </c>
      <c r="P51" s="1341"/>
      <c r="Q51" s="1342" t="str" cm="1">
        <f t="array" ref="Q5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51" s="1343">
        <v>1440</v>
      </c>
      <c r="S51" s="723">
        <v>1440</v>
      </c>
      <c r="T51" s="723"/>
      <c r="U51" s="550">
        <f>Rent_Roll[[#This Row],[Lease
Rent]]+Rent_Roll[[#This Row],[Corp
Rent]]</f>
        <v>1440</v>
      </c>
      <c r="V51" s="1344">
        <f>IF(Rent_Roll[[#This Row],[Total In-Place
Rent]]=0,0,Rent_Roll[[#This Row],[Total In-Place
Rent]]-Rent_Roll[[#This Row],[Market
Rent]])</f>
        <v>0</v>
      </c>
      <c r="W51" s="1343">
        <v>0</v>
      </c>
      <c r="X51" s="723"/>
      <c r="Y51" s="723"/>
      <c r="Z51" s="723"/>
      <c r="AA51" s="1345"/>
      <c r="AB51" s="723"/>
      <c r="AC51" s="723"/>
      <c r="AD51" s="723"/>
      <c r="AE51" s="723"/>
      <c r="AF51" s="723"/>
      <c r="AG51" s="147"/>
      <c r="AH51" s="147"/>
      <c r="AI51" s="1348" t="str">
        <f>IF(Rent_Roll[[#This Row],[Future
Lease Start]]="","",DATEDIF(Rent_Roll[[#This Row],[Future
Lease Start]],Rent_Roll[[#This Row],[Future
Lease Exp]],"m")+1)</f>
        <v/>
      </c>
      <c r="AJ51" s="1347"/>
    </row>
    <row r="52" spans="2:36" x14ac:dyDescent="0.2">
      <c r="B52" s="638"/>
      <c r="C52" s="638">
        <v>232</v>
      </c>
      <c r="D52" s="638" t="s">
        <v>870</v>
      </c>
      <c r="E52" s="162" t="str">
        <f>IF(Rent_Roll[[#This Row],[Floor-
plan]]="studio",0,LEFT(Rent_Roll[[#This Row],[Floor-
plan]],1))</f>
        <v>2</v>
      </c>
      <c r="F52" s="162" cm="1">
        <f t="array" ref="F5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52" s="1336">
        <v>1099</v>
      </c>
      <c r="H52" s="722" t="s">
        <v>244</v>
      </c>
      <c r="I52" s="722"/>
      <c r="J52" s="1337" t="str" cm="1">
        <f t="array" ref="J5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52" s="1338">
        <v>44771</v>
      </c>
      <c r="L52" s="147">
        <v>45135</v>
      </c>
      <c r="M52" s="1339" cm="1">
        <f t="array" ref="M5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52" s="1337" t="str">
        <f>IF(OR(Rent_Roll[[#This Row],[MTM Fee]]="",Rent_Roll[[#This Row],[MTM Fee]]=0),"","MTM Lease")</f>
        <v/>
      </c>
      <c r="O52" s="1340">
        <f ca="1">IFERROR(IF(Rent_Roll[[#This Row],[Lease
Exp]]="","",DATEDIF($F$3,Rent_Roll[[#This Row],[Lease
Exp]],"m")+1),0)</f>
        <v>7</v>
      </c>
      <c r="P52" s="1341"/>
      <c r="Q52" s="1342" t="str" cm="1">
        <f t="array" ref="Q5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52" s="1343">
        <v>1460</v>
      </c>
      <c r="S52" s="723">
        <v>1460</v>
      </c>
      <c r="T52" s="723"/>
      <c r="U52" s="550">
        <f>Rent_Roll[[#This Row],[Lease
Rent]]+Rent_Roll[[#This Row],[Corp
Rent]]</f>
        <v>1460</v>
      </c>
      <c r="V52" s="1344">
        <f>IF(Rent_Roll[[#This Row],[Total In-Place
Rent]]=0,0,Rent_Roll[[#This Row],[Total In-Place
Rent]]-Rent_Roll[[#This Row],[Market
Rent]])</f>
        <v>0</v>
      </c>
      <c r="W52" s="1343">
        <v>0</v>
      </c>
      <c r="X52" s="723"/>
      <c r="Y52" s="723"/>
      <c r="Z52" s="723"/>
      <c r="AA52" s="1345"/>
      <c r="AB52" s="723"/>
      <c r="AC52" s="723"/>
      <c r="AD52" s="723"/>
      <c r="AE52" s="723"/>
      <c r="AF52" s="723"/>
      <c r="AG52" s="147"/>
      <c r="AH52" s="147"/>
      <c r="AI52" s="1348" t="str">
        <f>IF(Rent_Roll[[#This Row],[Future
Lease Start]]="","",DATEDIF(Rent_Roll[[#This Row],[Future
Lease Start]],Rent_Roll[[#This Row],[Future
Lease Exp]],"m")+1)</f>
        <v/>
      </c>
      <c r="AJ52" s="1347"/>
    </row>
    <row r="53" spans="2:36" x14ac:dyDescent="0.2">
      <c r="B53" s="638"/>
      <c r="C53" s="638">
        <v>233</v>
      </c>
      <c r="D53" s="638" t="s">
        <v>871</v>
      </c>
      <c r="E53" s="162" t="str">
        <f>IF(Rent_Roll[[#This Row],[Floor-
plan]]="studio",0,LEFT(Rent_Roll[[#This Row],[Floor-
plan]],1))</f>
        <v>1</v>
      </c>
      <c r="F53" s="162" t="str" cm="1">
        <f t="array" ref="F5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53" s="1336">
        <v>1153</v>
      </c>
      <c r="H53" s="722" t="s">
        <v>244</v>
      </c>
      <c r="I53" s="722"/>
      <c r="J53" s="1337" t="str" cm="1">
        <f t="array" ref="J5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1x1-S</v>
      </c>
      <c r="K53" s="1338">
        <v>44727</v>
      </c>
      <c r="L53" s="147">
        <v>45091</v>
      </c>
      <c r="M53" s="1339" cm="1">
        <f t="array" ref="M5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53" s="1337" t="str">
        <f>IF(OR(Rent_Roll[[#This Row],[MTM Fee]]="",Rent_Roll[[#This Row],[MTM Fee]]=0),"","MTM Lease")</f>
        <v/>
      </c>
      <c r="O53" s="1340">
        <f ca="1">IFERROR(IF(Rent_Roll[[#This Row],[Lease
Exp]]="","",DATEDIF($F$3,Rent_Roll[[#This Row],[Lease
Exp]],"m")+1),0)</f>
        <v>5</v>
      </c>
      <c r="P53" s="1341"/>
      <c r="Q53" s="1342" t="str" cm="1">
        <f t="array" ref="Q5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53" s="1343">
        <v>1420</v>
      </c>
      <c r="S53" s="723">
        <v>1235</v>
      </c>
      <c r="T53" s="723"/>
      <c r="U53" s="550">
        <f>Rent_Roll[[#This Row],[Lease
Rent]]+Rent_Roll[[#This Row],[Corp
Rent]]</f>
        <v>1235</v>
      </c>
      <c r="V53" s="1344">
        <f>IF(Rent_Roll[[#This Row],[Total In-Place
Rent]]=0,0,Rent_Roll[[#This Row],[Total In-Place
Rent]]-Rent_Roll[[#This Row],[Market
Rent]])</f>
        <v>-185</v>
      </c>
      <c r="W53" s="1343">
        <v>0</v>
      </c>
      <c r="X53" s="723"/>
      <c r="Y53" s="723"/>
      <c r="Z53" s="723"/>
      <c r="AA53" s="1345"/>
      <c r="AB53" s="723"/>
      <c r="AC53" s="723"/>
      <c r="AD53" s="723"/>
      <c r="AE53" s="723"/>
      <c r="AF53" s="723"/>
      <c r="AG53" s="147"/>
      <c r="AH53" s="147"/>
      <c r="AI53" s="1348" t="str">
        <f>IF(Rent_Roll[[#This Row],[Future
Lease Start]]="","",DATEDIF(Rent_Roll[[#This Row],[Future
Lease Start]],Rent_Roll[[#This Row],[Future
Lease Exp]],"m")+1)</f>
        <v/>
      </c>
      <c r="AJ53" s="1347"/>
    </row>
    <row r="54" spans="2:36" x14ac:dyDescent="0.2">
      <c r="B54" s="638"/>
      <c r="C54" s="638">
        <v>234</v>
      </c>
      <c r="D54" s="638" t="s">
        <v>868</v>
      </c>
      <c r="E54" s="162" t="str">
        <f>IF(Rent_Roll[[#This Row],[Floor-
plan]]="studio",0,LEFT(Rent_Roll[[#This Row],[Floor-
plan]],1))</f>
        <v>1</v>
      </c>
      <c r="F54" s="162" cm="1">
        <f t="array" ref="F5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54" s="1336">
        <v>1020</v>
      </c>
      <c r="H54" s="722" t="s">
        <v>244</v>
      </c>
      <c r="I54" s="722"/>
      <c r="J54" s="1337" t="str" cm="1">
        <f t="array" ref="J5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54" s="1338">
        <v>44765</v>
      </c>
      <c r="L54" s="147">
        <v>45129</v>
      </c>
      <c r="M54" s="1339" cm="1">
        <f t="array" ref="M5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54" s="1337" t="str">
        <f>IF(OR(Rent_Roll[[#This Row],[MTM Fee]]="",Rent_Roll[[#This Row],[MTM Fee]]=0),"","MTM Lease")</f>
        <v/>
      </c>
      <c r="O54" s="1340">
        <f ca="1">IFERROR(IF(Rent_Roll[[#This Row],[Lease
Exp]]="","",DATEDIF($F$3,Rent_Roll[[#This Row],[Lease
Exp]],"m")+1),0)</f>
        <v>6</v>
      </c>
      <c r="P54" s="1341"/>
      <c r="Q54" s="1342" t="str" cm="1">
        <f t="array" ref="Q5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54" s="1343">
        <v>1300</v>
      </c>
      <c r="S54" s="723">
        <v>1220</v>
      </c>
      <c r="T54" s="723"/>
      <c r="U54" s="550">
        <f>Rent_Roll[[#This Row],[Lease
Rent]]+Rent_Roll[[#This Row],[Corp
Rent]]</f>
        <v>1220</v>
      </c>
      <c r="V54" s="1344">
        <f>IF(Rent_Roll[[#This Row],[Total In-Place
Rent]]=0,0,Rent_Roll[[#This Row],[Total In-Place
Rent]]-Rent_Roll[[#This Row],[Market
Rent]])</f>
        <v>-80</v>
      </c>
      <c r="W54" s="1343">
        <v>0</v>
      </c>
      <c r="X54" s="723"/>
      <c r="Y54" s="723"/>
      <c r="Z54" s="723"/>
      <c r="AA54" s="1345"/>
      <c r="AB54" s="723"/>
      <c r="AC54" s="723"/>
      <c r="AD54" s="723"/>
      <c r="AE54" s="723"/>
      <c r="AF54" s="723"/>
      <c r="AG54" s="147"/>
      <c r="AH54" s="147"/>
      <c r="AI54" s="1348" t="str">
        <f>IF(Rent_Roll[[#This Row],[Future
Lease Start]]="","",DATEDIF(Rent_Roll[[#This Row],[Future
Lease Start]],Rent_Roll[[#This Row],[Future
Lease Exp]],"m")+1)</f>
        <v/>
      </c>
      <c r="AJ54" s="1347"/>
    </row>
    <row r="55" spans="2:36" x14ac:dyDescent="0.2">
      <c r="B55" s="638"/>
      <c r="C55" s="638">
        <v>235</v>
      </c>
      <c r="D55" s="638" t="s">
        <v>868</v>
      </c>
      <c r="E55" s="162" t="str">
        <f>IF(Rent_Roll[[#This Row],[Floor-
plan]]="studio",0,LEFT(Rent_Roll[[#This Row],[Floor-
plan]],1))</f>
        <v>1</v>
      </c>
      <c r="F55" s="162" cm="1">
        <f t="array" ref="F5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55" s="1336">
        <v>1020</v>
      </c>
      <c r="H55" s="722" t="s">
        <v>244</v>
      </c>
      <c r="I55" s="722"/>
      <c r="J55" s="1337" t="str" cm="1">
        <f t="array" ref="J5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55" s="1338">
        <v>44678</v>
      </c>
      <c r="L55" s="147">
        <v>45042</v>
      </c>
      <c r="M55" s="1339" cm="1">
        <f t="array" ref="M5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55" s="1337" t="str">
        <f>IF(OR(Rent_Roll[[#This Row],[MTM Fee]]="",Rent_Roll[[#This Row],[MTM Fee]]=0),"","MTM Lease")</f>
        <v/>
      </c>
      <c r="O55" s="1340">
        <f ca="1">IFERROR(IF(Rent_Roll[[#This Row],[Lease
Exp]]="","",DATEDIF($F$3,Rent_Roll[[#This Row],[Lease
Exp]],"m")+1),0)</f>
        <v>4</v>
      </c>
      <c r="P55" s="1341"/>
      <c r="Q55" s="1342" t="str" cm="1">
        <f t="array" ref="Q5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55" s="1343">
        <v>1300</v>
      </c>
      <c r="S55" s="723">
        <v>1175</v>
      </c>
      <c r="T55" s="723"/>
      <c r="U55" s="550">
        <f>Rent_Roll[[#This Row],[Lease
Rent]]+Rent_Roll[[#This Row],[Corp
Rent]]</f>
        <v>1175</v>
      </c>
      <c r="V55" s="1344">
        <f>IF(Rent_Roll[[#This Row],[Total In-Place
Rent]]=0,0,Rent_Roll[[#This Row],[Total In-Place
Rent]]-Rent_Roll[[#This Row],[Market
Rent]])</f>
        <v>-125</v>
      </c>
      <c r="W55" s="1343">
        <v>0</v>
      </c>
      <c r="X55" s="723"/>
      <c r="Y55" s="723"/>
      <c r="Z55" s="723"/>
      <c r="AA55" s="1345"/>
      <c r="AB55" s="723"/>
      <c r="AC55" s="723"/>
      <c r="AD55" s="723"/>
      <c r="AE55" s="723"/>
      <c r="AF55" s="723"/>
      <c r="AG55" s="147"/>
      <c r="AH55" s="147"/>
      <c r="AI55" s="1348" t="str">
        <f>IF(Rent_Roll[[#This Row],[Future
Lease Start]]="","",DATEDIF(Rent_Roll[[#This Row],[Future
Lease Start]],Rent_Roll[[#This Row],[Future
Lease Exp]],"m")+1)</f>
        <v/>
      </c>
      <c r="AJ55" s="1347"/>
    </row>
    <row r="56" spans="2:36" x14ac:dyDescent="0.2">
      <c r="B56" s="638"/>
      <c r="C56" s="638">
        <v>236</v>
      </c>
      <c r="D56" s="638" t="s">
        <v>871</v>
      </c>
      <c r="E56" s="162" t="str">
        <f>IF(Rent_Roll[[#This Row],[Floor-
plan]]="studio",0,LEFT(Rent_Roll[[#This Row],[Floor-
plan]],1))</f>
        <v>1</v>
      </c>
      <c r="F56" s="162" t="str" cm="1">
        <f t="array" ref="F5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56" s="1336">
        <v>1153</v>
      </c>
      <c r="H56" s="722" t="s">
        <v>244</v>
      </c>
      <c r="I56" s="722"/>
      <c r="J56" s="1337" t="str" cm="1">
        <f t="array" ref="J5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1x1-S</v>
      </c>
      <c r="K56" s="1338">
        <v>44793</v>
      </c>
      <c r="L56" s="147">
        <v>45157</v>
      </c>
      <c r="M56" s="1339" cm="1">
        <f t="array" ref="M5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56" s="1337" t="str">
        <f>IF(OR(Rent_Roll[[#This Row],[MTM Fee]]="",Rent_Roll[[#This Row],[MTM Fee]]=0),"","MTM Lease")</f>
        <v/>
      </c>
      <c r="O56" s="1340">
        <f ca="1">IFERROR(IF(Rent_Roll[[#This Row],[Lease
Exp]]="","",DATEDIF($F$3,Rent_Roll[[#This Row],[Lease
Exp]],"m")+1),0)</f>
        <v>7</v>
      </c>
      <c r="P56" s="1341"/>
      <c r="Q56" s="1342" t="str" cm="1">
        <f t="array" ref="Q5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56" s="1343">
        <v>1420</v>
      </c>
      <c r="S56" s="723">
        <v>1420</v>
      </c>
      <c r="T56" s="723"/>
      <c r="U56" s="550">
        <f>Rent_Roll[[#This Row],[Lease
Rent]]+Rent_Roll[[#This Row],[Corp
Rent]]</f>
        <v>1420</v>
      </c>
      <c r="V56" s="1344">
        <f>IF(Rent_Roll[[#This Row],[Total In-Place
Rent]]=0,0,Rent_Roll[[#This Row],[Total In-Place
Rent]]-Rent_Roll[[#This Row],[Market
Rent]])</f>
        <v>0</v>
      </c>
      <c r="W56" s="1343">
        <v>0</v>
      </c>
      <c r="X56" s="723"/>
      <c r="Y56" s="723"/>
      <c r="Z56" s="723"/>
      <c r="AA56" s="1345"/>
      <c r="AB56" s="723"/>
      <c r="AC56" s="723"/>
      <c r="AD56" s="723"/>
      <c r="AE56" s="723"/>
      <c r="AF56" s="723"/>
      <c r="AG56" s="147"/>
      <c r="AH56" s="147"/>
      <c r="AI56" s="1348" t="str">
        <f>IF(Rent_Roll[[#This Row],[Future
Lease Start]]="","",DATEDIF(Rent_Roll[[#This Row],[Future
Lease Start]],Rent_Roll[[#This Row],[Future
Lease Exp]],"m")+1)</f>
        <v/>
      </c>
      <c r="AJ56" s="1347"/>
    </row>
    <row r="57" spans="2:36" x14ac:dyDescent="0.2">
      <c r="B57" s="638"/>
      <c r="C57" s="638">
        <v>237</v>
      </c>
      <c r="D57" s="638" t="s">
        <v>870</v>
      </c>
      <c r="E57" s="162" t="str">
        <f>IF(Rent_Roll[[#This Row],[Floor-
plan]]="studio",0,LEFT(Rent_Roll[[#This Row],[Floor-
plan]],1))</f>
        <v>2</v>
      </c>
      <c r="F57" s="162" cm="1">
        <f t="array" ref="F5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57" s="1336">
        <v>1099</v>
      </c>
      <c r="H57" s="722" t="s">
        <v>244</v>
      </c>
      <c r="I57" s="722"/>
      <c r="J57" s="1337" t="str" cm="1">
        <f t="array" ref="J5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57" s="1338">
        <v>44560</v>
      </c>
      <c r="L57" s="147">
        <v>44924</v>
      </c>
      <c r="M57" s="1339" cm="1">
        <f t="array" ref="M5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57" s="1337" t="str">
        <f>IF(OR(Rent_Roll[[#This Row],[MTM Fee]]="",Rent_Roll[[#This Row],[MTM Fee]]=0),"","MTM Lease")</f>
        <v/>
      </c>
      <c r="O57" s="1340">
        <f ca="1">IFERROR(IF(Rent_Roll[[#This Row],[Lease
Exp]]="","",DATEDIF($F$3,Rent_Roll[[#This Row],[Lease
Exp]],"m")+1),0)</f>
        <v>0</v>
      </c>
      <c r="P57" s="1341"/>
      <c r="Q57" s="1342" t="str" cm="1">
        <f t="array" ref="Q5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57" s="1343">
        <v>1460</v>
      </c>
      <c r="S57" s="723">
        <v>1150</v>
      </c>
      <c r="T57" s="723"/>
      <c r="U57" s="550">
        <f>Rent_Roll[[#This Row],[Lease
Rent]]+Rent_Roll[[#This Row],[Corp
Rent]]</f>
        <v>1150</v>
      </c>
      <c r="V57" s="1344">
        <f>IF(Rent_Roll[[#This Row],[Total In-Place
Rent]]=0,0,Rent_Roll[[#This Row],[Total In-Place
Rent]]-Rent_Roll[[#This Row],[Market
Rent]])</f>
        <v>-310</v>
      </c>
      <c r="W57" s="1343">
        <v>0</v>
      </c>
      <c r="X57" s="723"/>
      <c r="Y57" s="723"/>
      <c r="Z57" s="723"/>
      <c r="AA57" s="1345"/>
      <c r="AB57" s="723"/>
      <c r="AC57" s="723"/>
      <c r="AD57" s="723"/>
      <c r="AE57" s="723"/>
      <c r="AF57" s="723"/>
      <c r="AG57" s="147"/>
      <c r="AH57" s="147"/>
      <c r="AI57" s="1348" t="str">
        <f>IF(Rent_Roll[[#This Row],[Future
Lease Start]]="","",DATEDIF(Rent_Roll[[#This Row],[Future
Lease Start]],Rent_Roll[[#This Row],[Future
Lease Exp]],"m")+1)</f>
        <v/>
      </c>
      <c r="AJ57" s="1347"/>
    </row>
    <row r="58" spans="2:36" x14ac:dyDescent="0.2">
      <c r="B58" s="638"/>
      <c r="C58" s="638">
        <v>238</v>
      </c>
      <c r="D58" s="638" t="s">
        <v>870</v>
      </c>
      <c r="E58" s="162" t="str">
        <f>IF(Rent_Roll[[#This Row],[Floor-
plan]]="studio",0,LEFT(Rent_Roll[[#This Row],[Floor-
plan]],1))</f>
        <v>2</v>
      </c>
      <c r="F58" s="162" cm="1">
        <f t="array" ref="F5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58" s="1336">
        <v>1099</v>
      </c>
      <c r="H58" s="722" t="s">
        <v>244</v>
      </c>
      <c r="I58" s="722"/>
      <c r="J58" s="1337" t="str" cm="1">
        <f t="array" ref="J5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58" s="1338">
        <v>44738</v>
      </c>
      <c r="L58" s="147">
        <v>45132</v>
      </c>
      <c r="M58" s="1339" cm="1">
        <f t="array" ref="M58">_xlfn.IFS(Rent_Roll[[#This Row],[Lease
Exp]]="","",Rent_Roll[[#This Row],[MTM
Lease]]="MTM Lease","--",Rent_Roll[[#This Row],[Lease
Exp]]&gt;0,(DATEDIF(Rent_Roll[[#This Row],[Lease
Start]],Rent_Roll[[#This Row],[Lease
Exp]],"m")+1))</f>
        <v>13</v>
      </c>
      <c r="N58" s="1337" t="str">
        <f>IF(OR(Rent_Roll[[#This Row],[MTM Fee]]="",Rent_Roll[[#This Row],[MTM Fee]]=0),"","MTM Lease")</f>
        <v/>
      </c>
      <c r="O58" s="1340">
        <f ca="1">IFERROR(IF(Rent_Roll[[#This Row],[Lease
Exp]]="","",DATEDIF($F$3,Rent_Roll[[#This Row],[Lease
Exp]],"m")+1),0)</f>
        <v>7</v>
      </c>
      <c r="P58" s="1341"/>
      <c r="Q58" s="1342" t="str" cm="1">
        <f t="array" ref="Q5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58" s="1343">
        <v>1440</v>
      </c>
      <c r="S58" s="723">
        <v>1440</v>
      </c>
      <c r="T58" s="723"/>
      <c r="U58" s="550">
        <f>Rent_Roll[[#This Row],[Lease
Rent]]+Rent_Roll[[#This Row],[Corp
Rent]]</f>
        <v>1440</v>
      </c>
      <c r="V58" s="1344">
        <f>IF(Rent_Roll[[#This Row],[Total In-Place
Rent]]=0,0,Rent_Roll[[#This Row],[Total In-Place
Rent]]-Rent_Roll[[#This Row],[Market
Rent]])</f>
        <v>0</v>
      </c>
      <c r="W58" s="1343">
        <v>0</v>
      </c>
      <c r="X58" s="723"/>
      <c r="Y58" s="723"/>
      <c r="Z58" s="723"/>
      <c r="AA58" s="1345"/>
      <c r="AB58" s="723"/>
      <c r="AC58" s="723"/>
      <c r="AD58" s="723"/>
      <c r="AE58" s="723"/>
      <c r="AF58" s="723"/>
      <c r="AG58" s="147"/>
      <c r="AH58" s="147"/>
      <c r="AI58" s="1348" t="str">
        <f>IF(Rent_Roll[[#This Row],[Future
Lease Start]]="","",DATEDIF(Rent_Roll[[#This Row],[Future
Lease Start]],Rent_Roll[[#This Row],[Future
Lease Exp]],"m")+1)</f>
        <v/>
      </c>
      <c r="AJ58" s="1347"/>
    </row>
    <row r="59" spans="2:36" x14ac:dyDescent="0.2">
      <c r="B59" s="638"/>
      <c r="C59" s="638">
        <v>311</v>
      </c>
      <c r="D59" s="638" t="s">
        <v>866</v>
      </c>
      <c r="E59" s="162" t="str">
        <f>IF(Rent_Roll[[#This Row],[Floor-
plan]]="studio",0,LEFT(Rent_Roll[[#This Row],[Floor-
plan]],1))</f>
        <v>2</v>
      </c>
      <c r="F59" s="162" cm="1">
        <f t="array" ref="F5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59" s="1336">
        <v>1000</v>
      </c>
      <c r="H59" s="722" t="s">
        <v>244</v>
      </c>
      <c r="I59" s="722"/>
      <c r="J59" s="1337" t="str" cm="1">
        <f t="array" ref="J5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59" s="1338">
        <v>44674</v>
      </c>
      <c r="L59" s="147">
        <v>45038</v>
      </c>
      <c r="M59" s="1339" cm="1">
        <f t="array" ref="M5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59" s="1337" t="str">
        <f>IF(OR(Rent_Roll[[#This Row],[MTM Fee]]="",Rent_Roll[[#This Row],[MTM Fee]]=0),"","MTM Lease")</f>
        <v/>
      </c>
      <c r="O59" s="1340">
        <f ca="1">IFERROR(IF(Rent_Roll[[#This Row],[Lease
Exp]]="","",DATEDIF($F$3,Rent_Roll[[#This Row],[Lease
Exp]],"m")+1),0)</f>
        <v>3</v>
      </c>
      <c r="P59" s="1341"/>
      <c r="Q59" s="1342" t="str" cm="1">
        <f t="array" ref="Q5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59" s="1343">
        <v>1380</v>
      </c>
      <c r="S59" s="723">
        <v>1380</v>
      </c>
      <c r="T59" s="723"/>
      <c r="U59" s="550">
        <f>Rent_Roll[[#This Row],[Lease
Rent]]+Rent_Roll[[#This Row],[Corp
Rent]]</f>
        <v>1380</v>
      </c>
      <c r="V59" s="1344">
        <f>IF(Rent_Roll[[#This Row],[Total In-Place
Rent]]=0,0,Rent_Roll[[#This Row],[Total In-Place
Rent]]-Rent_Roll[[#This Row],[Market
Rent]])</f>
        <v>0</v>
      </c>
      <c r="W59" s="1343">
        <v>0</v>
      </c>
      <c r="X59" s="723"/>
      <c r="Y59" s="723"/>
      <c r="Z59" s="723"/>
      <c r="AA59" s="1345"/>
      <c r="AB59" s="723"/>
      <c r="AC59" s="723"/>
      <c r="AD59" s="723"/>
      <c r="AE59" s="723"/>
      <c r="AF59" s="723"/>
      <c r="AG59" s="147"/>
      <c r="AH59" s="147"/>
      <c r="AI59" s="1348" t="str">
        <f>IF(Rent_Roll[[#This Row],[Future
Lease Start]]="","",DATEDIF(Rent_Roll[[#This Row],[Future
Lease Start]],Rent_Roll[[#This Row],[Future
Lease Exp]],"m")+1)</f>
        <v/>
      </c>
      <c r="AJ59" s="1347"/>
    </row>
    <row r="60" spans="2:36" x14ac:dyDescent="0.2">
      <c r="B60" s="638"/>
      <c r="C60" s="638">
        <v>312</v>
      </c>
      <c r="D60" s="638" t="s">
        <v>866</v>
      </c>
      <c r="E60" s="162" t="str">
        <f>IF(Rent_Roll[[#This Row],[Floor-
plan]]="studio",0,LEFT(Rent_Roll[[#This Row],[Floor-
plan]],1))</f>
        <v>2</v>
      </c>
      <c r="F60" s="162" cm="1">
        <f t="array" ref="F6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60" s="1336">
        <v>1000</v>
      </c>
      <c r="H60" s="722" t="s">
        <v>244</v>
      </c>
      <c r="I60" s="722"/>
      <c r="J60" s="1337" t="str" cm="1">
        <f t="array" ref="J6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60" s="1338">
        <v>44657</v>
      </c>
      <c r="L60" s="147">
        <v>45021</v>
      </c>
      <c r="M60" s="1339" cm="1">
        <f t="array" ref="M6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60" s="1337" t="str">
        <f>IF(OR(Rent_Roll[[#This Row],[MTM Fee]]="",Rent_Roll[[#This Row],[MTM Fee]]=0),"","MTM Lease")</f>
        <v/>
      </c>
      <c r="O60" s="1340">
        <f ca="1">IFERROR(IF(Rent_Roll[[#This Row],[Lease
Exp]]="","",DATEDIF($F$3,Rent_Roll[[#This Row],[Lease
Exp]],"m")+1),0)</f>
        <v>3</v>
      </c>
      <c r="P60" s="1341"/>
      <c r="Q60" s="1342" t="str" cm="1">
        <f t="array" ref="Q6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60" s="1343">
        <v>1380</v>
      </c>
      <c r="S60" s="723">
        <v>1200</v>
      </c>
      <c r="T60" s="723"/>
      <c r="U60" s="550">
        <f>Rent_Roll[[#This Row],[Lease
Rent]]+Rent_Roll[[#This Row],[Corp
Rent]]</f>
        <v>1200</v>
      </c>
      <c r="V60" s="1344">
        <f>IF(Rent_Roll[[#This Row],[Total In-Place
Rent]]=0,0,Rent_Roll[[#This Row],[Total In-Place
Rent]]-Rent_Roll[[#This Row],[Market
Rent]])</f>
        <v>-180</v>
      </c>
      <c r="W60" s="1343">
        <v>0</v>
      </c>
      <c r="X60" s="723"/>
      <c r="Y60" s="723"/>
      <c r="Z60" s="723"/>
      <c r="AA60" s="1345"/>
      <c r="AB60" s="723"/>
      <c r="AC60" s="723"/>
      <c r="AD60" s="723"/>
      <c r="AE60" s="723"/>
      <c r="AF60" s="723"/>
      <c r="AG60" s="147"/>
      <c r="AH60" s="147"/>
      <c r="AI60" s="1348" t="str">
        <f>IF(Rent_Roll[[#This Row],[Future
Lease Start]]="","",DATEDIF(Rent_Roll[[#This Row],[Future
Lease Start]],Rent_Roll[[#This Row],[Future
Lease Exp]],"m")+1)</f>
        <v/>
      </c>
      <c r="AJ60" s="1347"/>
    </row>
    <row r="61" spans="2:36" x14ac:dyDescent="0.2">
      <c r="B61" s="638"/>
      <c r="C61" s="638">
        <v>313</v>
      </c>
      <c r="D61" s="638" t="s">
        <v>868</v>
      </c>
      <c r="E61" s="162" t="str">
        <f>IF(Rent_Roll[[#This Row],[Floor-
plan]]="studio",0,LEFT(Rent_Roll[[#This Row],[Floor-
plan]],1))</f>
        <v>1</v>
      </c>
      <c r="F61" s="162" cm="1">
        <f t="array" ref="F6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61" s="1336">
        <v>642</v>
      </c>
      <c r="H61" s="722" t="s">
        <v>244</v>
      </c>
      <c r="I61" s="722"/>
      <c r="J61" s="1337" t="str" cm="1">
        <f t="array" ref="J6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61" s="1338">
        <v>44676</v>
      </c>
      <c r="L61" s="147">
        <v>45040</v>
      </c>
      <c r="M61" s="1339" cm="1">
        <f t="array" ref="M6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61" s="1337" t="str">
        <f>IF(OR(Rent_Roll[[#This Row],[MTM Fee]]="",Rent_Roll[[#This Row],[MTM Fee]]=0),"","MTM Lease")</f>
        <v/>
      </c>
      <c r="O61" s="1340">
        <f ca="1">IFERROR(IF(Rent_Roll[[#This Row],[Lease
Exp]]="","",DATEDIF($F$3,Rent_Roll[[#This Row],[Lease
Exp]],"m")+1),0)</f>
        <v>3</v>
      </c>
      <c r="P61" s="1341"/>
      <c r="Q61" s="1342" t="str" cm="1">
        <f t="array" ref="Q6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61" s="1343">
        <v>1095</v>
      </c>
      <c r="S61" s="723">
        <v>1095</v>
      </c>
      <c r="T61" s="723"/>
      <c r="U61" s="550">
        <f>Rent_Roll[[#This Row],[Lease
Rent]]+Rent_Roll[[#This Row],[Corp
Rent]]</f>
        <v>1095</v>
      </c>
      <c r="V61" s="1344">
        <f>IF(Rent_Roll[[#This Row],[Total In-Place
Rent]]=0,0,Rent_Roll[[#This Row],[Total In-Place
Rent]]-Rent_Roll[[#This Row],[Market
Rent]])</f>
        <v>0</v>
      </c>
      <c r="W61" s="1343">
        <v>0</v>
      </c>
      <c r="X61" s="723"/>
      <c r="Y61" s="723"/>
      <c r="Z61" s="723"/>
      <c r="AA61" s="1345"/>
      <c r="AB61" s="723"/>
      <c r="AC61" s="723"/>
      <c r="AD61" s="723"/>
      <c r="AE61" s="723"/>
      <c r="AF61" s="723"/>
      <c r="AG61" s="147"/>
      <c r="AH61" s="147"/>
      <c r="AI61" s="1348" t="str">
        <f>IF(Rent_Roll[[#This Row],[Future
Lease Start]]="","",DATEDIF(Rent_Roll[[#This Row],[Future
Lease Start]],Rent_Roll[[#This Row],[Future
Lease Exp]],"m")+1)</f>
        <v/>
      </c>
      <c r="AJ61" s="1347"/>
    </row>
    <row r="62" spans="2:36" x14ac:dyDescent="0.2">
      <c r="B62" s="638"/>
      <c r="C62" s="638">
        <v>314</v>
      </c>
      <c r="D62" s="638" t="s">
        <v>868</v>
      </c>
      <c r="E62" s="162" t="str">
        <f>IF(Rent_Roll[[#This Row],[Floor-
plan]]="studio",0,LEFT(Rent_Roll[[#This Row],[Floor-
plan]],1))</f>
        <v>1</v>
      </c>
      <c r="F62" s="162" cm="1">
        <f t="array" ref="F6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62" s="1336">
        <v>642</v>
      </c>
      <c r="H62" s="722" t="s">
        <v>244</v>
      </c>
      <c r="I62" s="722"/>
      <c r="J62" s="1337" t="str" cm="1">
        <f t="array" ref="J6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62" s="1338">
        <v>44650</v>
      </c>
      <c r="L62" s="147">
        <v>45014</v>
      </c>
      <c r="M62" s="1339" cm="1">
        <f t="array" ref="M6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62" s="1337" t="str">
        <f>IF(OR(Rent_Roll[[#This Row],[MTM Fee]]="",Rent_Roll[[#This Row],[MTM Fee]]=0),"","MTM Lease")</f>
        <v/>
      </c>
      <c r="O62" s="1340">
        <f ca="1">IFERROR(IF(Rent_Roll[[#This Row],[Lease
Exp]]="","",DATEDIF($F$3,Rent_Roll[[#This Row],[Lease
Exp]],"m")+1),0)</f>
        <v>3</v>
      </c>
      <c r="P62" s="1341"/>
      <c r="Q62" s="1342" t="str" cm="1">
        <f t="array" ref="Q6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62" s="1343">
        <v>1095</v>
      </c>
      <c r="S62" s="723">
        <v>1000</v>
      </c>
      <c r="T62" s="723"/>
      <c r="U62" s="550">
        <f>Rent_Roll[[#This Row],[Lease
Rent]]+Rent_Roll[[#This Row],[Corp
Rent]]</f>
        <v>1000</v>
      </c>
      <c r="V62" s="1344">
        <f>IF(Rent_Roll[[#This Row],[Total In-Place
Rent]]=0,0,Rent_Roll[[#This Row],[Total In-Place
Rent]]-Rent_Roll[[#This Row],[Market
Rent]])</f>
        <v>-95</v>
      </c>
      <c r="W62" s="1343">
        <v>0</v>
      </c>
      <c r="X62" s="723"/>
      <c r="Y62" s="723"/>
      <c r="Z62" s="723"/>
      <c r="AA62" s="1345"/>
      <c r="AB62" s="723"/>
      <c r="AC62" s="723"/>
      <c r="AD62" s="723"/>
      <c r="AE62" s="723"/>
      <c r="AF62" s="723"/>
      <c r="AG62" s="147"/>
      <c r="AH62" s="147"/>
      <c r="AI62" s="1348" t="str">
        <f>IF(Rent_Roll[[#This Row],[Future
Lease Start]]="","",DATEDIF(Rent_Roll[[#This Row],[Future
Lease Start]],Rent_Roll[[#This Row],[Future
Lease Exp]],"m")+1)</f>
        <v/>
      </c>
      <c r="AJ62" s="1347"/>
    </row>
    <row r="63" spans="2:36" x14ac:dyDescent="0.2">
      <c r="B63" s="638"/>
      <c r="C63" s="638">
        <v>315</v>
      </c>
      <c r="D63" s="638" t="s">
        <v>868</v>
      </c>
      <c r="E63" s="162" t="str">
        <f>IF(Rent_Roll[[#This Row],[Floor-
plan]]="studio",0,LEFT(Rent_Roll[[#This Row],[Floor-
plan]],1))</f>
        <v>1</v>
      </c>
      <c r="F63" s="162" cm="1">
        <f t="array" ref="F6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63" s="1336">
        <v>642</v>
      </c>
      <c r="H63" s="722" t="s">
        <v>244</v>
      </c>
      <c r="I63" s="722"/>
      <c r="J63" s="1337" t="str" cm="1">
        <f t="array" ref="J6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63" s="1338">
        <v>44790</v>
      </c>
      <c r="L63" s="147">
        <v>45154</v>
      </c>
      <c r="M63" s="1339" cm="1">
        <f t="array" ref="M6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63" s="1337" t="str">
        <f>IF(OR(Rent_Roll[[#This Row],[MTM Fee]]="",Rent_Roll[[#This Row],[MTM Fee]]=0),"","MTM Lease")</f>
        <v/>
      </c>
      <c r="O63" s="1340">
        <f ca="1">IFERROR(IF(Rent_Roll[[#This Row],[Lease
Exp]]="","",DATEDIF($F$3,Rent_Roll[[#This Row],[Lease
Exp]],"m")+1),0)</f>
        <v>7</v>
      </c>
      <c r="P63" s="1341"/>
      <c r="Q63" s="1342" t="str" cm="1">
        <f t="array" ref="Q6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63" s="1343">
        <v>1095</v>
      </c>
      <c r="S63" s="723">
        <v>1095</v>
      </c>
      <c r="T63" s="723"/>
      <c r="U63" s="550">
        <f>Rent_Roll[[#This Row],[Lease
Rent]]+Rent_Roll[[#This Row],[Corp
Rent]]</f>
        <v>1095</v>
      </c>
      <c r="V63" s="1344">
        <f>IF(Rent_Roll[[#This Row],[Total In-Place
Rent]]=0,0,Rent_Roll[[#This Row],[Total In-Place
Rent]]-Rent_Roll[[#This Row],[Market
Rent]])</f>
        <v>0</v>
      </c>
      <c r="W63" s="1343">
        <v>0</v>
      </c>
      <c r="X63" s="723"/>
      <c r="Y63" s="723"/>
      <c r="Z63" s="723"/>
      <c r="AA63" s="1345"/>
      <c r="AB63" s="723"/>
      <c r="AC63" s="723"/>
      <c r="AD63" s="723"/>
      <c r="AE63" s="723"/>
      <c r="AF63" s="723"/>
      <c r="AG63" s="147"/>
      <c r="AH63" s="147"/>
      <c r="AI63" s="1348" t="str">
        <f>IF(Rent_Roll[[#This Row],[Future
Lease Start]]="","",DATEDIF(Rent_Roll[[#This Row],[Future
Lease Start]],Rent_Roll[[#This Row],[Future
Lease Exp]],"m")+1)</f>
        <v/>
      </c>
      <c r="AJ63" s="1347"/>
    </row>
    <row r="64" spans="2:36" x14ac:dyDescent="0.2">
      <c r="B64" s="638"/>
      <c r="C64" s="638">
        <v>316</v>
      </c>
      <c r="D64" s="638" t="s">
        <v>868</v>
      </c>
      <c r="E64" s="162" t="str">
        <f>IF(Rent_Roll[[#This Row],[Floor-
plan]]="studio",0,LEFT(Rent_Roll[[#This Row],[Floor-
plan]],1))</f>
        <v>1</v>
      </c>
      <c r="F64" s="162" cm="1">
        <f t="array" ref="F6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64" s="1336">
        <v>642</v>
      </c>
      <c r="H64" s="722" t="s">
        <v>244</v>
      </c>
      <c r="I64" s="722"/>
      <c r="J64" s="1337" t="str" cm="1">
        <f t="array" ref="J6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64" s="1338">
        <v>44730</v>
      </c>
      <c r="L64" s="147">
        <v>45094</v>
      </c>
      <c r="M64" s="1339" cm="1">
        <f t="array" ref="M6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64" s="1337" t="str">
        <f>IF(OR(Rent_Roll[[#This Row],[MTM Fee]]="",Rent_Roll[[#This Row],[MTM Fee]]=0),"","MTM Lease")</f>
        <v/>
      </c>
      <c r="O64" s="1340">
        <f ca="1">IFERROR(IF(Rent_Roll[[#This Row],[Lease
Exp]]="","",DATEDIF($F$3,Rent_Roll[[#This Row],[Lease
Exp]],"m")+1),0)</f>
        <v>5</v>
      </c>
      <c r="P64" s="1341"/>
      <c r="Q64" s="1342" t="str" cm="1">
        <f t="array" ref="Q6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64" s="1343">
        <v>1095</v>
      </c>
      <c r="S64" s="723">
        <v>1095</v>
      </c>
      <c r="T64" s="723"/>
      <c r="U64" s="550">
        <f>Rent_Roll[[#This Row],[Lease
Rent]]+Rent_Roll[[#This Row],[Corp
Rent]]</f>
        <v>1095</v>
      </c>
      <c r="V64" s="1344">
        <f>IF(Rent_Roll[[#This Row],[Total In-Place
Rent]]=0,0,Rent_Roll[[#This Row],[Total In-Place
Rent]]-Rent_Roll[[#This Row],[Market
Rent]])</f>
        <v>0</v>
      </c>
      <c r="W64" s="1343">
        <v>0</v>
      </c>
      <c r="X64" s="723"/>
      <c r="Y64" s="723"/>
      <c r="Z64" s="723"/>
      <c r="AA64" s="1345"/>
      <c r="AB64" s="723"/>
      <c r="AC64" s="723"/>
      <c r="AD64" s="723"/>
      <c r="AE64" s="723"/>
      <c r="AF64" s="723"/>
      <c r="AG64" s="147"/>
      <c r="AH64" s="147"/>
      <c r="AI64" s="1348" t="str">
        <f>IF(Rent_Roll[[#This Row],[Future
Lease Start]]="","",DATEDIF(Rent_Roll[[#This Row],[Future
Lease Start]],Rent_Roll[[#This Row],[Future
Lease Exp]],"m")+1)</f>
        <v/>
      </c>
      <c r="AJ64" s="1347"/>
    </row>
    <row r="65" spans="2:36" x14ac:dyDescent="0.2">
      <c r="B65" s="638"/>
      <c r="C65" s="638">
        <v>317</v>
      </c>
      <c r="D65" s="638" t="s">
        <v>866</v>
      </c>
      <c r="E65" s="162" t="str">
        <f>IF(Rent_Roll[[#This Row],[Floor-
plan]]="studio",0,LEFT(Rent_Roll[[#This Row],[Floor-
plan]],1))</f>
        <v>2</v>
      </c>
      <c r="F65" s="162" cm="1">
        <f t="array" ref="F6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65" s="1336">
        <v>1000</v>
      </c>
      <c r="H65" s="722" t="s">
        <v>244</v>
      </c>
      <c r="I65" s="722"/>
      <c r="J65" s="1337" t="str" cm="1">
        <f t="array" ref="J6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65" s="1338">
        <v>44510</v>
      </c>
      <c r="L65" s="147">
        <v>44874</v>
      </c>
      <c r="M65" s="1339" cm="1">
        <f t="array" ref="M6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65" s="1337" t="str">
        <f>IF(OR(Rent_Roll[[#This Row],[MTM Fee]]="",Rent_Roll[[#This Row],[MTM Fee]]=0),"","MTM Lease")</f>
        <v/>
      </c>
      <c r="O65" s="1340">
        <f ca="1">IFERROR(IF(Rent_Roll[[#This Row],[Lease
Exp]]="","",DATEDIF($F$3,Rent_Roll[[#This Row],[Lease
Exp]],"m")+1),0)</f>
        <v>0</v>
      </c>
      <c r="P65" s="1341">
        <v>44867</v>
      </c>
      <c r="Q65" s="1342" t="str" cm="1">
        <f t="array" ref="Q6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65" s="1343">
        <v>1380</v>
      </c>
      <c r="S65" s="723">
        <v>1200</v>
      </c>
      <c r="T65" s="723"/>
      <c r="U65" s="550">
        <f>Rent_Roll[[#This Row],[Lease
Rent]]+Rent_Roll[[#This Row],[Corp
Rent]]</f>
        <v>1200</v>
      </c>
      <c r="V65" s="1344">
        <f>IF(Rent_Roll[[#This Row],[Total In-Place
Rent]]=0,0,Rent_Roll[[#This Row],[Total In-Place
Rent]]-Rent_Roll[[#This Row],[Market
Rent]])</f>
        <v>-180</v>
      </c>
      <c r="W65" s="1343">
        <v>0</v>
      </c>
      <c r="X65" s="723"/>
      <c r="Y65" s="723"/>
      <c r="Z65" s="723"/>
      <c r="AA65" s="1345"/>
      <c r="AB65" s="723"/>
      <c r="AC65" s="723"/>
      <c r="AD65" s="723"/>
      <c r="AE65" s="723"/>
      <c r="AF65" s="723"/>
      <c r="AG65" s="147"/>
      <c r="AH65" s="147"/>
      <c r="AI65" s="1348" t="str">
        <f>IF(Rent_Roll[[#This Row],[Future
Lease Start]]="","",DATEDIF(Rent_Roll[[#This Row],[Future
Lease Start]],Rent_Roll[[#This Row],[Future
Lease Exp]],"m")+1)</f>
        <v/>
      </c>
      <c r="AJ65" s="1347"/>
    </row>
    <row r="66" spans="2:36" x14ac:dyDescent="0.2">
      <c r="B66" s="638"/>
      <c r="C66" s="638">
        <v>318</v>
      </c>
      <c r="D66" s="638" t="s">
        <v>866</v>
      </c>
      <c r="E66" s="162" t="str">
        <f>IF(Rent_Roll[[#This Row],[Floor-
plan]]="studio",0,LEFT(Rent_Roll[[#This Row],[Floor-
plan]],1))</f>
        <v>2</v>
      </c>
      <c r="F66" s="162" cm="1">
        <f t="array" ref="F6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66" s="1336">
        <v>1000</v>
      </c>
      <c r="H66" s="722" t="s">
        <v>244</v>
      </c>
      <c r="I66" s="722"/>
      <c r="J66" s="1337" t="str" cm="1">
        <f t="array" ref="J6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66" s="1338">
        <v>44639</v>
      </c>
      <c r="L66" s="147">
        <v>45003</v>
      </c>
      <c r="M66" s="1339" cm="1">
        <f t="array" ref="M6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66" s="1337" t="str">
        <f>IF(OR(Rent_Roll[[#This Row],[MTM Fee]]="",Rent_Roll[[#This Row],[MTM Fee]]=0),"","MTM Lease")</f>
        <v/>
      </c>
      <c r="O66" s="1340">
        <f ca="1">IFERROR(IF(Rent_Roll[[#This Row],[Lease
Exp]]="","",DATEDIF($F$3,Rent_Roll[[#This Row],[Lease
Exp]],"m")+1),0)</f>
        <v>2</v>
      </c>
      <c r="P66" s="1341"/>
      <c r="Q66" s="1342" t="str" cm="1">
        <f t="array" ref="Q6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66" s="1343">
        <v>1380</v>
      </c>
      <c r="S66" s="723">
        <v>1380</v>
      </c>
      <c r="T66" s="723"/>
      <c r="U66" s="550">
        <f>Rent_Roll[[#This Row],[Lease
Rent]]+Rent_Roll[[#This Row],[Corp
Rent]]</f>
        <v>1380</v>
      </c>
      <c r="V66" s="1344">
        <f>IF(Rent_Roll[[#This Row],[Total In-Place
Rent]]=0,0,Rent_Roll[[#This Row],[Total In-Place
Rent]]-Rent_Roll[[#This Row],[Market
Rent]])</f>
        <v>0</v>
      </c>
      <c r="W66" s="1343">
        <v>0</v>
      </c>
      <c r="X66" s="723"/>
      <c r="Y66" s="723"/>
      <c r="Z66" s="723"/>
      <c r="AA66" s="1345"/>
      <c r="AB66" s="723"/>
      <c r="AC66" s="723"/>
      <c r="AD66" s="723"/>
      <c r="AE66" s="723"/>
      <c r="AF66" s="723"/>
      <c r="AG66" s="147"/>
      <c r="AH66" s="147"/>
      <c r="AI66" s="1348" t="str">
        <f>IF(Rent_Roll[[#This Row],[Future
Lease Start]]="","",DATEDIF(Rent_Roll[[#This Row],[Future
Lease Start]],Rent_Roll[[#This Row],[Future
Lease Exp]],"m")+1)</f>
        <v/>
      </c>
      <c r="AJ66" s="1347"/>
    </row>
    <row r="67" spans="2:36" x14ac:dyDescent="0.2">
      <c r="B67" s="638"/>
      <c r="C67" s="638">
        <v>321</v>
      </c>
      <c r="D67" s="638" t="s">
        <v>866</v>
      </c>
      <c r="E67" s="162" t="str">
        <f>IF(Rent_Roll[[#This Row],[Floor-
plan]]="studio",0,LEFT(Rent_Roll[[#This Row],[Floor-
plan]],1))</f>
        <v>2</v>
      </c>
      <c r="F67" s="162" cm="1">
        <f t="array" ref="F6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67" s="1336">
        <v>1000</v>
      </c>
      <c r="H67" s="722" t="s">
        <v>244</v>
      </c>
      <c r="I67" s="722"/>
      <c r="J67" s="1337" t="str" cm="1">
        <f t="array" ref="J6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67" s="1338">
        <v>44819</v>
      </c>
      <c r="L67" s="147">
        <v>45183</v>
      </c>
      <c r="M67" s="1339" cm="1">
        <f t="array" ref="M6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67" s="1337" t="str">
        <f>IF(OR(Rent_Roll[[#This Row],[MTM Fee]]="",Rent_Roll[[#This Row],[MTM Fee]]=0),"","MTM Lease")</f>
        <v/>
      </c>
      <c r="O67" s="1340">
        <f ca="1">IFERROR(IF(Rent_Roll[[#This Row],[Lease
Exp]]="","",DATEDIF($F$3,Rent_Roll[[#This Row],[Lease
Exp]],"m")+1),0)</f>
        <v>8</v>
      </c>
      <c r="P67" s="1341"/>
      <c r="Q67" s="1342" t="str" cm="1">
        <f t="array" ref="Q6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67" s="1343">
        <v>1360</v>
      </c>
      <c r="S67" s="723">
        <v>1285</v>
      </c>
      <c r="T67" s="723"/>
      <c r="U67" s="550">
        <f>Rent_Roll[[#This Row],[Lease
Rent]]+Rent_Roll[[#This Row],[Corp
Rent]]</f>
        <v>1285</v>
      </c>
      <c r="V67" s="1344">
        <f>IF(Rent_Roll[[#This Row],[Total In-Place
Rent]]=0,0,Rent_Roll[[#This Row],[Total In-Place
Rent]]-Rent_Roll[[#This Row],[Market
Rent]])</f>
        <v>-75</v>
      </c>
      <c r="W67" s="1343">
        <v>0</v>
      </c>
      <c r="X67" s="723"/>
      <c r="Y67" s="723"/>
      <c r="Z67" s="723"/>
      <c r="AA67" s="1345"/>
      <c r="AB67" s="723"/>
      <c r="AC67" s="723"/>
      <c r="AD67" s="723"/>
      <c r="AE67" s="723"/>
      <c r="AF67" s="723"/>
      <c r="AG67" s="147"/>
      <c r="AH67" s="147"/>
      <c r="AI67" s="1348" t="str">
        <f>IF(Rent_Roll[[#This Row],[Future
Lease Start]]="","",DATEDIF(Rent_Roll[[#This Row],[Future
Lease Start]],Rent_Roll[[#This Row],[Future
Lease Exp]],"m")+1)</f>
        <v/>
      </c>
      <c r="AJ67" s="1347"/>
    </row>
    <row r="68" spans="2:36" x14ac:dyDescent="0.2">
      <c r="B68" s="638"/>
      <c r="C68" s="638">
        <v>322</v>
      </c>
      <c r="D68" s="638" t="s">
        <v>866</v>
      </c>
      <c r="E68" s="162" t="str">
        <f>IF(Rent_Roll[[#This Row],[Floor-
plan]]="studio",0,LEFT(Rent_Roll[[#This Row],[Floor-
plan]],1))</f>
        <v>2</v>
      </c>
      <c r="F68" s="162" cm="1">
        <f t="array" ref="F6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68" s="1336">
        <v>1000</v>
      </c>
      <c r="H68" s="722" t="s">
        <v>245</v>
      </c>
      <c r="I68" s="722"/>
      <c r="J68" s="1337" t="str" cm="1">
        <f t="array" ref="J6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68" s="1338"/>
      <c r="L68" s="147"/>
      <c r="M68" s="1339" t="str" cm="1">
        <f t="array" ref="M68">_xlfn.IFS(Rent_Roll[[#This Row],[Lease
Exp]]="","",Rent_Roll[[#This Row],[MTM
Lease]]="MTM Lease","--",Rent_Roll[[#This Row],[Lease
Exp]]&gt;0,(DATEDIF(Rent_Roll[[#This Row],[Lease
Start]],Rent_Roll[[#This Row],[Lease
Exp]],"m")+1))</f>
        <v/>
      </c>
      <c r="N68" s="1337" t="str">
        <f>IF(OR(Rent_Roll[[#This Row],[MTM Fee]]="",Rent_Roll[[#This Row],[MTM Fee]]=0),"","MTM Lease")</f>
        <v/>
      </c>
      <c r="O68" s="1340" t="str">
        <f>IFERROR(IF(Rent_Roll[[#This Row],[Lease
Exp]]="","",DATEDIF($F$3,Rent_Roll[[#This Row],[Lease
Exp]],"m")+1),0)</f>
        <v/>
      </c>
      <c r="P68" s="1341"/>
      <c r="Q68" s="1342" t="str" cm="1">
        <f t="array" ref="Q6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68" s="1343">
        <v>1360</v>
      </c>
      <c r="S68" s="723">
        <v>0</v>
      </c>
      <c r="T68" s="723"/>
      <c r="U68" s="550">
        <f>Rent_Roll[[#This Row],[Lease
Rent]]+Rent_Roll[[#This Row],[Corp
Rent]]</f>
        <v>0</v>
      </c>
      <c r="V68" s="1344">
        <f>IF(Rent_Roll[[#This Row],[Total In-Place
Rent]]=0,0,Rent_Roll[[#This Row],[Total In-Place
Rent]]-Rent_Roll[[#This Row],[Market
Rent]])</f>
        <v>0</v>
      </c>
      <c r="W68" s="1343">
        <v>0</v>
      </c>
      <c r="X68" s="723"/>
      <c r="Y68" s="723"/>
      <c r="Z68" s="723"/>
      <c r="AA68" s="1345"/>
      <c r="AB68" s="723"/>
      <c r="AC68" s="723"/>
      <c r="AD68" s="723"/>
      <c r="AE68" s="723"/>
      <c r="AF68" s="723"/>
      <c r="AG68" s="147"/>
      <c r="AH68" s="147"/>
      <c r="AI68" s="1348" t="str">
        <f>IF(Rent_Roll[[#This Row],[Future
Lease Start]]="","",DATEDIF(Rent_Roll[[#This Row],[Future
Lease Start]],Rent_Roll[[#This Row],[Future
Lease Exp]],"m")+1)</f>
        <v/>
      </c>
      <c r="AJ68" s="1347"/>
    </row>
    <row r="69" spans="2:36" x14ac:dyDescent="0.2">
      <c r="B69" s="638"/>
      <c r="C69" s="638">
        <v>323</v>
      </c>
      <c r="D69" s="638" t="s">
        <v>868</v>
      </c>
      <c r="E69" s="162" t="str">
        <f>IF(Rent_Roll[[#This Row],[Floor-
plan]]="studio",0,LEFT(Rent_Roll[[#This Row],[Floor-
plan]],1))</f>
        <v>1</v>
      </c>
      <c r="F69" s="162" cm="1">
        <f t="array" ref="F6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69" s="1336">
        <v>642</v>
      </c>
      <c r="H69" s="722" t="s">
        <v>245</v>
      </c>
      <c r="I69" s="722"/>
      <c r="J69" s="1337" t="str" cm="1">
        <f t="array" ref="J6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69" s="1338" t="s">
        <v>873</v>
      </c>
      <c r="L69" s="147" t="s">
        <v>873</v>
      </c>
      <c r="M69" s="1339" t="str" cm="1">
        <f t="array" ref="M69">_xlfn.IFS(Rent_Roll[[#This Row],[Lease
Exp]]="","",Rent_Roll[[#This Row],[MTM
Lease]]="MTM Lease","--",Rent_Roll[[#This Row],[Lease
Exp]]&gt;0,(DATEDIF(Rent_Roll[[#This Row],[Lease
Start]],Rent_Roll[[#This Row],[Lease
Exp]],"m")+1))</f>
        <v/>
      </c>
      <c r="N69" s="1337" t="str">
        <f>IF(OR(Rent_Roll[[#This Row],[MTM Fee]]="",Rent_Roll[[#This Row],[MTM Fee]]=0),"","MTM Lease")</f>
        <v/>
      </c>
      <c r="O69" s="1340" t="str">
        <f>IFERROR(IF(Rent_Roll[[#This Row],[Lease
Exp]]="","",DATEDIF($F$3,Rent_Roll[[#This Row],[Lease
Exp]],"m")+1),0)</f>
        <v/>
      </c>
      <c r="P69" s="1341"/>
      <c r="Q69" s="1342" t="str" cm="1">
        <f t="array" ref="Q6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69" s="1343">
        <v>1075</v>
      </c>
      <c r="S69" s="723">
        <v>0</v>
      </c>
      <c r="T69" s="723"/>
      <c r="U69" s="550">
        <f>Rent_Roll[[#This Row],[Lease
Rent]]+Rent_Roll[[#This Row],[Corp
Rent]]</f>
        <v>0</v>
      </c>
      <c r="V69" s="1344">
        <f>IF(Rent_Roll[[#This Row],[Total In-Place
Rent]]=0,0,Rent_Roll[[#This Row],[Total In-Place
Rent]]-Rent_Roll[[#This Row],[Market
Rent]])</f>
        <v>0</v>
      </c>
      <c r="W69" s="1343">
        <v>0</v>
      </c>
      <c r="X69" s="723"/>
      <c r="Y69" s="723"/>
      <c r="Z69" s="723"/>
      <c r="AA69" s="1345"/>
      <c r="AB69" s="723"/>
      <c r="AC69" s="723"/>
      <c r="AD69" s="723"/>
      <c r="AE69" s="723"/>
      <c r="AF69" s="723"/>
      <c r="AG69" s="147"/>
      <c r="AH69" s="147"/>
      <c r="AI69" s="1348" t="str">
        <f>IF(Rent_Roll[[#This Row],[Future
Lease Start]]="","",DATEDIF(Rent_Roll[[#This Row],[Future
Lease Start]],Rent_Roll[[#This Row],[Future
Lease Exp]],"m")+1)</f>
        <v/>
      </c>
      <c r="AJ69" s="1347"/>
    </row>
    <row r="70" spans="2:36" x14ac:dyDescent="0.2">
      <c r="B70" s="638"/>
      <c r="C70" s="638">
        <v>324</v>
      </c>
      <c r="D70" s="638" t="s">
        <v>868</v>
      </c>
      <c r="E70" s="162" t="str">
        <f>IF(Rent_Roll[[#This Row],[Floor-
plan]]="studio",0,LEFT(Rent_Roll[[#This Row],[Floor-
plan]],1))</f>
        <v>1</v>
      </c>
      <c r="F70" s="162" cm="1">
        <f t="array" ref="F7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70" s="1336">
        <v>642</v>
      </c>
      <c r="H70" s="722" t="s">
        <v>244</v>
      </c>
      <c r="I70" s="722"/>
      <c r="J70" s="1337" t="str" cm="1">
        <f t="array" ref="J7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70" s="1338">
        <v>44763</v>
      </c>
      <c r="L70" s="147">
        <v>45127</v>
      </c>
      <c r="M70" s="1339" cm="1">
        <f t="array" ref="M7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70" s="1337" t="str">
        <f>IF(OR(Rent_Roll[[#This Row],[MTM Fee]]="",Rent_Roll[[#This Row],[MTM Fee]]=0),"","MTM Lease")</f>
        <v/>
      </c>
      <c r="O70" s="1340">
        <f ca="1">IFERROR(IF(Rent_Roll[[#This Row],[Lease
Exp]]="","",DATEDIF($F$3,Rent_Roll[[#This Row],[Lease
Exp]],"m")+1),0)</f>
        <v>6</v>
      </c>
      <c r="P70" s="1341"/>
      <c r="Q70" s="1342" t="str" cm="1">
        <f t="array" ref="Q7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70" s="1343">
        <v>1075</v>
      </c>
      <c r="S70" s="723">
        <v>930</v>
      </c>
      <c r="T70" s="723"/>
      <c r="U70" s="550">
        <f>Rent_Roll[[#This Row],[Lease
Rent]]+Rent_Roll[[#This Row],[Corp
Rent]]</f>
        <v>930</v>
      </c>
      <c r="V70" s="1344">
        <f>IF(Rent_Roll[[#This Row],[Total In-Place
Rent]]=0,0,Rent_Roll[[#This Row],[Total In-Place
Rent]]-Rent_Roll[[#This Row],[Market
Rent]])</f>
        <v>-145</v>
      </c>
      <c r="W70" s="1343">
        <v>0</v>
      </c>
      <c r="X70" s="723"/>
      <c r="Y70" s="723"/>
      <c r="Z70" s="723"/>
      <c r="AA70" s="1345"/>
      <c r="AB70" s="723"/>
      <c r="AC70" s="723"/>
      <c r="AD70" s="723"/>
      <c r="AE70" s="723"/>
      <c r="AF70" s="723"/>
      <c r="AG70" s="147"/>
      <c r="AH70" s="147"/>
      <c r="AI70" s="1348" t="str">
        <f>IF(Rent_Roll[[#This Row],[Future
Lease Start]]="","",DATEDIF(Rent_Roll[[#This Row],[Future
Lease Start]],Rent_Roll[[#This Row],[Future
Lease Exp]],"m")+1)</f>
        <v/>
      </c>
      <c r="AJ70" s="1347"/>
    </row>
    <row r="71" spans="2:36" x14ac:dyDescent="0.2">
      <c r="B71" s="638"/>
      <c r="C71" s="638">
        <v>325</v>
      </c>
      <c r="D71" s="638" t="s">
        <v>868</v>
      </c>
      <c r="E71" s="162" t="str">
        <f>IF(Rent_Roll[[#This Row],[Floor-
plan]]="studio",0,LEFT(Rent_Roll[[#This Row],[Floor-
plan]],1))</f>
        <v>1</v>
      </c>
      <c r="F71" s="162" cm="1">
        <f t="array" ref="F7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71" s="1336">
        <v>642</v>
      </c>
      <c r="H71" s="722" t="s">
        <v>244</v>
      </c>
      <c r="I71" s="722"/>
      <c r="J71" s="1337" t="str" cm="1">
        <f t="array" ref="J7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71" s="1338">
        <v>44799</v>
      </c>
      <c r="L71" s="147">
        <v>45163</v>
      </c>
      <c r="M71" s="1339" cm="1">
        <f t="array" ref="M7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71" s="1337" t="str">
        <f>IF(OR(Rent_Roll[[#This Row],[MTM Fee]]="",Rent_Roll[[#This Row],[MTM Fee]]=0),"","MTM Lease")</f>
        <v/>
      </c>
      <c r="O71" s="1340">
        <f ca="1">IFERROR(IF(Rent_Roll[[#This Row],[Lease
Exp]]="","",DATEDIF($F$3,Rent_Roll[[#This Row],[Lease
Exp]],"m")+1),0)</f>
        <v>8</v>
      </c>
      <c r="P71" s="1341"/>
      <c r="Q71" s="1342" t="str" cm="1">
        <f t="array" ref="Q7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71" s="1343">
        <v>1075</v>
      </c>
      <c r="S71" s="723">
        <v>950</v>
      </c>
      <c r="T71" s="723"/>
      <c r="U71" s="550">
        <f>Rent_Roll[[#This Row],[Lease
Rent]]+Rent_Roll[[#This Row],[Corp
Rent]]</f>
        <v>950</v>
      </c>
      <c r="V71" s="1344">
        <f>IF(Rent_Roll[[#This Row],[Total In-Place
Rent]]=0,0,Rent_Roll[[#This Row],[Total In-Place
Rent]]-Rent_Roll[[#This Row],[Market
Rent]])</f>
        <v>-125</v>
      </c>
      <c r="W71" s="1343">
        <v>0</v>
      </c>
      <c r="X71" s="723"/>
      <c r="Y71" s="723"/>
      <c r="Z71" s="723"/>
      <c r="AA71" s="1345"/>
      <c r="AB71" s="723"/>
      <c r="AC71" s="723"/>
      <c r="AD71" s="723"/>
      <c r="AE71" s="723"/>
      <c r="AF71" s="723"/>
      <c r="AG71" s="147"/>
      <c r="AH71" s="147"/>
      <c r="AI71" s="1348" t="str">
        <f>IF(Rent_Roll[[#This Row],[Future
Lease Start]]="","",DATEDIF(Rent_Roll[[#This Row],[Future
Lease Start]],Rent_Roll[[#This Row],[Future
Lease Exp]],"m")+1)</f>
        <v/>
      </c>
      <c r="AJ71" s="1347"/>
    </row>
    <row r="72" spans="2:36" x14ac:dyDescent="0.2">
      <c r="B72" s="638"/>
      <c r="C72" s="638">
        <v>326</v>
      </c>
      <c r="D72" s="638" t="s">
        <v>868</v>
      </c>
      <c r="E72" s="162" t="str">
        <f>IF(Rent_Roll[[#This Row],[Floor-
plan]]="studio",0,LEFT(Rent_Roll[[#This Row],[Floor-
plan]],1))</f>
        <v>1</v>
      </c>
      <c r="F72" s="162" cm="1">
        <f t="array" ref="F7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72" s="1336">
        <v>642</v>
      </c>
      <c r="H72" s="722" t="s">
        <v>244</v>
      </c>
      <c r="I72" s="722"/>
      <c r="J72" s="1337" t="str" cm="1">
        <f t="array" ref="J7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72" s="1338">
        <v>44655</v>
      </c>
      <c r="L72" s="147">
        <v>45019</v>
      </c>
      <c r="M72" s="1339" cm="1">
        <f t="array" ref="M7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72" s="1337" t="str">
        <f>IF(OR(Rent_Roll[[#This Row],[MTM Fee]]="",Rent_Roll[[#This Row],[MTM Fee]]=0),"","MTM Lease")</f>
        <v/>
      </c>
      <c r="O72" s="1340">
        <f ca="1">IFERROR(IF(Rent_Roll[[#This Row],[Lease
Exp]]="","",DATEDIF($F$3,Rent_Roll[[#This Row],[Lease
Exp]],"m")+1),0)</f>
        <v>3</v>
      </c>
      <c r="P72" s="1341"/>
      <c r="Q72" s="1342" t="str" cm="1">
        <f t="array" ref="Q7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72" s="1343">
        <v>1075</v>
      </c>
      <c r="S72" s="723">
        <v>1075</v>
      </c>
      <c r="T72" s="723"/>
      <c r="U72" s="550">
        <f>Rent_Roll[[#This Row],[Lease
Rent]]+Rent_Roll[[#This Row],[Corp
Rent]]</f>
        <v>1075</v>
      </c>
      <c r="V72" s="1344">
        <f>IF(Rent_Roll[[#This Row],[Total In-Place
Rent]]=0,0,Rent_Roll[[#This Row],[Total In-Place
Rent]]-Rent_Roll[[#This Row],[Market
Rent]])</f>
        <v>0</v>
      </c>
      <c r="W72" s="1343">
        <v>0</v>
      </c>
      <c r="X72" s="723"/>
      <c r="Y72" s="723"/>
      <c r="Z72" s="723"/>
      <c r="AA72" s="1345"/>
      <c r="AB72" s="723"/>
      <c r="AC72" s="723"/>
      <c r="AD72" s="723"/>
      <c r="AE72" s="723"/>
      <c r="AF72" s="723"/>
      <c r="AG72" s="147"/>
      <c r="AH72" s="147"/>
      <c r="AI72" s="1348" t="str">
        <f>IF(Rent_Roll[[#This Row],[Future
Lease Start]]="","",DATEDIF(Rent_Roll[[#This Row],[Future
Lease Start]],Rent_Roll[[#This Row],[Future
Lease Exp]],"m")+1)</f>
        <v/>
      </c>
      <c r="AJ72" s="1347"/>
    </row>
    <row r="73" spans="2:36" x14ac:dyDescent="0.2">
      <c r="B73" s="638"/>
      <c r="C73" s="638">
        <v>327</v>
      </c>
      <c r="D73" s="638" t="s">
        <v>866</v>
      </c>
      <c r="E73" s="162" t="str">
        <f>IF(Rent_Roll[[#This Row],[Floor-
plan]]="studio",0,LEFT(Rent_Roll[[#This Row],[Floor-
plan]],1))</f>
        <v>2</v>
      </c>
      <c r="F73" s="162" cm="1">
        <f t="array" ref="F7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73" s="1336">
        <v>1000</v>
      </c>
      <c r="H73" s="722" t="s">
        <v>244</v>
      </c>
      <c r="I73" s="722"/>
      <c r="J73" s="1337" t="str" cm="1">
        <f t="array" ref="J7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73" s="1338">
        <v>44683</v>
      </c>
      <c r="L73" s="147">
        <v>45047</v>
      </c>
      <c r="M73" s="1339" cm="1">
        <f t="array" ref="M7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73" s="1337" t="str">
        <f>IF(OR(Rent_Roll[[#This Row],[MTM Fee]]="",Rent_Roll[[#This Row],[MTM Fee]]=0),"","MTM Lease")</f>
        <v/>
      </c>
      <c r="O73" s="1340">
        <f ca="1">IFERROR(IF(Rent_Roll[[#This Row],[Lease
Exp]]="","",DATEDIF($F$3,Rent_Roll[[#This Row],[Lease
Exp]],"m")+1),0)</f>
        <v>4</v>
      </c>
      <c r="P73" s="1341"/>
      <c r="Q73" s="1342" t="str" cm="1">
        <f t="array" ref="Q7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73" s="1343">
        <v>1360</v>
      </c>
      <c r="S73" s="723">
        <v>1255</v>
      </c>
      <c r="T73" s="723"/>
      <c r="U73" s="550">
        <f>Rent_Roll[[#This Row],[Lease
Rent]]+Rent_Roll[[#This Row],[Corp
Rent]]</f>
        <v>1255</v>
      </c>
      <c r="V73" s="1344">
        <f>IF(Rent_Roll[[#This Row],[Total In-Place
Rent]]=0,0,Rent_Roll[[#This Row],[Total In-Place
Rent]]-Rent_Roll[[#This Row],[Market
Rent]])</f>
        <v>-105</v>
      </c>
      <c r="W73" s="1343">
        <v>0</v>
      </c>
      <c r="X73" s="723"/>
      <c r="Y73" s="723"/>
      <c r="Z73" s="723"/>
      <c r="AA73" s="1345"/>
      <c r="AB73" s="723"/>
      <c r="AC73" s="723"/>
      <c r="AD73" s="723"/>
      <c r="AE73" s="723"/>
      <c r="AF73" s="723"/>
      <c r="AG73" s="147"/>
      <c r="AH73" s="147"/>
      <c r="AI73" s="1348" t="str">
        <f>IF(Rent_Roll[[#This Row],[Future
Lease Start]]="","",DATEDIF(Rent_Roll[[#This Row],[Future
Lease Start]],Rent_Roll[[#This Row],[Future
Lease Exp]],"m")+1)</f>
        <v/>
      </c>
      <c r="AJ73" s="1347"/>
    </row>
    <row r="74" spans="2:36" x14ac:dyDescent="0.2">
      <c r="B74" s="638"/>
      <c r="C74" s="638">
        <v>328</v>
      </c>
      <c r="D74" s="638" t="s">
        <v>866</v>
      </c>
      <c r="E74" s="162" t="str">
        <f>IF(Rent_Roll[[#This Row],[Floor-
plan]]="studio",0,LEFT(Rent_Roll[[#This Row],[Floor-
plan]],1))</f>
        <v>2</v>
      </c>
      <c r="F74" s="162" cm="1">
        <f t="array" ref="F7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74" s="1336">
        <v>1000</v>
      </c>
      <c r="H74" s="722" t="s">
        <v>244</v>
      </c>
      <c r="I74" s="722"/>
      <c r="J74" s="1337" t="str" cm="1">
        <f t="array" ref="J7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74" s="1338">
        <v>44806</v>
      </c>
      <c r="L74" s="147">
        <v>45170</v>
      </c>
      <c r="M74" s="1339" cm="1">
        <f t="array" ref="M7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74" s="1337" t="str">
        <f>IF(OR(Rent_Roll[[#This Row],[MTM Fee]]="",Rent_Roll[[#This Row],[MTM Fee]]=0),"","MTM Lease")</f>
        <v/>
      </c>
      <c r="O74" s="1340">
        <f ca="1">IFERROR(IF(Rent_Roll[[#This Row],[Lease
Exp]]="","",DATEDIF($F$3,Rent_Roll[[#This Row],[Lease
Exp]],"m")+1),0)</f>
        <v>8</v>
      </c>
      <c r="P74" s="1341"/>
      <c r="Q74" s="1342" t="str" cm="1">
        <f t="array" ref="Q7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74" s="1343">
        <v>1360</v>
      </c>
      <c r="S74" s="723">
        <v>1360</v>
      </c>
      <c r="T74" s="723"/>
      <c r="U74" s="550">
        <f>Rent_Roll[[#This Row],[Lease
Rent]]+Rent_Roll[[#This Row],[Corp
Rent]]</f>
        <v>1360</v>
      </c>
      <c r="V74" s="1344">
        <f>IF(Rent_Roll[[#This Row],[Total In-Place
Rent]]=0,0,Rent_Roll[[#This Row],[Total In-Place
Rent]]-Rent_Roll[[#This Row],[Market
Rent]])</f>
        <v>0</v>
      </c>
      <c r="W74" s="1343">
        <v>0</v>
      </c>
      <c r="X74" s="723"/>
      <c r="Y74" s="723"/>
      <c r="Z74" s="723"/>
      <c r="AA74" s="1345"/>
      <c r="AB74" s="723"/>
      <c r="AC74" s="723"/>
      <c r="AD74" s="723"/>
      <c r="AE74" s="723"/>
      <c r="AF74" s="723"/>
      <c r="AG74" s="147"/>
      <c r="AH74" s="147"/>
      <c r="AI74" s="1348" t="str">
        <f>IF(Rent_Roll[[#This Row],[Future
Lease Start]]="","",DATEDIF(Rent_Roll[[#This Row],[Future
Lease Start]],Rent_Roll[[#This Row],[Future
Lease Exp]],"m")+1)</f>
        <v/>
      </c>
      <c r="AJ74" s="1347"/>
    </row>
    <row r="75" spans="2:36" x14ac:dyDescent="0.2">
      <c r="B75" s="638"/>
      <c r="C75" s="638">
        <v>331</v>
      </c>
      <c r="D75" s="638" t="s">
        <v>870</v>
      </c>
      <c r="E75" s="162" t="str">
        <f>IF(Rent_Roll[[#This Row],[Floor-
plan]]="studio",0,LEFT(Rent_Roll[[#This Row],[Floor-
plan]],1))</f>
        <v>2</v>
      </c>
      <c r="F75" s="162" cm="1">
        <f t="array" ref="F7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75" s="1336">
        <v>1099</v>
      </c>
      <c r="H75" s="722" t="s">
        <v>244</v>
      </c>
      <c r="I75" s="722"/>
      <c r="J75" s="1337" t="str" cm="1">
        <f t="array" ref="J7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75" s="1338">
        <v>44743</v>
      </c>
      <c r="L75" s="147">
        <v>45138</v>
      </c>
      <c r="M75" s="1339" cm="1">
        <f t="array" ref="M75">_xlfn.IFS(Rent_Roll[[#This Row],[Lease
Exp]]="","",Rent_Roll[[#This Row],[MTM
Lease]]="MTM Lease","--",Rent_Roll[[#This Row],[Lease
Exp]]&gt;0,(DATEDIF(Rent_Roll[[#This Row],[Lease
Start]],Rent_Roll[[#This Row],[Lease
Exp]],"m")+1))</f>
        <v>13</v>
      </c>
      <c r="N75" s="1337" t="str">
        <f>IF(OR(Rent_Roll[[#This Row],[MTM Fee]]="",Rent_Roll[[#This Row],[MTM Fee]]=0),"","MTM Lease")</f>
        <v/>
      </c>
      <c r="O75" s="1340">
        <f ca="1">IFERROR(IF(Rent_Roll[[#This Row],[Lease
Exp]]="","",DATEDIF($F$3,Rent_Roll[[#This Row],[Lease
Exp]],"m")+1),0)</f>
        <v>7</v>
      </c>
      <c r="P75" s="1341"/>
      <c r="Q75" s="1342" t="str" cm="1">
        <f t="array" ref="Q7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75" s="1343">
        <v>1440</v>
      </c>
      <c r="S75" s="723">
        <v>1440</v>
      </c>
      <c r="T75" s="723"/>
      <c r="U75" s="550">
        <f>Rent_Roll[[#This Row],[Lease
Rent]]+Rent_Roll[[#This Row],[Corp
Rent]]</f>
        <v>1440</v>
      </c>
      <c r="V75" s="1344">
        <f>IF(Rent_Roll[[#This Row],[Total In-Place
Rent]]=0,0,Rent_Roll[[#This Row],[Total In-Place
Rent]]-Rent_Roll[[#This Row],[Market
Rent]])</f>
        <v>0</v>
      </c>
      <c r="W75" s="1343">
        <v>0</v>
      </c>
      <c r="X75" s="723"/>
      <c r="Y75" s="723"/>
      <c r="Z75" s="723"/>
      <c r="AA75" s="1345"/>
      <c r="AB75" s="723"/>
      <c r="AC75" s="723"/>
      <c r="AD75" s="723"/>
      <c r="AE75" s="723"/>
      <c r="AF75" s="723"/>
      <c r="AG75" s="147"/>
      <c r="AH75" s="147"/>
      <c r="AI75" s="1348" t="str">
        <f>IF(Rent_Roll[[#This Row],[Future
Lease Start]]="","",DATEDIF(Rent_Roll[[#This Row],[Future
Lease Start]],Rent_Roll[[#This Row],[Future
Lease Exp]],"m")+1)</f>
        <v/>
      </c>
      <c r="AJ75" s="1347"/>
    </row>
    <row r="76" spans="2:36" x14ac:dyDescent="0.2">
      <c r="B76" s="638"/>
      <c r="C76" s="638">
        <v>332</v>
      </c>
      <c r="D76" s="638" t="s">
        <v>870</v>
      </c>
      <c r="E76" s="162" t="str">
        <f>IF(Rent_Roll[[#This Row],[Floor-
plan]]="studio",0,LEFT(Rent_Roll[[#This Row],[Floor-
plan]],1))</f>
        <v>2</v>
      </c>
      <c r="F76" s="162" cm="1">
        <f t="array" ref="F7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76" s="1336">
        <v>1099</v>
      </c>
      <c r="H76" s="722" t="s">
        <v>244</v>
      </c>
      <c r="I76" s="722"/>
      <c r="J76" s="1337" t="str" cm="1">
        <f t="array" ref="J7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76" s="1338">
        <v>44473</v>
      </c>
      <c r="L76" s="147">
        <v>44837</v>
      </c>
      <c r="M76" s="1339" cm="1">
        <f t="array" ref="M7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76" s="1337" t="str">
        <f>IF(OR(Rent_Roll[[#This Row],[MTM Fee]]="",Rent_Roll[[#This Row],[MTM Fee]]=0),"","MTM Lease")</f>
        <v/>
      </c>
      <c r="O76" s="1340">
        <f ca="1">IFERROR(IF(Rent_Roll[[#This Row],[Lease
Exp]]="","",DATEDIF($F$3,Rent_Roll[[#This Row],[Lease
Exp]],"m")+1),0)</f>
        <v>0</v>
      </c>
      <c r="P76" s="1341">
        <v>44837</v>
      </c>
      <c r="Q76" s="1342" t="str" cm="1">
        <f t="array" ref="Q7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76" s="1343">
        <v>1440</v>
      </c>
      <c r="S76" s="723">
        <v>1135</v>
      </c>
      <c r="T76" s="723"/>
      <c r="U76" s="550">
        <f>Rent_Roll[[#This Row],[Lease
Rent]]+Rent_Roll[[#This Row],[Corp
Rent]]</f>
        <v>1135</v>
      </c>
      <c r="V76" s="1344">
        <f>IF(Rent_Roll[[#This Row],[Total In-Place
Rent]]=0,0,Rent_Roll[[#This Row],[Total In-Place
Rent]]-Rent_Roll[[#This Row],[Market
Rent]])</f>
        <v>-305</v>
      </c>
      <c r="W76" s="1343">
        <v>0</v>
      </c>
      <c r="X76" s="723"/>
      <c r="Y76" s="723"/>
      <c r="Z76" s="723"/>
      <c r="AA76" s="1345"/>
      <c r="AB76" s="723"/>
      <c r="AC76" s="723"/>
      <c r="AD76" s="723"/>
      <c r="AE76" s="723"/>
      <c r="AF76" s="723"/>
      <c r="AG76" s="147"/>
      <c r="AH76" s="147"/>
      <c r="AI76" s="1348" t="str">
        <f>IF(Rent_Roll[[#This Row],[Future
Lease Start]]="","",DATEDIF(Rent_Roll[[#This Row],[Future
Lease Start]],Rent_Roll[[#This Row],[Future
Lease Exp]],"m")+1)</f>
        <v/>
      </c>
      <c r="AJ76" s="1347"/>
    </row>
    <row r="77" spans="2:36" x14ac:dyDescent="0.2">
      <c r="B77" s="638"/>
      <c r="C77" s="638">
        <v>333</v>
      </c>
      <c r="D77" s="638" t="s">
        <v>868</v>
      </c>
      <c r="E77" s="162" t="str">
        <f>IF(Rent_Roll[[#This Row],[Floor-
plan]]="studio",0,LEFT(Rent_Roll[[#This Row],[Floor-
plan]],1))</f>
        <v>1</v>
      </c>
      <c r="F77" s="162" cm="1">
        <f t="array" ref="F7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77" s="1336">
        <v>642</v>
      </c>
      <c r="H77" s="722" t="s">
        <v>244</v>
      </c>
      <c r="I77" s="722"/>
      <c r="J77" s="1337" t="str" cm="1">
        <f t="array" ref="J7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77" s="1338">
        <v>44814</v>
      </c>
      <c r="L77" s="147">
        <v>45178</v>
      </c>
      <c r="M77" s="1339" cm="1">
        <f t="array" ref="M7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77" s="1337" t="str">
        <f>IF(OR(Rent_Roll[[#This Row],[MTM Fee]]="",Rent_Roll[[#This Row],[MTM Fee]]=0),"","MTM Lease")</f>
        <v/>
      </c>
      <c r="O77" s="1340">
        <f ca="1">IFERROR(IF(Rent_Roll[[#This Row],[Lease
Exp]]="","",DATEDIF($F$3,Rent_Roll[[#This Row],[Lease
Exp]],"m")+1),0)</f>
        <v>8</v>
      </c>
      <c r="P77" s="1341"/>
      <c r="Q77" s="1342" t="str" cm="1">
        <f t="array" ref="Q7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77" s="1343">
        <v>1055</v>
      </c>
      <c r="S77" s="723">
        <v>1035</v>
      </c>
      <c r="T77" s="723"/>
      <c r="U77" s="550">
        <f>Rent_Roll[[#This Row],[Lease
Rent]]+Rent_Roll[[#This Row],[Corp
Rent]]</f>
        <v>1035</v>
      </c>
      <c r="V77" s="1344">
        <f>IF(Rent_Roll[[#This Row],[Total In-Place
Rent]]=0,0,Rent_Roll[[#This Row],[Total In-Place
Rent]]-Rent_Roll[[#This Row],[Market
Rent]])</f>
        <v>-20</v>
      </c>
      <c r="W77" s="1343">
        <v>0</v>
      </c>
      <c r="X77" s="723"/>
      <c r="Y77" s="723"/>
      <c r="Z77" s="723"/>
      <c r="AA77" s="1345"/>
      <c r="AB77" s="723"/>
      <c r="AC77" s="723"/>
      <c r="AD77" s="723"/>
      <c r="AE77" s="723"/>
      <c r="AF77" s="723"/>
      <c r="AG77" s="147"/>
      <c r="AH77" s="147"/>
      <c r="AI77" s="1348" t="str">
        <f>IF(Rent_Roll[[#This Row],[Future
Lease Start]]="","",DATEDIF(Rent_Roll[[#This Row],[Future
Lease Start]],Rent_Roll[[#This Row],[Future
Lease Exp]],"m")+1)</f>
        <v/>
      </c>
      <c r="AJ77" s="1347"/>
    </row>
    <row r="78" spans="2:36" x14ac:dyDescent="0.2">
      <c r="B78" s="638"/>
      <c r="C78" s="638">
        <v>334</v>
      </c>
      <c r="D78" s="638" t="s">
        <v>868</v>
      </c>
      <c r="E78" s="162" t="str">
        <f>IF(Rent_Roll[[#This Row],[Floor-
plan]]="studio",0,LEFT(Rent_Roll[[#This Row],[Floor-
plan]],1))</f>
        <v>1</v>
      </c>
      <c r="F78" s="162" cm="1">
        <f t="array" ref="F7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78" s="1336">
        <v>642</v>
      </c>
      <c r="H78" s="722" t="s">
        <v>244</v>
      </c>
      <c r="I78" s="722"/>
      <c r="J78" s="1337" t="str" cm="1">
        <f t="array" ref="J7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78" s="1338">
        <v>44814</v>
      </c>
      <c r="L78" s="147">
        <v>45178</v>
      </c>
      <c r="M78" s="1339" cm="1">
        <f t="array" ref="M7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78" s="1337" t="str">
        <f>IF(OR(Rent_Roll[[#This Row],[MTM Fee]]="",Rent_Roll[[#This Row],[MTM Fee]]=0),"","MTM Lease")</f>
        <v/>
      </c>
      <c r="O78" s="1340">
        <f ca="1">IFERROR(IF(Rent_Roll[[#This Row],[Lease
Exp]]="","",DATEDIF($F$3,Rent_Roll[[#This Row],[Lease
Exp]],"m")+1),0)</f>
        <v>8</v>
      </c>
      <c r="P78" s="1341"/>
      <c r="Q78" s="1342" t="str" cm="1">
        <f t="array" ref="Q7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78" s="1343">
        <v>1055</v>
      </c>
      <c r="S78" s="723">
        <v>1055</v>
      </c>
      <c r="T78" s="723"/>
      <c r="U78" s="550">
        <f>Rent_Roll[[#This Row],[Lease
Rent]]+Rent_Roll[[#This Row],[Corp
Rent]]</f>
        <v>1055</v>
      </c>
      <c r="V78" s="1344">
        <f>IF(Rent_Roll[[#This Row],[Total In-Place
Rent]]=0,0,Rent_Roll[[#This Row],[Total In-Place
Rent]]-Rent_Roll[[#This Row],[Market
Rent]])</f>
        <v>0</v>
      </c>
      <c r="W78" s="1343">
        <v>0</v>
      </c>
      <c r="X78" s="723"/>
      <c r="Y78" s="723"/>
      <c r="Z78" s="723"/>
      <c r="AA78" s="1345"/>
      <c r="AB78" s="723"/>
      <c r="AC78" s="723"/>
      <c r="AD78" s="723"/>
      <c r="AE78" s="723"/>
      <c r="AF78" s="723"/>
      <c r="AG78" s="147"/>
      <c r="AH78" s="147"/>
      <c r="AI78" s="1348" t="str">
        <f>IF(Rent_Roll[[#This Row],[Future
Lease Start]]="","",DATEDIF(Rent_Roll[[#This Row],[Future
Lease Start]],Rent_Roll[[#This Row],[Future
Lease Exp]],"m")+1)</f>
        <v/>
      </c>
      <c r="AJ78" s="1347"/>
    </row>
    <row r="79" spans="2:36" x14ac:dyDescent="0.2">
      <c r="B79" s="638"/>
      <c r="C79" s="638">
        <v>335</v>
      </c>
      <c r="D79" s="638" t="s">
        <v>868</v>
      </c>
      <c r="E79" s="162" t="str">
        <f>IF(Rent_Roll[[#This Row],[Floor-
plan]]="studio",0,LEFT(Rent_Roll[[#This Row],[Floor-
plan]],1))</f>
        <v>1</v>
      </c>
      <c r="F79" s="162" cm="1">
        <f t="array" ref="F7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79" s="1336">
        <v>642</v>
      </c>
      <c r="H79" s="722" t="s">
        <v>244</v>
      </c>
      <c r="I79" s="722"/>
      <c r="J79" s="1337" t="str" cm="1">
        <f t="array" ref="J7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79" s="1338">
        <v>44473</v>
      </c>
      <c r="L79" s="147">
        <v>44837</v>
      </c>
      <c r="M79" s="1339" cm="1">
        <f t="array" ref="M7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79" s="1337" t="str">
        <f>IF(OR(Rent_Roll[[#This Row],[MTM Fee]]="",Rent_Roll[[#This Row],[MTM Fee]]=0),"","MTM Lease")</f>
        <v/>
      </c>
      <c r="O79" s="1340">
        <f ca="1">IFERROR(IF(Rent_Roll[[#This Row],[Lease
Exp]]="","",DATEDIF($F$3,Rent_Roll[[#This Row],[Lease
Exp]],"m")+1),0)</f>
        <v>0</v>
      </c>
      <c r="P79" s="1341">
        <v>44829</v>
      </c>
      <c r="Q79" s="1342" t="str" cm="1">
        <f t="array" ref="Q7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79" s="1343">
        <v>1055</v>
      </c>
      <c r="S79" s="723">
        <v>955</v>
      </c>
      <c r="T79" s="723"/>
      <c r="U79" s="550">
        <f>Rent_Roll[[#This Row],[Lease
Rent]]+Rent_Roll[[#This Row],[Corp
Rent]]</f>
        <v>955</v>
      </c>
      <c r="V79" s="1344">
        <f>IF(Rent_Roll[[#This Row],[Total In-Place
Rent]]=0,0,Rent_Roll[[#This Row],[Total In-Place
Rent]]-Rent_Roll[[#This Row],[Market
Rent]])</f>
        <v>-100</v>
      </c>
      <c r="W79" s="1343">
        <v>0</v>
      </c>
      <c r="X79" s="723"/>
      <c r="Y79" s="723"/>
      <c r="Z79" s="723"/>
      <c r="AA79" s="1345"/>
      <c r="AB79" s="723"/>
      <c r="AC79" s="723"/>
      <c r="AD79" s="723"/>
      <c r="AE79" s="723"/>
      <c r="AF79" s="723"/>
      <c r="AG79" s="147"/>
      <c r="AH79" s="147"/>
      <c r="AI79" s="1348" t="str">
        <f>IF(Rent_Roll[[#This Row],[Future
Lease Start]]="","",DATEDIF(Rent_Roll[[#This Row],[Future
Lease Start]],Rent_Roll[[#This Row],[Future
Lease Exp]],"m")+1)</f>
        <v/>
      </c>
      <c r="AJ79" s="1347"/>
    </row>
    <row r="80" spans="2:36" x14ac:dyDescent="0.2">
      <c r="B80" s="638"/>
      <c r="C80" s="638">
        <v>336</v>
      </c>
      <c r="D80" s="638" t="s">
        <v>868</v>
      </c>
      <c r="E80" s="162" t="str">
        <f>IF(Rent_Roll[[#This Row],[Floor-
plan]]="studio",0,LEFT(Rent_Roll[[#This Row],[Floor-
plan]],1))</f>
        <v>1</v>
      </c>
      <c r="F80" s="162" cm="1">
        <f t="array" ref="F8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80" s="1336">
        <v>642</v>
      </c>
      <c r="H80" s="722" t="s">
        <v>244</v>
      </c>
      <c r="I80" s="722"/>
      <c r="J80" s="1337" t="str" cm="1">
        <f t="array" ref="J8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80" s="1338">
        <v>44713</v>
      </c>
      <c r="L80" s="147">
        <v>45077</v>
      </c>
      <c r="M80" s="1339" cm="1">
        <f t="array" ref="M8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80" s="1337" t="str">
        <f>IF(OR(Rent_Roll[[#This Row],[MTM Fee]]="",Rent_Roll[[#This Row],[MTM Fee]]=0),"","MTM Lease")</f>
        <v/>
      </c>
      <c r="O80" s="1340">
        <f ca="1">IFERROR(IF(Rent_Roll[[#This Row],[Lease
Exp]]="","",DATEDIF($F$3,Rent_Roll[[#This Row],[Lease
Exp]],"m")+1),0)</f>
        <v>5</v>
      </c>
      <c r="P80" s="1341"/>
      <c r="Q80" s="1342" t="str" cm="1">
        <f t="array" ref="Q8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80" s="1343">
        <v>1055</v>
      </c>
      <c r="S80" s="723">
        <v>915</v>
      </c>
      <c r="T80" s="723"/>
      <c r="U80" s="550">
        <f>Rent_Roll[[#This Row],[Lease
Rent]]+Rent_Roll[[#This Row],[Corp
Rent]]</f>
        <v>915</v>
      </c>
      <c r="V80" s="1344">
        <f>IF(Rent_Roll[[#This Row],[Total In-Place
Rent]]=0,0,Rent_Roll[[#This Row],[Total In-Place
Rent]]-Rent_Roll[[#This Row],[Market
Rent]])</f>
        <v>-140</v>
      </c>
      <c r="W80" s="1343">
        <v>0</v>
      </c>
      <c r="X80" s="723"/>
      <c r="Y80" s="723"/>
      <c r="Z80" s="723"/>
      <c r="AA80" s="1345"/>
      <c r="AB80" s="723"/>
      <c r="AC80" s="723"/>
      <c r="AD80" s="723"/>
      <c r="AE80" s="723"/>
      <c r="AF80" s="723"/>
      <c r="AG80" s="147"/>
      <c r="AH80" s="147"/>
      <c r="AI80" s="1348" t="str">
        <f>IF(Rent_Roll[[#This Row],[Future
Lease Start]]="","",DATEDIF(Rent_Roll[[#This Row],[Future
Lease Start]],Rent_Roll[[#This Row],[Future
Lease Exp]],"m")+1)</f>
        <v/>
      </c>
      <c r="AJ80" s="1347"/>
    </row>
    <row r="81" spans="2:36" x14ac:dyDescent="0.2">
      <c r="B81" s="638"/>
      <c r="C81" s="638">
        <v>337</v>
      </c>
      <c r="D81" s="638" t="s">
        <v>870</v>
      </c>
      <c r="E81" s="162" t="str">
        <f>IF(Rent_Roll[[#This Row],[Floor-
plan]]="studio",0,LEFT(Rent_Roll[[#This Row],[Floor-
plan]],1))</f>
        <v>2</v>
      </c>
      <c r="F81" s="162" cm="1">
        <f t="array" ref="F8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81" s="1336">
        <v>1099</v>
      </c>
      <c r="H81" s="722" t="s">
        <v>244</v>
      </c>
      <c r="I81" s="722"/>
      <c r="J81" s="1337" t="str" cm="1">
        <f t="array" ref="J8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81" s="1338">
        <v>44811</v>
      </c>
      <c r="L81" s="147">
        <v>45175</v>
      </c>
      <c r="M81" s="1339" cm="1">
        <f t="array" ref="M8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81" s="1337" t="str">
        <f>IF(OR(Rent_Roll[[#This Row],[MTM Fee]]="",Rent_Roll[[#This Row],[MTM Fee]]=0),"","MTM Lease")</f>
        <v/>
      </c>
      <c r="O81" s="1340">
        <f ca="1">IFERROR(IF(Rent_Roll[[#This Row],[Lease
Exp]]="","",DATEDIF($F$3,Rent_Roll[[#This Row],[Lease
Exp]],"m")+1),0)</f>
        <v>8</v>
      </c>
      <c r="P81" s="1341"/>
      <c r="Q81" s="1342" t="str" cm="1">
        <f t="array" ref="Q8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81" s="1343">
        <v>1440</v>
      </c>
      <c r="S81" s="723">
        <v>1220</v>
      </c>
      <c r="T81" s="723"/>
      <c r="U81" s="550">
        <f>Rent_Roll[[#This Row],[Lease
Rent]]+Rent_Roll[[#This Row],[Corp
Rent]]</f>
        <v>1220</v>
      </c>
      <c r="V81" s="1344">
        <f>IF(Rent_Roll[[#This Row],[Total In-Place
Rent]]=0,0,Rent_Roll[[#This Row],[Total In-Place
Rent]]-Rent_Roll[[#This Row],[Market
Rent]])</f>
        <v>-220</v>
      </c>
      <c r="W81" s="1343">
        <v>0</v>
      </c>
      <c r="X81" s="723"/>
      <c r="Y81" s="723"/>
      <c r="Z81" s="723"/>
      <c r="AA81" s="1345"/>
      <c r="AB81" s="723"/>
      <c r="AC81" s="723"/>
      <c r="AD81" s="723"/>
      <c r="AE81" s="723"/>
      <c r="AF81" s="723"/>
      <c r="AG81" s="147"/>
      <c r="AH81" s="147"/>
      <c r="AI81" s="1348" t="str">
        <f>IF(Rent_Roll[[#This Row],[Future
Lease Start]]="","",DATEDIF(Rent_Roll[[#This Row],[Future
Lease Start]],Rent_Roll[[#This Row],[Future
Lease Exp]],"m")+1)</f>
        <v/>
      </c>
      <c r="AJ81" s="1347"/>
    </row>
    <row r="82" spans="2:36" x14ac:dyDescent="0.2">
      <c r="B82" s="638"/>
      <c r="C82" s="638">
        <v>338</v>
      </c>
      <c r="D82" s="638" t="s">
        <v>870</v>
      </c>
      <c r="E82" s="162" t="str">
        <f>IF(Rent_Roll[[#This Row],[Floor-
plan]]="studio",0,LEFT(Rent_Roll[[#This Row],[Floor-
plan]],1))</f>
        <v>2</v>
      </c>
      <c r="F82" s="162" cm="1">
        <f t="array" ref="F8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82" s="1336">
        <v>1099</v>
      </c>
      <c r="H82" s="722" t="s">
        <v>244</v>
      </c>
      <c r="I82" s="722"/>
      <c r="J82" s="1337" t="str" cm="1">
        <f t="array" ref="J8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82" s="1338">
        <v>44433</v>
      </c>
      <c r="L82" s="147">
        <v>44828</v>
      </c>
      <c r="M82" s="1339" cm="1">
        <f t="array" ref="M82">_xlfn.IFS(Rent_Roll[[#This Row],[Lease
Exp]]="","",Rent_Roll[[#This Row],[MTM
Lease]]="MTM Lease","--",Rent_Roll[[#This Row],[Lease
Exp]]&gt;0,(DATEDIF(Rent_Roll[[#This Row],[Lease
Start]],Rent_Roll[[#This Row],[Lease
Exp]],"m")+1))</f>
        <v>13</v>
      </c>
      <c r="N82" s="1337" t="str">
        <f>IF(OR(Rent_Roll[[#This Row],[MTM Fee]]="",Rent_Roll[[#This Row],[MTM Fee]]=0),"","MTM Lease")</f>
        <v/>
      </c>
      <c r="O82" s="1340">
        <f ca="1">IFERROR(IF(Rent_Roll[[#This Row],[Lease
Exp]]="","",DATEDIF($F$3,Rent_Roll[[#This Row],[Lease
Exp]],"m")+1),0)</f>
        <v>0</v>
      </c>
      <c r="P82" s="1341"/>
      <c r="Q82" s="1342" t="str" cm="1">
        <f t="array" ref="Q8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82" s="1343">
        <v>1440</v>
      </c>
      <c r="S82" s="723">
        <v>1210</v>
      </c>
      <c r="T82" s="723"/>
      <c r="U82" s="550">
        <f>Rent_Roll[[#This Row],[Lease
Rent]]+Rent_Roll[[#This Row],[Corp
Rent]]</f>
        <v>1210</v>
      </c>
      <c r="V82" s="1344">
        <f>IF(Rent_Roll[[#This Row],[Total In-Place
Rent]]=0,0,Rent_Roll[[#This Row],[Total In-Place
Rent]]-Rent_Roll[[#This Row],[Market
Rent]])</f>
        <v>-230</v>
      </c>
      <c r="W82" s="1343">
        <v>0</v>
      </c>
      <c r="X82" s="723"/>
      <c r="Y82" s="723"/>
      <c r="Z82" s="723"/>
      <c r="AA82" s="1345"/>
      <c r="AB82" s="723"/>
      <c r="AC82" s="723"/>
      <c r="AD82" s="723"/>
      <c r="AE82" s="723"/>
      <c r="AF82" s="723"/>
      <c r="AG82" s="147"/>
      <c r="AH82" s="147"/>
      <c r="AI82" s="1348" t="str">
        <f>IF(Rent_Roll[[#This Row],[Future
Lease Start]]="","",DATEDIF(Rent_Roll[[#This Row],[Future
Lease Start]],Rent_Roll[[#This Row],[Future
Lease Exp]],"m")+1)</f>
        <v/>
      </c>
      <c r="AJ82" s="1347"/>
    </row>
    <row r="83" spans="2:36" x14ac:dyDescent="0.2">
      <c r="B83" s="638"/>
      <c r="C83" s="638">
        <v>402</v>
      </c>
      <c r="D83" s="638" t="s">
        <v>867</v>
      </c>
      <c r="E83" s="162" t="str">
        <f>IF(Rent_Roll[[#This Row],[Floor-
plan]]="studio",0,LEFT(Rent_Roll[[#This Row],[Floor-
plan]],1))</f>
        <v>3</v>
      </c>
      <c r="F83" s="162" cm="1">
        <f t="array" ref="F8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83" s="1336">
        <v>1277</v>
      </c>
      <c r="H83" s="722" t="s">
        <v>244</v>
      </c>
      <c r="I83" s="722"/>
      <c r="J83" s="1337" t="str" cm="1">
        <f t="array" ref="J8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83" s="1338">
        <v>44283</v>
      </c>
      <c r="L83" s="147">
        <v>44831</v>
      </c>
      <c r="M83" s="1339" cm="1">
        <f t="array" ref="M83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83" s="1337" t="str">
        <f>IF(OR(Rent_Roll[[#This Row],[MTM Fee]]="",Rent_Roll[[#This Row],[MTM Fee]]=0),"","MTM Lease")</f>
        <v/>
      </c>
      <c r="O83" s="1340">
        <f ca="1">IFERROR(IF(Rent_Roll[[#This Row],[Lease
Exp]]="","",DATEDIF($F$3,Rent_Roll[[#This Row],[Lease
Exp]],"m")+1),0)</f>
        <v>0</v>
      </c>
      <c r="P83" s="1341">
        <v>44831</v>
      </c>
      <c r="Q83" s="1342" t="str" cm="1">
        <f t="array" ref="Q8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83" s="1343">
        <v>1520</v>
      </c>
      <c r="S83" s="723">
        <v>1320</v>
      </c>
      <c r="T83" s="723"/>
      <c r="U83" s="550">
        <f>Rent_Roll[[#This Row],[Lease
Rent]]+Rent_Roll[[#This Row],[Corp
Rent]]</f>
        <v>1320</v>
      </c>
      <c r="V83" s="1344">
        <f>IF(Rent_Roll[[#This Row],[Total In-Place
Rent]]=0,0,Rent_Roll[[#This Row],[Total In-Place
Rent]]-Rent_Roll[[#This Row],[Market
Rent]])</f>
        <v>-200</v>
      </c>
      <c r="W83" s="1343">
        <v>0</v>
      </c>
      <c r="X83" s="723"/>
      <c r="Y83" s="723"/>
      <c r="Z83" s="723"/>
      <c r="AA83" s="1345"/>
      <c r="AB83" s="723"/>
      <c r="AC83" s="723"/>
      <c r="AD83" s="723"/>
      <c r="AE83" s="723"/>
      <c r="AF83" s="723"/>
      <c r="AG83" s="147"/>
      <c r="AH83" s="147"/>
      <c r="AI83" s="1348" t="str">
        <f>IF(Rent_Roll[[#This Row],[Future
Lease Start]]="","",DATEDIF(Rent_Roll[[#This Row],[Future
Lease Start]],Rent_Roll[[#This Row],[Future
Lease Exp]],"m")+1)</f>
        <v/>
      </c>
      <c r="AJ83" s="1347"/>
    </row>
    <row r="84" spans="2:36" x14ac:dyDescent="0.2">
      <c r="B84" s="638"/>
      <c r="C84" s="638">
        <v>403</v>
      </c>
      <c r="D84" s="638" t="s">
        <v>866</v>
      </c>
      <c r="E84" s="162" t="str">
        <f>IF(Rent_Roll[[#This Row],[Floor-
plan]]="studio",0,LEFT(Rent_Roll[[#This Row],[Floor-
plan]],1))</f>
        <v>2</v>
      </c>
      <c r="F84" s="162" cm="1">
        <f t="array" ref="F8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84" s="1336">
        <v>1000</v>
      </c>
      <c r="H84" s="722" t="s">
        <v>244</v>
      </c>
      <c r="I84" s="722"/>
      <c r="J84" s="1337" t="str" cm="1">
        <f t="array" ref="J8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84" s="1338">
        <v>44616</v>
      </c>
      <c r="L84" s="147">
        <v>44980</v>
      </c>
      <c r="M84" s="1339" cm="1">
        <f t="array" ref="M8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84" s="1337" t="str">
        <f>IF(OR(Rent_Roll[[#This Row],[MTM Fee]]="",Rent_Roll[[#This Row],[MTM Fee]]=0),"","MTM Lease")</f>
        <v/>
      </c>
      <c r="O84" s="1340">
        <f ca="1">IFERROR(IF(Rent_Roll[[#This Row],[Lease
Exp]]="","",DATEDIF($F$3,Rent_Roll[[#This Row],[Lease
Exp]],"m")+1),0)</f>
        <v>1</v>
      </c>
      <c r="P84" s="1341"/>
      <c r="Q84" s="1342" t="str" cm="1">
        <f t="array" ref="Q8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84" s="1343">
        <v>1360</v>
      </c>
      <c r="S84" s="723">
        <v>1380</v>
      </c>
      <c r="T84" s="723"/>
      <c r="U84" s="550">
        <f>Rent_Roll[[#This Row],[Lease
Rent]]+Rent_Roll[[#This Row],[Corp
Rent]]</f>
        <v>1380</v>
      </c>
      <c r="V84" s="1344">
        <f>IF(Rent_Roll[[#This Row],[Total In-Place
Rent]]=0,0,Rent_Roll[[#This Row],[Total In-Place
Rent]]-Rent_Roll[[#This Row],[Market
Rent]])</f>
        <v>20</v>
      </c>
      <c r="W84" s="1343">
        <v>0</v>
      </c>
      <c r="X84" s="723"/>
      <c r="Y84" s="723"/>
      <c r="Z84" s="723"/>
      <c r="AA84" s="1345"/>
      <c r="AB84" s="723"/>
      <c r="AC84" s="723"/>
      <c r="AD84" s="723"/>
      <c r="AE84" s="723"/>
      <c r="AF84" s="723"/>
      <c r="AG84" s="147"/>
      <c r="AH84" s="147"/>
      <c r="AI84" s="1348" t="str">
        <f>IF(Rent_Roll[[#This Row],[Future
Lease Start]]="","",DATEDIF(Rent_Roll[[#This Row],[Future
Lease Start]],Rent_Roll[[#This Row],[Future
Lease Exp]],"m")+1)</f>
        <v/>
      </c>
      <c r="AJ84" s="1347"/>
    </row>
    <row r="85" spans="2:36" x14ac:dyDescent="0.2">
      <c r="B85" s="638"/>
      <c r="C85" s="638">
        <v>406</v>
      </c>
      <c r="D85" s="638" t="s">
        <v>866</v>
      </c>
      <c r="E85" s="162" t="str">
        <f>IF(Rent_Roll[[#This Row],[Floor-
plan]]="studio",0,LEFT(Rent_Roll[[#This Row],[Floor-
plan]],1))</f>
        <v>2</v>
      </c>
      <c r="F85" s="162" cm="1">
        <f t="array" ref="F8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85" s="1336">
        <v>1000</v>
      </c>
      <c r="H85" s="722" t="s">
        <v>244</v>
      </c>
      <c r="I85" s="722"/>
      <c r="J85" s="1337" t="str" cm="1">
        <f t="array" ref="J8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85" s="1338">
        <v>44565</v>
      </c>
      <c r="L85" s="147">
        <v>44929</v>
      </c>
      <c r="M85" s="1339" cm="1">
        <f t="array" ref="M8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85" s="1337" t="str">
        <f>IF(OR(Rent_Roll[[#This Row],[MTM Fee]]="",Rent_Roll[[#This Row],[MTM Fee]]=0),"","MTM Lease")</f>
        <v/>
      </c>
      <c r="O85" s="1340">
        <f ca="1">IFERROR(IF(Rent_Roll[[#This Row],[Lease
Exp]]="","",DATEDIF($F$3,Rent_Roll[[#This Row],[Lease
Exp]],"m")+1),0)</f>
        <v>0</v>
      </c>
      <c r="P85" s="1341"/>
      <c r="Q85" s="1342" t="str" cm="1">
        <f t="array" ref="Q8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85" s="1343">
        <v>1460</v>
      </c>
      <c r="S85" s="723">
        <v>1460</v>
      </c>
      <c r="T85" s="723"/>
      <c r="U85" s="550">
        <f>Rent_Roll[[#This Row],[Lease
Rent]]+Rent_Roll[[#This Row],[Corp
Rent]]</f>
        <v>1460</v>
      </c>
      <c r="V85" s="1344">
        <f>IF(Rent_Roll[[#This Row],[Total In-Place
Rent]]=0,0,Rent_Roll[[#This Row],[Total In-Place
Rent]]-Rent_Roll[[#This Row],[Market
Rent]])</f>
        <v>0</v>
      </c>
      <c r="W85" s="1343">
        <v>0</v>
      </c>
      <c r="X85" s="723"/>
      <c r="Y85" s="723"/>
      <c r="Z85" s="723"/>
      <c r="AA85" s="1345"/>
      <c r="AB85" s="723"/>
      <c r="AC85" s="723"/>
      <c r="AD85" s="723"/>
      <c r="AE85" s="723"/>
      <c r="AF85" s="723"/>
      <c r="AG85" s="147"/>
      <c r="AH85" s="147"/>
      <c r="AI85" s="1348" t="str">
        <f>IF(Rent_Roll[[#This Row],[Future
Lease Start]]="","",DATEDIF(Rent_Roll[[#This Row],[Future
Lease Start]],Rent_Roll[[#This Row],[Future
Lease Exp]],"m")+1)</f>
        <v/>
      </c>
      <c r="AJ85" s="1347"/>
    </row>
    <row r="86" spans="2:36" x14ac:dyDescent="0.2">
      <c r="B86" s="638"/>
      <c r="C86" s="638">
        <v>407</v>
      </c>
      <c r="D86" s="638" t="s">
        <v>867</v>
      </c>
      <c r="E86" s="162" t="str">
        <f>IF(Rent_Roll[[#This Row],[Floor-
plan]]="studio",0,LEFT(Rent_Roll[[#This Row],[Floor-
plan]],1))</f>
        <v>3</v>
      </c>
      <c r="F86" s="162" cm="1">
        <f t="array" ref="F8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86" s="1336">
        <v>1277</v>
      </c>
      <c r="H86" s="722" t="s">
        <v>244</v>
      </c>
      <c r="I86" s="722"/>
      <c r="J86" s="1337" t="str" cm="1">
        <f t="array" ref="J8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86" s="1338">
        <v>44781</v>
      </c>
      <c r="L86" s="147">
        <v>45145</v>
      </c>
      <c r="M86" s="1339" cm="1">
        <f t="array" ref="M8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86" s="1337" t="str">
        <f>IF(OR(Rent_Roll[[#This Row],[MTM Fee]]="",Rent_Roll[[#This Row],[MTM Fee]]=0),"","MTM Lease")</f>
        <v/>
      </c>
      <c r="O86" s="1340">
        <f ca="1">IFERROR(IF(Rent_Roll[[#This Row],[Lease
Exp]]="","",DATEDIF($F$3,Rent_Roll[[#This Row],[Lease
Exp]],"m")+1),0)</f>
        <v>7</v>
      </c>
      <c r="P86" s="1341"/>
      <c r="Q86" s="1342" t="str" cm="1">
        <f t="array" ref="Q8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86" s="1343">
        <v>1520</v>
      </c>
      <c r="S86" s="723">
        <v>1520</v>
      </c>
      <c r="T86" s="723"/>
      <c r="U86" s="550">
        <f>Rent_Roll[[#This Row],[Lease
Rent]]+Rent_Roll[[#This Row],[Corp
Rent]]</f>
        <v>1520</v>
      </c>
      <c r="V86" s="1344">
        <f>IF(Rent_Roll[[#This Row],[Total In-Place
Rent]]=0,0,Rent_Roll[[#This Row],[Total In-Place
Rent]]-Rent_Roll[[#This Row],[Market
Rent]])</f>
        <v>0</v>
      </c>
      <c r="W86" s="1343">
        <v>0</v>
      </c>
      <c r="X86" s="723"/>
      <c r="Y86" s="723"/>
      <c r="Z86" s="723"/>
      <c r="AA86" s="1345"/>
      <c r="AB86" s="723"/>
      <c r="AC86" s="723"/>
      <c r="AD86" s="723"/>
      <c r="AE86" s="723"/>
      <c r="AF86" s="723"/>
      <c r="AG86" s="147"/>
      <c r="AH86" s="147"/>
      <c r="AI86" s="1348" t="str">
        <f>IF(Rent_Roll[[#This Row],[Future
Lease Start]]="","",DATEDIF(Rent_Roll[[#This Row],[Future
Lease Start]],Rent_Roll[[#This Row],[Future
Lease Exp]],"m")+1)</f>
        <v/>
      </c>
      <c r="AJ86" s="1347"/>
    </row>
    <row r="87" spans="2:36" x14ac:dyDescent="0.2">
      <c r="B87" s="638"/>
      <c r="C87" s="638">
        <v>411</v>
      </c>
      <c r="D87" s="638" t="s">
        <v>867</v>
      </c>
      <c r="E87" s="162" t="str">
        <f>IF(Rent_Roll[[#This Row],[Floor-
plan]]="studio",0,LEFT(Rent_Roll[[#This Row],[Floor-
plan]],1))</f>
        <v>3</v>
      </c>
      <c r="F87" s="162" cm="1">
        <f t="array" ref="F8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87" s="1336">
        <v>1277</v>
      </c>
      <c r="H87" s="722" t="s">
        <v>244</v>
      </c>
      <c r="I87" s="722"/>
      <c r="J87" s="1337" t="str" cm="1">
        <f t="array" ref="J8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87" s="1338">
        <v>44780</v>
      </c>
      <c r="L87" s="147">
        <v>45144</v>
      </c>
      <c r="M87" s="1339" cm="1">
        <f t="array" ref="M8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87" s="1337" t="str">
        <f>IF(OR(Rent_Roll[[#This Row],[MTM Fee]]="",Rent_Roll[[#This Row],[MTM Fee]]=0),"","MTM Lease")</f>
        <v/>
      </c>
      <c r="O87" s="1340">
        <f ca="1">IFERROR(IF(Rent_Roll[[#This Row],[Lease
Exp]]="","",DATEDIF($F$3,Rent_Roll[[#This Row],[Lease
Exp]],"m")+1),0)</f>
        <v>7</v>
      </c>
      <c r="P87" s="1341"/>
      <c r="Q87" s="1342" t="str" cm="1">
        <f t="array" ref="Q8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87" s="1343">
        <v>1540</v>
      </c>
      <c r="S87" s="723">
        <v>1465</v>
      </c>
      <c r="T87" s="723"/>
      <c r="U87" s="550">
        <f>Rent_Roll[[#This Row],[Lease
Rent]]+Rent_Roll[[#This Row],[Corp
Rent]]</f>
        <v>1465</v>
      </c>
      <c r="V87" s="1344">
        <f>IF(Rent_Roll[[#This Row],[Total In-Place
Rent]]=0,0,Rent_Roll[[#This Row],[Total In-Place
Rent]]-Rent_Roll[[#This Row],[Market
Rent]])</f>
        <v>-75</v>
      </c>
      <c r="W87" s="1343">
        <v>0</v>
      </c>
      <c r="X87" s="723"/>
      <c r="Y87" s="723"/>
      <c r="Z87" s="723"/>
      <c r="AA87" s="1345"/>
      <c r="AB87" s="723"/>
      <c r="AC87" s="723"/>
      <c r="AD87" s="723"/>
      <c r="AE87" s="723"/>
      <c r="AF87" s="723"/>
      <c r="AG87" s="147"/>
      <c r="AH87" s="147"/>
      <c r="AI87" s="1348" t="str">
        <f>IF(Rent_Roll[[#This Row],[Future
Lease Start]]="","",DATEDIF(Rent_Roll[[#This Row],[Future
Lease Start]],Rent_Roll[[#This Row],[Future
Lease Exp]],"m")+1)</f>
        <v/>
      </c>
      <c r="AJ87" s="1347"/>
    </row>
    <row r="88" spans="2:36" x14ac:dyDescent="0.2">
      <c r="B88" s="638"/>
      <c r="C88" s="638">
        <v>412</v>
      </c>
      <c r="D88" s="638" t="s">
        <v>867</v>
      </c>
      <c r="E88" s="162" t="str">
        <f>IF(Rent_Roll[[#This Row],[Floor-
plan]]="studio",0,LEFT(Rent_Roll[[#This Row],[Floor-
plan]],1))</f>
        <v>3</v>
      </c>
      <c r="F88" s="162" cm="1">
        <f t="array" ref="F8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88" s="1336">
        <v>1277</v>
      </c>
      <c r="H88" s="722" t="s">
        <v>244</v>
      </c>
      <c r="I88" s="722"/>
      <c r="J88" s="1337" t="str" cm="1">
        <f t="array" ref="J8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88" s="1338">
        <v>44462</v>
      </c>
      <c r="L88" s="147">
        <v>44826</v>
      </c>
      <c r="M88" s="1339" cm="1">
        <f t="array" ref="M8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88" s="1337" t="str">
        <f>IF(OR(Rent_Roll[[#This Row],[MTM Fee]]="",Rent_Roll[[#This Row],[MTM Fee]]=0),"","MTM Lease")</f>
        <v/>
      </c>
      <c r="O88" s="1340">
        <f ca="1">IFERROR(IF(Rent_Roll[[#This Row],[Lease
Exp]]="","",DATEDIF($F$3,Rent_Roll[[#This Row],[Lease
Exp]],"m")+1),0)</f>
        <v>0</v>
      </c>
      <c r="P88" s="1341">
        <v>44819</v>
      </c>
      <c r="Q88" s="1342" t="str" cm="1">
        <f t="array" ref="Q8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88" s="1343">
        <v>1560</v>
      </c>
      <c r="S88" s="723">
        <v>1280</v>
      </c>
      <c r="T88" s="723"/>
      <c r="U88" s="550">
        <f>Rent_Roll[[#This Row],[Lease
Rent]]+Rent_Roll[[#This Row],[Corp
Rent]]</f>
        <v>1280</v>
      </c>
      <c r="V88" s="1344">
        <f>IF(Rent_Roll[[#This Row],[Total In-Place
Rent]]=0,0,Rent_Roll[[#This Row],[Total In-Place
Rent]]-Rent_Roll[[#This Row],[Market
Rent]])</f>
        <v>-280</v>
      </c>
      <c r="W88" s="1343">
        <v>0</v>
      </c>
      <c r="X88" s="723"/>
      <c r="Y88" s="723"/>
      <c r="Z88" s="723"/>
      <c r="AA88" s="1345"/>
      <c r="AB88" s="723"/>
      <c r="AC88" s="723"/>
      <c r="AD88" s="723"/>
      <c r="AE88" s="723"/>
      <c r="AF88" s="723"/>
      <c r="AG88" s="147"/>
      <c r="AH88" s="147"/>
      <c r="AI88" s="1348" t="str">
        <f>IF(Rent_Roll[[#This Row],[Future
Lease Start]]="","",DATEDIF(Rent_Roll[[#This Row],[Future
Lease Start]],Rent_Roll[[#This Row],[Future
Lease Exp]],"m")+1)</f>
        <v/>
      </c>
      <c r="AJ88" s="1347"/>
    </row>
    <row r="89" spans="2:36" x14ac:dyDescent="0.2">
      <c r="B89" s="638"/>
      <c r="C89" s="638">
        <v>413</v>
      </c>
      <c r="D89" s="638" t="s">
        <v>866</v>
      </c>
      <c r="E89" s="162" t="str">
        <f>IF(Rent_Roll[[#This Row],[Floor-
plan]]="studio",0,LEFT(Rent_Roll[[#This Row],[Floor-
plan]],1))</f>
        <v>2</v>
      </c>
      <c r="F89" s="162" cm="1">
        <f t="array" ref="F8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89" s="1336">
        <v>1000</v>
      </c>
      <c r="H89" s="722" t="s">
        <v>244</v>
      </c>
      <c r="I89" s="722"/>
      <c r="J89" s="1337" t="str" cm="1">
        <f t="array" ref="J8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89" s="1338">
        <v>44713</v>
      </c>
      <c r="L89" s="147">
        <v>45077</v>
      </c>
      <c r="M89" s="1339" cm="1">
        <f t="array" ref="M8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89" s="1337" t="str">
        <f>IF(OR(Rent_Roll[[#This Row],[MTM Fee]]="",Rent_Roll[[#This Row],[MTM Fee]]=0),"","MTM Lease")</f>
        <v/>
      </c>
      <c r="O89" s="1340">
        <f ca="1">IFERROR(IF(Rent_Roll[[#This Row],[Lease
Exp]]="","",DATEDIF($F$3,Rent_Roll[[#This Row],[Lease
Exp]],"m")+1),0)</f>
        <v>5</v>
      </c>
      <c r="P89" s="1341"/>
      <c r="Q89" s="1342" t="str" cm="1">
        <f t="array" ref="Q8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89" s="1343">
        <v>1400</v>
      </c>
      <c r="S89" s="723">
        <v>1400</v>
      </c>
      <c r="T89" s="723"/>
      <c r="U89" s="550">
        <f>Rent_Roll[[#This Row],[Lease
Rent]]+Rent_Roll[[#This Row],[Corp
Rent]]</f>
        <v>1400</v>
      </c>
      <c r="V89" s="1344">
        <f>IF(Rent_Roll[[#This Row],[Total In-Place
Rent]]=0,0,Rent_Roll[[#This Row],[Total In-Place
Rent]]-Rent_Roll[[#This Row],[Market
Rent]])</f>
        <v>0</v>
      </c>
      <c r="W89" s="1343">
        <v>0</v>
      </c>
      <c r="X89" s="723"/>
      <c r="Y89" s="723"/>
      <c r="Z89" s="723"/>
      <c r="AA89" s="1345"/>
      <c r="AB89" s="723"/>
      <c r="AC89" s="723"/>
      <c r="AD89" s="723"/>
      <c r="AE89" s="723"/>
      <c r="AF89" s="723"/>
      <c r="AG89" s="147"/>
      <c r="AH89" s="147"/>
      <c r="AI89" s="1348" t="str">
        <f>IF(Rent_Roll[[#This Row],[Future
Lease Start]]="","",DATEDIF(Rent_Roll[[#This Row],[Future
Lease Start]],Rent_Roll[[#This Row],[Future
Lease Exp]],"m")+1)</f>
        <v/>
      </c>
      <c r="AJ89" s="1347"/>
    </row>
    <row r="90" spans="2:36" x14ac:dyDescent="0.2">
      <c r="B90" s="638"/>
      <c r="C90" s="638">
        <v>414</v>
      </c>
      <c r="D90" s="638" t="s">
        <v>866</v>
      </c>
      <c r="E90" s="162" t="str">
        <f>IF(Rent_Roll[[#This Row],[Floor-
plan]]="studio",0,LEFT(Rent_Roll[[#This Row],[Floor-
plan]],1))</f>
        <v>2</v>
      </c>
      <c r="F90" s="162" cm="1">
        <f t="array" ref="F9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90" s="1336">
        <v>1000</v>
      </c>
      <c r="H90" s="722" t="s">
        <v>244</v>
      </c>
      <c r="I90" s="722"/>
      <c r="J90" s="1337" t="str" cm="1">
        <f t="array" ref="J9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90" s="1338">
        <v>44739</v>
      </c>
      <c r="L90" s="147">
        <v>45103</v>
      </c>
      <c r="M90" s="1339" cm="1">
        <f t="array" ref="M9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90" s="1337" t="str">
        <f>IF(OR(Rent_Roll[[#This Row],[MTM Fee]]="",Rent_Roll[[#This Row],[MTM Fee]]=0),"","MTM Lease")</f>
        <v/>
      </c>
      <c r="O90" s="1340">
        <f ca="1">IFERROR(IF(Rent_Roll[[#This Row],[Lease
Exp]]="","",DATEDIF($F$3,Rent_Roll[[#This Row],[Lease
Exp]],"m")+1),0)</f>
        <v>6</v>
      </c>
      <c r="P90" s="1341"/>
      <c r="Q90" s="1342" t="str" cm="1">
        <f t="array" ref="Q9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90" s="1343">
        <v>1380</v>
      </c>
      <c r="S90" s="723">
        <v>1270</v>
      </c>
      <c r="T90" s="723"/>
      <c r="U90" s="550">
        <f>Rent_Roll[[#This Row],[Lease
Rent]]+Rent_Roll[[#This Row],[Corp
Rent]]</f>
        <v>1270</v>
      </c>
      <c r="V90" s="1344">
        <f>IF(Rent_Roll[[#This Row],[Total In-Place
Rent]]=0,0,Rent_Roll[[#This Row],[Total In-Place
Rent]]-Rent_Roll[[#This Row],[Market
Rent]])</f>
        <v>-110</v>
      </c>
      <c r="W90" s="1343">
        <v>0</v>
      </c>
      <c r="X90" s="723"/>
      <c r="Y90" s="723"/>
      <c r="Z90" s="723"/>
      <c r="AA90" s="1345"/>
      <c r="AB90" s="723"/>
      <c r="AC90" s="723"/>
      <c r="AD90" s="723"/>
      <c r="AE90" s="723"/>
      <c r="AF90" s="723"/>
      <c r="AG90" s="147"/>
      <c r="AH90" s="147"/>
      <c r="AI90" s="1348" t="str">
        <f>IF(Rent_Roll[[#This Row],[Future
Lease Start]]="","",DATEDIF(Rent_Roll[[#This Row],[Future
Lease Start]],Rent_Roll[[#This Row],[Future
Lease Exp]],"m")+1)</f>
        <v/>
      </c>
      <c r="AJ90" s="1347"/>
    </row>
    <row r="91" spans="2:36" x14ac:dyDescent="0.2">
      <c r="B91" s="638"/>
      <c r="C91" s="638">
        <v>415</v>
      </c>
      <c r="D91" s="638" t="s">
        <v>866</v>
      </c>
      <c r="E91" s="162" t="str">
        <f>IF(Rent_Roll[[#This Row],[Floor-
plan]]="studio",0,LEFT(Rent_Roll[[#This Row],[Floor-
plan]],1))</f>
        <v>2</v>
      </c>
      <c r="F91" s="162" cm="1">
        <f t="array" ref="F9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91" s="1336">
        <v>1000</v>
      </c>
      <c r="H91" s="722" t="s">
        <v>244</v>
      </c>
      <c r="I91" s="722"/>
      <c r="J91" s="1337" t="str" cm="1">
        <f t="array" ref="J9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91" s="1338">
        <v>44764</v>
      </c>
      <c r="L91" s="147">
        <v>45128</v>
      </c>
      <c r="M91" s="1339" cm="1">
        <f t="array" ref="M9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91" s="1337" t="str">
        <f>IF(OR(Rent_Roll[[#This Row],[MTM Fee]]="",Rent_Roll[[#This Row],[MTM Fee]]=0),"","MTM Lease")</f>
        <v/>
      </c>
      <c r="O91" s="1340">
        <f ca="1">IFERROR(IF(Rent_Roll[[#This Row],[Lease
Exp]]="","",DATEDIF($F$3,Rent_Roll[[#This Row],[Lease
Exp]],"m")+1),0)</f>
        <v>6</v>
      </c>
      <c r="P91" s="1341"/>
      <c r="Q91" s="1342" t="str" cm="1">
        <f t="array" ref="Q9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91" s="1343">
        <v>1380</v>
      </c>
      <c r="S91" s="723">
        <v>1100</v>
      </c>
      <c r="T91" s="723"/>
      <c r="U91" s="550">
        <f>Rent_Roll[[#This Row],[Lease
Rent]]+Rent_Roll[[#This Row],[Corp
Rent]]</f>
        <v>1100</v>
      </c>
      <c r="V91" s="1344">
        <f>IF(Rent_Roll[[#This Row],[Total In-Place
Rent]]=0,0,Rent_Roll[[#This Row],[Total In-Place
Rent]]-Rent_Roll[[#This Row],[Market
Rent]])</f>
        <v>-280</v>
      </c>
      <c r="W91" s="1343">
        <v>0</v>
      </c>
      <c r="X91" s="723"/>
      <c r="Y91" s="723"/>
      <c r="Z91" s="723"/>
      <c r="AA91" s="1345"/>
      <c r="AB91" s="723"/>
      <c r="AC91" s="723"/>
      <c r="AD91" s="723"/>
      <c r="AE91" s="723"/>
      <c r="AF91" s="723"/>
      <c r="AG91" s="147"/>
      <c r="AH91" s="147"/>
      <c r="AI91" s="1348" t="str">
        <f>IF(Rent_Roll[[#This Row],[Future
Lease Start]]="","",DATEDIF(Rent_Roll[[#This Row],[Future
Lease Start]],Rent_Roll[[#This Row],[Future
Lease Exp]],"m")+1)</f>
        <v/>
      </c>
      <c r="AJ91" s="1347"/>
    </row>
    <row r="92" spans="2:36" x14ac:dyDescent="0.2">
      <c r="B92" s="638"/>
      <c r="C92" s="638">
        <v>416</v>
      </c>
      <c r="D92" s="638" t="s">
        <v>866</v>
      </c>
      <c r="E92" s="162" t="str">
        <f>IF(Rent_Roll[[#This Row],[Floor-
plan]]="studio",0,LEFT(Rent_Roll[[#This Row],[Floor-
plan]],1))</f>
        <v>2</v>
      </c>
      <c r="F92" s="162" cm="1">
        <f t="array" ref="F9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92" s="1336">
        <v>1000</v>
      </c>
      <c r="H92" s="722" t="s">
        <v>244</v>
      </c>
      <c r="I92" s="722"/>
      <c r="J92" s="1337" t="str" cm="1">
        <f t="array" ref="J9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92" s="1338">
        <v>44496</v>
      </c>
      <c r="L92" s="147">
        <v>44860</v>
      </c>
      <c r="M92" s="1339" cm="1">
        <f t="array" ref="M9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92" s="1337" t="str">
        <f>IF(OR(Rent_Roll[[#This Row],[MTM Fee]]="",Rent_Roll[[#This Row],[MTM Fee]]=0),"","MTM Lease")</f>
        <v/>
      </c>
      <c r="O92" s="1340">
        <f ca="1">IFERROR(IF(Rent_Roll[[#This Row],[Lease
Exp]]="","",DATEDIF($F$3,Rent_Roll[[#This Row],[Lease
Exp]],"m")+1),0)</f>
        <v>0</v>
      </c>
      <c r="P92" s="1341"/>
      <c r="Q92" s="1342" t="str" cm="1">
        <f t="array" ref="Q9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92" s="1343">
        <v>1400</v>
      </c>
      <c r="S92" s="723">
        <v>1215</v>
      </c>
      <c r="T92" s="723"/>
      <c r="U92" s="550">
        <f>Rent_Roll[[#This Row],[Lease
Rent]]+Rent_Roll[[#This Row],[Corp
Rent]]</f>
        <v>1215</v>
      </c>
      <c r="V92" s="1344">
        <f>IF(Rent_Roll[[#This Row],[Total In-Place
Rent]]=0,0,Rent_Roll[[#This Row],[Total In-Place
Rent]]-Rent_Roll[[#This Row],[Market
Rent]])</f>
        <v>-185</v>
      </c>
      <c r="W92" s="1343">
        <v>0</v>
      </c>
      <c r="X92" s="723"/>
      <c r="Y92" s="723"/>
      <c r="Z92" s="723"/>
      <c r="AA92" s="1345"/>
      <c r="AB92" s="723"/>
      <c r="AC92" s="723"/>
      <c r="AD92" s="723"/>
      <c r="AE92" s="723"/>
      <c r="AF92" s="723"/>
      <c r="AG92" s="147"/>
      <c r="AH92" s="147"/>
      <c r="AI92" s="1348" t="str">
        <f>IF(Rent_Roll[[#This Row],[Future
Lease Start]]="","",DATEDIF(Rent_Roll[[#This Row],[Future
Lease Start]],Rent_Roll[[#This Row],[Future
Lease Exp]],"m")+1)</f>
        <v/>
      </c>
      <c r="AJ92" s="1347"/>
    </row>
    <row r="93" spans="2:36" x14ac:dyDescent="0.2">
      <c r="B93" s="638"/>
      <c r="C93" s="638">
        <v>417</v>
      </c>
      <c r="D93" s="638" t="s">
        <v>867</v>
      </c>
      <c r="E93" s="162" t="str">
        <f>IF(Rent_Roll[[#This Row],[Floor-
plan]]="studio",0,LEFT(Rent_Roll[[#This Row],[Floor-
plan]],1))</f>
        <v>3</v>
      </c>
      <c r="F93" s="162" cm="1">
        <f t="array" ref="F9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93" s="1336">
        <v>1277</v>
      </c>
      <c r="H93" s="722" t="s">
        <v>244</v>
      </c>
      <c r="I93" s="722"/>
      <c r="J93" s="1337" t="str" cm="1">
        <f t="array" ref="J9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93" s="1338">
        <v>44479</v>
      </c>
      <c r="L93" s="147">
        <v>44843</v>
      </c>
      <c r="M93" s="1339" cm="1">
        <f t="array" ref="M9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93" s="1337" t="str">
        <f>IF(OR(Rent_Roll[[#This Row],[MTM Fee]]="",Rent_Roll[[#This Row],[MTM Fee]]=0),"","MTM Lease")</f>
        <v/>
      </c>
      <c r="O93" s="1340">
        <f ca="1">IFERROR(IF(Rent_Roll[[#This Row],[Lease
Exp]]="","",DATEDIF($F$3,Rent_Roll[[#This Row],[Lease
Exp]],"m")+1),0)</f>
        <v>0</v>
      </c>
      <c r="P93" s="1341"/>
      <c r="Q93" s="1342" t="str" cm="1">
        <f t="array" ref="Q9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93" s="1343">
        <v>1560</v>
      </c>
      <c r="S93" s="723">
        <v>1360</v>
      </c>
      <c r="T93" s="723"/>
      <c r="U93" s="550">
        <f>Rent_Roll[[#This Row],[Lease
Rent]]+Rent_Roll[[#This Row],[Corp
Rent]]</f>
        <v>1360</v>
      </c>
      <c r="V93" s="1344">
        <f>IF(Rent_Roll[[#This Row],[Total In-Place
Rent]]=0,0,Rent_Roll[[#This Row],[Total In-Place
Rent]]-Rent_Roll[[#This Row],[Market
Rent]])</f>
        <v>-200</v>
      </c>
      <c r="W93" s="1343">
        <v>0</v>
      </c>
      <c r="X93" s="723"/>
      <c r="Y93" s="723"/>
      <c r="Z93" s="723"/>
      <c r="AA93" s="1345"/>
      <c r="AB93" s="723"/>
      <c r="AC93" s="723"/>
      <c r="AD93" s="723"/>
      <c r="AE93" s="723"/>
      <c r="AF93" s="723"/>
      <c r="AG93" s="147"/>
      <c r="AH93" s="147"/>
      <c r="AI93" s="1348" t="str">
        <f>IF(Rent_Roll[[#This Row],[Future
Lease Start]]="","",DATEDIF(Rent_Roll[[#This Row],[Future
Lease Start]],Rent_Roll[[#This Row],[Future
Lease Exp]],"m")+1)</f>
        <v/>
      </c>
      <c r="AJ93" s="1347"/>
    </row>
    <row r="94" spans="2:36" x14ac:dyDescent="0.2">
      <c r="B94" s="638"/>
      <c r="C94" s="638">
        <v>418</v>
      </c>
      <c r="D94" s="638" t="s">
        <v>867</v>
      </c>
      <c r="E94" s="162" t="str">
        <f>IF(Rent_Roll[[#This Row],[Floor-
plan]]="studio",0,LEFT(Rent_Roll[[#This Row],[Floor-
plan]],1))</f>
        <v>3</v>
      </c>
      <c r="F94" s="162" cm="1">
        <f t="array" ref="F9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94" s="1336">
        <v>1277</v>
      </c>
      <c r="H94" s="722" t="s">
        <v>244</v>
      </c>
      <c r="I94" s="722"/>
      <c r="J94" s="1337" t="str" cm="1">
        <f t="array" ref="J9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94" s="1338">
        <v>44546</v>
      </c>
      <c r="L94" s="147">
        <v>44910</v>
      </c>
      <c r="M94" s="1339" cm="1">
        <f t="array" ref="M9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94" s="1337" t="str">
        <f>IF(OR(Rent_Roll[[#This Row],[MTM Fee]]="",Rent_Roll[[#This Row],[MTM Fee]]=0),"","MTM Lease")</f>
        <v/>
      </c>
      <c r="O94" s="1340">
        <f ca="1">IFERROR(IF(Rent_Roll[[#This Row],[Lease
Exp]]="","",DATEDIF($F$3,Rent_Roll[[#This Row],[Lease
Exp]],"m")+1),0)</f>
        <v>0</v>
      </c>
      <c r="P94" s="1341"/>
      <c r="Q94" s="1342" t="str" cm="1">
        <f t="array" ref="Q9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94" s="1343">
        <v>1540</v>
      </c>
      <c r="S94" s="723">
        <v>1540</v>
      </c>
      <c r="T94" s="723"/>
      <c r="U94" s="550">
        <f>Rent_Roll[[#This Row],[Lease
Rent]]+Rent_Roll[[#This Row],[Corp
Rent]]</f>
        <v>1540</v>
      </c>
      <c r="V94" s="1344">
        <f>IF(Rent_Roll[[#This Row],[Total In-Place
Rent]]=0,0,Rent_Roll[[#This Row],[Total In-Place
Rent]]-Rent_Roll[[#This Row],[Market
Rent]])</f>
        <v>0</v>
      </c>
      <c r="W94" s="1343">
        <v>0</v>
      </c>
      <c r="X94" s="723"/>
      <c r="Y94" s="723"/>
      <c r="Z94" s="723"/>
      <c r="AA94" s="1345"/>
      <c r="AB94" s="723"/>
      <c r="AC94" s="723"/>
      <c r="AD94" s="723"/>
      <c r="AE94" s="723"/>
      <c r="AF94" s="723"/>
      <c r="AG94" s="147"/>
      <c r="AH94" s="147"/>
      <c r="AI94" s="1348" t="str">
        <f>IF(Rent_Roll[[#This Row],[Future
Lease Start]]="","",DATEDIF(Rent_Roll[[#This Row],[Future
Lease Start]],Rent_Roll[[#This Row],[Future
Lease Exp]],"m")+1)</f>
        <v/>
      </c>
      <c r="AJ94" s="1347"/>
    </row>
    <row r="95" spans="2:36" x14ac:dyDescent="0.2">
      <c r="B95" s="638"/>
      <c r="C95" s="638">
        <v>421</v>
      </c>
      <c r="D95" s="638" t="s">
        <v>867</v>
      </c>
      <c r="E95" s="162" t="str">
        <f>IF(Rent_Roll[[#This Row],[Floor-
plan]]="studio",0,LEFT(Rent_Roll[[#This Row],[Floor-
plan]],1))</f>
        <v>3</v>
      </c>
      <c r="F95" s="162" cm="1">
        <f t="array" ref="F9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95" s="1336">
        <v>1277</v>
      </c>
      <c r="H95" s="722" t="s">
        <v>244</v>
      </c>
      <c r="I95" s="722"/>
      <c r="J95" s="1337" t="str" cm="1">
        <f t="array" ref="J9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95" s="1338">
        <v>44312</v>
      </c>
      <c r="L95" s="147">
        <v>44859</v>
      </c>
      <c r="M95" s="1339" cm="1">
        <f t="array" ref="M95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95" s="1337" t="str">
        <f>IF(OR(Rent_Roll[[#This Row],[MTM Fee]]="",Rent_Roll[[#This Row],[MTM Fee]]=0),"","MTM Lease")</f>
        <v/>
      </c>
      <c r="O95" s="1340">
        <f ca="1">IFERROR(IF(Rent_Roll[[#This Row],[Lease
Exp]]="","",DATEDIF($F$3,Rent_Roll[[#This Row],[Lease
Exp]],"m")+1),0)</f>
        <v>0</v>
      </c>
      <c r="P95" s="1341"/>
      <c r="Q95" s="1342" t="str" cm="1">
        <f t="array" ref="Q9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95" s="1343">
        <v>1520</v>
      </c>
      <c r="S95" s="723">
        <v>1320</v>
      </c>
      <c r="T95" s="723"/>
      <c r="U95" s="550">
        <f>Rent_Roll[[#This Row],[Lease
Rent]]+Rent_Roll[[#This Row],[Corp
Rent]]</f>
        <v>1320</v>
      </c>
      <c r="V95" s="1344">
        <f>IF(Rent_Roll[[#This Row],[Total In-Place
Rent]]=0,0,Rent_Roll[[#This Row],[Total In-Place
Rent]]-Rent_Roll[[#This Row],[Market
Rent]])</f>
        <v>-200</v>
      </c>
      <c r="W95" s="1343">
        <v>0</v>
      </c>
      <c r="X95" s="723"/>
      <c r="Y95" s="723"/>
      <c r="Z95" s="723"/>
      <c r="AA95" s="1345"/>
      <c r="AB95" s="723"/>
      <c r="AC95" s="723"/>
      <c r="AD95" s="723"/>
      <c r="AE95" s="723"/>
      <c r="AF95" s="723"/>
      <c r="AG95" s="147"/>
      <c r="AH95" s="147"/>
      <c r="AI95" s="1348" t="str">
        <f>IF(Rent_Roll[[#This Row],[Future
Lease Start]]="","",DATEDIF(Rent_Roll[[#This Row],[Future
Lease Start]],Rent_Roll[[#This Row],[Future
Lease Exp]],"m")+1)</f>
        <v/>
      </c>
      <c r="AJ95" s="1347"/>
    </row>
    <row r="96" spans="2:36" x14ac:dyDescent="0.2">
      <c r="B96" s="638"/>
      <c r="C96" s="638">
        <v>422</v>
      </c>
      <c r="D96" s="638" t="s">
        <v>867</v>
      </c>
      <c r="E96" s="162" t="str">
        <f>IF(Rent_Roll[[#This Row],[Floor-
plan]]="studio",0,LEFT(Rent_Roll[[#This Row],[Floor-
plan]],1))</f>
        <v>3</v>
      </c>
      <c r="F96" s="162" cm="1">
        <f t="array" ref="F9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96" s="1336">
        <v>1277</v>
      </c>
      <c r="H96" s="722" t="s">
        <v>244</v>
      </c>
      <c r="I96" s="722"/>
      <c r="J96" s="1337" t="str" cm="1">
        <f t="array" ref="J9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96" s="1338">
        <v>44362</v>
      </c>
      <c r="L96" s="147">
        <v>44909</v>
      </c>
      <c r="M96" s="1339" cm="1">
        <f t="array" ref="M96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96" s="1337" t="str">
        <f>IF(OR(Rent_Roll[[#This Row],[MTM Fee]]="",Rent_Roll[[#This Row],[MTM Fee]]=0),"","MTM Lease")</f>
        <v/>
      </c>
      <c r="O96" s="1340">
        <f ca="1">IFERROR(IF(Rent_Roll[[#This Row],[Lease
Exp]]="","",DATEDIF($F$3,Rent_Roll[[#This Row],[Lease
Exp]],"m")+1),0)</f>
        <v>0</v>
      </c>
      <c r="P96" s="1341"/>
      <c r="Q96" s="1342" t="str" cm="1">
        <f t="array" ref="Q9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96" s="1343">
        <v>1540</v>
      </c>
      <c r="S96" s="723">
        <v>1335</v>
      </c>
      <c r="T96" s="723"/>
      <c r="U96" s="550">
        <f>Rent_Roll[[#This Row],[Lease
Rent]]+Rent_Roll[[#This Row],[Corp
Rent]]</f>
        <v>1335</v>
      </c>
      <c r="V96" s="1344">
        <f>IF(Rent_Roll[[#This Row],[Total In-Place
Rent]]=0,0,Rent_Roll[[#This Row],[Total In-Place
Rent]]-Rent_Roll[[#This Row],[Market
Rent]])</f>
        <v>-205</v>
      </c>
      <c r="W96" s="1343">
        <v>0</v>
      </c>
      <c r="X96" s="723"/>
      <c r="Y96" s="723"/>
      <c r="Z96" s="723"/>
      <c r="AA96" s="1345"/>
      <c r="AB96" s="723"/>
      <c r="AC96" s="723"/>
      <c r="AD96" s="723"/>
      <c r="AE96" s="723"/>
      <c r="AF96" s="723"/>
      <c r="AG96" s="147"/>
      <c r="AH96" s="147"/>
      <c r="AI96" s="1348" t="str">
        <f>IF(Rent_Roll[[#This Row],[Future
Lease Start]]="","",DATEDIF(Rent_Roll[[#This Row],[Future
Lease Start]],Rent_Roll[[#This Row],[Future
Lease Exp]],"m")+1)</f>
        <v/>
      </c>
      <c r="AJ96" s="1347"/>
    </row>
    <row r="97" spans="2:36" x14ac:dyDescent="0.2">
      <c r="B97" s="638"/>
      <c r="C97" s="638">
        <v>423</v>
      </c>
      <c r="D97" s="638" t="s">
        <v>866</v>
      </c>
      <c r="E97" s="162" t="str">
        <f>IF(Rent_Roll[[#This Row],[Floor-
plan]]="studio",0,LEFT(Rent_Roll[[#This Row],[Floor-
plan]],1))</f>
        <v>2</v>
      </c>
      <c r="F97" s="162" cm="1">
        <f t="array" ref="F9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97" s="1336">
        <v>1000</v>
      </c>
      <c r="H97" s="722" t="s">
        <v>244</v>
      </c>
      <c r="I97" s="722"/>
      <c r="J97" s="1337" t="str" cm="1">
        <f t="array" ref="J9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97" s="1338">
        <v>44775</v>
      </c>
      <c r="L97" s="147">
        <v>45139</v>
      </c>
      <c r="M97" s="1339" cm="1">
        <f t="array" ref="M9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97" s="1337" t="str">
        <f>IF(OR(Rent_Roll[[#This Row],[MTM Fee]]="",Rent_Roll[[#This Row],[MTM Fee]]=0),"","MTM Lease")</f>
        <v/>
      </c>
      <c r="O97" s="1340">
        <f ca="1">IFERROR(IF(Rent_Roll[[#This Row],[Lease
Exp]]="","",DATEDIF($F$3,Rent_Roll[[#This Row],[Lease
Exp]],"m")+1),0)</f>
        <v>7</v>
      </c>
      <c r="P97" s="1341"/>
      <c r="Q97" s="1342" t="str" cm="1">
        <f t="array" ref="Q9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97" s="1343">
        <v>1380</v>
      </c>
      <c r="S97" s="723">
        <v>1380</v>
      </c>
      <c r="T97" s="723"/>
      <c r="U97" s="550">
        <f>Rent_Roll[[#This Row],[Lease
Rent]]+Rent_Roll[[#This Row],[Corp
Rent]]</f>
        <v>1380</v>
      </c>
      <c r="V97" s="1344">
        <f>IF(Rent_Roll[[#This Row],[Total In-Place
Rent]]=0,0,Rent_Roll[[#This Row],[Total In-Place
Rent]]-Rent_Roll[[#This Row],[Market
Rent]])</f>
        <v>0</v>
      </c>
      <c r="W97" s="1343">
        <v>0</v>
      </c>
      <c r="X97" s="723"/>
      <c r="Y97" s="723"/>
      <c r="Z97" s="723"/>
      <c r="AA97" s="1345"/>
      <c r="AB97" s="723"/>
      <c r="AC97" s="723"/>
      <c r="AD97" s="723"/>
      <c r="AE97" s="723"/>
      <c r="AF97" s="723"/>
      <c r="AG97" s="147"/>
      <c r="AH97" s="147"/>
      <c r="AI97" s="1348" t="str">
        <f>IF(Rent_Roll[[#This Row],[Future
Lease Start]]="","",DATEDIF(Rent_Roll[[#This Row],[Future
Lease Start]],Rent_Roll[[#This Row],[Future
Lease Exp]],"m")+1)</f>
        <v/>
      </c>
      <c r="AJ97" s="1347"/>
    </row>
    <row r="98" spans="2:36" x14ac:dyDescent="0.2">
      <c r="B98" s="638"/>
      <c r="C98" s="638">
        <v>424</v>
      </c>
      <c r="D98" s="638" t="s">
        <v>866</v>
      </c>
      <c r="E98" s="162" t="str">
        <f>IF(Rent_Roll[[#This Row],[Floor-
plan]]="studio",0,LEFT(Rent_Roll[[#This Row],[Floor-
plan]],1))</f>
        <v>2</v>
      </c>
      <c r="F98" s="162" cm="1">
        <f t="array" ref="F9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98" s="1336">
        <v>1000</v>
      </c>
      <c r="H98" s="722" t="s">
        <v>244</v>
      </c>
      <c r="I98" s="722"/>
      <c r="J98" s="1337" t="str" cm="1">
        <f t="array" ref="J9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98" s="1338">
        <v>44565</v>
      </c>
      <c r="L98" s="147">
        <v>44929</v>
      </c>
      <c r="M98" s="1339" cm="1">
        <f t="array" ref="M9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98" s="1337" t="str">
        <f>IF(OR(Rent_Roll[[#This Row],[MTM Fee]]="",Rent_Roll[[#This Row],[MTM Fee]]=0),"","MTM Lease")</f>
        <v/>
      </c>
      <c r="O98" s="1340">
        <f ca="1">IFERROR(IF(Rent_Roll[[#This Row],[Lease
Exp]]="","",DATEDIF($F$3,Rent_Roll[[#This Row],[Lease
Exp]],"m")+1),0)</f>
        <v>0</v>
      </c>
      <c r="P98" s="1341"/>
      <c r="Q98" s="1342" t="str" cm="1">
        <f t="array" ref="Q9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98" s="1343">
        <v>1360</v>
      </c>
      <c r="S98" s="723">
        <v>1360</v>
      </c>
      <c r="T98" s="723"/>
      <c r="U98" s="550">
        <f>Rent_Roll[[#This Row],[Lease
Rent]]+Rent_Roll[[#This Row],[Corp
Rent]]</f>
        <v>1360</v>
      </c>
      <c r="V98" s="1344">
        <f>IF(Rent_Roll[[#This Row],[Total In-Place
Rent]]=0,0,Rent_Roll[[#This Row],[Total In-Place
Rent]]-Rent_Roll[[#This Row],[Market
Rent]])</f>
        <v>0</v>
      </c>
      <c r="W98" s="1343">
        <v>0</v>
      </c>
      <c r="X98" s="723"/>
      <c r="Y98" s="723"/>
      <c r="Z98" s="723"/>
      <c r="AA98" s="1345"/>
      <c r="AB98" s="723"/>
      <c r="AC98" s="723"/>
      <c r="AD98" s="723"/>
      <c r="AE98" s="723"/>
      <c r="AF98" s="723"/>
      <c r="AG98" s="147"/>
      <c r="AH98" s="147"/>
      <c r="AI98" s="1348" t="str">
        <f>IF(Rent_Roll[[#This Row],[Future
Lease Start]]="","",DATEDIF(Rent_Roll[[#This Row],[Future
Lease Start]],Rent_Roll[[#This Row],[Future
Lease Exp]],"m")+1)</f>
        <v/>
      </c>
      <c r="AJ98" s="1347"/>
    </row>
    <row r="99" spans="2:36" x14ac:dyDescent="0.2">
      <c r="B99" s="638"/>
      <c r="C99" s="638">
        <v>425</v>
      </c>
      <c r="D99" s="638" t="s">
        <v>866</v>
      </c>
      <c r="E99" s="162" t="str">
        <f>IF(Rent_Roll[[#This Row],[Floor-
plan]]="studio",0,LEFT(Rent_Roll[[#This Row],[Floor-
plan]],1))</f>
        <v>2</v>
      </c>
      <c r="F99" s="162" cm="1">
        <f t="array" ref="F9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99" s="1336">
        <v>1000</v>
      </c>
      <c r="H99" s="722" t="s">
        <v>244</v>
      </c>
      <c r="I99" s="722"/>
      <c r="J99" s="1337" t="str" cm="1">
        <f t="array" ref="J9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99" s="1338">
        <v>44617</v>
      </c>
      <c r="L99" s="147">
        <v>44981</v>
      </c>
      <c r="M99" s="1339" cm="1">
        <f t="array" ref="M9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99" s="1337" t="str">
        <f>IF(OR(Rent_Roll[[#This Row],[MTM Fee]]="",Rent_Roll[[#This Row],[MTM Fee]]=0),"","MTM Lease")</f>
        <v/>
      </c>
      <c r="O99" s="1340">
        <f ca="1">IFERROR(IF(Rent_Roll[[#This Row],[Lease
Exp]]="","",DATEDIF($F$3,Rent_Roll[[#This Row],[Lease
Exp]],"m")+1),0)</f>
        <v>1</v>
      </c>
      <c r="P99" s="1341"/>
      <c r="Q99" s="1342" t="str" cm="1">
        <f t="array" ref="Q9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99" s="1343">
        <v>1360</v>
      </c>
      <c r="S99" s="723">
        <v>1360</v>
      </c>
      <c r="T99" s="723"/>
      <c r="U99" s="550">
        <f>Rent_Roll[[#This Row],[Lease
Rent]]+Rent_Roll[[#This Row],[Corp
Rent]]</f>
        <v>1360</v>
      </c>
      <c r="V99" s="1344">
        <f>IF(Rent_Roll[[#This Row],[Total In-Place
Rent]]=0,0,Rent_Roll[[#This Row],[Total In-Place
Rent]]-Rent_Roll[[#This Row],[Market
Rent]])</f>
        <v>0</v>
      </c>
      <c r="W99" s="1343">
        <v>0</v>
      </c>
      <c r="X99" s="723"/>
      <c r="Y99" s="723"/>
      <c r="Z99" s="723"/>
      <c r="AA99" s="1345"/>
      <c r="AB99" s="723"/>
      <c r="AC99" s="723"/>
      <c r="AD99" s="723"/>
      <c r="AE99" s="723"/>
      <c r="AF99" s="723"/>
      <c r="AG99" s="147"/>
      <c r="AH99" s="147"/>
      <c r="AI99" s="1348" t="str">
        <f>IF(Rent_Roll[[#This Row],[Future
Lease Start]]="","",DATEDIF(Rent_Roll[[#This Row],[Future
Lease Start]],Rent_Roll[[#This Row],[Future
Lease Exp]],"m")+1)</f>
        <v/>
      </c>
      <c r="AJ99" s="1347"/>
    </row>
    <row r="100" spans="2:36" x14ac:dyDescent="0.2">
      <c r="B100" s="638"/>
      <c r="C100" s="638">
        <v>426</v>
      </c>
      <c r="D100" s="638" t="s">
        <v>866</v>
      </c>
      <c r="E100" s="162" t="str">
        <f>IF(Rent_Roll[[#This Row],[Floor-
plan]]="studio",0,LEFT(Rent_Roll[[#This Row],[Floor-
plan]],1))</f>
        <v>2</v>
      </c>
      <c r="F100" s="162" cm="1">
        <f t="array" ref="F10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00" s="1336">
        <v>1000</v>
      </c>
      <c r="H100" s="722" t="s">
        <v>244</v>
      </c>
      <c r="I100" s="722"/>
      <c r="J100" s="1337" t="str" cm="1">
        <f t="array" ref="J10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00" s="1338">
        <v>44805</v>
      </c>
      <c r="L100" s="147">
        <v>45169</v>
      </c>
      <c r="M100" s="1339" cm="1">
        <f t="array" ref="M10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00" s="1337" t="str">
        <f>IF(OR(Rent_Roll[[#This Row],[MTM Fee]]="",Rent_Roll[[#This Row],[MTM Fee]]=0),"","MTM Lease")</f>
        <v/>
      </c>
      <c r="O100" s="1340">
        <f ca="1">IFERROR(IF(Rent_Roll[[#This Row],[Lease
Exp]]="","",DATEDIF($F$3,Rent_Roll[[#This Row],[Lease
Exp]],"m")+1),0)</f>
        <v>8</v>
      </c>
      <c r="P100" s="1341"/>
      <c r="Q100" s="1342" t="str" cm="1">
        <f t="array" ref="Q10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00" s="1343">
        <v>1380</v>
      </c>
      <c r="S100" s="723">
        <v>1195</v>
      </c>
      <c r="T100" s="723"/>
      <c r="U100" s="550">
        <f>Rent_Roll[[#This Row],[Lease
Rent]]+Rent_Roll[[#This Row],[Corp
Rent]]</f>
        <v>1195</v>
      </c>
      <c r="V100" s="1344">
        <f>IF(Rent_Roll[[#This Row],[Total In-Place
Rent]]=0,0,Rent_Roll[[#This Row],[Total In-Place
Rent]]-Rent_Roll[[#This Row],[Market
Rent]])</f>
        <v>-185</v>
      </c>
      <c r="W100" s="1343">
        <v>0</v>
      </c>
      <c r="X100" s="723"/>
      <c r="Y100" s="723"/>
      <c r="Z100" s="723"/>
      <c r="AA100" s="1345"/>
      <c r="AB100" s="723"/>
      <c r="AC100" s="723"/>
      <c r="AD100" s="723"/>
      <c r="AE100" s="723"/>
      <c r="AF100" s="723"/>
      <c r="AG100" s="147"/>
      <c r="AH100" s="147"/>
      <c r="AI100" s="1348" t="str">
        <f>IF(Rent_Roll[[#This Row],[Future
Lease Start]]="","",DATEDIF(Rent_Roll[[#This Row],[Future
Lease Start]],Rent_Roll[[#This Row],[Future
Lease Exp]],"m")+1)</f>
        <v/>
      </c>
      <c r="AJ100" s="1347"/>
    </row>
    <row r="101" spans="2:36" x14ac:dyDescent="0.2">
      <c r="B101" s="638"/>
      <c r="C101" s="638">
        <v>427</v>
      </c>
      <c r="D101" s="638" t="s">
        <v>867</v>
      </c>
      <c r="E101" s="162" t="str">
        <f>IF(Rent_Roll[[#This Row],[Floor-
plan]]="studio",0,LEFT(Rent_Roll[[#This Row],[Floor-
plan]],1))</f>
        <v>3</v>
      </c>
      <c r="F101" s="162" cm="1">
        <f t="array" ref="F10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01" s="1336">
        <v>1277</v>
      </c>
      <c r="H101" s="722" t="s">
        <v>244</v>
      </c>
      <c r="I101" s="722"/>
      <c r="J101" s="1337" t="str" cm="1">
        <f t="array" ref="J10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101" s="1338">
        <v>44771</v>
      </c>
      <c r="L101" s="147">
        <v>44834</v>
      </c>
      <c r="M101" s="1339" t="str" cm="1">
        <f t="array" ref="M101">_xlfn.IFS(Rent_Roll[[#This Row],[Lease
Exp]]="","",Rent_Roll[[#This Row],[MTM
Lease]]="MTM Lease","--",Rent_Roll[[#This Row],[Lease
Exp]]&gt;0,(DATEDIF(Rent_Roll[[#This Row],[Lease
Start]],Rent_Roll[[#This Row],[Lease
Exp]],"m")+1))</f>
        <v>--</v>
      </c>
      <c r="N101" s="1337" t="str">
        <f>IF(OR(Rent_Roll[[#This Row],[MTM Fee]]="",Rent_Roll[[#This Row],[MTM Fee]]=0),"","MTM Lease")</f>
        <v>MTM Lease</v>
      </c>
      <c r="O101" s="1340">
        <f ca="1">IFERROR(IF(Rent_Roll[[#This Row],[Lease
Exp]]="","",DATEDIF($F$3,Rent_Roll[[#This Row],[Lease
Exp]],"m")+1),0)</f>
        <v>0</v>
      </c>
      <c r="P101" s="1341"/>
      <c r="Q101" s="1342" t="str" cm="1">
        <f t="array" ref="Q10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01" s="1343">
        <v>1540</v>
      </c>
      <c r="S101" s="723">
        <v>1540</v>
      </c>
      <c r="T101" s="723"/>
      <c r="U101" s="550">
        <f>Rent_Roll[[#This Row],[Lease
Rent]]+Rent_Roll[[#This Row],[Corp
Rent]]</f>
        <v>1540</v>
      </c>
      <c r="V101" s="1344">
        <f>IF(Rent_Roll[[#This Row],[Total In-Place
Rent]]=0,0,Rent_Roll[[#This Row],[Total In-Place
Rent]]-Rent_Roll[[#This Row],[Market
Rent]])</f>
        <v>0</v>
      </c>
      <c r="W101" s="1343">
        <v>200</v>
      </c>
      <c r="X101" s="723"/>
      <c r="Y101" s="723"/>
      <c r="Z101" s="723"/>
      <c r="AA101" s="1345"/>
      <c r="AB101" s="723"/>
      <c r="AC101" s="723"/>
      <c r="AD101" s="723"/>
      <c r="AE101" s="723"/>
      <c r="AF101" s="723"/>
      <c r="AG101" s="147"/>
      <c r="AH101" s="147"/>
      <c r="AI101" s="1348" t="str">
        <f>IF(Rent_Roll[[#This Row],[Future
Lease Start]]="","",DATEDIF(Rent_Roll[[#This Row],[Future
Lease Start]],Rent_Roll[[#This Row],[Future
Lease Exp]],"m")+1)</f>
        <v/>
      </c>
      <c r="AJ101" s="1347"/>
    </row>
    <row r="102" spans="2:36" x14ac:dyDescent="0.2">
      <c r="B102" s="638"/>
      <c r="C102" s="638">
        <v>428</v>
      </c>
      <c r="D102" s="638" t="s">
        <v>867</v>
      </c>
      <c r="E102" s="162" t="str">
        <f>IF(Rent_Roll[[#This Row],[Floor-
plan]]="studio",0,LEFT(Rent_Roll[[#This Row],[Floor-
plan]],1))</f>
        <v>3</v>
      </c>
      <c r="F102" s="162" cm="1">
        <f t="array" ref="F10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02" s="1336">
        <v>1277</v>
      </c>
      <c r="H102" s="722" t="s">
        <v>244</v>
      </c>
      <c r="I102" s="722"/>
      <c r="J102" s="1337" t="str" cm="1">
        <f t="array" ref="J10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102" s="1338">
        <v>44719</v>
      </c>
      <c r="L102" s="147">
        <v>45083</v>
      </c>
      <c r="M102" s="1339" cm="1">
        <f t="array" ref="M10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02" s="1337" t="str">
        <f>IF(OR(Rent_Roll[[#This Row],[MTM Fee]]="",Rent_Roll[[#This Row],[MTM Fee]]=0),"","MTM Lease")</f>
        <v/>
      </c>
      <c r="O102" s="1340">
        <f ca="1">IFERROR(IF(Rent_Roll[[#This Row],[Lease
Exp]]="","",DATEDIF($F$3,Rent_Roll[[#This Row],[Lease
Exp]],"m")+1),0)</f>
        <v>5</v>
      </c>
      <c r="P102" s="1341"/>
      <c r="Q102" s="1342" t="str" cm="1">
        <f t="array" ref="Q10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02" s="1343">
        <v>1520</v>
      </c>
      <c r="S102" s="723">
        <v>1520</v>
      </c>
      <c r="T102" s="723"/>
      <c r="U102" s="550">
        <f>Rent_Roll[[#This Row],[Lease
Rent]]+Rent_Roll[[#This Row],[Corp
Rent]]</f>
        <v>1520</v>
      </c>
      <c r="V102" s="1344">
        <f>IF(Rent_Roll[[#This Row],[Total In-Place
Rent]]=0,0,Rent_Roll[[#This Row],[Total In-Place
Rent]]-Rent_Roll[[#This Row],[Market
Rent]])</f>
        <v>0</v>
      </c>
      <c r="W102" s="1343">
        <v>0</v>
      </c>
      <c r="X102" s="723"/>
      <c r="Y102" s="723"/>
      <c r="Z102" s="723"/>
      <c r="AA102" s="1345"/>
      <c r="AB102" s="723"/>
      <c r="AC102" s="723"/>
      <c r="AD102" s="723"/>
      <c r="AE102" s="723"/>
      <c r="AF102" s="723"/>
      <c r="AG102" s="147"/>
      <c r="AH102" s="147"/>
      <c r="AI102" s="1348" t="str">
        <f>IF(Rent_Roll[[#This Row],[Future
Lease Start]]="","",DATEDIF(Rent_Roll[[#This Row],[Future
Lease Start]],Rent_Roll[[#This Row],[Future
Lease Exp]],"m")+1)</f>
        <v/>
      </c>
      <c r="AJ102" s="1347"/>
    </row>
    <row r="103" spans="2:36" x14ac:dyDescent="0.2">
      <c r="B103" s="638"/>
      <c r="C103" s="638">
        <v>431</v>
      </c>
      <c r="D103" s="638" t="s">
        <v>872</v>
      </c>
      <c r="E103" s="162" t="str">
        <f>IF(Rent_Roll[[#This Row],[Floor-
plan]]="studio",0,LEFT(Rent_Roll[[#This Row],[Floor-
plan]],1))</f>
        <v>3</v>
      </c>
      <c r="F103" s="162" cm="1">
        <f t="array" ref="F10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03" s="1336">
        <v>1386</v>
      </c>
      <c r="H103" s="722" t="s">
        <v>244</v>
      </c>
      <c r="I103" s="722"/>
      <c r="J103" s="1337" t="str" cm="1">
        <f t="array" ref="J10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3x2-S</v>
      </c>
      <c r="K103" s="1338">
        <v>44762</v>
      </c>
      <c r="L103" s="147">
        <v>45126</v>
      </c>
      <c r="M103" s="1339" cm="1">
        <f t="array" ref="M10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03" s="1337" t="str">
        <f>IF(OR(Rent_Roll[[#This Row],[MTM Fee]]="",Rent_Roll[[#This Row],[MTM Fee]]=0),"","MTM Lease")</f>
        <v/>
      </c>
      <c r="O103" s="1340">
        <f ca="1">IFERROR(IF(Rent_Roll[[#This Row],[Lease
Exp]]="","",DATEDIF($F$3,Rent_Roll[[#This Row],[Lease
Exp]],"m")+1),0)</f>
        <v>6</v>
      </c>
      <c r="P103" s="1341"/>
      <c r="Q103" s="1342" t="str" cm="1">
        <f t="array" ref="Q10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03" s="1343">
        <v>1550</v>
      </c>
      <c r="S103" s="723">
        <v>1550</v>
      </c>
      <c r="T103" s="723"/>
      <c r="U103" s="550">
        <f>Rent_Roll[[#This Row],[Lease
Rent]]+Rent_Roll[[#This Row],[Corp
Rent]]</f>
        <v>1550</v>
      </c>
      <c r="V103" s="1344">
        <f>IF(Rent_Roll[[#This Row],[Total In-Place
Rent]]=0,0,Rent_Roll[[#This Row],[Total In-Place
Rent]]-Rent_Roll[[#This Row],[Market
Rent]])</f>
        <v>0</v>
      </c>
      <c r="W103" s="1343">
        <v>0</v>
      </c>
      <c r="X103" s="723"/>
      <c r="Y103" s="723"/>
      <c r="Z103" s="723"/>
      <c r="AA103" s="1345"/>
      <c r="AB103" s="723"/>
      <c r="AC103" s="723"/>
      <c r="AD103" s="723"/>
      <c r="AE103" s="723"/>
      <c r="AF103" s="723"/>
      <c r="AG103" s="147"/>
      <c r="AH103" s="147"/>
      <c r="AI103" s="1348" t="str">
        <f>IF(Rent_Roll[[#This Row],[Future
Lease Start]]="","",DATEDIF(Rent_Roll[[#This Row],[Future
Lease Start]],Rent_Roll[[#This Row],[Future
Lease Exp]],"m")+1)</f>
        <v/>
      </c>
      <c r="AJ103" s="1347"/>
    </row>
    <row r="104" spans="2:36" x14ac:dyDescent="0.2">
      <c r="B104" s="638"/>
      <c r="C104" s="638">
        <v>432</v>
      </c>
      <c r="D104" s="638" t="s">
        <v>872</v>
      </c>
      <c r="E104" s="162" t="str">
        <f>IF(Rent_Roll[[#This Row],[Floor-
plan]]="studio",0,LEFT(Rent_Roll[[#This Row],[Floor-
plan]],1))</f>
        <v>3</v>
      </c>
      <c r="F104" s="162" cm="1">
        <f t="array" ref="F10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04" s="1336">
        <v>1386</v>
      </c>
      <c r="H104" s="722" t="s">
        <v>244</v>
      </c>
      <c r="I104" s="722"/>
      <c r="J104" s="1337" t="str" cm="1">
        <f t="array" ref="J10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3x2-S</v>
      </c>
      <c r="K104" s="1338">
        <v>44593</v>
      </c>
      <c r="L104" s="147">
        <v>45138</v>
      </c>
      <c r="M104" s="1339" cm="1">
        <f t="array" ref="M104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04" s="1337" t="str">
        <f>IF(OR(Rent_Roll[[#This Row],[MTM Fee]]="",Rent_Roll[[#This Row],[MTM Fee]]=0),"","MTM Lease")</f>
        <v/>
      </c>
      <c r="O104" s="1340">
        <f ca="1">IFERROR(IF(Rent_Roll[[#This Row],[Lease
Exp]]="","",DATEDIF($F$3,Rent_Roll[[#This Row],[Lease
Exp]],"m")+1),0)</f>
        <v>7</v>
      </c>
      <c r="P104" s="1341"/>
      <c r="Q104" s="1342" t="str" cm="1">
        <f t="array" ref="Q10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04" s="1343">
        <v>1570</v>
      </c>
      <c r="S104" s="723">
        <v>1570</v>
      </c>
      <c r="T104" s="723"/>
      <c r="U104" s="550">
        <f>Rent_Roll[[#This Row],[Lease
Rent]]+Rent_Roll[[#This Row],[Corp
Rent]]</f>
        <v>1570</v>
      </c>
      <c r="V104" s="1344">
        <f>IF(Rent_Roll[[#This Row],[Total In-Place
Rent]]=0,0,Rent_Roll[[#This Row],[Total In-Place
Rent]]-Rent_Roll[[#This Row],[Market
Rent]])</f>
        <v>0</v>
      </c>
      <c r="W104" s="1343">
        <v>0</v>
      </c>
      <c r="X104" s="723"/>
      <c r="Y104" s="723"/>
      <c r="Z104" s="723"/>
      <c r="AA104" s="1345"/>
      <c r="AB104" s="723"/>
      <c r="AC104" s="723"/>
      <c r="AD104" s="723"/>
      <c r="AE104" s="723"/>
      <c r="AF104" s="723"/>
      <c r="AG104" s="147"/>
      <c r="AH104" s="147"/>
      <c r="AI104" s="1348" t="str">
        <f>IF(Rent_Roll[[#This Row],[Future
Lease Start]]="","",DATEDIF(Rent_Roll[[#This Row],[Future
Lease Start]],Rent_Roll[[#This Row],[Future
Lease Exp]],"m")+1)</f>
        <v/>
      </c>
      <c r="AJ104" s="1347"/>
    </row>
    <row r="105" spans="2:36" x14ac:dyDescent="0.2">
      <c r="B105" s="638"/>
      <c r="C105" s="638">
        <v>433</v>
      </c>
      <c r="D105" s="638" t="s">
        <v>870</v>
      </c>
      <c r="E105" s="162" t="str">
        <f>IF(Rent_Roll[[#This Row],[Floor-
plan]]="studio",0,LEFT(Rent_Roll[[#This Row],[Floor-
plan]],1))</f>
        <v>2</v>
      </c>
      <c r="F105" s="162" cm="1">
        <f t="array" ref="F10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05" s="1336">
        <v>1099</v>
      </c>
      <c r="H105" s="722" t="s">
        <v>244</v>
      </c>
      <c r="I105" s="722"/>
      <c r="J105" s="1337" t="str" cm="1">
        <f t="array" ref="J10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05" s="1338">
        <v>44741</v>
      </c>
      <c r="L105" s="147">
        <v>45013</v>
      </c>
      <c r="M105" s="1339" cm="1">
        <f t="array" ref="M105">_xlfn.IFS(Rent_Roll[[#This Row],[Lease
Exp]]="","",Rent_Roll[[#This Row],[MTM
Lease]]="MTM Lease","--",Rent_Roll[[#This Row],[Lease
Exp]]&gt;0,(DATEDIF(Rent_Roll[[#This Row],[Lease
Start]],Rent_Roll[[#This Row],[Lease
Exp]],"m")+1))</f>
        <v>9</v>
      </c>
      <c r="N105" s="1337" t="str">
        <f>IF(OR(Rent_Roll[[#This Row],[MTM Fee]]="",Rent_Roll[[#This Row],[MTM Fee]]=0),"","MTM Lease")</f>
        <v/>
      </c>
      <c r="O105" s="1340">
        <f ca="1">IFERROR(IF(Rent_Roll[[#This Row],[Lease
Exp]]="","",DATEDIF($F$3,Rent_Roll[[#This Row],[Lease
Exp]],"m")+1),0)</f>
        <v>3</v>
      </c>
      <c r="P105" s="1341"/>
      <c r="Q105" s="1342" t="str" cm="1">
        <f t="array" ref="Q10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05" s="1343">
        <v>1460</v>
      </c>
      <c r="S105" s="723">
        <v>1560</v>
      </c>
      <c r="T105" s="723"/>
      <c r="U105" s="550">
        <f>Rent_Roll[[#This Row],[Lease
Rent]]+Rent_Roll[[#This Row],[Corp
Rent]]</f>
        <v>1560</v>
      </c>
      <c r="V105" s="1344">
        <f>IF(Rent_Roll[[#This Row],[Total In-Place
Rent]]=0,0,Rent_Roll[[#This Row],[Total In-Place
Rent]]-Rent_Roll[[#This Row],[Market
Rent]])</f>
        <v>100</v>
      </c>
      <c r="W105" s="1343">
        <v>0</v>
      </c>
      <c r="X105" s="723"/>
      <c r="Y105" s="723"/>
      <c r="Z105" s="723"/>
      <c r="AA105" s="1345"/>
      <c r="AB105" s="723"/>
      <c r="AC105" s="723"/>
      <c r="AD105" s="723"/>
      <c r="AE105" s="723"/>
      <c r="AF105" s="723"/>
      <c r="AG105" s="147"/>
      <c r="AH105" s="147"/>
      <c r="AI105" s="1348" t="str">
        <f>IF(Rent_Roll[[#This Row],[Future
Lease Start]]="","",DATEDIF(Rent_Roll[[#This Row],[Future
Lease Start]],Rent_Roll[[#This Row],[Future
Lease Exp]],"m")+1)</f>
        <v/>
      </c>
      <c r="AJ105" s="1347"/>
    </row>
    <row r="106" spans="2:36" x14ac:dyDescent="0.2">
      <c r="B106" s="638"/>
      <c r="C106" s="638">
        <v>434</v>
      </c>
      <c r="D106" s="638" t="s">
        <v>870</v>
      </c>
      <c r="E106" s="162" t="str">
        <f>IF(Rent_Roll[[#This Row],[Floor-
plan]]="studio",0,LEFT(Rent_Roll[[#This Row],[Floor-
plan]],1))</f>
        <v>2</v>
      </c>
      <c r="F106" s="162" cm="1">
        <f t="array" ref="F10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06" s="1336">
        <v>1099</v>
      </c>
      <c r="H106" s="722" t="s">
        <v>244</v>
      </c>
      <c r="I106" s="722"/>
      <c r="J106" s="1337" t="str" cm="1">
        <f t="array" ref="J10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06" s="1338">
        <v>44621</v>
      </c>
      <c r="L106" s="147">
        <v>45077</v>
      </c>
      <c r="M106" s="1339" cm="1">
        <f t="array" ref="M106">_xlfn.IFS(Rent_Roll[[#This Row],[Lease
Exp]]="","",Rent_Roll[[#This Row],[MTM
Lease]]="MTM Lease","--",Rent_Roll[[#This Row],[Lease
Exp]]&gt;0,(DATEDIF(Rent_Roll[[#This Row],[Lease
Start]],Rent_Roll[[#This Row],[Lease
Exp]],"m")+1))</f>
        <v>15</v>
      </c>
      <c r="N106" s="1337" t="str">
        <f>IF(OR(Rent_Roll[[#This Row],[MTM Fee]]="",Rent_Roll[[#This Row],[MTM Fee]]=0),"","MTM Lease")</f>
        <v/>
      </c>
      <c r="O106" s="1340">
        <f ca="1">IFERROR(IF(Rent_Roll[[#This Row],[Lease
Exp]]="","",DATEDIF($F$3,Rent_Roll[[#This Row],[Lease
Exp]],"m")+1),0)</f>
        <v>5</v>
      </c>
      <c r="P106" s="1341"/>
      <c r="Q106" s="1342" t="str" cm="1">
        <f t="array" ref="Q10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06" s="1343">
        <v>1440</v>
      </c>
      <c r="S106" s="723">
        <v>1240</v>
      </c>
      <c r="T106" s="723"/>
      <c r="U106" s="550">
        <f>Rent_Roll[[#This Row],[Lease
Rent]]+Rent_Roll[[#This Row],[Corp
Rent]]</f>
        <v>1240</v>
      </c>
      <c r="V106" s="1344">
        <f>IF(Rent_Roll[[#This Row],[Total In-Place
Rent]]=0,0,Rent_Roll[[#This Row],[Total In-Place
Rent]]-Rent_Roll[[#This Row],[Market
Rent]])</f>
        <v>-200</v>
      </c>
      <c r="W106" s="1343">
        <v>0</v>
      </c>
      <c r="X106" s="723"/>
      <c r="Y106" s="723"/>
      <c r="Z106" s="723"/>
      <c r="AA106" s="1345"/>
      <c r="AB106" s="723"/>
      <c r="AC106" s="723"/>
      <c r="AD106" s="723"/>
      <c r="AE106" s="723"/>
      <c r="AF106" s="723"/>
      <c r="AG106" s="147"/>
      <c r="AH106" s="147"/>
      <c r="AI106" s="1348" t="str">
        <f>IF(Rent_Roll[[#This Row],[Future
Lease Start]]="","",DATEDIF(Rent_Roll[[#This Row],[Future
Lease Start]],Rent_Roll[[#This Row],[Future
Lease Exp]],"m")+1)</f>
        <v/>
      </c>
      <c r="AJ106" s="1347"/>
    </row>
    <row r="107" spans="2:36" x14ac:dyDescent="0.2">
      <c r="B107" s="638"/>
      <c r="C107" s="638">
        <v>435</v>
      </c>
      <c r="D107" s="638" t="s">
        <v>870</v>
      </c>
      <c r="E107" s="162" t="str">
        <f>IF(Rent_Roll[[#This Row],[Floor-
plan]]="studio",0,LEFT(Rent_Roll[[#This Row],[Floor-
plan]],1))</f>
        <v>2</v>
      </c>
      <c r="F107" s="162" cm="1">
        <f t="array" ref="F10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07" s="1336">
        <v>1099</v>
      </c>
      <c r="H107" s="722" t="s">
        <v>244</v>
      </c>
      <c r="I107" s="722"/>
      <c r="J107" s="1337" t="str" cm="1">
        <f t="array" ref="J10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07" s="1338">
        <v>44663</v>
      </c>
      <c r="L107" s="147">
        <v>45027</v>
      </c>
      <c r="M107" s="1339" cm="1">
        <f t="array" ref="M10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07" s="1337" t="str">
        <f>IF(OR(Rent_Roll[[#This Row],[MTM Fee]]="",Rent_Roll[[#This Row],[MTM Fee]]=0),"","MTM Lease")</f>
        <v/>
      </c>
      <c r="O107" s="1340">
        <f ca="1">IFERROR(IF(Rent_Roll[[#This Row],[Lease
Exp]]="","",DATEDIF($F$3,Rent_Roll[[#This Row],[Lease
Exp]],"m")+1),0)</f>
        <v>3</v>
      </c>
      <c r="P107" s="1341"/>
      <c r="Q107" s="1342" t="str" cm="1">
        <f t="array" ref="Q10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07" s="1343">
        <v>1440</v>
      </c>
      <c r="S107" s="723">
        <v>1305</v>
      </c>
      <c r="T107" s="723"/>
      <c r="U107" s="550">
        <f>Rent_Roll[[#This Row],[Lease
Rent]]+Rent_Roll[[#This Row],[Corp
Rent]]</f>
        <v>1305</v>
      </c>
      <c r="V107" s="1344">
        <f>IF(Rent_Roll[[#This Row],[Total In-Place
Rent]]=0,0,Rent_Roll[[#This Row],[Total In-Place
Rent]]-Rent_Roll[[#This Row],[Market
Rent]])</f>
        <v>-135</v>
      </c>
      <c r="W107" s="1343">
        <v>0</v>
      </c>
      <c r="X107" s="723"/>
      <c r="Y107" s="723"/>
      <c r="Z107" s="723"/>
      <c r="AA107" s="1345"/>
      <c r="AB107" s="723"/>
      <c r="AC107" s="723"/>
      <c r="AD107" s="723"/>
      <c r="AE107" s="723"/>
      <c r="AF107" s="723"/>
      <c r="AG107" s="147"/>
      <c r="AH107" s="147"/>
      <c r="AI107" s="1348" t="str">
        <f>IF(Rent_Roll[[#This Row],[Future
Lease Start]]="","",DATEDIF(Rent_Roll[[#This Row],[Future
Lease Start]],Rent_Roll[[#This Row],[Future
Lease Exp]],"m")+1)</f>
        <v/>
      </c>
      <c r="AJ107" s="1347"/>
    </row>
    <row r="108" spans="2:36" x14ac:dyDescent="0.2">
      <c r="B108" s="638"/>
      <c r="C108" s="638">
        <v>436</v>
      </c>
      <c r="D108" s="638" t="s">
        <v>870</v>
      </c>
      <c r="E108" s="162" t="str">
        <f>IF(Rent_Roll[[#This Row],[Floor-
plan]]="studio",0,LEFT(Rent_Roll[[#This Row],[Floor-
plan]],1))</f>
        <v>2</v>
      </c>
      <c r="F108" s="162" cm="1">
        <f t="array" ref="F10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08" s="1336">
        <v>1099</v>
      </c>
      <c r="H108" s="722" t="s">
        <v>244</v>
      </c>
      <c r="I108" s="722"/>
      <c r="J108" s="1337" t="str" cm="1">
        <f t="array" ref="J10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08" s="1338">
        <v>44519</v>
      </c>
      <c r="L108" s="147">
        <v>44883</v>
      </c>
      <c r="M108" s="1339" cm="1">
        <f t="array" ref="M10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08" s="1337" t="str">
        <f>IF(OR(Rent_Roll[[#This Row],[MTM Fee]]="",Rent_Roll[[#This Row],[MTM Fee]]=0),"","MTM Lease")</f>
        <v/>
      </c>
      <c r="O108" s="1340">
        <f ca="1">IFERROR(IF(Rent_Roll[[#This Row],[Lease
Exp]]="","",DATEDIF($F$3,Rent_Roll[[#This Row],[Lease
Exp]],"m")+1),0)</f>
        <v>0</v>
      </c>
      <c r="P108" s="1341"/>
      <c r="Q108" s="1342" t="str" cm="1">
        <f t="array" ref="Q10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08" s="1343">
        <v>1460</v>
      </c>
      <c r="S108" s="723">
        <v>1460</v>
      </c>
      <c r="T108" s="723"/>
      <c r="U108" s="550">
        <f>Rent_Roll[[#This Row],[Lease
Rent]]+Rent_Roll[[#This Row],[Corp
Rent]]</f>
        <v>1460</v>
      </c>
      <c r="V108" s="1344">
        <f>IF(Rent_Roll[[#This Row],[Total In-Place
Rent]]=0,0,Rent_Roll[[#This Row],[Total In-Place
Rent]]-Rent_Roll[[#This Row],[Market
Rent]])</f>
        <v>0</v>
      </c>
      <c r="W108" s="1343">
        <v>0</v>
      </c>
      <c r="X108" s="723"/>
      <c r="Y108" s="723"/>
      <c r="Z108" s="723"/>
      <c r="AA108" s="1345"/>
      <c r="AB108" s="723"/>
      <c r="AC108" s="723"/>
      <c r="AD108" s="723"/>
      <c r="AE108" s="723"/>
      <c r="AF108" s="723"/>
      <c r="AG108" s="147"/>
      <c r="AH108" s="147"/>
      <c r="AI108" s="1348" t="str">
        <f>IF(Rent_Roll[[#This Row],[Future
Lease Start]]="","",DATEDIF(Rent_Roll[[#This Row],[Future
Lease Start]],Rent_Roll[[#This Row],[Future
Lease Exp]],"m")+1)</f>
        <v/>
      </c>
      <c r="AJ108" s="1347"/>
    </row>
    <row r="109" spans="2:36" x14ac:dyDescent="0.2">
      <c r="B109" s="638"/>
      <c r="C109" s="638">
        <v>437</v>
      </c>
      <c r="D109" s="638" t="s">
        <v>872</v>
      </c>
      <c r="E109" s="162" t="str">
        <f>IF(Rent_Roll[[#This Row],[Floor-
plan]]="studio",0,LEFT(Rent_Roll[[#This Row],[Floor-
plan]],1))</f>
        <v>3</v>
      </c>
      <c r="F109" s="162" cm="1">
        <f t="array" ref="F10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09" s="1336">
        <v>1386</v>
      </c>
      <c r="H109" s="722" t="s">
        <v>244</v>
      </c>
      <c r="I109" s="722"/>
      <c r="J109" s="1337" t="str" cm="1">
        <f t="array" ref="J10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3x2-S</v>
      </c>
      <c r="K109" s="1338">
        <v>44309</v>
      </c>
      <c r="L109" s="147">
        <v>44856</v>
      </c>
      <c r="M109" s="1339" cm="1">
        <f t="array" ref="M109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09" s="1337" t="str">
        <f>IF(OR(Rent_Roll[[#This Row],[MTM Fee]]="",Rent_Roll[[#This Row],[MTM Fee]]=0),"","MTM Lease")</f>
        <v/>
      </c>
      <c r="O109" s="1340">
        <f ca="1">IFERROR(IF(Rent_Roll[[#This Row],[Lease
Exp]]="","",DATEDIF($F$3,Rent_Roll[[#This Row],[Lease
Exp]],"m")+1),0)</f>
        <v>0</v>
      </c>
      <c r="P109" s="1341"/>
      <c r="Q109" s="1342" t="str" cm="1">
        <f t="array" ref="Q10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09" s="1343">
        <v>1570</v>
      </c>
      <c r="S109" s="723">
        <v>1415</v>
      </c>
      <c r="T109" s="723"/>
      <c r="U109" s="550">
        <f>Rent_Roll[[#This Row],[Lease
Rent]]+Rent_Roll[[#This Row],[Corp
Rent]]</f>
        <v>1415</v>
      </c>
      <c r="V109" s="1344">
        <f>IF(Rent_Roll[[#This Row],[Total In-Place
Rent]]=0,0,Rent_Roll[[#This Row],[Total In-Place
Rent]]-Rent_Roll[[#This Row],[Market
Rent]])</f>
        <v>-155</v>
      </c>
      <c r="W109" s="1343">
        <v>0</v>
      </c>
      <c r="X109" s="723"/>
      <c r="Y109" s="723"/>
      <c r="Z109" s="723"/>
      <c r="AA109" s="1345"/>
      <c r="AB109" s="723"/>
      <c r="AC109" s="723"/>
      <c r="AD109" s="723"/>
      <c r="AE109" s="723"/>
      <c r="AF109" s="723"/>
      <c r="AG109" s="147"/>
      <c r="AH109" s="147"/>
      <c r="AI109" s="1348" t="str">
        <f>IF(Rent_Roll[[#This Row],[Future
Lease Start]]="","",DATEDIF(Rent_Roll[[#This Row],[Future
Lease Start]],Rent_Roll[[#This Row],[Future
Lease Exp]],"m")+1)</f>
        <v/>
      </c>
      <c r="AJ109" s="1347"/>
    </row>
    <row r="110" spans="2:36" x14ac:dyDescent="0.2">
      <c r="B110" s="638"/>
      <c r="C110" s="638">
        <v>438</v>
      </c>
      <c r="D110" s="638" t="s">
        <v>872</v>
      </c>
      <c r="E110" s="162" t="str">
        <f>IF(Rent_Roll[[#This Row],[Floor-
plan]]="studio",0,LEFT(Rent_Roll[[#This Row],[Floor-
plan]],1))</f>
        <v>3</v>
      </c>
      <c r="F110" s="162" cm="1">
        <f t="array" ref="F11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10" s="1336">
        <v>1386</v>
      </c>
      <c r="H110" s="722" t="s">
        <v>244</v>
      </c>
      <c r="I110" s="722"/>
      <c r="J110" s="1337" t="str" cm="1">
        <f t="array" ref="J11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3x2-S</v>
      </c>
      <c r="K110" s="1338">
        <v>44805</v>
      </c>
      <c r="L110" s="147">
        <v>44834</v>
      </c>
      <c r="M110" s="1339" t="str" cm="1">
        <f t="array" ref="M110">_xlfn.IFS(Rent_Roll[[#This Row],[Lease
Exp]]="","",Rent_Roll[[#This Row],[MTM
Lease]]="MTM Lease","--",Rent_Roll[[#This Row],[Lease
Exp]]&gt;0,(DATEDIF(Rent_Roll[[#This Row],[Lease
Start]],Rent_Roll[[#This Row],[Lease
Exp]],"m")+1))</f>
        <v>--</v>
      </c>
      <c r="N110" s="1337" t="str">
        <f>IF(OR(Rent_Roll[[#This Row],[MTM Fee]]="",Rent_Roll[[#This Row],[MTM Fee]]=0),"","MTM Lease")</f>
        <v>MTM Lease</v>
      </c>
      <c r="O110" s="1340">
        <f ca="1">IFERROR(IF(Rent_Roll[[#This Row],[Lease
Exp]]="","",DATEDIF($F$3,Rent_Roll[[#This Row],[Lease
Exp]],"m")+1),0)</f>
        <v>0</v>
      </c>
      <c r="P110" s="1341"/>
      <c r="Q110" s="1342" t="str" cm="1">
        <f t="array" ref="Q11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10" s="1343">
        <v>1550</v>
      </c>
      <c r="S110" s="723">
        <v>1550</v>
      </c>
      <c r="T110" s="723"/>
      <c r="U110" s="550">
        <f>Rent_Roll[[#This Row],[Lease
Rent]]+Rent_Roll[[#This Row],[Corp
Rent]]</f>
        <v>1550</v>
      </c>
      <c r="V110" s="1344">
        <f>IF(Rent_Roll[[#This Row],[Total In-Place
Rent]]=0,0,Rent_Roll[[#This Row],[Total In-Place
Rent]]-Rent_Roll[[#This Row],[Market
Rent]])</f>
        <v>0</v>
      </c>
      <c r="W110" s="1343">
        <v>200</v>
      </c>
      <c r="X110" s="723"/>
      <c r="Y110" s="723"/>
      <c r="Z110" s="723"/>
      <c r="AA110" s="1345"/>
      <c r="AB110" s="723"/>
      <c r="AC110" s="723"/>
      <c r="AD110" s="723"/>
      <c r="AE110" s="723"/>
      <c r="AF110" s="723"/>
      <c r="AG110" s="147"/>
      <c r="AH110" s="147"/>
      <c r="AI110" s="1348" t="str">
        <f>IF(Rent_Roll[[#This Row],[Future
Lease Start]]="","",DATEDIF(Rent_Roll[[#This Row],[Future
Lease Start]],Rent_Roll[[#This Row],[Future
Lease Exp]],"m")+1)</f>
        <v/>
      </c>
      <c r="AJ110" s="1347"/>
    </row>
    <row r="111" spans="2:36" x14ac:dyDescent="0.2">
      <c r="B111" s="638"/>
      <c r="C111" s="638">
        <v>502</v>
      </c>
      <c r="D111" s="638" t="s">
        <v>866</v>
      </c>
      <c r="E111" s="162" t="str">
        <f>IF(Rent_Roll[[#This Row],[Floor-
plan]]="studio",0,LEFT(Rent_Roll[[#This Row],[Floor-
plan]],1))</f>
        <v>2</v>
      </c>
      <c r="F111" s="162" cm="1">
        <f t="array" ref="F11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11" s="1336">
        <v>1000</v>
      </c>
      <c r="H111" s="722" t="s">
        <v>244</v>
      </c>
      <c r="I111" s="722"/>
      <c r="J111" s="1337" t="str" cm="1">
        <f t="array" ref="J11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11" s="1338">
        <v>44813</v>
      </c>
      <c r="L111" s="147">
        <v>45177</v>
      </c>
      <c r="M111" s="1339" cm="1">
        <f t="array" ref="M11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11" s="1337" t="str">
        <f>IF(OR(Rent_Roll[[#This Row],[MTM Fee]]="",Rent_Roll[[#This Row],[MTM Fee]]=0),"","MTM Lease")</f>
        <v/>
      </c>
      <c r="O111" s="1340">
        <f ca="1">IFERROR(IF(Rent_Roll[[#This Row],[Lease
Exp]]="","",DATEDIF($F$3,Rent_Roll[[#This Row],[Lease
Exp]],"m")+1),0)</f>
        <v>8</v>
      </c>
      <c r="P111" s="1341"/>
      <c r="Q111" s="1342" t="str" cm="1">
        <f t="array" ref="Q11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11" s="1343">
        <v>1360</v>
      </c>
      <c r="S111" s="723">
        <v>1360</v>
      </c>
      <c r="T111" s="723"/>
      <c r="U111" s="550">
        <f>Rent_Roll[[#This Row],[Lease
Rent]]+Rent_Roll[[#This Row],[Corp
Rent]]</f>
        <v>1360</v>
      </c>
      <c r="V111" s="1344">
        <f>IF(Rent_Roll[[#This Row],[Total In-Place
Rent]]=0,0,Rent_Roll[[#This Row],[Total In-Place
Rent]]-Rent_Roll[[#This Row],[Market
Rent]])</f>
        <v>0</v>
      </c>
      <c r="W111" s="1343">
        <v>0</v>
      </c>
      <c r="X111" s="723"/>
      <c r="Y111" s="723"/>
      <c r="Z111" s="723"/>
      <c r="AA111" s="1345"/>
      <c r="AB111" s="723"/>
      <c r="AC111" s="723"/>
      <c r="AD111" s="723"/>
      <c r="AE111" s="723"/>
      <c r="AF111" s="723"/>
      <c r="AG111" s="147"/>
      <c r="AH111" s="147"/>
      <c r="AI111" s="1348" t="str">
        <f>IF(Rent_Roll[[#This Row],[Future
Lease Start]]="","",DATEDIF(Rent_Roll[[#This Row],[Future
Lease Start]],Rent_Roll[[#This Row],[Future
Lease Exp]],"m")+1)</f>
        <v/>
      </c>
      <c r="AJ111" s="1347"/>
    </row>
    <row r="112" spans="2:36" x14ac:dyDescent="0.2">
      <c r="B112" s="638"/>
      <c r="C112" s="638">
        <v>503</v>
      </c>
      <c r="D112" s="638" t="s">
        <v>868</v>
      </c>
      <c r="E112" s="162" t="str">
        <f>IF(Rent_Roll[[#This Row],[Floor-
plan]]="studio",0,LEFT(Rent_Roll[[#This Row],[Floor-
plan]],1))</f>
        <v>1</v>
      </c>
      <c r="F112" s="162" cm="1">
        <f t="array" ref="F11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12" s="1336">
        <v>804</v>
      </c>
      <c r="H112" s="722" t="s">
        <v>244</v>
      </c>
      <c r="I112" s="722"/>
      <c r="J112" s="1337" t="str" cm="1">
        <f t="array" ref="J11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12" s="1338">
        <v>44463</v>
      </c>
      <c r="L112" s="147">
        <v>44949</v>
      </c>
      <c r="M112" s="1339" cm="1">
        <f t="array" ref="M112">_xlfn.IFS(Rent_Roll[[#This Row],[Lease
Exp]]="","",Rent_Roll[[#This Row],[MTM
Lease]]="MTM Lease","--",Rent_Roll[[#This Row],[Lease
Exp]]&gt;0,(DATEDIF(Rent_Roll[[#This Row],[Lease
Start]],Rent_Roll[[#This Row],[Lease
Exp]],"m")+1))</f>
        <v>16</v>
      </c>
      <c r="N112" s="1337" t="str">
        <f>IF(OR(Rent_Roll[[#This Row],[MTM Fee]]="",Rent_Roll[[#This Row],[MTM Fee]]=0),"","MTM Lease")</f>
        <v/>
      </c>
      <c r="O112" s="1340">
        <f ca="1">IFERROR(IF(Rent_Roll[[#This Row],[Lease
Exp]]="","",DATEDIF($F$3,Rent_Roll[[#This Row],[Lease
Exp]],"m")+1),0)</f>
        <v>0</v>
      </c>
      <c r="P112" s="1341"/>
      <c r="Q112" s="1342" t="str" cm="1">
        <f t="array" ref="Q11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12" s="1343">
        <v>1150</v>
      </c>
      <c r="S112" s="723">
        <v>885</v>
      </c>
      <c r="T112" s="723"/>
      <c r="U112" s="550">
        <f>Rent_Roll[[#This Row],[Lease
Rent]]+Rent_Roll[[#This Row],[Corp
Rent]]</f>
        <v>885</v>
      </c>
      <c r="V112" s="1344">
        <f>IF(Rent_Roll[[#This Row],[Total In-Place
Rent]]=0,0,Rent_Roll[[#This Row],[Total In-Place
Rent]]-Rent_Roll[[#This Row],[Market
Rent]])</f>
        <v>-265</v>
      </c>
      <c r="W112" s="1343">
        <v>0</v>
      </c>
      <c r="X112" s="723"/>
      <c r="Y112" s="723"/>
      <c r="Z112" s="723"/>
      <c r="AA112" s="1345"/>
      <c r="AB112" s="723"/>
      <c r="AC112" s="723"/>
      <c r="AD112" s="723"/>
      <c r="AE112" s="723"/>
      <c r="AF112" s="723"/>
      <c r="AG112" s="147"/>
      <c r="AH112" s="147"/>
      <c r="AI112" s="1348" t="str">
        <f>IF(Rent_Roll[[#This Row],[Future
Lease Start]]="","",DATEDIF(Rent_Roll[[#This Row],[Future
Lease Start]],Rent_Roll[[#This Row],[Future
Lease Exp]],"m")+1)</f>
        <v/>
      </c>
      <c r="AJ112" s="1347"/>
    </row>
    <row r="113" spans="2:36" x14ac:dyDescent="0.2">
      <c r="B113" s="638"/>
      <c r="C113" s="638">
        <v>506</v>
      </c>
      <c r="D113" s="638" t="s">
        <v>868</v>
      </c>
      <c r="E113" s="162" t="str">
        <f>IF(Rent_Roll[[#This Row],[Floor-
plan]]="studio",0,LEFT(Rent_Roll[[#This Row],[Floor-
plan]],1))</f>
        <v>1</v>
      </c>
      <c r="F113" s="162" cm="1">
        <f t="array" ref="F11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13" s="1336">
        <v>804</v>
      </c>
      <c r="H113" s="722" t="s">
        <v>244</v>
      </c>
      <c r="I113" s="722"/>
      <c r="J113" s="1337" t="str" cm="1">
        <f t="array" ref="J11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13" s="1338">
        <v>44772</v>
      </c>
      <c r="L113" s="147">
        <v>45136</v>
      </c>
      <c r="M113" s="1339" cm="1">
        <f t="array" ref="M11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13" s="1337" t="str">
        <f>IF(OR(Rent_Roll[[#This Row],[MTM Fee]]="",Rent_Roll[[#This Row],[MTM Fee]]=0),"","MTM Lease")</f>
        <v/>
      </c>
      <c r="O113" s="1340">
        <f ca="1">IFERROR(IF(Rent_Roll[[#This Row],[Lease
Exp]]="","",DATEDIF($F$3,Rent_Roll[[#This Row],[Lease
Exp]],"m")+1),0)</f>
        <v>7</v>
      </c>
      <c r="P113" s="1341"/>
      <c r="Q113" s="1342" t="str" cm="1">
        <f t="array" ref="Q11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13" s="1343">
        <v>1150</v>
      </c>
      <c r="S113" s="723">
        <v>1150</v>
      </c>
      <c r="T113" s="723"/>
      <c r="U113" s="550">
        <f>Rent_Roll[[#This Row],[Lease
Rent]]+Rent_Roll[[#This Row],[Corp
Rent]]</f>
        <v>1150</v>
      </c>
      <c r="V113" s="1344">
        <f>IF(Rent_Roll[[#This Row],[Total In-Place
Rent]]=0,0,Rent_Roll[[#This Row],[Total In-Place
Rent]]-Rent_Roll[[#This Row],[Market
Rent]])</f>
        <v>0</v>
      </c>
      <c r="W113" s="1343">
        <v>0</v>
      </c>
      <c r="X113" s="723"/>
      <c r="Y113" s="723"/>
      <c r="Z113" s="723"/>
      <c r="AA113" s="1345"/>
      <c r="AB113" s="723"/>
      <c r="AC113" s="723"/>
      <c r="AD113" s="723"/>
      <c r="AE113" s="723"/>
      <c r="AF113" s="723"/>
      <c r="AG113" s="147"/>
      <c r="AH113" s="147"/>
      <c r="AI113" s="1348" t="str">
        <f>IF(Rent_Roll[[#This Row],[Future
Lease Start]]="","",DATEDIF(Rent_Roll[[#This Row],[Future
Lease Start]],Rent_Roll[[#This Row],[Future
Lease Exp]],"m")+1)</f>
        <v/>
      </c>
      <c r="AJ113" s="1347"/>
    </row>
    <row r="114" spans="2:36" x14ac:dyDescent="0.2">
      <c r="B114" s="638"/>
      <c r="C114" s="638">
        <v>507</v>
      </c>
      <c r="D114" s="638" t="s">
        <v>866</v>
      </c>
      <c r="E114" s="162" t="str">
        <f>IF(Rent_Roll[[#This Row],[Floor-
plan]]="studio",0,LEFT(Rent_Roll[[#This Row],[Floor-
plan]],1))</f>
        <v>2</v>
      </c>
      <c r="F114" s="162" cm="1">
        <f t="array" ref="F11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14" s="1336">
        <v>1000</v>
      </c>
      <c r="H114" s="722" t="s">
        <v>244</v>
      </c>
      <c r="I114" s="722"/>
      <c r="J114" s="1337" t="str" cm="1">
        <f t="array" ref="J11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14" s="1338">
        <v>44470</v>
      </c>
      <c r="L114" s="147">
        <v>44834</v>
      </c>
      <c r="M114" s="1339" cm="1">
        <f t="array" ref="M11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14" s="1337" t="str">
        <f>IF(OR(Rent_Roll[[#This Row],[MTM Fee]]="",Rent_Roll[[#This Row],[MTM Fee]]=0),"","MTM Lease")</f>
        <v/>
      </c>
      <c r="O114" s="1340">
        <f ca="1">IFERROR(IF(Rent_Roll[[#This Row],[Lease
Exp]]="","",DATEDIF($F$3,Rent_Roll[[#This Row],[Lease
Exp]],"m")+1),0)</f>
        <v>0</v>
      </c>
      <c r="P114" s="1341">
        <v>44834</v>
      </c>
      <c r="Q114" s="1342" t="str" cm="1">
        <f t="array" ref="Q11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114" s="1343">
        <v>1360</v>
      </c>
      <c r="S114" s="723">
        <v>1165</v>
      </c>
      <c r="T114" s="723"/>
      <c r="U114" s="550">
        <f>Rent_Roll[[#This Row],[Lease
Rent]]+Rent_Roll[[#This Row],[Corp
Rent]]</f>
        <v>1165</v>
      </c>
      <c r="V114" s="1344">
        <f>IF(Rent_Roll[[#This Row],[Total In-Place
Rent]]=0,0,Rent_Roll[[#This Row],[Total In-Place
Rent]]-Rent_Roll[[#This Row],[Market
Rent]])</f>
        <v>-195</v>
      </c>
      <c r="W114" s="1343">
        <v>0</v>
      </c>
      <c r="X114" s="723"/>
      <c r="Y114" s="723"/>
      <c r="Z114" s="723"/>
      <c r="AA114" s="1345"/>
      <c r="AB114" s="723"/>
      <c r="AC114" s="723"/>
      <c r="AD114" s="723"/>
      <c r="AE114" s="723"/>
      <c r="AF114" s="723"/>
      <c r="AG114" s="147"/>
      <c r="AH114" s="147"/>
      <c r="AI114" s="1348" t="str">
        <f>IF(Rent_Roll[[#This Row],[Future
Lease Start]]="","",DATEDIF(Rent_Roll[[#This Row],[Future
Lease Start]],Rent_Roll[[#This Row],[Future
Lease Exp]],"m")+1)</f>
        <v/>
      </c>
      <c r="AJ114" s="1347"/>
    </row>
    <row r="115" spans="2:36" x14ac:dyDescent="0.2">
      <c r="B115" s="638"/>
      <c r="C115" s="638">
        <v>511</v>
      </c>
      <c r="D115" s="638" t="s">
        <v>866</v>
      </c>
      <c r="E115" s="162" t="str">
        <f>IF(Rent_Roll[[#This Row],[Floor-
plan]]="studio",0,LEFT(Rent_Roll[[#This Row],[Floor-
plan]],1))</f>
        <v>2</v>
      </c>
      <c r="F115" s="162" cm="1">
        <f t="array" ref="F11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15" s="1336">
        <v>1000</v>
      </c>
      <c r="H115" s="722" t="s">
        <v>244</v>
      </c>
      <c r="I115" s="722"/>
      <c r="J115" s="1337" t="str" cm="1">
        <f t="array" ref="J11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15" s="1338">
        <v>44621</v>
      </c>
      <c r="L115" s="147">
        <v>44985</v>
      </c>
      <c r="M115" s="1339" cm="1">
        <f t="array" ref="M11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15" s="1337" t="str">
        <f>IF(OR(Rent_Roll[[#This Row],[MTM Fee]]="",Rent_Roll[[#This Row],[MTM Fee]]=0),"","MTM Lease")</f>
        <v/>
      </c>
      <c r="O115" s="1340">
        <f ca="1">IFERROR(IF(Rent_Roll[[#This Row],[Lease
Exp]]="","",DATEDIF($F$3,Rent_Roll[[#This Row],[Lease
Exp]],"m")+1),0)</f>
        <v>2</v>
      </c>
      <c r="P115" s="1341"/>
      <c r="Q115" s="1342" t="str" cm="1">
        <f t="array" ref="Q11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15" s="1343">
        <v>1380</v>
      </c>
      <c r="S115" s="723">
        <v>1105</v>
      </c>
      <c r="T115" s="723"/>
      <c r="U115" s="550">
        <f>Rent_Roll[[#This Row],[Lease
Rent]]+Rent_Roll[[#This Row],[Corp
Rent]]</f>
        <v>1105</v>
      </c>
      <c r="V115" s="1344">
        <f>IF(Rent_Roll[[#This Row],[Total In-Place
Rent]]=0,0,Rent_Roll[[#This Row],[Total In-Place
Rent]]-Rent_Roll[[#This Row],[Market
Rent]])</f>
        <v>-275</v>
      </c>
      <c r="W115" s="1343">
        <v>0</v>
      </c>
      <c r="X115" s="723"/>
      <c r="Y115" s="723"/>
      <c r="Z115" s="723"/>
      <c r="AA115" s="1345"/>
      <c r="AB115" s="723"/>
      <c r="AC115" s="723"/>
      <c r="AD115" s="723"/>
      <c r="AE115" s="723"/>
      <c r="AF115" s="723"/>
      <c r="AG115" s="147"/>
      <c r="AH115" s="147"/>
      <c r="AI115" s="1348" t="str">
        <f>IF(Rent_Roll[[#This Row],[Future
Lease Start]]="","",DATEDIF(Rent_Roll[[#This Row],[Future
Lease Start]],Rent_Roll[[#This Row],[Future
Lease Exp]],"m")+1)</f>
        <v/>
      </c>
      <c r="AJ115" s="1347"/>
    </row>
    <row r="116" spans="2:36" x14ac:dyDescent="0.2">
      <c r="B116" s="638"/>
      <c r="C116" s="638">
        <v>512</v>
      </c>
      <c r="D116" s="638" t="s">
        <v>866</v>
      </c>
      <c r="E116" s="162" t="str">
        <f>IF(Rent_Roll[[#This Row],[Floor-
plan]]="studio",0,LEFT(Rent_Roll[[#This Row],[Floor-
plan]],1))</f>
        <v>2</v>
      </c>
      <c r="F116" s="162" cm="1">
        <f t="array" ref="F11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16" s="1336">
        <v>1000</v>
      </c>
      <c r="H116" s="722" t="s">
        <v>244</v>
      </c>
      <c r="I116" s="722"/>
      <c r="J116" s="1337" t="str" cm="1">
        <f t="array" ref="J11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16" s="1338">
        <v>44722</v>
      </c>
      <c r="L116" s="147">
        <v>45208</v>
      </c>
      <c r="M116" s="1339" cm="1">
        <f t="array" ref="M116">_xlfn.IFS(Rent_Roll[[#This Row],[Lease
Exp]]="","",Rent_Roll[[#This Row],[MTM
Lease]]="MTM Lease","--",Rent_Roll[[#This Row],[Lease
Exp]]&gt;0,(DATEDIF(Rent_Roll[[#This Row],[Lease
Start]],Rent_Roll[[#This Row],[Lease
Exp]],"m")+1))</f>
        <v>16</v>
      </c>
      <c r="N116" s="1337" t="str">
        <f>IF(OR(Rent_Roll[[#This Row],[MTM Fee]]="",Rent_Roll[[#This Row],[MTM Fee]]=0),"","MTM Lease")</f>
        <v/>
      </c>
      <c r="O116" s="1340">
        <f ca="1">IFERROR(IF(Rent_Roll[[#This Row],[Lease
Exp]]="","",DATEDIF($F$3,Rent_Roll[[#This Row],[Lease
Exp]],"m")+1),0)</f>
        <v>9</v>
      </c>
      <c r="P116" s="1341"/>
      <c r="Q116" s="1342" t="str" cm="1">
        <f t="array" ref="Q11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16" s="1343">
        <v>1400</v>
      </c>
      <c r="S116" s="723">
        <v>1205</v>
      </c>
      <c r="T116" s="723"/>
      <c r="U116" s="550">
        <f>Rent_Roll[[#This Row],[Lease
Rent]]+Rent_Roll[[#This Row],[Corp
Rent]]</f>
        <v>1205</v>
      </c>
      <c r="V116" s="1344">
        <f>IF(Rent_Roll[[#This Row],[Total In-Place
Rent]]=0,0,Rent_Roll[[#This Row],[Total In-Place
Rent]]-Rent_Roll[[#This Row],[Market
Rent]])</f>
        <v>-195</v>
      </c>
      <c r="W116" s="1343">
        <v>0</v>
      </c>
      <c r="X116" s="723"/>
      <c r="Y116" s="723"/>
      <c r="Z116" s="723"/>
      <c r="AA116" s="1345"/>
      <c r="AB116" s="723"/>
      <c r="AC116" s="723"/>
      <c r="AD116" s="723"/>
      <c r="AE116" s="723"/>
      <c r="AF116" s="723"/>
      <c r="AG116" s="147"/>
      <c r="AH116" s="147"/>
      <c r="AI116" s="1348" t="str">
        <f>IF(Rent_Roll[[#This Row],[Future
Lease Start]]="","",DATEDIF(Rent_Roll[[#This Row],[Future
Lease Start]],Rent_Roll[[#This Row],[Future
Lease Exp]],"m")+1)</f>
        <v/>
      </c>
      <c r="AJ116" s="1347"/>
    </row>
    <row r="117" spans="2:36" x14ac:dyDescent="0.2">
      <c r="B117" s="638"/>
      <c r="C117" s="638">
        <v>513</v>
      </c>
      <c r="D117" s="638" t="s">
        <v>868</v>
      </c>
      <c r="E117" s="162" t="str">
        <f>IF(Rent_Roll[[#This Row],[Floor-
plan]]="studio",0,LEFT(Rent_Roll[[#This Row],[Floor-
plan]],1))</f>
        <v>1</v>
      </c>
      <c r="F117" s="162" cm="1">
        <f t="array" ref="F11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17" s="1336">
        <v>804</v>
      </c>
      <c r="H117" s="722" t="s">
        <v>244</v>
      </c>
      <c r="I117" s="722"/>
      <c r="J117" s="1337" t="str" cm="1">
        <f t="array" ref="J11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17" s="1338">
        <v>44652</v>
      </c>
      <c r="L117" s="147">
        <v>45138</v>
      </c>
      <c r="M117" s="1339" cm="1">
        <f t="array" ref="M117">_xlfn.IFS(Rent_Roll[[#This Row],[Lease
Exp]]="","",Rent_Roll[[#This Row],[MTM
Lease]]="MTM Lease","--",Rent_Roll[[#This Row],[Lease
Exp]]&gt;0,(DATEDIF(Rent_Roll[[#This Row],[Lease
Start]],Rent_Roll[[#This Row],[Lease
Exp]],"m")+1))</f>
        <v>16</v>
      </c>
      <c r="N117" s="1337" t="str">
        <f>IF(OR(Rent_Roll[[#This Row],[MTM Fee]]="",Rent_Roll[[#This Row],[MTM Fee]]=0),"","MTM Lease")</f>
        <v/>
      </c>
      <c r="O117" s="1340">
        <f ca="1">IFERROR(IF(Rent_Roll[[#This Row],[Lease
Exp]]="","",DATEDIF($F$3,Rent_Roll[[#This Row],[Lease
Exp]],"m")+1),0)</f>
        <v>7</v>
      </c>
      <c r="P117" s="1341"/>
      <c r="Q117" s="1342" t="str" cm="1">
        <f t="array" ref="Q11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17" s="1343">
        <v>1190</v>
      </c>
      <c r="S117" s="723">
        <v>1060</v>
      </c>
      <c r="T117" s="723"/>
      <c r="U117" s="550">
        <f>Rent_Roll[[#This Row],[Lease
Rent]]+Rent_Roll[[#This Row],[Corp
Rent]]</f>
        <v>1060</v>
      </c>
      <c r="V117" s="1344">
        <f>IF(Rent_Roll[[#This Row],[Total In-Place
Rent]]=0,0,Rent_Roll[[#This Row],[Total In-Place
Rent]]-Rent_Roll[[#This Row],[Market
Rent]])</f>
        <v>-130</v>
      </c>
      <c r="W117" s="1343">
        <v>0</v>
      </c>
      <c r="X117" s="723"/>
      <c r="Y117" s="723"/>
      <c r="Z117" s="723"/>
      <c r="AA117" s="1345"/>
      <c r="AB117" s="723"/>
      <c r="AC117" s="723"/>
      <c r="AD117" s="723"/>
      <c r="AE117" s="723"/>
      <c r="AF117" s="723"/>
      <c r="AG117" s="147"/>
      <c r="AH117" s="147"/>
      <c r="AI117" s="1348" t="str">
        <f>IF(Rent_Roll[[#This Row],[Future
Lease Start]]="","",DATEDIF(Rent_Roll[[#This Row],[Future
Lease Start]],Rent_Roll[[#This Row],[Future
Lease Exp]],"m")+1)</f>
        <v/>
      </c>
      <c r="AJ117" s="1347"/>
    </row>
    <row r="118" spans="2:36" x14ac:dyDescent="0.2">
      <c r="B118" s="638"/>
      <c r="C118" s="638">
        <v>514</v>
      </c>
      <c r="D118" s="638" t="s">
        <v>868</v>
      </c>
      <c r="E118" s="162" t="str">
        <f>IF(Rent_Roll[[#This Row],[Floor-
plan]]="studio",0,LEFT(Rent_Roll[[#This Row],[Floor-
plan]],1))</f>
        <v>1</v>
      </c>
      <c r="F118" s="162" cm="1">
        <f t="array" ref="F11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18" s="1336">
        <v>804</v>
      </c>
      <c r="H118" s="722" t="s">
        <v>244</v>
      </c>
      <c r="I118" s="722"/>
      <c r="J118" s="1337" t="str" cm="1">
        <f t="array" ref="J11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18" s="1338">
        <v>44775</v>
      </c>
      <c r="L118" s="147">
        <v>44819</v>
      </c>
      <c r="M118" s="1339" t="str" cm="1">
        <f t="array" ref="M118">_xlfn.IFS(Rent_Roll[[#This Row],[Lease
Exp]]="","",Rent_Roll[[#This Row],[MTM
Lease]]="MTM Lease","--",Rent_Roll[[#This Row],[Lease
Exp]]&gt;0,(DATEDIF(Rent_Roll[[#This Row],[Lease
Start]],Rent_Roll[[#This Row],[Lease
Exp]],"m")+1))</f>
        <v>--</v>
      </c>
      <c r="N118" s="1337" t="str">
        <f>IF(OR(Rent_Roll[[#This Row],[MTM Fee]]="",Rent_Roll[[#This Row],[MTM Fee]]=0),"","MTM Lease")</f>
        <v>MTM Lease</v>
      </c>
      <c r="O118" s="1340">
        <f ca="1">IFERROR(IF(Rent_Roll[[#This Row],[Lease
Exp]]="","",DATEDIF($F$3,Rent_Roll[[#This Row],[Lease
Exp]],"m")+1),0)</f>
        <v>0</v>
      </c>
      <c r="P118" s="1341">
        <v>44819</v>
      </c>
      <c r="Q118" s="1342" t="str" cm="1">
        <f t="array" ref="Q11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118" s="1343">
        <v>1170</v>
      </c>
      <c r="S118" s="723">
        <v>1160</v>
      </c>
      <c r="T118" s="723"/>
      <c r="U118" s="550">
        <f>Rent_Roll[[#This Row],[Lease
Rent]]+Rent_Roll[[#This Row],[Corp
Rent]]</f>
        <v>1160</v>
      </c>
      <c r="V118" s="1344">
        <f>IF(Rent_Roll[[#This Row],[Total In-Place
Rent]]=0,0,Rent_Roll[[#This Row],[Total In-Place
Rent]]-Rent_Roll[[#This Row],[Market
Rent]])</f>
        <v>-10</v>
      </c>
      <c r="W118" s="1343">
        <v>200</v>
      </c>
      <c r="X118" s="723"/>
      <c r="Y118" s="723"/>
      <c r="Z118" s="723"/>
      <c r="AA118" s="1345"/>
      <c r="AB118" s="723"/>
      <c r="AC118" s="723"/>
      <c r="AD118" s="723"/>
      <c r="AE118" s="723"/>
      <c r="AF118" s="723"/>
      <c r="AG118" s="147"/>
      <c r="AH118" s="147"/>
      <c r="AI118" s="1348" t="str">
        <f>IF(Rent_Roll[[#This Row],[Future
Lease Start]]="","",DATEDIF(Rent_Roll[[#This Row],[Future
Lease Start]],Rent_Roll[[#This Row],[Future
Lease Exp]],"m")+1)</f>
        <v/>
      </c>
      <c r="AJ118" s="1347"/>
    </row>
    <row r="119" spans="2:36" x14ac:dyDescent="0.2">
      <c r="B119" s="638"/>
      <c r="C119" s="638">
        <v>515</v>
      </c>
      <c r="D119" s="638" t="s">
        <v>868</v>
      </c>
      <c r="E119" s="162" t="str">
        <f>IF(Rent_Roll[[#This Row],[Floor-
plan]]="studio",0,LEFT(Rent_Roll[[#This Row],[Floor-
plan]],1))</f>
        <v>1</v>
      </c>
      <c r="F119" s="162" cm="1">
        <f t="array" ref="F11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19" s="1336">
        <v>804</v>
      </c>
      <c r="H119" s="722" t="s">
        <v>244</v>
      </c>
      <c r="I119" s="722"/>
      <c r="J119" s="1337" t="str" cm="1">
        <f t="array" ref="J11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19" s="1338">
        <v>44758</v>
      </c>
      <c r="L119" s="147">
        <v>45122</v>
      </c>
      <c r="M119" s="1339" cm="1">
        <f t="array" ref="M11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19" s="1337" t="str">
        <f>IF(OR(Rent_Roll[[#This Row],[MTM Fee]]="",Rent_Roll[[#This Row],[MTM Fee]]=0),"","MTM Lease")</f>
        <v/>
      </c>
      <c r="O119" s="1340">
        <f ca="1">IFERROR(IF(Rent_Roll[[#This Row],[Lease
Exp]]="","",DATEDIF($F$3,Rent_Roll[[#This Row],[Lease
Exp]],"m")+1),0)</f>
        <v>6</v>
      </c>
      <c r="P119" s="1341"/>
      <c r="Q119" s="1342" t="str" cm="1">
        <f t="array" ref="Q11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19" s="1343">
        <v>1170</v>
      </c>
      <c r="S119" s="723">
        <v>1170</v>
      </c>
      <c r="T119" s="723"/>
      <c r="U119" s="550">
        <f>Rent_Roll[[#This Row],[Lease
Rent]]+Rent_Roll[[#This Row],[Corp
Rent]]</f>
        <v>1170</v>
      </c>
      <c r="V119" s="1344">
        <f>IF(Rent_Roll[[#This Row],[Total In-Place
Rent]]=0,0,Rent_Roll[[#This Row],[Total In-Place
Rent]]-Rent_Roll[[#This Row],[Market
Rent]])</f>
        <v>0</v>
      </c>
      <c r="W119" s="1343">
        <v>0</v>
      </c>
      <c r="X119" s="723"/>
      <c r="Y119" s="723"/>
      <c r="Z119" s="723"/>
      <c r="AA119" s="1345"/>
      <c r="AB119" s="723"/>
      <c r="AC119" s="723"/>
      <c r="AD119" s="723"/>
      <c r="AE119" s="723"/>
      <c r="AF119" s="723"/>
      <c r="AG119" s="147"/>
      <c r="AH119" s="147"/>
      <c r="AI119" s="1348" t="str">
        <f>IF(Rent_Roll[[#This Row],[Future
Lease Start]]="","",DATEDIF(Rent_Roll[[#This Row],[Future
Lease Start]],Rent_Roll[[#This Row],[Future
Lease Exp]],"m")+1)</f>
        <v/>
      </c>
      <c r="AJ119" s="1347"/>
    </row>
    <row r="120" spans="2:36" x14ac:dyDescent="0.2">
      <c r="B120" s="638"/>
      <c r="C120" s="638">
        <v>516</v>
      </c>
      <c r="D120" s="638" t="s">
        <v>868</v>
      </c>
      <c r="E120" s="162" t="str">
        <f>IF(Rent_Roll[[#This Row],[Floor-
plan]]="studio",0,LEFT(Rent_Roll[[#This Row],[Floor-
plan]],1))</f>
        <v>1</v>
      </c>
      <c r="F120" s="162" cm="1">
        <f t="array" ref="F12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20" s="1336">
        <v>804</v>
      </c>
      <c r="H120" s="722" t="s">
        <v>244</v>
      </c>
      <c r="I120" s="722"/>
      <c r="J120" s="1337" t="str" cm="1">
        <f t="array" ref="J12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20" s="1338">
        <v>44582</v>
      </c>
      <c r="L120" s="147">
        <v>44946</v>
      </c>
      <c r="M120" s="1339" cm="1">
        <f t="array" ref="M12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20" s="1337" t="str">
        <f>IF(OR(Rent_Roll[[#This Row],[MTM Fee]]="",Rent_Roll[[#This Row],[MTM Fee]]=0),"","MTM Lease")</f>
        <v/>
      </c>
      <c r="O120" s="1340">
        <f ca="1">IFERROR(IF(Rent_Roll[[#This Row],[Lease
Exp]]="","",DATEDIF($F$3,Rent_Roll[[#This Row],[Lease
Exp]],"m")+1),0)</f>
        <v>0</v>
      </c>
      <c r="P120" s="1341"/>
      <c r="Q120" s="1342" t="str" cm="1">
        <f t="array" ref="Q12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20" s="1343">
        <v>1190</v>
      </c>
      <c r="S120" s="723">
        <v>1170</v>
      </c>
      <c r="T120" s="723"/>
      <c r="U120" s="550">
        <f>Rent_Roll[[#This Row],[Lease
Rent]]+Rent_Roll[[#This Row],[Corp
Rent]]</f>
        <v>1170</v>
      </c>
      <c r="V120" s="1344">
        <f>IF(Rent_Roll[[#This Row],[Total In-Place
Rent]]=0,0,Rent_Roll[[#This Row],[Total In-Place
Rent]]-Rent_Roll[[#This Row],[Market
Rent]])</f>
        <v>-20</v>
      </c>
      <c r="W120" s="1343">
        <v>0</v>
      </c>
      <c r="X120" s="723"/>
      <c r="Y120" s="723"/>
      <c r="Z120" s="723"/>
      <c r="AA120" s="1345"/>
      <c r="AB120" s="723"/>
      <c r="AC120" s="723"/>
      <c r="AD120" s="723"/>
      <c r="AE120" s="723"/>
      <c r="AF120" s="723"/>
      <c r="AG120" s="147"/>
      <c r="AH120" s="147"/>
      <c r="AI120" s="1348" t="str">
        <f>IF(Rent_Roll[[#This Row],[Future
Lease Start]]="","",DATEDIF(Rent_Roll[[#This Row],[Future
Lease Start]],Rent_Roll[[#This Row],[Future
Lease Exp]],"m")+1)</f>
        <v/>
      </c>
      <c r="AJ120" s="1347"/>
    </row>
    <row r="121" spans="2:36" x14ac:dyDescent="0.2">
      <c r="B121" s="638"/>
      <c r="C121" s="638">
        <v>517</v>
      </c>
      <c r="D121" s="638" t="s">
        <v>866</v>
      </c>
      <c r="E121" s="162" t="str">
        <f>IF(Rent_Roll[[#This Row],[Floor-
plan]]="studio",0,LEFT(Rent_Roll[[#This Row],[Floor-
plan]],1))</f>
        <v>2</v>
      </c>
      <c r="F121" s="162" cm="1">
        <f t="array" ref="F12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21" s="1336">
        <v>1000</v>
      </c>
      <c r="H121" s="722" t="s">
        <v>244</v>
      </c>
      <c r="I121" s="722"/>
      <c r="J121" s="1337" t="str" cm="1">
        <f t="array" ref="J12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21" s="1338">
        <v>44702</v>
      </c>
      <c r="L121" s="147">
        <v>45066</v>
      </c>
      <c r="M121" s="1339" cm="1">
        <f t="array" ref="M12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21" s="1337" t="str">
        <f>IF(OR(Rent_Roll[[#This Row],[MTM Fee]]="",Rent_Roll[[#This Row],[MTM Fee]]=0),"","MTM Lease")</f>
        <v/>
      </c>
      <c r="O121" s="1340">
        <f ca="1">IFERROR(IF(Rent_Roll[[#This Row],[Lease
Exp]]="","",DATEDIF($F$3,Rent_Roll[[#This Row],[Lease
Exp]],"m")+1),0)</f>
        <v>4</v>
      </c>
      <c r="P121" s="1341"/>
      <c r="Q121" s="1342" t="str" cm="1">
        <f t="array" ref="Q12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21" s="1343">
        <v>1400</v>
      </c>
      <c r="S121" s="723">
        <v>1200</v>
      </c>
      <c r="T121" s="723"/>
      <c r="U121" s="550">
        <f>Rent_Roll[[#This Row],[Lease
Rent]]+Rent_Roll[[#This Row],[Corp
Rent]]</f>
        <v>1200</v>
      </c>
      <c r="V121" s="1344">
        <f>IF(Rent_Roll[[#This Row],[Total In-Place
Rent]]=0,0,Rent_Roll[[#This Row],[Total In-Place
Rent]]-Rent_Roll[[#This Row],[Market
Rent]])</f>
        <v>-200</v>
      </c>
      <c r="W121" s="1343">
        <v>0</v>
      </c>
      <c r="X121" s="723"/>
      <c r="Y121" s="723"/>
      <c r="Z121" s="723"/>
      <c r="AA121" s="1345"/>
      <c r="AB121" s="723"/>
      <c r="AC121" s="723"/>
      <c r="AD121" s="723"/>
      <c r="AE121" s="723"/>
      <c r="AF121" s="723"/>
      <c r="AG121" s="147"/>
      <c r="AH121" s="147"/>
      <c r="AI121" s="1348" t="str">
        <f>IF(Rent_Roll[[#This Row],[Future
Lease Start]]="","",DATEDIF(Rent_Roll[[#This Row],[Future
Lease Start]],Rent_Roll[[#This Row],[Future
Lease Exp]],"m")+1)</f>
        <v/>
      </c>
      <c r="AJ121" s="1347"/>
    </row>
    <row r="122" spans="2:36" x14ac:dyDescent="0.2">
      <c r="B122" s="638"/>
      <c r="C122" s="638">
        <v>518</v>
      </c>
      <c r="D122" s="638" t="s">
        <v>866</v>
      </c>
      <c r="E122" s="162" t="str">
        <f>IF(Rent_Roll[[#This Row],[Floor-
plan]]="studio",0,LEFT(Rent_Roll[[#This Row],[Floor-
plan]],1))</f>
        <v>2</v>
      </c>
      <c r="F122" s="162" cm="1">
        <f t="array" ref="F12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22" s="1336">
        <v>1000</v>
      </c>
      <c r="H122" s="722" t="s">
        <v>244</v>
      </c>
      <c r="I122" s="722"/>
      <c r="J122" s="1337" t="str" cm="1">
        <f t="array" ref="J12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22" s="1338">
        <v>44542</v>
      </c>
      <c r="L122" s="147">
        <v>44845</v>
      </c>
      <c r="M122" s="1339" cm="1">
        <f t="array" ref="M122">_xlfn.IFS(Rent_Roll[[#This Row],[Lease
Exp]]="","",Rent_Roll[[#This Row],[MTM
Lease]]="MTM Lease","--",Rent_Roll[[#This Row],[Lease
Exp]]&gt;0,(DATEDIF(Rent_Roll[[#This Row],[Lease
Start]],Rent_Roll[[#This Row],[Lease
Exp]],"m")+1))</f>
        <v>10</v>
      </c>
      <c r="N122" s="1337" t="str">
        <f>IF(OR(Rent_Roll[[#This Row],[MTM Fee]]="",Rent_Roll[[#This Row],[MTM Fee]]=0),"","MTM Lease")</f>
        <v/>
      </c>
      <c r="O122" s="1340">
        <f ca="1">IFERROR(IF(Rent_Roll[[#This Row],[Lease
Exp]]="","",DATEDIF($F$3,Rent_Roll[[#This Row],[Lease
Exp]],"m")+1),0)</f>
        <v>0</v>
      </c>
      <c r="P122" s="1341"/>
      <c r="Q122" s="1342" t="str" cm="1">
        <f t="array" ref="Q12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22" s="1343">
        <v>1380</v>
      </c>
      <c r="S122" s="723">
        <v>1250</v>
      </c>
      <c r="T122" s="723"/>
      <c r="U122" s="550">
        <f>Rent_Roll[[#This Row],[Lease
Rent]]+Rent_Roll[[#This Row],[Corp
Rent]]</f>
        <v>1250</v>
      </c>
      <c r="V122" s="1344">
        <f>IF(Rent_Roll[[#This Row],[Total In-Place
Rent]]=0,0,Rent_Roll[[#This Row],[Total In-Place
Rent]]-Rent_Roll[[#This Row],[Market
Rent]])</f>
        <v>-130</v>
      </c>
      <c r="W122" s="1343">
        <v>0</v>
      </c>
      <c r="X122" s="723"/>
      <c r="Y122" s="723"/>
      <c r="Z122" s="723"/>
      <c r="AA122" s="1345"/>
      <c r="AB122" s="723"/>
      <c r="AC122" s="723"/>
      <c r="AD122" s="723"/>
      <c r="AE122" s="723"/>
      <c r="AF122" s="723"/>
      <c r="AG122" s="147"/>
      <c r="AH122" s="147"/>
      <c r="AI122" s="1348" t="str">
        <f>IF(Rent_Roll[[#This Row],[Future
Lease Start]]="","",DATEDIF(Rent_Roll[[#This Row],[Future
Lease Start]],Rent_Roll[[#This Row],[Future
Lease Exp]],"m")+1)</f>
        <v/>
      </c>
      <c r="AJ122" s="1347"/>
    </row>
    <row r="123" spans="2:36" x14ac:dyDescent="0.2">
      <c r="B123" s="638"/>
      <c r="C123" s="638">
        <v>521</v>
      </c>
      <c r="D123" s="638" t="s">
        <v>866</v>
      </c>
      <c r="E123" s="162" t="str">
        <f>IF(Rent_Roll[[#This Row],[Floor-
plan]]="studio",0,LEFT(Rent_Roll[[#This Row],[Floor-
plan]],1))</f>
        <v>2</v>
      </c>
      <c r="F123" s="162" cm="1">
        <f t="array" ref="F12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23" s="1336">
        <v>1000</v>
      </c>
      <c r="H123" s="722" t="s">
        <v>244</v>
      </c>
      <c r="I123" s="722"/>
      <c r="J123" s="1337" t="str" cm="1">
        <f t="array" ref="J12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23" s="1338">
        <v>44682</v>
      </c>
      <c r="L123" s="147">
        <v>45046</v>
      </c>
      <c r="M123" s="1339" cm="1">
        <f t="array" ref="M12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23" s="1337" t="str">
        <f>IF(OR(Rent_Roll[[#This Row],[MTM Fee]]="",Rent_Roll[[#This Row],[MTM Fee]]=0),"","MTM Lease")</f>
        <v/>
      </c>
      <c r="O123" s="1340">
        <f ca="1">IFERROR(IF(Rent_Roll[[#This Row],[Lease
Exp]]="","",DATEDIF($F$3,Rent_Roll[[#This Row],[Lease
Exp]],"m")+1),0)</f>
        <v>4</v>
      </c>
      <c r="P123" s="1341"/>
      <c r="Q123" s="1342" t="str" cm="1">
        <f t="array" ref="Q12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23" s="1343">
        <v>1360</v>
      </c>
      <c r="S123" s="723">
        <v>1360</v>
      </c>
      <c r="T123" s="723"/>
      <c r="U123" s="550">
        <f>Rent_Roll[[#This Row],[Lease
Rent]]+Rent_Roll[[#This Row],[Corp
Rent]]</f>
        <v>1360</v>
      </c>
      <c r="V123" s="1344">
        <f>IF(Rent_Roll[[#This Row],[Total In-Place
Rent]]=0,0,Rent_Roll[[#This Row],[Total In-Place
Rent]]-Rent_Roll[[#This Row],[Market
Rent]])</f>
        <v>0</v>
      </c>
      <c r="W123" s="1343">
        <v>0</v>
      </c>
      <c r="X123" s="723"/>
      <c r="Y123" s="723"/>
      <c r="Z123" s="723"/>
      <c r="AA123" s="1345"/>
      <c r="AB123" s="723"/>
      <c r="AC123" s="723"/>
      <c r="AD123" s="723"/>
      <c r="AE123" s="723"/>
      <c r="AF123" s="723"/>
      <c r="AG123" s="147"/>
      <c r="AH123" s="147"/>
      <c r="AI123" s="1348" t="str">
        <f>IF(Rent_Roll[[#This Row],[Future
Lease Start]]="","",DATEDIF(Rent_Roll[[#This Row],[Future
Lease Start]],Rent_Roll[[#This Row],[Future
Lease Exp]],"m")+1)</f>
        <v/>
      </c>
      <c r="AJ123" s="1347"/>
    </row>
    <row r="124" spans="2:36" x14ac:dyDescent="0.2">
      <c r="B124" s="638"/>
      <c r="C124" s="638">
        <v>522</v>
      </c>
      <c r="D124" s="638" t="s">
        <v>866</v>
      </c>
      <c r="E124" s="162" t="str">
        <f>IF(Rent_Roll[[#This Row],[Floor-
plan]]="studio",0,LEFT(Rent_Roll[[#This Row],[Floor-
plan]],1))</f>
        <v>2</v>
      </c>
      <c r="F124" s="162" cm="1">
        <f t="array" ref="F12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24" s="1336">
        <v>1000</v>
      </c>
      <c r="H124" s="722" t="s">
        <v>245</v>
      </c>
      <c r="I124" s="722"/>
      <c r="J124" s="1337" t="str" cm="1">
        <f t="array" ref="J12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24" s="1338" t="s">
        <v>873</v>
      </c>
      <c r="L124" s="147" t="s">
        <v>873</v>
      </c>
      <c r="M124" s="1339" t="str" cm="1">
        <f t="array" ref="M124">_xlfn.IFS(Rent_Roll[[#This Row],[Lease
Exp]]="","",Rent_Roll[[#This Row],[MTM
Lease]]="MTM Lease","--",Rent_Roll[[#This Row],[Lease
Exp]]&gt;0,(DATEDIF(Rent_Roll[[#This Row],[Lease
Start]],Rent_Roll[[#This Row],[Lease
Exp]],"m")+1))</f>
        <v/>
      </c>
      <c r="N124" s="1337" t="str">
        <f>IF(OR(Rent_Roll[[#This Row],[MTM Fee]]="",Rent_Roll[[#This Row],[MTM Fee]]=0),"","MTM Lease")</f>
        <v/>
      </c>
      <c r="O124" s="1340" t="str">
        <f>IFERROR(IF(Rent_Roll[[#This Row],[Lease
Exp]]="","",DATEDIF($F$3,Rent_Roll[[#This Row],[Lease
Exp]],"m")+1),0)</f>
        <v/>
      </c>
      <c r="P124" s="1341"/>
      <c r="Q124" s="1342" t="str" cm="1">
        <f t="array" ref="Q12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24" s="1343">
        <v>1380</v>
      </c>
      <c r="S124" s="723">
        <v>0</v>
      </c>
      <c r="T124" s="723"/>
      <c r="U124" s="550">
        <f>Rent_Roll[[#This Row],[Lease
Rent]]+Rent_Roll[[#This Row],[Corp
Rent]]</f>
        <v>0</v>
      </c>
      <c r="V124" s="1344">
        <f>IF(Rent_Roll[[#This Row],[Total In-Place
Rent]]=0,0,Rent_Roll[[#This Row],[Total In-Place
Rent]]-Rent_Roll[[#This Row],[Market
Rent]])</f>
        <v>0</v>
      </c>
      <c r="W124" s="1343">
        <v>0</v>
      </c>
      <c r="X124" s="723"/>
      <c r="Y124" s="723"/>
      <c r="Z124" s="723"/>
      <c r="AA124" s="1345"/>
      <c r="AB124" s="723"/>
      <c r="AC124" s="723"/>
      <c r="AD124" s="723"/>
      <c r="AE124" s="723"/>
      <c r="AF124" s="723"/>
      <c r="AG124" s="147"/>
      <c r="AH124" s="147"/>
      <c r="AI124" s="1348" t="str">
        <f>IF(Rent_Roll[[#This Row],[Future
Lease Start]]="","",DATEDIF(Rent_Roll[[#This Row],[Future
Lease Start]],Rent_Roll[[#This Row],[Future
Lease Exp]],"m")+1)</f>
        <v/>
      </c>
      <c r="AJ124" s="1347"/>
    </row>
    <row r="125" spans="2:36" x14ac:dyDescent="0.2">
      <c r="B125" s="638"/>
      <c r="C125" s="638">
        <v>523</v>
      </c>
      <c r="D125" s="638" t="s">
        <v>868</v>
      </c>
      <c r="E125" s="162" t="str">
        <f>IF(Rent_Roll[[#This Row],[Floor-
plan]]="studio",0,LEFT(Rent_Roll[[#This Row],[Floor-
plan]],1))</f>
        <v>1</v>
      </c>
      <c r="F125" s="162" cm="1">
        <f t="array" ref="F12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25" s="1336">
        <v>804</v>
      </c>
      <c r="H125" s="722" t="s">
        <v>244</v>
      </c>
      <c r="I125" s="722"/>
      <c r="J125" s="1337" t="str" cm="1">
        <f t="array" ref="J12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25" s="1338">
        <v>44475</v>
      </c>
      <c r="L125" s="147">
        <v>45021</v>
      </c>
      <c r="M125" s="1339" cm="1">
        <f t="array" ref="M125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25" s="1337" t="str">
        <f>IF(OR(Rent_Roll[[#This Row],[MTM Fee]]="",Rent_Roll[[#This Row],[MTM Fee]]=0),"","MTM Lease")</f>
        <v/>
      </c>
      <c r="O125" s="1340">
        <f ca="1">IFERROR(IF(Rent_Roll[[#This Row],[Lease
Exp]]="","",DATEDIF($F$3,Rent_Roll[[#This Row],[Lease
Exp]],"m")+1),0)</f>
        <v>3</v>
      </c>
      <c r="P125" s="1341"/>
      <c r="Q125" s="1342" t="str" cm="1">
        <f t="array" ref="Q12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25" s="1343">
        <v>1170</v>
      </c>
      <c r="S125" s="723">
        <v>1045</v>
      </c>
      <c r="T125" s="723"/>
      <c r="U125" s="550">
        <f>Rent_Roll[[#This Row],[Lease
Rent]]+Rent_Roll[[#This Row],[Corp
Rent]]</f>
        <v>1045</v>
      </c>
      <c r="V125" s="1344">
        <f>IF(Rent_Roll[[#This Row],[Total In-Place
Rent]]=0,0,Rent_Roll[[#This Row],[Total In-Place
Rent]]-Rent_Roll[[#This Row],[Market
Rent]])</f>
        <v>-125</v>
      </c>
      <c r="W125" s="1343">
        <v>0</v>
      </c>
      <c r="X125" s="723"/>
      <c r="Y125" s="723"/>
      <c r="Z125" s="723"/>
      <c r="AA125" s="1345"/>
      <c r="AB125" s="723"/>
      <c r="AC125" s="723"/>
      <c r="AD125" s="723"/>
      <c r="AE125" s="723"/>
      <c r="AF125" s="723"/>
      <c r="AG125" s="147"/>
      <c r="AH125" s="147"/>
      <c r="AI125" s="1348" t="str">
        <f>IF(Rent_Roll[[#This Row],[Future
Lease Start]]="","",DATEDIF(Rent_Roll[[#This Row],[Future
Lease Start]],Rent_Roll[[#This Row],[Future
Lease Exp]],"m")+1)</f>
        <v/>
      </c>
      <c r="AJ125" s="1347"/>
    </row>
    <row r="126" spans="2:36" x14ac:dyDescent="0.2">
      <c r="B126" s="638"/>
      <c r="C126" s="638">
        <v>524</v>
      </c>
      <c r="D126" s="638" t="s">
        <v>868</v>
      </c>
      <c r="E126" s="162" t="str">
        <f>IF(Rent_Roll[[#This Row],[Floor-
plan]]="studio",0,LEFT(Rent_Roll[[#This Row],[Floor-
plan]],1))</f>
        <v>1</v>
      </c>
      <c r="F126" s="162" cm="1">
        <f t="array" ref="F12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26" s="1336">
        <v>804</v>
      </c>
      <c r="H126" s="722" t="s">
        <v>244</v>
      </c>
      <c r="I126" s="722"/>
      <c r="J126" s="1337" t="str" cm="1">
        <f t="array" ref="J12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26" s="1338">
        <v>44526</v>
      </c>
      <c r="L126" s="147">
        <v>44890</v>
      </c>
      <c r="M126" s="1339" cm="1">
        <f t="array" ref="M12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26" s="1337" t="str">
        <f>IF(OR(Rent_Roll[[#This Row],[MTM Fee]]="",Rent_Roll[[#This Row],[MTM Fee]]=0),"","MTM Lease")</f>
        <v/>
      </c>
      <c r="O126" s="1340">
        <f ca="1">IFERROR(IF(Rent_Roll[[#This Row],[Lease
Exp]]="","",DATEDIF($F$3,Rent_Roll[[#This Row],[Lease
Exp]],"m")+1),0)</f>
        <v>0</v>
      </c>
      <c r="P126" s="1341">
        <v>44890</v>
      </c>
      <c r="Q126" s="1342" t="str" cm="1">
        <f t="array" ref="Q12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126" s="1343">
        <v>1150</v>
      </c>
      <c r="S126" s="723">
        <v>1030</v>
      </c>
      <c r="T126" s="723"/>
      <c r="U126" s="550">
        <f>Rent_Roll[[#This Row],[Lease
Rent]]+Rent_Roll[[#This Row],[Corp
Rent]]</f>
        <v>1030</v>
      </c>
      <c r="V126" s="1344">
        <f>IF(Rent_Roll[[#This Row],[Total In-Place
Rent]]=0,0,Rent_Roll[[#This Row],[Total In-Place
Rent]]-Rent_Roll[[#This Row],[Market
Rent]])</f>
        <v>-120</v>
      </c>
      <c r="W126" s="1343">
        <v>0</v>
      </c>
      <c r="X126" s="723"/>
      <c r="Y126" s="723"/>
      <c r="Z126" s="723"/>
      <c r="AA126" s="1345"/>
      <c r="AB126" s="723"/>
      <c r="AC126" s="723"/>
      <c r="AD126" s="723"/>
      <c r="AE126" s="723"/>
      <c r="AF126" s="723"/>
      <c r="AG126" s="147"/>
      <c r="AH126" s="147"/>
      <c r="AI126" s="1348" t="str">
        <f>IF(Rent_Roll[[#This Row],[Future
Lease Start]]="","",DATEDIF(Rent_Roll[[#This Row],[Future
Lease Start]],Rent_Roll[[#This Row],[Future
Lease Exp]],"m")+1)</f>
        <v/>
      </c>
      <c r="AJ126" s="1347"/>
    </row>
    <row r="127" spans="2:36" x14ac:dyDescent="0.2">
      <c r="B127" s="638"/>
      <c r="C127" s="638">
        <v>525</v>
      </c>
      <c r="D127" s="638" t="s">
        <v>868</v>
      </c>
      <c r="E127" s="162" t="str">
        <f>IF(Rent_Roll[[#This Row],[Floor-
plan]]="studio",0,LEFT(Rent_Roll[[#This Row],[Floor-
plan]],1))</f>
        <v>1</v>
      </c>
      <c r="F127" s="162" cm="1">
        <f t="array" ref="F12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27" s="1336">
        <v>804</v>
      </c>
      <c r="H127" s="722" t="s">
        <v>244</v>
      </c>
      <c r="I127" s="722"/>
      <c r="J127" s="1337" t="str" cm="1">
        <f t="array" ref="J12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27" s="1338">
        <v>44478</v>
      </c>
      <c r="L127" s="147">
        <v>44842</v>
      </c>
      <c r="M127" s="1339" cm="1">
        <f t="array" ref="M12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27" s="1337" t="str">
        <f>IF(OR(Rent_Roll[[#This Row],[MTM Fee]]="",Rent_Roll[[#This Row],[MTM Fee]]=0),"","MTM Lease")</f>
        <v/>
      </c>
      <c r="O127" s="1340">
        <f ca="1">IFERROR(IF(Rent_Roll[[#This Row],[Lease
Exp]]="","",DATEDIF($F$3,Rent_Roll[[#This Row],[Lease
Exp]],"m")+1),0)</f>
        <v>0</v>
      </c>
      <c r="P127" s="1341"/>
      <c r="Q127" s="1342" t="str" cm="1">
        <f t="array" ref="Q12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27" s="1343">
        <v>1150</v>
      </c>
      <c r="S127" s="723">
        <v>1145</v>
      </c>
      <c r="T127" s="723"/>
      <c r="U127" s="550">
        <f>Rent_Roll[[#This Row],[Lease
Rent]]+Rent_Roll[[#This Row],[Corp
Rent]]</f>
        <v>1145</v>
      </c>
      <c r="V127" s="1344">
        <f>IF(Rent_Roll[[#This Row],[Total In-Place
Rent]]=0,0,Rent_Roll[[#This Row],[Total In-Place
Rent]]-Rent_Roll[[#This Row],[Market
Rent]])</f>
        <v>-5</v>
      </c>
      <c r="W127" s="1343">
        <v>0</v>
      </c>
      <c r="X127" s="723"/>
      <c r="Y127" s="723"/>
      <c r="Z127" s="723"/>
      <c r="AA127" s="1345"/>
      <c r="AB127" s="723"/>
      <c r="AC127" s="723"/>
      <c r="AD127" s="723"/>
      <c r="AE127" s="723"/>
      <c r="AF127" s="723"/>
      <c r="AG127" s="147"/>
      <c r="AH127" s="147"/>
      <c r="AI127" s="1348" t="str">
        <f>IF(Rent_Roll[[#This Row],[Future
Lease Start]]="","",DATEDIF(Rent_Roll[[#This Row],[Future
Lease Start]],Rent_Roll[[#This Row],[Future
Lease Exp]],"m")+1)</f>
        <v/>
      </c>
      <c r="AJ127" s="1347"/>
    </row>
    <row r="128" spans="2:36" x14ac:dyDescent="0.2">
      <c r="B128" s="638"/>
      <c r="C128" s="638">
        <v>526</v>
      </c>
      <c r="D128" s="638" t="s">
        <v>868</v>
      </c>
      <c r="E128" s="162" t="str">
        <f>IF(Rent_Roll[[#This Row],[Floor-
plan]]="studio",0,LEFT(Rent_Roll[[#This Row],[Floor-
plan]],1))</f>
        <v>1</v>
      </c>
      <c r="F128" s="162" cm="1">
        <f t="array" ref="F12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28" s="1336">
        <v>804</v>
      </c>
      <c r="H128" s="722" t="s">
        <v>244</v>
      </c>
      <c r="I128" s="722"/>
      <c r="J128" s="1337" t="str" cm="1">
        <f t="array" ref="J12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28" s="1338">
        <v>44694</v>
      </c>
      <c r="L128" s="147">
        <v>45119</v>
      </c>
      <c r="M128" s="1339" cm="1">
        <f t="array" ref="M128">_xlfn.IFS(Rent_Roll[[#This Row],[Lease
Exp]]="","",Rent_Roll[[#This Row],[MTM
Lease]]="MTM Lease","--",Rent_Roll[[#This Row],[Lease
Exp]]&gt;0,(DATEDIF(Rent_Roll[[#This Row],[Lease
Start]],Rent_Roll[[#This Row],[Lease
Exp]],"m")+1))</f>
        <v>14</v>
      </c>
      <c r="N128" s="1337" t="str">
        <f>IF(OR(Rent_Roll[[#This Row],[MTM Fee]]="",Rent_Roll[[#This Row],[MTM Fee]]=0),"","MTM Lease")</f>
        <v/>
      </c>
      <c r="O128" s="1340">
        <f ca="1">IFERROR(IF(Rent_Roll[[#This Row],[Lease
Exp]]="","",DATEDIF($F$3,Rent_Roll[[#This Row],[Lease
Exp]],"m")+1),0)</f>
        <v>6</v>
      </c>
      <c r="P128" s="1341"/>
      <c r="Q128" s="1342" t="str" cm="1">
        <f t="array" ref="Q12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28" s="1343">
        <v>1170</v>
      </c>
      <c r="S128" s="723">
        <v>1170</v>
      </c>
      <c r="T128" s="723"/>
      <c r="U128" s="550">
        <f>Rent_Roll[[#This Row],[Lease
Rent]]+Rent_Roll[[#This Row],[Corp
Rent]]</f>
        <v>1170</v>
      </c>
      <c r="V128" s="1344">
        <f>IF(Rent_Roll[[#This Row],[Total In-Place
Rent]]=0,0,Rent_Roll[[#This Row],[Total In-Place
Rent]]-Rent_Roll[[#This Row],[Market
Rent]])</f>
        <v>0</v>
      </c>
      <c r="W128" s="1343">
        <v>0</v>
      </c>
      <c r="X128" s="723"/>
      <c r="Y128" s="723"/>
      <c r="Z128" s="723"/>
      <c r="AA128" s="1345"/>
      <c r="AB128" s="723"/>
      <c r="AC128" s="723"/>
      <c r="AD128" s="723"/>
      <c r="AE128" s="723"/>
      <c r="AF128" s="723"/>
      <c r="AG128" s="147"/>
      <c r="AH128" s="147"/>
      <c r="AI128" s="1348" t="str">
        <f>IF(Rent_Roll[[#This Row],[Future
Lease Start]]="","",DATEDIF(Rent_Roll[[#This Row],[Future
Lease Start]],Rent_Roll[[#This Row],[Future
Lease Exp]],"m")+1)</f>
        <v/>
      </c>
      <c r="AJ128" s="1347"/>
    </row>
    <row r="129" spans="2:36" x14ac:dyDescent="0.2">
      <c r="B129" s="638"/>
      <c r="C129" s="638">
        <v>527</v>
      </c>
      <c r="D129" s="638" t="s">
        <v>866</v>
      </c>
      <c r="E129" s="162" t="str">
        <f>IF(Rent_Roll[[#This Row],[Floor-
plan]]="studio",0,LEFT(Rent_Roll[[#This Row],[Floor-
plan]],1))</f>
        <v>2</v>
      </c>
      <c r="F129" s="162" cm="1">
        <f t="array" ref="F12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29" s="1336">
        <v>1000</v>
      </c>
      <c r="H129" s="722" t="s">
        <v>244</v>
      </c>
      <c r="I129" s="722"/>
      <c r="J129" s="1337" t="str" cm="1">
        <f t="array" ref="J12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29" s="1338">
        <v>44456</v>
      </c>
      <c r="L129" s="147">
        <v>44820</v>
      </c>
      <c r="M129" s="1339" cm="1">
        <f t="array" ref="M12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29" s="1337" t="str">
        <f>IF(OR(Rent_Roll[[#This Row],[MTM Fee]]="",Rent_Roll[[#This Row],[MTM Fee]]=0),"","MTM Lease")</f>
        <v/>
      </c>
      <c r="O129" s="1340">
        <f ca="1">IFERROR(IF(Rent_Roll[[#This Row],[Lease
Exp]]="","",DATEDIF($F$3,Rent_Roll[[#This Row],[Lease
Exp]],"m")+1),0)</f>
        <v>0</v>
      </c>
      <c r="P129" s="1341"/>
      <c r="Q129" s="1342" t="str" cm="1">
        <f t="array" ref="Q12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29" s="1343">
        <v>1380</v>
      </c>
      <c r="S129" s="723">
        <v>1200</v>
      </c>
      <c r="T129" s="723"/>
      <c r="U129" s="550">
        <f>Rent_Roll[[#This Row],[Lease
Rent]]+Rent_Roll[[#This Row],[Corp
Rent]]</f>
        <v>1200</v>
      </c>
      <c r="V129" s="1344">
        <f>IF(Rent_Roll[[#This Row],[Total In-Place
Rent]]=0,0,Rent_Roll[[#This Row],[Total In-Place
Rent]]-Rent_Roll[[#This Row],[Market
Rent]])</f>
        <v>-180</v>
      </c>
      <c r="W129" s="1343">
        <v>0</v>
      </c>
      <c r="X129" s="723"/>
      <c r="Y129" s="723"/>
      <c r="Z129" s="723"/>
      <c r="AA129" s="1345"/>
      <c r="AB129" s="723"/>
      <c r="AC129" s="723"/>
      <c r="AD129" s="723"/>
      <c r="AE129" s="723"/>
      <c r="AF129" s="723"/>
      <c r="AG129" s="147"/>
      <c r="AH129" s="147"/>
      <c r="AI129" s="1348" t="str">
        <f>IF(Rent_Roll[[#This Row],[Future
Lease Start]]="","",DATEDIF(Rent_Roll[[#This Row],[Future
Lease Start]],Rent_Roll[[#This Row],[Future
Lease Exp]],"m")+1)</f>
        <v/>
      </c>
      <c r="AJ129" s="1347"/>
    </row>
    <row r="130" spans="2:36" x14ac:dyDescent="0.2">
      <c r="B130" s="638"/>
      <c r="C130" s="638">
        <v>528</v>
      </c>
      <c r="D130" s="638" t="s">
        <v>866</v>
      </c>
      <c r="E130" s="162" t="str">
        <f>IF(Rent_Roll[[#This Row],[Floor-
plan]]="studio",0,LEFT(Rent_Roll[[#This Row],[Floor-
plan]],1))</f>
        <v>2</v>
      </c>
      <c r="F130" s="162" cm="1">
        <f t="array" ref="F13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30" s="1336">
        <v>1000</v>
      </c>
      <c r="H130" s="722" t="s">
        <v>244</v>
      </c>
      <c r="I130" s="722"/>
      <c r="J130" s="1337" t="str" cm="1">
        <f t="array" ref="J13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30" s="1338">
        <v>44713</v>
      </c>
      <c r="L130" s="147">
        <v>45077</v>
      </c>
      <c r="M130" s="1339" cm="1">
        <f t="array" ref="M13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30" s="1337" t="str">
        <f>IF(OR(Rent_Roll[[#This Row],[MTM Fee]]="",Rent_Roll[[#This Row],[MTM Fee]]=0),"","MTM Lease")</f>
        <v/>
      </c>
      <c r="O130" s="1340">
        <f ca="1">IFERROR(IF(Rent_Roll[[#This Row],[Lease
Exp]]="","",DATEDIF($F$3,Rent_Roll[[#This Row],[Lease
Exp]],"m")+1),0)</f>
        <v>5</v>
      </c>
      <c r="P130" s="1341"/>
      <c r="Q130" s="1342" t="str" cm="1">
        <f t="array" ref="Q13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30" s="1343">
        <v>1360</v>
      </c>
      <c r="S130" s="723">
        <v>1240</v>
      </c>
      <c r="T130" s="723"/>
      <c r="U130" s="550">
        <f>Rent_Roll[[#This Row],[Lease
Rent]]+Rent_Roll[[#This Row],[Corp
Rent]]</f>
        <v>1240</v>
      </c>
      <c r="V130" s="1344">
        <f>IF(Rent_Roll[[#This Row],[Total In-Place
Rent]]=0,0,Rent_Roll[[#This Row],[Total In-Place
Rent]]-Rent_Roll[[#This Row],[Market
Rent]])</f>
        <v>-120</v>
      </c>
      <c r="W130" s="1343">
        <v>0</v>
      </c>
      <c r="X130" s="723"/>
      <c r="Y130" s="723"/>
      <c r="Z130" s="723"/>
      <c r="AA130" s="1345"/>
      <c r="AB130" s="723"/>
      <c r="AC130" s="723"/>
      <c r="AD130" s="723"/>
      <c r="AE130" s="723"/>
      <c r="AF130" s="723"/>
      <c r="AG130" s="147"/>
      <c r="AH130" s="147"/>
      <c r="AI130" s="1348" t="str">
        <f>IF(Rent_Roll[[#This Row],[Future
Lease Start]]="","",DATEDIF(Rent_Roll[[#This Row],[Future
Lease Start]],Rent_Roll[[#This Row],[Future
Lease Exp]],"m")+1)</f>
        <v/>
      </c>
      <c r="AJ130" s="1347"/>
    </row>
    <row r="131" spans="2:36" x14ac:dyDescent="0.2">
      <c r="B131" s="638"/>
      <c r="C131" s="638">
        <v>531</v>
      </c>
      <c r="D131" s="638" t="s">
        <v>870</v>
      </c>
      <c r="E131" s="162" t="str">
        <f>IF(Rent_Roll[[#This Row],[Floor-
plan]]="studio",0,LEFT(Rent_Roll[[#This Row],[Floor-
plan]],1))</f>
        <v>2</v>
      </c>
      <c r="F131" s="162" cm="1">
        <f t="array" ref="F13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31" s="1336">
        <v>1099</v>
      </c>
      <c r="H131" s="722" t="s">
        <v>244</v>
      </c>
      <c r="I131" s="722"/>
      <c r="J131" s="1337" t="str" cm="1">
        <f t="array" ref="J13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31" s="1338">
        <v>44815</v>
      </c>
      <c r="L131" s="147">
        <v>44834</v>
      </c>
      <c r="M131" s="1339" t="str" cm="1">
        <f t="array" ref="M131">_xlfn.IFS(Rent_Roll[[#This Row],[Lease
Exp]]="","",Rent_Roll[[#This Row],[MTM
Lease]]="MTM Lease","--",Rent_Roll[[#This Row],[Lease
Exp]]&gt;0,(DATEDIF(Rent_Roll[[#This Row],[Lease
Start]],Rent_Roll[[#This Row],[Lease
Exp]],"m")+1))</f>
        <v>--</v>
      </c>
      <c r="N131" s="1337" t="str">
        <f>IF(OR(Rent_Roll[[#This Row],[MTM Fee]]="",Rent_Roll[[#This Row],[MTM Fee]]=0),"","MTM Lease")</f>
        <v>MTM Lease</v>
      </c>
      <c r="O131" s="1340">
        <f ca="1">IFERROR(IF(Rent_Roll[[#This Row],[Lease
Exp]]="","",DATEDIF($F$3,Rent_Roll[[#This Row],[Lease
Exp]],"m")+1),0)</f>
        <v>0</v>
      </c>
      <c r="P131" s="1341">
        <v>44834</v>
      </c>
      <c r="Q131" s="1342" t="str" cm="1">
        <f t="array" ref="Q13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131" s="1343">
        <v>1440</v>
      </c>
      <c r="S131" s="723">
        <v>1440</v>
      </c>
      <c r="T131" s="723"/>
      <c r="U131" s="550">
        <f>Rent_Roll[[#This Row],[Lease
Rent]]+Rent_Roll[[#This Row],[Corp
Rent]]</f>
        <v>1440</v>
      </c>
      <c r="V131" s="1344">
        <f>IF(Rent_Roll[[#This Row],[Total In-Place
Rent]]=0,0,Rent_Roll[[#This Row],[Total In-Place
Rent]]-Rent_Roll[[#This Row],[Market
Rent]])</f>
        <v>0</v>
      </c>
      <c r="W131" s="1343">
        <v>200</v>
      </c>
      <c r="X131" s="723"/>
      <c r="Y131" s="723"/>
      <c r="Z131" s="723"/>
      <c r="AA131" s="1345"/>
      <c r="AB131" s="723"/>
      <c r="AC131" s="723"/>
      <c r="AD131" s="723"/>
      <c r="AE131" s="723"/>
      <c r="AF131" s="723"/>
      <c r="AG131" s="147"/>
      <c r="AH131" s="147"/>
      <c r="AI131" s="1348" t="str">
        <f>IF(Rent_Roll[[#This Row],[Future
Lease Start]]="","",DATEDIF(Rent_Roll[[#This Row],[Future
Lease Start]],Rent_Roll[[#This Row],[Future
Lease Exp]],"m")+1)</f>
        <v/>
      </c>
      <c r="AJ131" s="1347"/>
    </row>
    <row r="132" spans="2:36" x14ac:dyDescent="0.2">
      <c r="B132" s="638"/>
      <c r="C132" s="638">
        <v>532</v>
      </c>
      <c r="D132" s="638" t="s">
        <v>870</v>
      </c>
      <c r="E132" s="162" t="str">
        <f>IF(Rent_Roll[[#This Row],[Floor-
plan]]="studio",0,LEFT(Rent_Roll[[#This Row],[Floor-
plan]],1))</f>
        <v>2</v>
      </c>
      <c r="F132" s="162" cm="1">
        <f t="array" ref="F13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32" s="1336">
        <v>1099</v>
      </c>
      <c r="H132" s="722" t="s">
        <v>244</v>
      </c>
      <c r="I132" s="722"/>
      <c r="J132" s="1337" t="str" cm="1">
        <f t="array" ref="J13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32" s="1338">
        <v>44655</v>
      </c>
      <c r="L132" s="147">
        <v>45019</v>
      </c>
      <c r="M132" s="1339" cm="1">
        <f t="array" ref="M13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32" s="1337" t="str">
        <f>IF(OR(Rent_Roll[[#This Row],[MTM Fee]]="",Rent_Roll[[#This Row],[MTM Fee]]=0),"","MTM Lease")</f>
        <v/>
      </c>
      <c r="O132" s="1340">
        <f ca="1">IFERROR(IF(Rent_Roll[[#This Row],[Lease
Exp]]="","",DATEDIF($F$3,Rent_Roll[[#This Row],[Lease
Exp]],"m")+1),0)</f>
        <v>3</v>
      </c>
      <c r="P132" s="1341"/>
      <c r="Q132" s="1342" t="str" cm="1">
        <f t="array" ref="Q13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32" s="1343">
        <v>1460</v>
      </c>
      <c r="S132" s="723">
        <v>1325</v>
      </c>
      <c r="T132" s="723"/>
      <c r="U132" s="550">
        <f>Rent_Roll[[#This Row],[Lease
Rent]]+Rent_Roll[[#This Row],[Corp
Rent]]</f>
        <v>1325</v>
      </c>
      <c r="V132" s="1344">
        <f>IF(Rent_Roll[[#This Row],[Total In-Place
Rent]]=0,0,Rent_Roll[[#This Row],[Total In-Place
Rent]]-Rent_Roll[[#This Row],[Market
Rent]])</f>
        <v>-135</v>
      </c>
      <c r="W132" s="1343">
        <v>0</v>
      </c>
      <c r="X132" s="723"/>
      <c r="Y132" s="723"/>
      <c r="Z132" s="723"/>
      <c r="AA132" s="1345"/>
      <c r="AB132" s="723"/>
      <c r="AC132" s="723"/>
      <c r="AD132" s="723"/>
      <c r="AE132" s="723"/>
      <c r="AF132" s="723"/>
      <c r="AG132" s="147"/>
      <c r="AH132" s="147"/>
      <c r="AI132" s="1348" t="str">
        <f>IF(Rent_Roll[[#This Row],[Future
Lease Start]]="","",DATEDIF(Rent_Roll[[#This Row],[Future
Lease Start]],Rent_Roll[[#This Row],[Future
Lease Exp]],"m")+1)</f>
        <v/>
      </c>
      <c r="AJ132" s="1347"/>
    </row>
    <row r="133" spans="2:36" x14ac:dyDescent="0.2">
      <c r="B133" s="638"/>
      <c r="C133" s="638">
        <v>533</v>
      </c>
      <c r="D133" s="638" t="s">
        <v>868</v>
      </c>
      <c r="E133" s="162" t="str">
        <f>IF(Rent_Roll[[#This Row],[Floor-
plan]]="studio",0,LEFT(Rent_Roll[[#This Row],[Floor-
plan]],1))</f>
        <v>1</v>
      </c>
      <c r="F133" s="162" cm="1">
        <f t="array" ref="F13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33" s="1336">
        <v>1020</v>
      </c>
      <c r="H133" s="722" t="s">
        <v>244</v>
      </c>
      <c r="I133" s="722"/>
      <c r="J133" s="1337" t="str" cm="1">
        <f t="array" ref="J13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33" s="1338">
        <v>44802</v>
      </c>
      <c r="L133" s="147">
        <v>45166</v>
      </c>
      <c r="M133" s="1339" cm="1">
        <f t="array" ref="M13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33" s="1337" t="str">
        <f>IF(OR(Rent_Roll[[#This Row],[MTM Fee]]="",Rent_Roll[[#This Row],[MTM Fee]]=0),"","MTM Lease")</f>
        <v/>
      </c>
      <c r="O133" s="1340">
        <f ca="1">IFERROR(IF(Rent_Roll[[#This Row],[Lease
Exp]]="","",DATEDIF($F$3,Rent_Roll[[#This Row],[Lease
Exp]],"m")+1),0)</f>
        <v>8</v>
      </c>
      <c r="P133" s="1341"/>
      <c r="Q133" s="1342" t="str" cm="1">
        <f t="array" ref="Q13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33" s="1343">
        <v>1320</v>
      </c>
      <c r="S133" s="723">
        <v>1120</v>
      </c>
      <c r="T133" s="723"/>
      <c r="U133" s="550">
        <f>Rent_Roll[[#This Row],[Lease
Rent]]+Rent_Roll[[#This Row],[Corp
Rent]]</f>
        <v>1120</v>
      </c>
      <c r="V133" s="1344">
        <f>IF(Rent_Roll[[#This Row],[Total In-Place
Rent]]=0,0,Rent_Roll[[#This Row],[Total In-Place
Rent]]-Rent_Roll[[#This Row],[Market
Rent]])</f>
        <v>-200</v>
      </c>
      <c r="W133" s="1343">
        <v>0</v>
      </c>
      <c r="X133" s="723"/>
      <c r="Y133" s="723"/>
      <c r="Z133" s="723"/>
      <c r="AA133" s="1345"/>
      <c r="AB133" s="723"/>
      <c r="AC133" s="723"/>
      <c r="AD133" s="723"/>
      <c r="AE133" s="723"/>
      <c r="AF133" s="723"/>
      <c r="AG133" s="147"/>
      <c r="AH133" s="147"/>
      <c r="AI133" s="1348" t="str">
        <f>IF(Rent_Roll[[#This Row],[Future
Lease Start]]="","",DATEDIF(Rent_Roll[[#This Row],[Future
Lease Start]],Rent_Roll[[#This Row],[Future
Lease Exp]],"m")+1)</f>
        <v/>
      </c>
      <c r="AJ133" s="1347"/>
    </row>
    <row r="134" spans="2:36" x14ac:dyDescent="0.2">
      <c r="B134" s="638"/>
      <c r="C134" s="638">
        <v>534</v>
      </c>
      <c r="D134" s="638" t="s">
        <v>868</v>
      </c>
      <c r="E134" s="162" t="str">
        <f>IF(Rent_Roll[[#This Row],[Floor-
plan]]="studio",0,LEFT(Rent_Roll[[#This Row],[Floor-
plan]],1))</f>
        <v>1</v>
      </c>
      <c r="F134" s="162" cm="1">
        <f t="array" ref="F13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34" s="1336">
        <v>1020</v>
      </c>
      <c r="H134" s="722" t="s">
        <v>244</v>
      </c>
      <c r="I134" s="722"/>
      <c r="J134" s="1337" t="str" cm="1">
        <f t="array" ref="J13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34" s="1338">
        <v>44378</v>
      </c>
      <c r="L134" s="147">
        <v>44926</v>
      </c>
      <c r="M134" s="1339" cm="1">
        <f t="array" ref="M134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34" s="1337" t="str">
        <f>IF(OR(Rent_Roll[[#This Row],[MTM Fee]]="",Rent_Roll[[#This Row],[MTM Fee]]=0),"","MTM Lease")</f>
        <v/>
      </c>
      <c r="O134" s="1340">
        <f ca="1">IFERROR(IF(Rent_Roll[[#This Row],[Lease
Exp]]="","",DATEDIF($F$3,Rent_Roll[[#This Row],[Lease
Exp]],"m")+1),0)</f>
        <v>0</v>
      </c>
      <c r="P134" s="1341"/>
      <c r="Q134" s="1342" t="str" cm="1">
        <f t="array" ref="Q13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34" s="1343">
        <v>1300</v>
      </c>
      <c r="S134" s="723">
        <v>1135</v>
      </c>
      <c r="T134" s="723"/>
      <c r="U134" s="550">
        <f>Rent_Roll[[#This Row],[Lease
Rent]]+Rent_Roll[[#This Row],[Corp
Rent]]</f>
        <v>1135</v>
      </c>
      <c r="V134" s="1344">
        <f>IF(Rent_Roll[[#This Row],[Total In-Place
Rent]]=0,0,Rent_Roll[[#This Row],[Total In-Place
Rent]]-Rent_Roll[[#This Row],[Market
Rent]])</f>
        <v>-165</v>
      </c>
      <c r="W134" s="1343">
        <v>0</v>
      </c>
      <c r="X134" s="723"/>
      <c r="Y134" s="723"/>
      <c r="Z134" s="723"/>
      <c r="AA134" s="1345"/>
      <c r="AB134" s="723"/>
      <c r="AC134" s="723"/>
      <c r="AD134" s="723"/>
      <c r="AE134" s="723"/>
      <c r="AF134" s="723"/>
      <c r="AG134" s="147"/>
      <c r="AH134" s="147"/>
      <c r="AI134" s="1348" t="str">
        <f>IF(Rent_Roll[[#This Row],[Future
Lease Start]]="","",DATEDIF(Rent_Roll[[#This Row],[Future
Lease Start]],Rent_Roll[[#This Row],[Future
Lease Exp]],"m")+1)</f>
        <v/>
      </c>
      <c r="AJ134" s="1347"/>
    </row>
    <row r="135" spans="2:36" x14ac:dyDescent="0.2">
      <c r="B135" s="638"/>
      <c r="C135" s="638">
        <v>535</v>
      </c>
      <c r="D135" s="638" t="s">
        <v>868</v>
      </c>
      <c r="E135" s="162" t="str">
        <f>IF(Rent_Roll[[#This Row],[Floor-
plan]]="studio",0,LEFT(Rent_Roll[[#This Row],[Floor-
plan]],1))</f>
        <v>1</v>
      </c>
      <c r="F135" s="162" cm="1">
        <f t="array" ref="F13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35" s="1336">
        <v>1020</v>
      </c>
      <c r="H135" s="722" t="s">
        <v>244</v>
      </c>
      <c r="I135" s="722"/>
      <c r="J135" s="1337" t="str" cm="1">
        <f t="array" ref="J13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35" s="1338">
        <v>44631</v>
      </c>
      <c r="L135" s="147">
        <v>44995</v>
      </c>
      <c r="M135" s="1339" cm="1">
        <f t="array" ref="M13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35" s="1337" t="str">
        <f>IF(OR(Rent_Roll[[#This Row],[MTM Fee]]="",Rent_Roll[[#This Row],[MTM Fee]]=0),"","MTM Lease")</f>
        <v/>
      </c>
      <c r="O135" s="1340">
        <f ca="1">IFERROR(IF(Rent_Roll[[#This Row],[Lease
Exp]]="","",DATEDIF($F$3,Rent_Roll[[#This Row],[Lease
Exp]],"m")+1),0)</f>
        <v>2</v>
      </c>
      <c r="P135" s="1341"/>
      <c r="Q135" s="1342" t="str" cm="1">
        <f t="array" ref="Q13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35" s="1343">
        <v>1300</v>
      </c>
      <c r="S135" s="723">
        <v>1300</v>
      </c>
      <c r="T135" s="723"/>
      <c r="U135" s="550">
        <f>Rent_Roll[[#This Row],[Lease
Rent]]+Rent_Roll[[#This Row],[Corp
Rent]]</f>
        <v>1300</v>
      </c>
      <c r="V135" s="1344">
        <f>IF(Rent_Roll[[#This Row],[Total In-Place
Rent]]=0,0,Rent_Roll[[#This Row],[Total In-Place
Rent]]-Rent_Roll[[#This Row],[Market
Rent]])</f>
        <v>0</v>
      </c>
      <c r="W135" s="1343">
        <v>0</v>
      </c>
      <c r="X135" s="723"/>
      <c r="Y135" s="723"/>
      <c r="Z135" s="723"/>
      <c r="AA135" s="1345"/>
      <c r="AB135" s="723"/>
      <c r="AC135" s="723"/>
      <c r="AD135" s="723"/>
      <c r="AE135" s="723"/>
      <c r="AF135" s="723"/>
      <c r="AG135" s="147"/>
      <c r="AH135" s="147"/>
      <c r="AI135" s="1348" t="str">
        <f>IF(Rent_Roll[[#This Row],[Future
Lease Start]]="","",DATEDIF(Rent_Roll[[#This Row],[Future
Lease Start]],Rent_Roll[[#This Row],[Future
Lease Exp]],"m")+1)</f>
        <v/>
      </c>
      <c r="AJ135" s="1347"/>
    </row>
    <row r="136" spans="2:36" x14ac:dyDescent="0.2">
      <c r="B136" s="638"/>
      <c r="C136" s="638">
        <v>536</v>
      </c>
      <c r="D136" s="638" t="s">
        <v>868</v>
      </c>
      <c r="E136" s="162" t="str">
        <f>IF(Rent_Roll[[#This Row],[Floor-
plan]]="studio",0,LEFT(Rent_Roll[[#This Row],[Floor-
plan]],1))</f>
        <v>1</v>
      </c>
      <c r="F136" s="162" cm="1">
        <f t="array" ref="F13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36" s="1336">
        <v>1020</v>
      </c>
      <c r="H136" s="722" t="s">
        <v>244</v>
      </c>
      <c r="I136" s="722"/>
      <c r="J136" s="1337" t="str" cm="1">
        <f t="array" ref="J13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36" s="1338">
        <v>44579</v>
      </c>
      <c r="L136" s="147">
        <v>44943</v>
      </c>
      <c r="M136" s="1339" cm="1">
        <f t="array" ref="M13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36" s="1337" t="str">
        <f>IF(OR(Rent_Roll[[#This Row],[MTM Fee]]="",Rent_Roll[[#This Row],[MTM Fee]]=0),"","MTM Lease")</f>
        <v/>
      </c>
      <c r="O136" s="1340">
        <f ca="1">IFERROR(IF(Rent_Roll[[#This Row],[Lease
Exp]]="","",DATEDIF($F$3,Rent_Roll[[#This Row],[Lease
Exp]],"m")+1),0)</f>
        <v>0</v>
      </c>
      <c r="P136" s="1341">
        <v>44845</v>
      </c>
      <c r="Q136" s="1342" t="str" cm="1">
        <f t="array" ref="Q13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136" s="1343">
        <v>1320</v>
      </c>
      <c r="S136" s="723">
        <v>1250</v>
      </c>
      <c r="T136" s="723"/>
      <c r="U136" s="550">
        <f>Rent_Roll[[#This Row],[Lease
Rent]]+Rent_Roll[[#This Row],[Corp
Rent]]</f>
        <v>1250</v>
      </c>
      <c r="V136" s="1344">
        <f>IF(Rent_Roll[[#This Row],[Total In-Place
Rent]]=0,0,Rent_Roll[[#This Row],[Total In-Place
Rent]]-Rent_Roll[[#This Row],[Market
Rent]])</f>
        <v>-70</v>
      </c>
      <c r="W136" s="1343">
        <v>0</v>
      </c>
      <c r="X136" s="723"/>
      <c r="Y136" s="723"/>
      <c r="Z136" s="723"/>
      <c r="AA136" s="1345"/>
      <c r="AB136" s="723"/>
      <c r="AC136" s="723"/>
      <c r="AD136" s="723"/>
      <c r="AE136" s="723"/>
      <c r="AF136" s="723"/>
      <c r="AG136" s="147"/>
      <c r="AH136" s="147"/>
      <c r="AI136" s="1348" t="str">
        <f>IF(Rent_Roll[[#This Row],[Future
Lease Start]]="","",DATEDIF(Rent_Roll[[#This Row],[Future
Lease Start]],Rent_Roll[[#This Row],[Future
Lease Exp]],"m")+1)</f>
        <v/>
      </c>
      <c r="AJ136" s="1347"/>
    </row>
    <row r="137" spans="2:36" x14ac:dyDescent="0.2">
      <c r="B137" s="638"/>
      <c r="C137" s="638">
        <v>537</v>
      </c>
      <c r="D137" s="638" t="s">
        <v>870</v>
      </c>
      <c r="E137" s="162" t="str">
        <f>IF(Rent_Roll[[#This Row],[Floor-
plan]]="studio",0,LEFT(Rent_Roll[[#This Row],[Floor-
plan]],1))</f>
        <v>2</v>
      </c>
      <c r="F137" s="162" cm="1">
        <f t="array" ref="F13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37" s="1336">
        <v>1099</v>
      </c>
      <c r="H137" s="722" t="s">
        <v>244</v>
      </c>
      <c r="I137" s="722"/>
      <c r="J137" s="1337" t="str" cm="1">
        <f t="array" ref="J13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37" s="1338">
        <v>44702</v>
      </c>
      <c r="L137" s="147">
        <v>45097</v>
      </c>
      <c r="M137" s="1339" cm="1">
        <f t="array" ref="M137">_xlfn.IFS(Rent_Roll[[#This Row],[Lease
Exp]]="","",Rent_Roll[[#This Row],[MTM
Lease]]="MTM Lease","--",Rent_Roll[[#This Row],[Lease
Exp]]&gt;0,(DATEDIF(Rent_Roll[[#This Row],[Lease
Start]],Rent_Roll[[#This Row],[Lease
Exp]],"m")+1))</f>
        <v>13</v>
      </c>
      <c r="N137" s="1337" t="str">
        <f>IF(OR(Rent_Roll[[#This Row],[MTM Fee]]="",Rent_Roll[[#This Row],[MTM Fee]]=0),"","MTM Lease")</f>
        <v/>
      </c>
      <c r="O137" s="1340">
        <f ca="1">IFERROR(IF(Rent_Roll[[#This Row],[Lease
Exp]]="","",DATEDIF($F$3,Rent_Roll[[#This Row],[Lease
Exp]],"m")+1),0)</f>
        <v>5</v>
      </c>
      <c r="P137" s="1341"/>
      <c r="Q137" s="1342" t="str" cm="1">
        <f t="array" ref="Q13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37" s="1343">
        <v>1460</v>
      </c>
      <c r="S137" s="723">
        <v>1460</v>
      </c>
      <c r="T137" s="723"/>
      <c r="U137" s="550">
        <f>Rent_Roll[[#This Row],[Lease
Rent]]+Rent_Roll[[#This Row],[Corp
Rent]]</f>
        <v>1460</v>
      </c>
      <c r="V137" s="1344">
        <f>IF(Rent_Roll[[#This Row],[Total In-Place
Rent]]=0,0,Rent_Roll[[#This Row],[Total In-Place
Rent]]-Rent_Roll[[#This Row],[Market
Rent]])</f>
        <v>0</v>
      </c>
      <c r="W137" s="1343">
        <v>0</v>
      </c>
      <c r="X137" s="723"/>
      <c r="Y137" s="723"/>
      <c r="Z137" s="723"/>
      <c r="AA137" s="1345"/>
      <c r="AB137" s="723"/>
      <c r="AC137" s="723"/>
      <c r="AD137" s="723"/>
      <c r="AE137" s="723"/>
      <c r="AF137" s="723"/>
      <c r="AG137" s="147"/>
      <c r="AH137" s="147"/>
      <c r="AI137" s="1348" t="str">
        <f>IF(Rent_Roll[[#This Row],[Future
Lease Start]]="","",DATEDIF(Rent_Roll[[#This Row],[Future
Lease Start]],Rent_Roll[[#This Row],[Future
Lease Exp]],"m")+1)</f>
        <v/>
      </c>
      <c r="AJ137" s="1347"/>
    </row>
    <row r="138" spans="2:36" x14ac:dyDescent="0.2">
      <c r="B138" s="638"/>
      <c r="C138" s="638">
        <v>538</v>
      </c>
      <c r="D138" s="638" t="s">
        <v>870</v>
      </c>
      <c r="E138" s="162" t="str">
        <f>IF(Rent_Roll[[#This Row],[Floor-
plan]]="studio",0,LEFT(Rent_Roll[[#This Row],[Floor-
plan]],1))</f>
        <v>2</v>
      </c>
      <c r="F138" s="162" cm="1">
        <f t="array" ref="F13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38" s="1336">
        <v>1099</v>
      </c>
      <c r="H138" s="722" t="s">
        <v>244</v>
      </c>
      <c r="I138" s="722"/>
      <c r="J138" s="1337" t="str" cm="1">
        <f t="array" ref="J13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38" s="1338">
        <v>44723</v>
      </c>
      <c r="L138" s="147">
        <v>45117</v>
      </c>
      <c r="M138" s="1339" cm="1">
        <f t="array" ref="M138">_xlfn.IFS(Rent_Roll[[#This Row],[Lease
Exp]]="","",Rent_Roll[[#This Row],[MTM
Lease]]="MTM Lease","--",Rent_Roll[[#This Row],[Lease
Exp]]&gt;0,(DATEDIF(Rent_Roll[[#This Row],[Lease
Start]],Rent_Roll[[#This Row],[Lease
Exp]],"m")+1))</f>
        <v>13</v>
      </c>
      <c r="N138" s="1337" t="str">
        <f>IF(OR(Rent_Roll[[#This Row],[MTM Fee]]="",Rent_Roll[[#This Row],[MTM Fee]]=0),"","MTM Lease")</f>
        <v/>
      </c>
      <c r="O138" s="1340">
        <f ca="1">IFERROR(IF(Rent_Roll[[#This Row],[Lease
Exp]]="","",DATEDIF($F$3,Rent_Roll[[#This Row],[Lease
Exp]],"m")+1),0)</f>
        <v>6</v>
      </c>
      <c r="P138" s="1341"/>
      <c r="Q138" s="1342" t="str" cm="1">
        <f t="array" ref="Q13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38" s="1343">
        <v>1440</v>
      </c>
      <c r="S138" s="723">
        <v>1440</v>
      </c>
      <c r="T138" s="723"/>
      <c r="U138" s="550">
        <f>Rent_Roll[[#This Row],[Lease
Rent]]+Rent_Roll[[#This Row],[Corp
Rent]]</f>
        <v>1440</v>
      </c>
      <c r="V138" s="1344">
        <f>IF(Rent_Roll[[#This Row],[Total In-Place
Rent]]=0,0,Rent_Roll[[#This Row],[Total In-Place
Rent]]-Rent_Roll[[#This Row],[Market
Rent]])</f>
        <v>0</v>
      </c>
      <c r="W138" s="1343">
        <v>0</v>
      </c>
      <c r="X138" s="723"/>
      <c r="Y138" s="723"/>
      <c r="Z138" s="723"/>
      <c r="AA138" s="1345"/>
      <c r="AB138" s="723"/>
      <c r="AC138" s="723"/>
      <c r="AD138" s="723"/>
      <c r="AE138" s="723"/>
      <c r="AF138" s="723"/>
      <c r="AG138" s="147"/>
      <c r="AH138" s="147"/>
      <c r="AI138" s="1348" t="str">
        <f>IF(Rent_Roll[[#This Row],[Future
Lease Start]]="","",DATEDIF(Rent_Roll[[#This Row],[Future
Lease Start]],Rent_Roll[[#This Row],[Future
Lease Exp]],"m")+1)</f>
        <v/>
      </c>
      <c r="AJ138" s="1347"/>
    </row>
    <row r="139" spans="2:36" x14ac:dyDescent="0.2">
      <c r="B139" s="638"/>
      <c r="C139" s="638">
        <v>602</v>
      </c>
      <c r="D139" s="638" t="s">
        <v>866</v>
      </c>
      <c r="E139" s="162" t="str">
        <f>IF(Rent_Roll[[#This Row],[Floor-
plan]]="studio",0,LEFT(Rent_Roll[[#This Row],[Floor-
plan]],1))</f>
        <v>2</v>
      </c>
      <c r="F139" s="162" cm="1">
        <f t="array" ref="F13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39" s="1336">
        <v>1000</v>
      </c>
      <c r="H139" s="722" t="s">
        <v>244</v>
      </c>
      <c r="I139" s="722"/>
      <c r="J139" s="1337" t="str" cm="1">
        <f t="array" ref="J13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39" s="1338">
        <v>44716</v>
      </c>
      <c r="L139" s="147">
        <v>45080</v>
      </c>
      <c r="M139" s="1339" cm="1">
        <f t="array" ref="M13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39" s="1337" t="str">
        <f>IF(OR(Rent_Roll[[#This Row],[MTM Fee]]="",Rent_Roll[[#This Row],[MTM Fee]]=0),"","MTM Lease")</f>
        <v/>
      </c>
      <c r="O139" s="1340">
        <f ca="1">IFERROR(IF(Rent_Roll[[#This Row],[Lease
Exp]]="","",DATEDIF($F$3,Rent_Roll[[#This Row],[Lease
Exp]],"m")+1),0)</f>
        <v>5</v>
      </c>
      <c r="P139" s="1341"/>
      <c r="Q139" s="1342" t="str" cm="1">
        <f t="array" ref="Q13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39" s="1343">
        <v>1470</v>
      </c>
      <c r="S139" s="723">
        <v>1470</v>
      </c>
      <c r="T139" s="723"/>
      <c r="U139" s="550">
        <f>Rent_Roll[[#This Row],[Lease
Rent]]+Rent_Roll[[#This Row],[Corp
Rent]]</f>
        <v>1470</v>
      </c>
      <c r="V139" s="1344">
        <f>IF(Rent_Roll[[#This Row],[Total In-Place
Rent]]=0,0,Rent_Roll[[#This Row],[Total In-Place
Rent]]-Rent_Roll[[#This Row],[Market
Rent]])</f>
        <v>0</v>
      </c>
      <c r="W139" s="1343">
        <v>0</v>
      </c>
      <c r="X139" s="723"/>
      <c r="Y139" s="723"/>
      <c r="Z139" s="723"/>
      <c r="AA139" s="1345"/>
      <c r="AB139" s="723"/>
      <c r="AC139" s="723"/>
      <c r="AD139" s="723"/>
      <c r="AE139" s="723"/>
      <c r="AF139" s="723"/>
      <c r="AG139" s="147"/>
      <c r="AH139" s="147"/>
      <c r="AI139" s="1348" t="str">
        <f>IF(Rent_Roll[[#This Row],[Future
Lease Start]]="","",DATEDIF(Rent_Roll[[#This Row],[Future
Lease Start]],Rent_Roll[[#This Row],[Future
Lease Exp]],"m")+1)</f>
        <v/>
      </c>
      <c r="AJ139" s="1347"/>
    </row>
    <row r="140" spans="2:36" x14ac:dyDescent="0.2">
      <c r="B140" s="638"/>
      <c r="C140" s="638">
        <v>603</v>
      </c>
      <c r="D140" s="638" t="s">
        <v>868</v>
      </c>
      <c r="E140" s="162" t="str">
        <f>IF(Rent_Roll[[#This Row],[Floor-
plan]]="studio",0,LEFT(Rent_Roll[[#This Row],[Floor-
plan]],1))</f>
        <v>1</v>
      </c>
      <c r="F140" s="162" cm="1">
        <f t="array" ref="F14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40" s="1336">
        <v>804</v>
      </c>
      <c r="H140" s="722" t="s">
        <v>244</v>
      </c>
      <c r="I140" s="722"/>
      <c r="J140" s="1337" t="str" cm="1">
        <f t="array" ref="J14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40" s="1338">
        <v>44791</v>
      </c>
      <c r="L140" s="147">
        <v>45155</v>
      </c>
      <c r="M140" s="1339" cm="1">
        <f t="array" ref="M14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40" s="1337" t="str">
        <f>IF(OR(Rent_Roll[[#This Row],[MTM Fee]]="",Rent_Roll[[#This Row],[MTM Fee]]=0),"","MTM Lease")</f>
        <v/>
      </c>
      <c r="O140" s="1340">
        <f ca="1">IFERROR(IF(Rent_Roll[[#This Row],[Lease
Exp]]="","",DATEDIF($F$3,Rent_Roll[[#This Row],[Lease
Exp]],"m")+1),0)</f>
        <v>7</v>
      </c>
      <c r="P140" s="1341"/>
      <c r="Q140" s="1342" t="str" cm="1">
        <f t="array" ref="Q14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40" s="1343">
        <v>1160</v>
      </c>
      <c r="S140" s="723">
        <v>1025</v>
      </c>
      <c r="T140" s="723"/>
      <c r="U140" s="550">
        <f>Rent_Roll[[#This Row],[Lease
Rent]]+Rent_Roll[[#This Row],[Corp
Rent]]</f>
        <v>1025</v>
      </c>
      <c r="V140" s="1344">
        <f>IF(Rent_Roll[[#This Row],[Total In-Place
Rent]]=0,0,Rent_Roll[[#This Row],[Total In-Place
Rent]]-Rent_Roll[[#This Row],[Market
Rent]])</f>
        <v>-135</v>
      </c>
      <c r="W140" s="1343">
        <v>0</v>
      </c>
      <c r="X140" s="723"/>
      <c r="Y140" s="723"/>
      <c r="Z140" s="723"/>
      <c r="AA140" s="1345"/>
      <c r="AB140" s="723"/>
      <c r="AC140" s="723"/>
      <c r="AD140" s="723"/>
      <c r="AE140" s="723"/>
      <c r="AF140" s="723"/>
      <c r="AG140" s="147"/>
      <c r="AH140" s="147"/>
      <c r="AI140" s="1348" t="str">
        <f>IF(Rent_Roll[[#This Row],[Future
Lease Start]]="","",DATEDIF(Rent_Roll[[#This Row],[Future
Lease Start]],Rent_Roll[[#This Row],[Future
Lease Exp]],"m")+1)</f>
        <v/>
      </c>
      <c r="AJ140" s="1347"/>
    </row>
    <row r="141" spans="2:36" x14ac:dyDescent="0.2">
      <c r="B141" s="638"/>
      <c r="C141" s="638">
        <v>606</v>
      </c>
      <c r="D141" s="638" t="s">
        <v>868</v>
      </c>
      <c r="E141" s="162" t="str">
        <f>IF(Rent_Roll[[#This Row],[Floor-
plan]]="studio",0,LEFT(Rent_Roll[[#This Row],[Floor-
plan]],1))</f>
        <v>1</v>
      </c>
      <c r="F141" s="162" cm="1">
        <f t="array" ref="F14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41" s="1336">
        <v>804</v>
      </c>
      <c r="H141" s="722" t="s">
        <v>244</v>
      </c>
      <c r="I141" s="722"/>
      <c r="J141" s="1337" t="str" cm="1">
        <f t="array" ref="J14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41" s="1338">
        <v>44470</v>
      </c>
      <c r="L141" s="147">
        <v>44834</v>
      </c>
      <c r="M141" s="1339" cm="1">
        <f t="array" ref="M14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41" s="1337" t="str">
        <f>IF(OR(Rent_Roll[[#This Row],[MTM Fee]]="",Rent_Roll[[#This Row],[MTM Fee]]=0),"","MTM Lease")</f>
        <v/>
      </c>
      <c r="O141" s="1340">
        <f ca="1">IFERROR(IF(Rent_Roll[[#This Row],[Lease
Exp]]="","",DATEDIF($F$3,Rent_Roll[[#This Row],[Lease
Exp]],"m")+1),0)</f>
        <v>0</v>
      </c>
      <c r="P141" s="1341"/>
      <c r="Q141" s="1342" t="str" cm="1">
        <f t="array" ref="Q14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41" s="1343">
        <v>1160</v>
      </c>
      <c r="S141" s="723">
        <v>1045</v>
      </c>
      <c r="T141" s="723"/>
      <c r="U141" s="550">
        <f>Rent_Roll[[#This Row],[Lease
Rent]]+Rent_Roll[[#This Row],[Corp
Rent]]</f>
        <v>1045</v>
      </c>
      <c r="V141" s="1344">
        <f>IF(Rent_Roll[[#This Row],[Total In-Place
Rent]]=0,0,Rent_Roll[[#This Row],[Total In-Place
Rent]]-Rent_Roll[[#This Row],[Market
Rent]])</f>
        <v>-115</v>
      </c>
      <c r="W141" s="1343">
        <v>0</v>
      </c>
      <c r="X141" s="723"/>
      <c r="Y141" s="723"/>
      <c r="Z141" s="723"/>
      <c r="AA141" s="1345"/>
      <c r="AB141" s="723"/>
      <c r="AC141" s="723"/>
      <c r="AD141" s="723"/>
      <c r="AE141" s="723"/>
      <c r="AF141" s="723"/>
      <c r="AG141" s="147"/>
      <c r="AH141" s="147"/>
      <c r="AI141" s="1348" t="str">
        <f>IF(Rent_Roll[[#This Row],[Future
Lease Start]]="","",DATEDIF(Rent_Roll[[#This Row],[Future
Lease Start]],Rent_Roll[[#This Row],[Future
Lease Exp]],"m")+1)</f>
        <v/>
      </c>
      <c r="AJ141" s="1347"/>
    </row>
    <row r="142" spans="2:36" x14ac:dyDescent="0.2">
      <c r="B142" s="638"/>
      <c r="C142" s="638">
        <v>607</v>
      </c>
      <c r="D142" s="638" t="s">
        <v>866</v>
      </c>
      <c r="E142" s="162" t="str">
        <f>IF(Rent_Roll[[#This Row],[Floor-
plan]]="studio",0,LEFT(Rent_Roll[[#This Row],[Floor-
plan]],1))</f>
        <v>2</v>
      </c>
      <c r="F142" s="162" cm="1">
        <f t="array" ref="F14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42" s="1336">
        <v>1000</v>
      </c>
      <c r="H142" s="722" t="s">
        <v>244</v>
      </c>
      <c r="I142" s="722"/>
      <c r="J142" s="1337" t="str" cm="1">
        <f t="array" ref="J14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42" s="1338">
        <v>44788</v>
      </c>
      <c r="L142" s="147">
        <v>45152</v>
      </c>
      <c r="M142" s="1339" cm="1">
        <f t="array" ref="M14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42" s="1337" t="str">
        <f>IF(OR(Rent_Roll[[#This Row],[MTM Fee]]="",Rent_Roll[[#This Row],[MTM Fee]]=0),"","MTM Lease")</f>
        <v/>
      </c>
      <c r="O142" s="1340">
        <f ca="1">IFERROR(IF(Rent_Roll[[#This Row],[Lease
Exp]]="","",DATEDIF($F$3,Rent_Roll[[#This Row],[Lease
Exp]],"m")+1),0)</f>
        <v>7</v>
      </c>
      <c r="P142" s="1341"/>
      <c r="Q142" s="1342" t="str" cm="1">
        <f t="array" ref="Q14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42" s="1343">
        <v>1370</v>
      </c>
      <c r="S142" s="723">
        <v>1260</v>
      </c>
      <c r="T142" s="723"/>
      <c r="U142" s="550">
        <f>Rent_Roll[[#This Row],[Lease
Rent]]+Rent_Roll[[#This Row],[Corp
Rent]]</f>
        <v>1260</v>
      </c>
      <c r="V142" s="1344">
        <f>IF(Rent_Roll[[#This Row],[Total In-Place
Rent]]=0,0,Rent_Roll[[#This Row],[Total In-Place
Rent]]-Rent_Roll[[#This Row],[Market
Rent]])</f>
        <v>-110</v>
      </c>
      <c r="W142" s="1343">
        <v>0</v>
      </c>
      <c r="X142" s="723"/>
      <c r="Y142" s="723"/>
      <c r="Z142" s="723"/>
      <c r="AA142" s="1345"/>
      <c r="AB142" s="723"/>
      <c r="AC142" s="723"/>
      <c r="AD142" s="723"/>
      <c r="AE142" s="723"/>
      <c r="AF142" s="723"/>
      <c r="AG142" s="147"/>
      <c r="AH142" s="147"/>
      <c r="AI142" s="1348" t="str">
        <f>IF(Rent_Roll[[#This Row],[Future
Lease Start]]="","",DATEDIF(Rent_Roll[[#This Row],[Future
Lease Start]],Rent_Roll[[#This Row],[Future
Lease Exp]],"m")+1)</f>
        <v/>
      </c>
      <c r="AJ142" s="1347"/>
    </row>
    <row r="143" spans="2:36" x14ac:dyDescent="0.2">
      <c r="B143" s="638"/>
      <c r="C143" s="638">
        <v>611</v>
      </c>
      <c r="D143" s="638" t="s">
        <v>866</v>
      </c>
      <c r="E143" s="162" t="str">
        <f>IF(Rent_Roll[[#This Row],[Floor-
plan]]="studio",0,LEFT(Rent_Roll[[#This Row],[Floor-
plan]],1))</f>
        <v>2</v>
      </c>
      <c r="F143" s="162" cm="1">
        <f t="array" ref="F14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43" s="1336">
        <v>1000</v>
      </c>
      <c r="H143" s="722" t="s">
        <v>245</v>
      </c>
      <c r="I143" s="722"/>
      <c r="J143" s="1337" t="str" cm="1">
        <f t="array" ref="J14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43" s="1338" t="s">
        <v>873</v>
      </c>
      <c r="L143" s="147" t="s">
        <v>873</v>
      </c>
      <c r="M143" s="1339" t="str" cm="1">
        <f t="array" ref="M143">_xlfn.IFS(Rent_Roll[[#This Row],[Lease
Exp]]="","",Rent_Roll[[#This Row],[MTM
Lease]]="MTM Lease","--",Rent_Roll[[#This Row],[Lease
Exp]]&gt;0,(DATEDIF(Rent_Roll[[#This Row],[Lease
Start]],Rent_Roll[[#This Row],[Lease
Exp]],"m")+1))</f>
        <v/>
      </c>
      <c r="N143" s="1337" t="str">
        <f>IF(OR(Rent_Roll[[#This Row],[MTM Fee]]="",Rent_Roll[[#This Row],[MTM Fee]]=0),"","MTM Lease")</f>
        <v/>
      </c>
      <c r="O143" s="1340" t="str">
        <f>IFERROR(IF(Rent_Roll[[#This Row],[Lease
Exp]]="","",DATEDIF($F$3,Rent_Roll[[#This Row],[Lease
Exp]],"m")+1),0)</f>
        <v/>
      </c>
      <c r="P143" s="1341"/>
      <c r="Q143" s="1342" t="str" cm="1">
        <f t="array" ref="Q14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43" s="1343">
        <v>1380</v>
      </c>
      <c r="S143" s="723">
        <v>0</v>
      </c>
      <c r="T143" s="723"/>
      <c r="U143" s="550">
        <f>Rent_Roll[[#This Row],[Lease
Rent]]+Rent_Roll[[#This Row],[Corp
Rent]]</f>
        <v>0</v>
      </c>
      <c r="V143" s="1344">
        <f>IF(Rent_Roll[[#This Row],[Total In-Place
Rent]]=0,0,Rent_Roll[[#This Row],[Total In-Place
Rent]]-Rent_Roll[[#This Row],[Market
Rent]])</f>
        <v>0</v>
      </c>
      <c r="W143" s="1343">
        <v>0</v>
      </c>
      <c r="X143" s="723"/>
      <c r="Y143" s="723"/>
      <c r="Z143" s="723"/>
      <c r="AA143" s="1345"/>
      <c r="AB143" s="723"/>
      <c r="AC143" s="723"/>
      <c r="AD143" s="723"/>
      <c r="AE143" s="723"/>
      <c r="AF143" s="723"/>
      <c r="AG143" s="147"/>
      <c r="AH143" s="147"/>
      <c r="AI143" s="1348" t="str">
        <f>IF(Rent_Roll[[#This Row],[Future
Lease Start]]="","",DATEDIF(Rent_Roll[[#This Row],[Future
Lease Start]],Rent_Roll[[#This Row],[Future
Lease Exp]],"m")+1)</f>
        <v/>
      </c>
      <c r="AJ143" s="1347"/>
    </row>
    <row r="144" spans="2:36" x14ac:dyDescent="0.2">
      <c r="B144" s="638"/>
      <c r="C144" s="638">
        <v>612</v>
      </c>
      <c r="D144" s="638" t="s">
        <v>866</v>
      </c>
      <c r="E144" s="162" t="str">
        <f>IF(Rent_Roll[[#This Row],[Floor-
plan]]="studio",0,LEFT(Rent_Roll[[#This Row],[Floor-
plan]],1))</f>
        <v>2</v>
      </c>
      <c r="F144" s="162" cm="1">
        <f t="array" ref="F14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44" s="1336">
        <v>1000</v>
      </c>
      <c r="H144" s="722" t="s">
        <v>244</v>
      </c>
      <c r="I144" s="722"/>
      <c r="J144" s="1337" t="str" cm="1">
        <f t="array" ref="J14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44" s="1338">
        <v>44644</v>
      </c>
      <c r="L144" s="147">
        <v>45008</v>
      </c>
      <c r="M144" s="1339" cm="1">
        <f t="array" ref="M14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44" s="1337" t="str">
        <f>IF(OR(Rent_Roll[[#This Row],[MTM Fee]]="",Rent_Roll[[#This Row],[MTM Fee]]=0),"","MTM Lease")</f>
        <v/>
      </c>
      <c r="O144" s="1340">
        <f ca="1">IFERROR(IF(Rent_Roll[[#This Row],[Lease
Exp]]="","",DATEDIF($F$3,Rent_Roll[[#This Row],[Lease
Exp]],"m")+1),0)</f>
        <v>2</v>
      </c>
      <c r="P144" s="1341"/>
      <c r="Q144" s="1342" t="str" cm="1">
        <f t="array" ref="Q14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44" s="1343">
        <v>1380</v>
      </c>
      <c r="S144" s="723">
        <v>1340</v>
      </c>
      <c r="T144" s="723"/>
      <c r="U144" s="550">
        <f>Rent_Roll[[#This Row],[Lease
Rent]]+Rent_Roll[[#This Row],[Corp
Rent]]</f>
        <v>1340</v>
      </c>
      <c r="V144" s="1344">
        <f>IF(Rent_Roll[[#This Row],[Total In-Place
Rent]]=0,0,Rent_Roll[[#This Row],[Total In-Place
Rent]]-Rent_Roll[[#This Row],[Market
Rent]])</f>
        <v>-40</v>
      </c>
      <c r="W144" s="1343">
        <v>0</v>
      </c>
      <c r="X144" s="723"/>
      <c r="Y144" s="723"/>
      <c r="Z144" s="723"/>
      <c r="AA144" s="1345"/>
      <c r="AB144" s="723"/>
      <c r="AC144" s="723"/>
      <c r="AD144" s="723"/>
      <c r="AE144" s="723"/>
      <c r="AF144" s="723"/>
      <c r="AG144" s="147"/>
      <c r="AH144" s="147"/>
      <c r="AI144" s="1348" t="str">
        <f>IF(Rent_Roll[[#This Row],[Future
Lease Start]]="","",DATEDIF(Rent_Roll[[#This Row],[Future
Lease Start]],Rent_Roll[[#This Row],[Future
Lease Exp]],"m")+1)</f>
        <v/>
      </c>
      <c r="AJ144" s="1347"/>
    </row>
    <row r="145" spans="2:36" x14ac:dyDescent="0.2">
      <c r="B145" s="638"/>
      <c r="C145" s="638">
        <v>613</v>
      </c>
      <c r="D145" s="638" t="s">
        <v>868</v>
      </c>
      <c r="E145" s="162" t="str">
        <f>IF(Rent_Roll[[#This Row],[Floor-
plan]]="studio",0,LEFT(Rent_Roll[[#This Row],[Floor-
plan]],1))</f>
        <v>1</v>
      </c>
      <c r="F145" s="162" cm="1">
        <f t="array" ref="F14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45" s="1336">
        <v>804</v>
      </c>
      <c r="H145" s="722" t="s">
        <v>244</v>
      </c>
      <c r="I145" s="722"/>
      <c r="J145" s="1337" t="str" cm="1">
        <f t="array" ref="J14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45" s="1338">
        <v>44736</v>
      </c>
      <c r="L145" s="147">
        <v>45100</v>
      </c>
      <c r="M145" s="1339" cm="1">
        <f t="array" ref="M14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45" s="1337" t="str">
        <f>IF(OR(Rent_Roll[[#This Row],[MTM Fee]]="",Rent_Roll[[#This Row],[MTM Fee]]=0),"","MTM Lease")</f>
        <v/>
      </c>
      <c r="O145" s="1340">
        <f ca="1">IFERROR(IF(Rent_Roll[[#This Row],[Lease
Exp]]="","",DATEDIF($F$3,Rent_Roll[[#This Row],[Lease
Exp]],"m")+1),0)</f>
        <v>5</v>
      </c>
      <c r="P145" s="1341"/>
      <c r="Q145" s="1342" t="str" cm="1">
        <f t="array" ref="Q14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45" s="1343">
        <v>1170</v>
      </c>
      <c r="S145" s="723">
        <v>905</v>
      </c>
      <c r="T145" s="723"/>
      <c r="U145" s="550">
        <f>Rent_Roll[[#This Row],[Lease
Rent]]+Rent_Roll[[#This Row],[Corp
Rent]]</f>
        <v>905</v>
      </c>
      <c r="V145" s="1344">
        <f>IF(Rent_Roll[[#This Row],[Total In-Place
Rent]]=0,0,Rent_Roll[[#This Row],[Total In-Place
Rent]]-Rent_Roll[[#This Row],[Market
Rent]])</f>
        <v>-265</v>
      </c>
      <c r="W145" s="1343">
        <v>0</v>
      </c>
      <c r="X145" s="723"/>
      <c r="Y145" s="723"/>
      <c r="Z145" s="723"/>
      <c r="AA145" s="1345"/>
      <c r="AB145" s="723"/>
      <c r="AC145" s="723"/>
      <c r="AD145" s="723"/>
      <c r="AE145" s="723"/>
      <c r="AF145" s="723"/>
      <c r="AG145" s="147"/>
      <c r="AH145" s="147"/>
      <c r="AI145" s="1348" t="str">
        <f>IF(Rent_Roll[[#This Row],[Future
Lease Start]]="","",DATEDIF(Rent_Roll[[#This Row],[Future
Lease Start]],Rent_Roll[[#This Row],[Future
Lease Exp]],"m")+1)</f>
        <v/>
      </c>
      <c r="AJ145" s="1347"/>
    </row>
    <row r="146" spans="2:36" x14ac:dyDescent="0.2">
      <c r="B146" s="638"/>
      <c r="C146" s="638">
        <v>614</v>
      </c>
      <c r="D146" s="638" t="s">
        <v>868</v>
      </c>
      <c r="E146" s="162" t="str">
        <f>IF(Rent_Roll[[#This Row],[Floor-
plan]]="studio",0,LEFT(Rent_Roll[[#This Row],[Floor-
plan]],1))</f>
        <v>1</v>
      </c>
      <c r="F146" s="162" cm="1">
        <f t="array" ref="F14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46" s="1336">
        <v>804</v>
      </c>
      <c r="H146" s="722" t="s">
        <v>244</v>
      </c>
      <c r="I146" s="722"/>
      <c r="J146" s="1337" t="str" cm="1">
        <f t="array" ref="J14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46" s="1338">
        <v>44671</v>
      </c>
      <c r="L146" s="147" t="s">
        <v>873</v>
      </c>
      <c r="M146" s="1339" t="str" cm="1">
        <f t="array" ref="M146">_xlfn.IFS(Rent_Roll[[#This Row],[Lease
Exp]]="","",Rent_Roll[[#This Row],[MTM
Lease]]="MTM Lease","--",Rent_Roll[[#This Row],[Lease
Exp]]&gt;0,(DATEDIF(Rent_Roll[[#This Row],[Lease
Start]],Rent_Roll[[#This Row],[Lease
Exp]],"m")+1))</f>
        <v/>
      </c>
      <c r="N146" s="1337" t="str">
        <f>IF(OR(Rent_Roll[[#This Row],[MTM Fee]]="",Rent_Roll[[#This Row],[MTM Fee]]=0),"","MTM Lease")</f>
        <v>MTM Lease</v>
      </c>
      <c r="O146" s="1340" t="str">
        <f>IFERROR(IF(Rent_Roll[[#This Row],[Lease
Exp]]="","",DATEDIF($F$3,Rent_Roll[[#This Row],[Lease
Exp]],"m")+1),0)</f>
        <v/>
      </c>
      <c r="P146" s="1341"/>
      <c r="Q146" s="1342" t="str" cm="1">
        <f t="array" ref="Q14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46" s="1343">
        <v>1170</v>
      </c>
      <c r="S146" s="723">
        <v>1130</v>
      </c>
      <c r="T146" s="723"/>
      <c r="U146" s="550">
        <f>Rent_Roll[[#This Row],[Lease
Rent]]+Rent_Roll[[#This Row],[Corp
Rent]]</f>
        <v>1130</v>
      </c>
      <c r="V146" s="1344">
        <f>IF(Rent_Roll[[#This Row],[Total In-Place
Rent]]=0,0,Rent_Roll[[#This Row],[Total In-Place
Rent]]-Rent_Roll[[#This Row],[Market
Rent]])</f>
        <v>-40</v>
      </c>
      <c r="W146" s="1343">
        <v>200</v>
      </c>
      <c r="X146" s="723"/>
      <c r="Y146" s="723"/>
      <c r="Z146" s="723"/>
      <c r="AA146" s="1345"/>
      <c r="AB146" s="723"/>
      <c r="AC146" s="723"/>
      <c r="AD146" s="723"/>
      <c r="AE146" s="723"/>
      <c r="AF146" s="723"/>
      <c r="AG146" s="147"/>
      <c r="AH146" s="147"/>
      <c r="AI146" s="1348" t="str">
        <f>IF(Rent_Roll[[#This Row],[Future
Lease Start]]="","",DATEDIF(Rent_Roll[[#This Row],[Future
Lease Start]],Rent_Roll[[#This Row],[Future
Lease Exp]],"m")+1)</f>
        <v/>
      </c>
      <c r="AJ146" s="1347"/>
    </row>
    <row r="147" spans="2:36" x14ac:dyDescent="0.2">
      <c r="B147" s="638"/>
      <c r="C147" s="638">
        <v>615</v>
      </c>
      <c r="D147" s="638" t="s">
        <v>868</v>
      </c>
      <c r="E147" s="162" t="str">
        <f>IF(Rent_Roll[[#This Row],[Floor-
plan]]="studio",0,LEFT(Rent_Roll[[#This Row],[Floor-
plan]],1))</f>
        <v>1</v>
      </c>
      <c r="F147" s="162" cm="1">
        <f t="array" ref="F14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47" s="1336">
        <v>804</v>
      </c>
      <c r="H147" s="722" t="s">
        <v>244</v>
      </c>
      <c r="I147" s="722"/>
      <c r="J147" s="1337" t="str" cm="1">
        <f t="array" ref="J14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47" s="1338">
        <v>44449</v>
      </c>
      <c r="L147" s="147">
        <v>44994</v>
      </c>
      <c r="M147" s="1339" cm="1">
        <f t="array" ref="M147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47" s="1337" t="str">
        <f>IF(OR(Rent_Roll[[#This Row],[MTM Fee]]="",Rent_Roll[[#This Row],[MTM Fee]]=0),"","MTM Lease")</f>
        <v/>
      </c>
      <c r="O147" s="1340">
        <f ca="1">IFERROR(IF(Rent_Roll[[#This Row],[Lease
Exp]]="","",DATEDIF($F$3,Rent_Roll[[#This Row],[Lease
Exp]],"m")+1),0)</f>
        <v>2</v>
      </c>
      <c r="P147" s="1341"/>
      <c r="Q147" s="1342" t="str" cm="1">
        <f t="array" ref="Q14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47" s="1343">
        <v>1170</v>
      </c>
      <c r="S147" s="723">
        <v>1045</v>
      </c>
      <c r="T147" s="723"/>
      <c r="U147" s="550">
        <f>Rent_Roll[[#This Row],[Lease
Rent]]+Rent_Roll[[#This Row],[Corp
Rent]]</f>
        <v>1045</v>
      </c>
      <c r="V147" s="1344">
        <f>IF(Rent_Roll[[#This Row],[Total In-Place
Rent]]=0,0,Rent_Roll[[#This Row],[Total In-Place
Rent]]-Rent_Roll[[#This Row],[Market
Rent]])</f>
        <v>-125</v>
      </c>
      <c r="W147" s="1343">
        <v>0</v>
      </c>
      <c r="X147" s="723"/>
      <c r="Y147" s="723"/>
      <c r="Z147" s="723"/>
      <c r="AA147" s="1345"/>
      <c r="AB147" s="723"/>
      <c r="AC147" s="723"/>
      <c r="AD147" s="723"/>
      <c r="AE147" s="723"/>
      <c r="AF147" s="723"/>
      <c r="AG147" s="147"/>
      <c r="AH147" s="147"/>
      <c r="AI147" s="1348" t="str">
        <f>IF(Rent_Roll[[#This Row],[Future
Lease Start]]="","",DATEDIF(Rent_Roll[[#This Row],[Future
Lease Start]],Rent_Roll[[#This Row],[Future
Lease Exp]],"m")+1)</f>
        <v/>
      </c>
      <c r="AJ147" s="1347"/>
    </row>
    <row r="148" spans="2:36" x14ac:dyDescent="0.2">
      <c r="B148" s="638"/>
      <c r="C148" s="638">
        <v>616</v>
      </c>
      <c r="D148" s="638" t="s">
        <v>868</v>
      </c>
      <c r="E148" s="162" t="str">
        <f>IF(Rent_Roll[[#This Row],[Floor-
plan]]="studio",0,LEFT(Rent_Roll[[#This Row],[Floor-
plan]],1))</f>
        <v>1</v>
      </c>
      <c r="F148" s="162" cm="1">
        <f t="array" ref="F14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48" s="1336">
        <v>804</v>
      </c>
      <c r="H148" s="722" t="s">
        <v>244</v>
      </c>
      <c r="I148" s="722"/>
      <c r="J148" s="1337" t="str" cm="1">
        <f t="array" ref="J14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48" s="1338">
        <v>44637</v>
      </c>
      <c r="L148" s="147">
        <v>45001</v>
      </c>
      <c r="M148" s="1339" cm="1">
        <f t="array" ref="M14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48" s="1337" t="str">
        <f>IF(OR(Rent_Roll[[#This Row],[MTM Fee]]="",Rent_Roll[[#This Row],[MTM Fee]]=0),"","MTM Lease")</f>
        <v/>
      </c>
      <c r="O148" s="1340">
        <f ca="1">IFERROR(IF(Rent_Roll[[#This Row],[Lease
Exp]]="","",DATEDIF($F$3,Rent_Roll[[#This Row],[Lease
Exp]],"m")+1),0)</f>
        <v>2</v>
      </c>
      <c r="P148" s="1341"/>
      <c r="Q148" s="1342" t="str" cm="1">
        <f t="array" ref="Q14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48" s="1343">
        <v>1170</v>
      </c>
      <c r="S148" s="723">
        <v>1170</v>
      </c>
      <c r="T148" s="723"/>
      <c r="U148" s="550">
        <f>Rent_Roll[[#This Row],[Lease
Rent]]+Rent_Roll[[#This Row],[Corp
Rent]]</f>
        <v>1170</v>
      </c>
      <c r="V148" s="1344">
        <f>IF(Rent_Roll[[#This Row],[Total In-Place
Rent]]=0,0,Rent_Roll[[#This Row],[Total In-Place
Rent]]-Rent_Roll[[#This Row],[Market
Rent]])</f>
        <v>0</v>
      </c>
      <c r="W148" s="1343">
        <v>0</v>
      </c>
      <c r="X148" s="723"/>
      <c r="Y148" s="723"/>
      <c r="Z148" s="723"/>
      <c r="AA148" s="1345"/>
      <c r="AB148" s="723"/>
      <c r="AC148" s="723"/>
      <c r="AD148" s="723"/>
      <c r="AE148" s="723"/>
      <c r="AF148" s="723"/>
      <c r="AG148" s="147"/>
      <c r="AH148" s="147"/>
      <c r="AI148" s="1348" t="str">
        <f>IF(Rent_Roll[[#This Row],[Future
Lease Start]]="","",DATEDIF(Rent_Roll[[#This Row],[Future
Lease Start]],Rent_Roll[[#This Row],[Future
Lease Exp]],"m")+1)</f>
        <v/>
      </c>
      <c r="AJ148" s="1347"/>
    </row>
    <row r="149" spans="2:36" x14ac:dyDescent="0.2">
      <c r="B149" s="638"/>
      <c r="C149" s="638">
        <v>617</v>
      </c>
      <c r="D149" s="638" t="s">
        <v>866</v>
      </c>
      <c r="E149" s="162" t="str">
        <f>IF(Rent_Roll[[#This Row],[Floor-
plan]]="studio",0,LEFT(Rent_Roll[[#This Row],[Floor-
plan]],1))</f>
        <v>2</v>
      </c>
      <c r="F149" s="162" cm="1">
        <f t="array" ref="F14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49" s="1336">
        <v>1000</v>
      </c>
      <c r="H149" s="722" t="s">
        <v>244</v>
      </c>
      <c r="I149" s="722"/>
      <c r="J149" s="1337" t="str" cm="1">
        <f t="array" ref="J14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49" s="1338">
        <v>44645</v>
      </c>
      <c r="L149" s="147">
        <v>45009</v>
      </c>
      <c r="M149" s="1339" cm="1">
        <f t="array" ref="M14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49" s="1337" t="str">
        <f>IF(OR(Rent_Roll[[#This Row],[MTM Fee]]="",Rent_Roll[[#This Row],[MTM Fee]]=0),"","MTM Lease")</f>
        <v/>
      </c>
      <c r="O149" s="1340">
        <f ca="1">IFERROR(IF(Rent_Roll[[#This Row],[Lease
Exp]]="","",DATEDIF($F$3,Rent_Roll[[#This Row],[Lease
Exp]],"m")+1),0)</f>
        <v>2</v>
      </c>
      <c r="P149" s="1341"/>
      <c r="Q149" s="1342" t="str" cm="1">
        <f t="array" ref="Q14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49" s="1343">
        <v>1380</v>
      </c>
      <c r="S149" s="723">
        <v>1380</v>
      </c>
      <c r="T149" s="723"/>
      <c r="U149" s="550">
        <f>Rent_Roll[[#This Row],[Lease
Rent]]+Rent_Roll[[#This Row],[Corp
Rent]]</f>
        <v>1380</v>
      </c>
      <c r="V149" s="1344">
        <f>IF(Rent_Roll[[#This Row],[Total In-Place
Rent]]=0,0,Rent_Roll[[#This Row],[Total In-Place
Rent]]-Rent_Roll[[#This Row],[Market
Rent]])</f>
        <v>0</v>
      </c>
      <c r="W149" s="1343">
        <v>0</v>
      </c>
      <c r="X149" s="723"/>
      <c r="Y149" s="723"/>
      <c r="Z149" s="723"/>
      <c r="AA149" s="1345"/>
      <c r="AB149" s="723"/>
      <c r="AC149" s="723"/>
      <c r="AD149" s="723"/>
      <c r="AE149" s="723"/>
      <c r="AF149" s="723"/>
      <c r="AG149" s="147"/>
      <c r="AH149" s="147"/>
      <c r="AI149" s="1348" t="str">
        <f>IF(Rent_Roll[[#This Row],[Future
Lease Start]]="","",DATEDIF(Rent_Roll[[#This Row],[Future
Lease Start]],Rent_Roll[[#This Row],[Future
Lease Exp]],"m")+1)</f>
        <v/>
      </c>
      <c r="AJ149" s="1347"/>
    </row>
    <row r="150" spans="2:36" x14ac:dyDescent="0.2">
      <c r="B150" s="638"/>
      <c r="C150" s="638">
        <v>618</v>
      </c>
      <c r="D150" s="638" t="s">
        <v>866</v>
      </c>
      <c r="E150" s="162" t="str">
        <f>IF(Rent_Roll[[#This Row],[Floor-
plan]]="studio",0,LEFT(Rent_Roll[[#This Row],[Floor-
plan]],1))</f>
        <v>2</v>
      </c>
      <c r="F150" s="162" cm="1">
        <f t="array" ref="F15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50" s="1336">
        <v>1000</v>
      </c>
      <c r="H150" s="722" t="s">
        <v>244</v>
      </c>
      <c r="I150" s="722"/>
      <c r="J150" s="1337" t="str" cm="1">
        <f t="array" ref="J15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50" s="1338">
        <v>44539</v>
      </c>
      <c r="L150" s="147">
        <v>44903</v>
      </c>
      <c r="M150" s="1339" cm="1">
        <f t="array" ref="M15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50" s="1337" t="str">
        <f>IF(OR(Rent_Roll[[#This Row],[MTM Fee]]="",Rent_Roll[[#This Row],[MTM Fee]]=0),"","MTM Lease")</f>
        <v/>
      </c>
      <c r="O150" s="1340">
        <f ca="1">IFERROR(IF(Rent_Roll[[#This Row],[Lease
Exp]]="","",DATEDIF($F$3,Rent_Roll[[#This Row],[Lease
Exp]],"m")+1),0)</f>
        <v>0</v>
      </c>
      <c r="P150" s="1341"/>
      <c r="Q150" s="1342" t="str" cm="1">
        <f t="array" ref="Q15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50" s="1343">
        <v>1380</v>
      </c>
      <c r="S150" s="723">
        <v>1170</v>
      </c>
      <c r="T150" s="723"/>
      <c r="U150" s="550">
        <f>Rent_Roll[[#This Row],[Lease
Rent]]+Rent_Roll[[#This Row],[Corp
Rent]]</f>
        <v>1170</v>
      </c>
      <c r="V150" s="1344">
        <f>IF(Rent_Roll[[#This Row],[Total In-Place
Rent]]=0,0,Rent_Roll[[#This Row],[Total In-Place
Rent]]-Rent_Roll[[#This Row],[Market
Rent]])</f>
        <v>-210</v>
      </c>
      <c r="W150" s="1343">
        <v>0</v>
      </c>
      <c r="X150" s="723"/>
      <c r="Y150" s="723"/>
      <c r="Z150" s="723"/>
      <c r="AA150" s="1345"/>
      <c r="AB150" s="723"/>
      <c r="AC150" s="723"/>
      <c r="AD150" s="723"/>
      <c r="AE150" s="723"/>
      <c r="AF150" s="723"/>
      <c r="AG150" s="147"/>
      <c r="AH150" s="147"/>
      <c r="AI150" s="1348" t="str">
        <f>IF(Rent_Roll[[#This Row],[Future
Lease Start]]="","",DATEDIF(Rent_Roll[[#This Row],[Future
Lease Start]],Rent_Roll[[#This Row],[Future
Lease Exp]],"m")+1)</f>
        <v/>
      </c>
      <c r="AJ150" s="1347"/>
    </row>
    <row r="151" spans="2:36" x14ac:dyDescent="0.2">
      <c r="B151" s="638"/>
      <c r="C151" s="638">
        <v>621</v>
      </c>
      <c r="D151" s="638" t="s">
        <v>866</v>
      </c>
      <c r="E151" s="162" t="str">
        <f>IF(Rent_Roll[[#This Row],[Floor-
plan]]="studio",0,LEFT(Rent_Roll[[#This Row],[Floor-
plan]],1))</f>
        <v>2</v>
      </c>
      <c r="F151" s="162" cm="1">
        <f t="array" ref="F15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51" s="1336">
        <v>1000</v>
      </c>
      <c r="H151" s="722" t="s">
        <v>244</v>
      </c>
      <c r="I151" s="722"/>
      <c r="J151" s="1337" t="str" cm="1">
        <f t="array" ref="J15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51" s="1338">
        <v>44588</v>
      </c>
      <c r="L151" s="147">
        <v>44952</v>
      </c>
      <c r="M151" s="1339" cm="1">
        <f t="array" ref="M15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51" s="1337" t="str">
        <f>IF(OR(Rent_Roll[[#This Row],[MTM Fee]]="",Rent_Roll[[#This Row],[MTM Fee]]=0),"","MTM Lease")</f>
        <v/>
      </c>
      <c r="O151" s="1340">
        <f ca="1">IFERROR(IF(Rent_Roll[[#This Row],[Lease
Exp]]="","",DATEDIF($F$3,Rent_Roll[[#This Row],[Lease
Exp]],"m")+1),0)</f>
        <v>1</v>
      </c>
      <c r="P151" s="1341"/>
      <c r="Q151" s="1342" t="str" cm="1">
        <f t="array" ref="Q15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51" s="1343">
        <v>1360</v>
      </c>
      <c r="S151" s="723">
        <v>1225</v>
      </c>
      <c r="T151" s="723"/>
      <c r="U151" s="550">
        <f>Rent_Roll[[#This Row],[Lease
Rent]]+Rent_Roll[[#This Row],[Corp
Rent]]</f>
        <v>1225</v>
      </c>
      <c r="V151" s="1344">
        <f>IF(Rent_Roll[[#This Row],[Total In-Place
Rent]]=0,0,Rent_Roll[[#This Row],[Total In-Place
Rent]]-Rent_Roll[[#This Row],[Market
Rent]])</f>
        <v>-135</v>
      </c>
      <c r="W151" s="1343">
        <v>0</v>
      </c>
      <c r="X151" s="723"/>
      <c r="Y151" s="723"/>
      <c r="Z151" s="723"/>
      <c r="AA151" s="1345"/>
      <c r="AB151" s="723"/>
      <c r="AC151" s="723"/>
      <c r="AD151" s="723"/>
      <c r="AE151" s="723"/>
      <c r="AF151" s="723"/>
      <c r="AG151" s="147"/>
      <c r="AH151" s="147"/>
      <c r="AI151" s="1348" t="str">
        <f>IF(Rent_Roll[[#This Row],[Future
Lease Start]]="","",DATEDIF(Rent_Roll[[#This Row],[Future
Lease Start]],Rent_Roll[[#This Row],[Future
Lease Exp]],"m")+1)</f>
        <v/>
      </c>
      <c r="AJ151" s="1347"/>
    </row>
    <row r="152" spans="2:36" x14ac:dyDescent="0.2">
      <c r="B152" s="638"/>
      <c r="C152" s="638">
        <v>622</v>
      </c>
      <c r="D152" s="638" t="s">
        <v>866</v>
      </c>
      <c r="E152" s="162" t="str">
        <f>IF(Rent_Roll[[#This Row],[Floor-
plan]]="studio",0,LEFT(Rent_Roll[[#This Row],[Floor-
plan]],1))</f>
        <v>2</v>
      </c>
      <c r="F152" s="162" cm="1">
        <f t="array" ref="F15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52" s="1336">
        <v>1000</v>
      </c>
      <c r="H152" s="722" t="s">
        <v>244</v>
      </c>
      <c r="I152" s="722"/>
      <c r="J152" s="1337" t="str" cm="1">
        <f t="array" ref="J15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52" s="1338">
        <v>44769</v>
      </c>
      <c r="L152" s="147">
        <v>45133</v>
      </c>
      <c r="M152" s="1339" cm="1">
        <f t="array" ref="M15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52" s="1337" t="str">
        <f>IF(OR(Rent_Roll[[#This Row],[MTM Fee]]="",Rent_Roll[[#This Row],[MTM Fee]]=0),"","MTM Lease")</f>
        <v/>
      </c>
      <c r="O152" s="1340">
        <f ca="1">IFERROR(IF(Rent_Roll[[#This Row],[Lease
Exp]]="","",DATEDIF($F$3,Rent_Roll[[#This Row],[Lease
Exp]],"m")+1),0)</f>
        <v>7</v>
      </c>
      <c r="P152" s="1341"/>
      <c r="Q152" s="1342" t="str" cm="1">
        <f t="array" ref="Q15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52" s="1343">
        <v>1360</v>
      </c>
      <c r="S152" s="723">
        <v>1255</v>
      </c>
      <c r="T152" s="723"/>
      <c r="U152" s="550">
        <f>Rent_Roll[[#This Row],[Lease
Rent]]+Rent_Roll[[#This Row],[Corp
Rent]]</f>
        <v>1255</v>
      </c>
      <c r="V152" s="1344">
        <f>IF(Rent_Roll[[#This Row],[Total In-Place
Rent]]=0,0,Rent_Roll[[#This Row],[Total In-Place
Rent]]-Rent_Roll[[#This Row],[Market
Rent]])</f>
        <v>-105</v>
      </c>
      <c r="W152" s="1343">
        <v>0</v>
      </c>
      <c r="X152" s="723"/>
      <c r="Y152" s="723"/>
      <c r="Z152" s="723"/>
      <c r="AA152" s="1345"/>
      <c r="AB152" s="723"/>
      <c r="AC152" s="723"/>
      <c r="AD152" s="723"/>
      <c r="AE152" s="723"/>
      <c r="AF152" s="723"/>
      <c r="AG152" s="147"/>
      <c r="AH152" s="147"/>
      <c r="AI152" s="1348" t="str">
        <f>IF(Rent_Roll[[#This Row],[Future
Lease Start]]="","",DATEDIF(Rent_Roll[[#This Row],[Future
Lease Start]],Rent_Roll[[#This Row],[Future
Lease Exp]],"m")+1)</f>
        <v/>
      </c>
      <c r="AJ152" s="1347"/>
    </row>
    <row r="153" spans="2:36" x14ac:dyDescent="0.2">
      <c r="B153" s="638"/>
      <c r="C153" s="638">
        <v>623</v>
      </c>
      <c r="D153" s="638" t="s">
        <v>868</v>
      </c>
      <c r="E153" s="162" t="str">
        <f>IF(Rent_Roll[[#This Row],[Floor-
plan]]="studio",0,LEFT(Rent_Roll[[#This Row],[Floor-
plan]],1))</f>
        <v>1</v>
      </c>
      <c r="F153" s="162" cm="1">
        <f t="array" ref="F15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53" s="1336">
        <v>804</v>
      </c>
      <c r="H153" s="722" t="s">
        <v>244</v>
      </c>
      <c r="I153" s="722"/>
      <c r="J153" s="1337" t="str" cm="1">
        <f t="array" ref="J15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53" s="1338">
        <v>44607</v>
      </c>
      <c r="L153" s="147">
        <v>44971</v>
      </c>
      <c r="M153" s="1339" cm="1">
        <f t="array" ref="M15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53" s="1337" t="str">
        <f>IF(OR(Rent_Roll[[#This Row],[MTM Fee]]="",Rent_Roll[[#This Row],[MTM Fee]]=0),"","MTM Lease")</f>
        <v/>
      </c>
      <c r="O153" s="1340">
        <f ca="1">IFERROR(IF(Rent_Roll[[#This Row],[Lease
Exp]]="","",DATEDIF($F$3,Rent_Roll[[#This Row],[Lease
Exp]],"m")+1),0)</f>
        <v>1</v>
      </c>
      <c r="P153" s="1341"/>
      <c r="Q153" s="1342" t="str" cm="1">
        <f t="array" ref="Q15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53" s="1343">
        <v>1150</v>
      </c>
      <c r="S153" s="723">
        <v>1005</v>
      </c>
      <c r="T153" s="723"/>
      <c r="U153" s="550">
        <f>Rent_Roll[[#This Row],[Lease
Rent]]+Rent_Roll[[#This Row],[Corp
Rent]]</f>
        <v>1005</v>
      </c>
      <c r="V153" s="1344">
        <f>IF(Rent_Roll[[#This Row],[Total In-Place
Rent]]=0,0,Rent_Roll[[#This Row],[Total In-Place
Rent]]-Rent_Roll[[#This Row],[Market
Rent]])</f>
        <v>-145</v>
      </c>
      <c r="W153" s="1343">
        <v>0</v>
      </c>
      <c r="X153" s="723"/>
      <c r="Y153" s="723"/>
      <c r="Z153" s="723"/>
      <c r="AA153" s="1345"/>
      <c r="AB153" s="723"/>
      <c r="AC153" s="723"/>
      <c r="AD153" s="723"/>
      <c r="AE153" s="723"/>
      <c r="AF153" s="723"/>
      <c r="AG153" s="147"/>
      <c r="AH153" s="147"/>
      <c r="AI153" s="1348" t="str">
        <f>IF(Rent_Roll[[#This Row],[Future
Lease Start]]="","",DATEDIF(Rent_Roll[[#This Row],[Future
Lease Start]],Rent_Roll[[#This Row],[Future
Lease Exp]],"m")+1)</f>
        <v/>
      </c>
      <c r="AJ153" s="1347"/>
    </row>
    <row r="154" spans="2:36" x14ac:dyDescent="0.2">
      <c r="B154" s="638"/>
      <c r="C154" s="638">
        <v>624</v>
      </c>
      <c r="D154" s="638" t="s">
        <v>868</v>
      </c>
      <c r="E154" s="162" t="str">
        <f>IF(Rent_Roll[[#This Row],[Floor-
plan]]="studio",0,LEFT(Rent_Roll[[#This Row],[Floor-
plan]],1))</f>
        <v>1</v>
      </c>
      <c r="F154" s="162" cm="1">
        <f t="array" ref="F15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54" s="1336">
        <v>804</v>
      </c>
      <c r="H154" s="722" t="s">
        <v>244</v>
      </c>
      <c r="I154" s="722"/>
      <c r="J154" s="1337" t="str" cm="1">
        <f t="array" ref="J15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54" s="1338">
        <v>44652</v>
      </c>
      <c r="L154" s="147">
        <v>45138</v>
      </c>
      <c r="M154" s="1339" cm="1">
        <f t="array" ref="M154">_xlfn.IFS(Rent_Roll[[#This Row],[Lease
Exp]]="","",Rent_Roll[[#This Row],[MTM
Lease]]="MTM Lease","--",Rent_Roll[[#This Row],[Lease
Exp]]&gt;0,(DATEDIF(Rent_Roll[[#This Row],[Lease
Start]],Rent_Roll[[#This Row],[Lease
Exp]],"m")+1))</f>
        <v>16</v>
      </c>
      <c r="N154" s="1337" t="str">
        <f>IF(OR(Rent_Roll[[#This Row],[MTM Fee]]="",Rent_Roll[[#This Row],[MTM Fee]]=0),"","MTM Lease")</f>
        <v/>
      </c>
      <c r="O154" s="1340">
        <f ca="1">IFERROR(IF(Rent_Roll[[#This Row],[Lease
Exp]]="","",DATEDIF($F$3,Rent_Roll[[#This Row],[Lease
Exp]],"m")+1),0)</f>
        <v>7</v>
      </c>
      <c r="P154" s="1341"/>
      <c r="Q154" s="1342" t="str" cm="1">
        <f t="array" ref="Q15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54" s="1343">
        <v>1150</v>
      </c>
      <c r="S154" s="723">
        <v>870</v>
      </c>
      <c r="T154" s="723"/>
      <c r="U154" s="550">
        <f>Rent_Roll[[#This Row],[Lease
Rent]]+Rent_Roll[[#This Row],[Corp
Rent]]</f>
        <v>870</v>
      </c>
      <c r="V154" s="1344">
        <f>IF(Rent_Roll[[#This Row],[Total In-Place
Rent]]=0,0,Rent_Roll[[#This Row],[Total In-Place
Rent]]-Rent_Roll[[#This Row],[Market
Rent]])</f>
        <v>-280</v>
      </c>
      <c r="W154" s="1343">
        <v>0</v>
      </c>
      <c r="X154" s="723"/>
      <c r="Y154" s="723"/>
      <c r="Z154" s="723"/>
      <c r="AA154" s="1345"/>
      <c r="AB154" s="723"/>
      <c r="AC154" s="723"/>
      <c r="AD154" s="723"/>
      <c r="AE154" s="723"/>
      <c r="AF154" s="723"/>
      <c r="AG154" s="147"/>
      <c r="AH154" s="147"/>
      <c r="AI154" s="1348" t="str">
        <f>IF(Rent_Roll[[#This Row],[Future
Lease Start]]="","",DATEDIF(Rent_Roll[[#This Row],[Future
Lease Start]],Rent_Roll[[#This Row],[Future
Lease Exp]],"m")+1)</f>
        <v/>
      </c>
      <c r="AJ154" s="1347"/>
    </row>
    <row r="155" spans="2:36" x14ac:dyDescent="0.2">
      <c r="B155" s="638"/>
      <c r="C155" s="638">
        <v>625</v>
      </c>
      <c r="D155" s="638" t="s">
        <v>868</v>
      </c>
      <c r="E155" s="162" t="str">
        <f>IF(Rent_Roll[[#This Row],[Floor-
plan]]="studio",0,LEFT(Rent_Roll[[#This Row],[Floor-
plan]],1))</f>
        <v>1</v>
      </c>
      <c r="F155" s="162" cm="1">
        <f t="array" ref="F15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55" s="1336">
        <v>804</v>
      </c>
      <c r="H155" s="722" t="s">
        <v>244</v>
      </c>
      <c r="I155" s="722"/>
      <c r="J155" s="1337" t="str" cm="1">
        <f t="array" ref="J15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55" s="1338">
        <v>44533</v>
      </c>
      <c r="L155" s="147">
        <v>44897</v>
      </c>
      <c r="M155" s="1339" cm="1">
        <f t="array" ref="M15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55" s="1337" t="str">
        <f>IF(OR(Rent_Roll[[#This Row],[MTM Fee]]="",Rent_Roll[[#This Row],[MTM Fee]]=0),"","MTM Lease")</f>
        <v/>
      </c>
      <c r="O155" s="1340">
        <f ca="1">IFERROR(IF(Rent_Roll[[#This Row],[Lease
Exp]]="","",DATEDIF($F$3,Rent_Roll[[#This Row],[Lease
Exp]],"m")+1),0)</f>
        <v>0</v>
      </c>
      <c r="P155" s="1341"/>
      <c r="Q155" s="1342" t="str" cm="1">
        <f t="array" ref="Q15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55" s="1343">
        <v>1150</v>
      </c>
      <c r="S155" s="723">
        <v>1055</v>
      </c>
      <c r="T155" s="723"/>
      <c r="U155" s="550">
        <f>Rent_Roll[[#This Row],[Lease
Rent]]+Rent_Roll[[#This Row],[Corp
Rent]]</f>
        <v>1055</v>
      </c>
      <c r="V155" s="1344">
        <f>IF(Rent_Roll[[#This Row],[Total In-Place
Rent]]=0,0,Rent_Roll[[#This Row],[Total In-Place
Rent]]-Rent_Roll[[#This Row],[Market
Rent]])</f>
        <v>-95</v>
      </c>
      <c r="W155" s="1343">
        <v>0</v>
      </c>
      <c r="X155" s="723"/>
      <c r="Y155" s="723"/>
      <c r="Z155" s="723"/>
      <c r="AA155" s="1345"/>
      <c r="AB155" s="723"/>
      <c r="AC155" s="723"/>
      <c r="AD155" s="723"/>
      <c r="AE155" s="723"/>
      <c r="AF155" s="723"/>
      <c r="AG155" s="147"/>
      <c r="AH155" s="147"/>
      <c r="AI155" s="1348" t="str">
        <f>IF(Rent_Roll[[#This Row],[Future
Lease Start]]="","",DATEDIF(Rent_Roll[[#This Row],[Future
Lease Start]],Rent_Roll[[#This Row],[Future
Lease Exp]],"m")+1)</f>
        <v/>
      </c>
      <c r="AJ155" s="1347"/>
    </row>
    <row r="156" spans="2:36" x14ac:dyDescent="0.2">
      <c r="B156" s="638"/>
      <c r="C156" s="638">
        <v>626</v>
      </c>
      <c r="D156" s="638" t="s">
        <v>868</v>
      </c>
      <c r="E156" s="162" t="str">
        <f>IF(Rent_Roll[[#This Row],[Floor-
plan]]="studio",0,LEFT(Rent_Roll[[#This Row],[Floor-
plan]],1))</f>
        <v>1</v>
      </c>
      <c r="F156" s="162" cm="1">
        <f t="array" ref="F15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56" s="1336">
        <v>804</v>
      </c>
      <c r="H156" s="722" t="s">
        <v>244</v>
      </c>
      <c r="I156" s="722"/>
      <c r="J156" s="1337" t="str" cm="1">
        <f t="array" ref="J15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56" s="1338">
        <v>44682</v>
      </c>
      <c r="L156" s="147">
        <v>45046</v>
      </c>
      <c r="M156" s="1339" cm="1">
        <f t="array" ref="M15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56" s="1337" t="str">
        <f>IF(OR(Rent_Roll[[#This Row],[MTM Fee]]="",Rent_Roll[[#This Row],[MTM Fee]]=0),"","MTM Lease")</f>
        <v/>
      </c>
      <c r="O156" s="1340">
        <f ca="1">IFERROR(IF(Rent_Roll[[#This Row],[Lease
Exp]]="","",DATEDIF($F$3,Rent_Roll[[#This Row],[Lease
Exp]],"m")+1),0)</f>
        <v>4</v>
      </c>
      <c r="P156" s="1341"/>
      <c r="Q156" s="1342" t="str" cm="1">
        <f t="array" ref="Q15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56" s="1343">
        <v>1150</v>
      </c>
      <c r="S156" s="723">
        <v>960</v>
      </c>
      <c r="T156" s="723"/>
      <c r="U156" s="550">
        <f>Rent_Roll[[#This Row],[Lease
Rent]]+Rent_Roll[[#This Row],[Corp
Rent]]</f>
        <v>960</v>
      </c>
      <c r="V156" s="1344">
        <f>IF(Rent_Roll[[#This Row],[Total In-Place
Rent]]=0,0,Rent_Roll[[#This Row],[Total In-Place
Rent]]-Rent_Roll[[#This Row],[Market
Rent]])</f>
        <v>-190</v>
      </c>
      <c r="W156" s="1343">
        <v>0</v>
      </c>
      <c r="X156" s="723"/>
      <c r="Y156" s="723"/>
      <c r="Z156" s="723"/>
      <c r="AA156" s="1345"/>
      <c r="AB156" s="723"/>
      <c r="AC156" s="723"/>
      <c r="AD156" s="723"/>
      <c r="AE156" s="723"/>
      <c r="AF156" s="723"/>
      <c r="AG156" s="147"/>
      <c r="AH156" s="147"/>
      <c r="AI156" s="1348" t="str">
        <f>IF(Rent_Roll[[#This Row],[Future
Lease Start]]="","",DATEDIF(Rent_Roll[[#This Row],[Future
Lease Start]],Rent_Roll[[#This Row],[Future
Lease Exp]],"m")+1)</f>
        <v/>
      </c>
      <c r="AJ156" s="1347"/>
    </row>
    <row r="157" spans="2:36" x14ac:dyDescent="0.2">
      <c r="B157" s="638"/>
      <c r="C157" s="638">
        <v>627</v>
      </c>
      <c r="D157" s="638" t="s">
        <v>866</v>
      </c>
      <c r="E157" s="162" t="str">
        <f>IF(Rent_Roll[[#This Row],[Floor-
plan]]="studio",0,LEFT(Rent_Roll[[#This Row],[Floor-
plan]],1))</f>
        <v>2</v>
      </c>
      <c r="F157" s="162" cm="1">
        <f t="array" ref="F15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57" s="1336">
        <v>1000</v>
      </c>
      <c r="H157" s="722" t="s">
        <v>244</v>
      </c>
      <c r="I157" s="722"/>
      <c r="J157" s="1337" t="str" cm="1">
        <f t="array" ref="J15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57" s="1338">
        <v>44584</v>
      </c>
      <c r="L157" s="147">
        <v>44948</v>
      </c>
      <c r="M157" s="1339" cm="1">
        <f t="array" ref="M15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57" s="1337" t="str">
        <f>IF(OR(Rent_Roll[[#This Row],[MTM Fee]]="",Rent_Roll[[#This Row],[MTM Fee]]=0),"","MTM Lease")</f>
        <v/>
      </c>
      <c r="O157" s="1340">
        <f ca="1">IFERROR(IF(Rent_Roll[[#This Row],[Lease
Exp]]="","",DATEDIF($F$3,Rent_Roll[[#This Row],[Lease
Exp]],"m")+1),0)</f>
        <v>0</v>
      </c>
      <c r="P157" s="1341"/>
      <c r="Q157" s="1342" t="str" cm="1">
        <f t="array" ref="Q15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57" s="1343">
        <v>1360</v>
      </c>
      <c r="S157" s="723">
        <v>1360</v>
      </c>
      <c r="T157" s="723"/>
      <c r="U157" s="550">
        <f>Rent_Roll[[#This Row],[Lease
Rent]]+Rent_Roll[[#This Row],[Corp
Rent]]</f>
        <v>1360</v>
      </c>
      <c r="V157" s="1344">
        <f>IF(Rent_Roll[[#This Row],[Total In-Place
Rent]]=0,0,Rent_Roll[[#This Row],[Total In-Place
Rent]]-Rent_Roll[[#This Row],[Market
Rent]])</f>
        <v>0</v>
      </c>
      <c r="W157" s="1343">
        <v>0</v>
      </c>
      <c r="X157" s="723"/>
      <c r="Y157" s="723"/>
      <c r="Z157" s="723"/>
      <c r="AA157" s="1345"/>
      <c r="AB157" s="723"/>
      <c r="AC157" s="723"/>
      <c r="AD157" s="723"/>
      <c r="AE157" s="723"/>
      <c r="AF157" s="723"/>
      <c r="AG157" s="147"/>
      <c r="AH157" s="147"/>
      <c r="AI157" s="1348" t="str">
        <f>IF(Rent_Roll[[#This Row],[Future
Lease Start]]="","",DATEDIF(Rent_Roll[[#This Row],[Future
Lease Start]],Rent_Roll[[#This Row],[Future
Lease Exp]],"m")+1)</f>
        <v/>
      </c>
      <c r="AJ157" s="1347"/>
    </row>
    <row r="158" spans="2:36" x14ac:dyDescent="0.2">
      <c r="B158" s="638"/>
      <c r="C158" s="638">
        <v>628</v>
      </c>
      <c r="D158" s="638" t="s">
        <v>866</v>
      </c>
      <c r="E158" s="162" t="str">
        <f>IF(Rent_Roll[[#This Row],[Floor-
plan]]="studio",0,LEFT(Rent_Roll[[#This Row],[Floor-
plan]],1))</f>
        <v>2</v>
      </c>
      <c r="F158" s="162" cm="1">
        <f t="array" ref="F15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58" s="1336">
        <v>1000</v>
      </c>
      <c r="H158" s="722" t="s">
        <v>244</v>
      </c>
      <c r="I158" s="722"/>
      <c r="J158" s="1337" t="str" cm="1">
        <f t="array" ref="J15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58" s="1338">
        <v>44331</v>
      </c>
      <c r="L158" s="147">
        <v>44879</v>
      </c>
      <c r="M158" s="1339" cm="1">
        <f t="array" ref="M158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58" s="1337" t="str">
        <f>IF(OR(Rent_Roll[[#This Row],[MTM Fee]]="",Rent_Roll[[#This Row],[MTM Fee]]=0),"","MTM Lease")</f>
        <v/>
      </c>
      <c r="O158" s="1340">
        <f ca="1">IFERROR(IF(Rent_Roll[[#This Row],[Lease
Exp]]="","",DATEDIF($F$3,Rent_Roll[[#This Row],[Lease
Exp]],"m")+1),0)</f>
        <v>0</v>
      </c>
      <c r="P158" s="1341"/>
      <c r="Q158" s="1342" t="str" cm="1">
        <f t="array" ref="Q15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58" s="1343">
        <v>1360</v>
      </c>
      <c r="S158" s="723">
        <v>1155</v>
      </c>
      <c r="T158" s="723"/>
      <c r="U158" s="550">
        <f>Rent_Roll[[#This Row],[Lease
Rent]]+Rent_Roll[[#This Row],[Corp
Rent]]</f>
        <v>1155</v>
      </c>
      <c r="V158" s="1344">
        <f>IF(Rent_Roll[[#This Row],[Total In-Place
Rent]]=0,0,Rent_Roll[[#This Row],[Total In-Place
Rent]]-Rent_Roll[[#This Row],[Market
Rent]])</f>
        <v>-205</v>
      </c>
      <c r="W158" s="1343">
        <v>0</v>
      </c>
      <c r="X158" s="723"/>
      <c r="Y158" s="723"/>
      <c r="Z158" s="723"/>
      <c r="AA158" s="1345"/>
      <c r="AB158" s="723"/>
      <c r="AC158" s="723"/>
      <c r="AD158" s="723"/>
      <c r="AE158" s="723"/>
      <c r="AF158" s="723"/>
      <c r="AG158" s="147"/>
      <c r="AH158" s="147"/>
      <c r="AI158" s="1348" t="str">
        <f>IF(Rent_Roll[[#This Row],[Future
Lease Start]]="","",DATEDIF(Rent_Roll[[#This Row],[Future
Lease Start]],Rent_Roll[[#This Row],[Future
Lease Exp]],"m")+1)</f>
        <v/>
      </c>
      <c r="AJ158" s="1347"/>
    </row>
    <row r="159" spans="2:36" x14ac:dyDescent="0.2">
      <c r="B159" s="638"/>
      <c r="C159" s="638">
        <v>631</v>
      </c>
      <c r="D159" s="638" t="s">
        <v>870</v>
      </c>
      <c r="E159" s="162" t="str">
        <f>IF(Rent_Roll[[#This Row],[Floor-
plan]]="studio",0,LEFT(Rent_Roll[[#This Row],[Floor-
plan]],1))</f>
        <v>2</v>
      </c>
      <c r="F159" s="162" cm="1">
        <f t="array" ref="F15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59" s="1336">
        <v>1099</v>
      </c>
      <c r="H159" s="722" t="s">
        <v>244</v>
      </c>
      <c r="I159" s="722"/>
      <c r="J159" s="1337" t="str" cm="1">
        <f t="array" ref="J15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59" s="1338">
        <v>44327</v>
      </c>
      <c r="L159" s="147">
        <v>44875</v>
      </c>
      <c r="M159" s="1339" cm="1">
        <f t="array" ref="M159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59" s="1337" t="str">
        <f>IF(OR(Rent_Roll[[#This Row],[MTM Fee]]="",Rent_Roll[[#This Row],[MTM Fee]]=0),"","MTM Lease")</f>
        <v/>
      </c>
      <c r="O159" s="1340">
        <f ca="1">IFERROR(IF(Rent_Roll[[#This Row],[Lease
Exp]]="","",DATEDIF($F$3,Rent_Roll[[#This Row],[Lease
Exp]],"m")+1),0)</f>
        <v>0</v>
      </c>
      <c r="P159" s="1341"/>
      <c r="Q159" s="1342" t="str" cm="1">
        <f t="array" ref="Q15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59" s="1343">
        <v>1440</v>
      </c>
      <c r="S159" s="723">
        <v>1180</v>
      </c>
      <c r="T159" s="723"/>
      <c r="U159" s="550">
        <f>Rent_Roll[[#This Row],[Lease
Rent]]+Rent_Roll[[#This Row],[Corp
Rent]]</f>
        <v>1180</v>
      </c>
      <c r="V159" s="1344">
        <f>IF(Rent_Roll[[#This Row],[Total In-Place
Rent]]=0,0,Rent_Roll[[#This Row],[Total In-Place
Rent]]-Rent_Roll[[#This Row],[Market
Rent]])</f>
        <v>-260</v>
      </c>
      <c r="W159" s="1343">
        <v>0</v>
      </c>
      <c r="X159" s="723"/>
      <c r="Y159" s="723"/>
      <c r="Z159" s="723"/>
      <c r="AA159" s="1345"/>
      <c r="AB159" s="723"/>
      <c r="AC159" s="723"/>
      <c r="AD159" s="723"/>
      <c r="AE159" s="723"/>
      <c r="AF159" s="723"/>
      <c r="AG159" s="147"/>
      <c r="AH159" s="147"/>
      <c r="AI159" s="1348" t="str">
        <f>IF(Rent_Roll[[#This Row],[Future
Lease Start]]="","",DATEDIF(Rent_Roll[[#This Row],[Future
Lease Start]],Rent_Roll[[#This Row],[Future
Lease Exp]],"m")+1)</f>
        <v/>
      </c>
      <c r="AJ159" s="1347"/>
    </row>
    <row r="160" spans="2:36" x14ac:dyDescent="0.2">
      <c r="B160" s="638"/>
      <c r="C160" s="638">
        <v>632</v>
      </c>
      <c r="D160" s="638" t="s">
        <v>870</v>
      </c>
      <c r="E160" s="162" t="str">
        <f>IF(Rent_Roll[[#This Row],[Floor-
plan]]="studio",0,LEFT(Rent_Roll[[#This Row],[Floor-
plan]],1))</f>
        <v>2</v>
      </c>
      <c r="F160" s="162" cm="1">
        <f t="array" ref="F16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60" s="1336">
        <v>1099</v>
      </c>
      <c r="H160" s="722" t="s">
        <v>244</v>
      </c>
      <c r="I160" s="722"/>
      <c r="J160" s="1337" t="str" cm="1">
        <f t="array" ref="J16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60" s="1338">
        <v>44785</v>
      </c>
      <c r="L160" s="147">
        <v>45149</v>
      </c>
      <c r="M160" s="1339" cm="1">
        <f t="array" ref="M16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60" s="1337" t="str">
        <f>IF(OR(Rent_Roll[[#This Row],[MTM Fee]]="",Rent_Roll[[#This Row],[MTM Fee]]=0),"","MTM Lease")</f>
        <v/>
      </c>
      <c r="O160" s="1340">
        <f ca="1">IFERROR(IF(Rent_Roll[[#This Row],[Lease
Exp]]="","",DATEDIF($F$3,Rent_Roll[[#This Row],[Lease
Exp]],"m")+1),0)</f>
        <v>7</v>
      </c>
      <c r="P160" s="1341"/>
      <c r="Q160" s="1342" t="str" cm="1">
        <f t="array" ref="Q16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60" s="1343">
        <v>1440</v>
      </c>
      <c r="S160" s="723">
        <v>1440</v>
      </c>
      <c r="T160" s="723"/>
      <c r="U160" s="550">
        <f>Rent_Roll[[#This Row],[Lease
Rent]]+Rent_Roll[[#This Row],[Corp
Rent]]</f>
        <v>1440</v>
      </c>
      <c r="V160" s="1344">
        <f>IF(Rent_Roll[[#This Row],[Total In-Place
Rent]]=0,0,Rent_Roll[[#This Row],[Total In-Place
Rent]]-Rent_Roll[[#This Row],[Market
Rent]])</f>
        <v>0</v>
      </c>
      <c r="W160" s="1343">
        <v>0</v>
      </c>
      <c r="X160" s="723"/>
      <c r="Y160" s="723"/>
      <c r="Z160" s="723"/>
      <c r="AA160" s="1345"/>
      <c r="AB160" s="723"/>
      <c r="AC160" s="723"/>
      <c r="AD160" s="723"/>
      <c r="AE160" s="723"/>
      <c r="AF160" s="723"/>
      <c r="AG160" s="147"/>
      <c r="AH160" s="147"/>
      <c r="AI160" s="1348" t="str">
        <f>IF(Rent_Roll[[#This Row],[Future
Lease Start]]="","",DATEDIF(Rent_Roll[[#This Row],[Future
Lease Start]],Rent_Roll[[#This Row],[Future
Lease Exp]],"m")+1)</f>
        <v/>
      </c>
      <c r="AJ160" s="1347"/>
    </row>
    <row r="161" spans="2:36" x14ac:dyDescent="0.2">
      <c r="B161" s="638"/>
      <c r="C161" s="638">
        <v>633</v>
      </c>
      <c r="D161" s="638" t="s">
        <v>868</v>
      </c>
      <c r="E161" s="162" t="str">
        <f>IF(Rent_Roll[[#This Row],[Floor-
plan]]="studio",0,LEFT(Rent_Roll[[#This Row],[Floor-
plan]],1))</f>
        <v>1</v>
      </c>
      <c r="F161" s="162" cm="1">
        <f t="array" ref="F16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61" s="1336">
        <v>1020</v>
      </c>
      <c r="H161" s="722" t="s">
        <v>244</v>
      </c>
      <c r="I161" s="722"/>
      <c r="J161" s="1337" t="str" cm="1">
        <f t="array" ref="J16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61" s="1338">
        <v>44706</v>
      </c>
      <c r="L161" s="147">
        <v>45070</v>
      </c>
      <c r="M161" s="1339" cm="1">
        <f t="array" ref="M16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61" s="1337" t="str">
        <f>IF(OR(Rent_Roll[[#This Row],[MTM Fee]]="",Rent_Roll[[#This Row],[MTM Fee]]=0),"","MTM Lease")</f>
        <v/>
      </c>
      <c r="O161" s="1340">
        <f ca="1">IFERROR(IF(Rent_Roll[[#This Row],[Lease
Exp]]="","",DATEDIF($F$3,Rent_Roll[[#This Row],[Lease
Exp]],"m")+1),0)</f>
        <v>4</v>
      </c>
      <c r="P161" s="1341"/>
      <c r="Q161" s="1342" t="str" cm="1">
        <f t="array" ref="Q16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61" s="1343">
        <v>1300</v>
      </c>
      <c r="S161" s="723">
        <v>965</v>
      </c>
      <c r="T161" s="723"/>
      <c r="U161" s="550">
        <f>Rent_Roll[[#This Row],[Lease
Rent]]+Rent_Roll[[#This Row],[Corp
Rent]]</f>
        <v>965</v>
      </c>
      <c r="V161" s="1344">
        <f>IF(Rent_Roll[[#This Row],[Total In-Place
Rent]]=0,0,Rent_Roll[[#This Row],[Total In-Place
Rent]]-Rent_Roll[[#This Row],[Market
Rent]])</f>
        <v>-335</v>
      </c>
      <c r="W161" s="1343">
        <v>0</v>
      </c>
      <c r="X161" s="723"/>
      <c r="Y161" s="723"/>
      <c r="Z161" s="723"/>
      <c r="AA161" s="1345"/>
      <c r="AB161" s="723"/>
      <c r="AC161" s="723"/>
      <c r="AD161" s="723"/>
      <c r="AE161" s="723"/>
      <c r="AF161" s="723"/>
      <c r="AG161" s="147"/>
      <c r="AH161" s="147"/>
      <c r="AI161" s="1348" t="str">
        <f>IF(Rent_Roll[[#This Row],[Future
Lease Start]]="","",DATEDIF(Rent_Roll[[#This Row],[Future
Lease Start]],Rent_Roll[[#This Row],[Future
Lease Exp]],"m")+1)</f>
        <v/>
      </c>
      <c r="AJ161" s="1347"/>
    </row>
    <row r="162" spans="2:36" x14ac:dyDescent="0.2">
      <c r="B162" s="638"/>
      <c r="C162" s="638">
        <v>634</v>
      </c>
      <c r="D162" s="638" t="s">
        <v>868</v>
      </c>
      <c r="E162" s="162" t="str">
        <f>IF(Rent_Roll[[#This Row],[Floor-
plan]]="studio",0,LEFT(Rent_Roll[[#This Row],[Floor-
plan]],1))</f>
        <v>1</v>
      </c>
      <c r="F162" s="162" cm="1">
        <f t="array" ref="F16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62" s="1336">
        <v>1020</v>
      </c>
      <c r="H162" s="722" t="s">
        <v>244</v>
      </c>
      <c r="I162" s="722"/>
      <c r="J162" s="1337" t="str" cm="1">
        <f t="array" ref="J16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62" s="1338">
        <v>44470</v>
      </c>
      <c r="L162" s="147">
        <v>44834</v>
      </c>
      <c r="M162" s="1339" cm="1">
        <f t="array" ref="M16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62" s="1337" t="str">
        <f>IF(OR(Rent_Roll[[#This Row],[MTM Fee]]="",Rent_Roll[[#This Row],[MTM Fee]]=0),"","MTM Lease")</f>
        <v/>
      </c>
      <c r="O162" s="1340">
        <f ca="1">IFERROR(IF(Rent_Roll[[#This Row],[Lease
Exp]]="","",DATEDIF($F$3,Rent_Roll[[#This Row],[Lease
Exp]],"m")+1),0)</f>
        <v>0</v>
      </c>
      <c r="P162" s="1341">
        <v>44834</v>
      </c>
      <c r="Q162" s="1342" t="str" cm="1">
        <f t="array" ref="Q16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162" s="1343">
        <v>1300</v>
      </c>
      <c r="S162" s="723">
        <v>1300</v>
      </c>
      <c r="T162" s="723"/>
      <c r="U162" s="550">
        <f>Rent_Roll[[#This Row],[Lease
Rent]]+Rent_Roll[[#This Row],[Corp
Rent]]</f>
        <v>1300</v>
      </c>
      <c r="V162" s="1344">
        <f>IF(Rent_Roll[[#This Row],[Total In-Place
Rent]]=0,0,Rent_Roll[[#This Row],[Total In-Place
Rent]]-Rent_Roll[[#This Row],[Market
Rent]])</f>
        <v>0</v>
      </c>
      <c r="W162" s="1343">
        <v>0</v>
      </c>
      <c r="X162" s="723"/>
      <c r="Y162" s="723"/>
      <c r="Z162" s="723"/>
      <c r="AA162" s="1345"/>
      <c r="AB162" s="723"/>
      <c r="AC162" s="723"/>
      <c r="AD162" s="723"/>
      <c r="AE162" s="723"/>
      <c r="AF162" s="723"/>
      <c r="AG162" s="147"/>
      <c r="AH162" s="147"/>
      <c r="AI162" s="1348" t="str">
        <f>IF(Rent_Roll[[#This Row],[Future
Lease Start]]="","",DATEDIF(Rent_Roll[[#This Row],[Future
Lease Start]],Rent_Roll[[#This Row],[Future
Lease Exp]],"m")+1)</f>
        <v/>
      </c>
      <c r="AJ162" s="1347"/>
    </row>
    <row r="163" spans="2:36" x14ac:dyDescent="0.2">
      <c r="B163" s="638"/>
      <c r="C163" s="638">
        <v>635</v>
      </c>
      <c r="D163" s="638" t="s">
        <v>868</v>
      </c>
      <c r="E163" s="162" t="str">
        <f>IF(Rent_Roll[[#This Row],[Floor-
plan]]="studio",0,LEFT(Rent_Roll[[#This Row],[Floor-
plan]],1))</f>
        <v>1</v>
      </c>
      <c r="F163" s="162" cm="1">
        <f t="array" ref="F16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63" s="1336">
        <v>1020</v>
      </c>
      <c r="H163" s="722" t="s">
        <v>244</v>
      </c>
      <c r="I163" s="722"/>
      <c r="J163" s="1337" t="str" cm="1">
        <f t="array" ref="J16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63" s="1338">
        <v>44501</v>
      </c>
      <c r="L163" s="147">
        <v>45046</v>
      </c>
      <c r="M163" s="1339" cm="1">
        <f t="array" ref="M163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63" s="1337" t="str">
        <f>IF(OR(Rent_Roll[[#This Row],[MTM Fee]]="",Rent_Roll[[#This Row],[MTM Fee]]=0),"","MTM Lease")</f>
        <v/>
      </c>
      <c r="O163" s="1340">
        <f ca="1">IFERROR(IF(Rent_Roll[[#This Row],[Lease
Exp]]="","",DATEDIF($F$3,Rent_Roll[[#This Row],[Lease
Exp]],"m")+1),0)</f>
        <v>4</v>
      </c>
      <c r="P163" s="1341"/>
      <c r="Q163" s="1342" t="str" cm="1">
        <f t="array" ref="Q16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63" s="1343">
        <v>1300</v>
      </c>
      <c r="S163" s="723">
        <v>1300</v>
      </c>
      <c r="T163" s="723"/>
      <c r="U163" s="550">
        <f>Rent_Roll[[#This Row],[Lease
Rent]]+Rent_Roll[[#This Row],[Corp
Rent]]</f>
        <v>1300</v>
      </c>
      <c r="V163" s="1344">
        <f>IF(Rent_Roll[[#This Row],[Total In-Place
Rent]]=0,0,Rent_Roll[[#This Row],[Total In-Place
Rent]]-Rent_Roll[[#This Row],[Market
Rent]])</f>
        <v>0</v>
      </c>
      <c r="W163" s="1343">
        <v>0</v>
      </c>
      <c r="X163" s="723"/>
      <c r="Y163" s="723"/>
      <c r="Z163" s="723"/>
      <c r="AA163" s="1345"/>
      <c r="AB163" s="723"/>
      <c r="AC163" s="723"/>
      <c r="AD163" s="723"/>
      <c r="AE163" s="723"/>
      <c r="AF163" s="723"/>
      <c r="AG163" s="147"/>
      <c r="AH163" s="147"/>
      <c r="AI163" s="1348" t="str">
        <f>IF(Rent_Roll[[#This Row],[Future
Lease Start]]="","",DATEDIF(Rent_Roll[[#This Row],[Future
Lease Start]],Rent_Roll[[#This Row],[Future
Lease Exp]],"m")+1)</f>
        <v/>
      </c>
      <c r="AJ163" s="1347"/>
    </row>
    <row r="164" spans="2:36" x14ac:dyDescent="0.2">
      <c r="B164" s="638"/>
      <c r="C164" s="638">
        <v>636</v>
      </c>
      <c r="D164" s="638" t="s">
        <v>868</v>
      </c>
      <c r="E164" s="162" t="str">
        <f>IF(Rent_Roll[[#This Row],[Floor-
plan]]="studio",0,LEFT(Rent_Roll[[#This Row],[Floor-
plan]],1))</f>
        <v>1</v>
      </c>
      <c r="F164" s="162" cm="1">
        <f t="array" ref="F16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64" s="1336">
        <v>1020</v>
      </c>
      <c r="H164" s="722" t="s">
        <v>244</v>
      </c>
      <c r="I164" s="722"/>
      <c r="J164" s="1337" t="str" cm="1">
        <f t="array" ref="J16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64" s="1338">
        <v>44524</v>
      </c>
      <c r="L164" s="147">
        <v>44888</v>
      </c>
      <c r="M164" s="1339" cm="1">
        <f t="array" ref="M16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64" s="1337" t="str">
        <f>IF(OR(Rent_Roll[[#This Row],[MTM Fee]]="",Rent_Roll[[#This Row],[MTM Fee]]=0),"","MTM Lease")</f>
        <v/>
      </c>
      <c r="O164" s="1340">
        <f ca="1">IFERROR(IF(Rent_Roll[[#This Row],[Lease
Exp]]="","",DATEDIF($F$3,Rent_Roll[[#This Row],[Lease
Exp]],"m")+1),0)</f>
        <v>0</v>
      </c>
      <c r="P164" s="1341"/>
      <c r="Q164" s="1342" t="str" cm="1">
        <f t="array" ref="Q16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64" s="1343">
        <v>1300</v>
      </c>
      <c r="S164" s="723">
        <v>1160</v>
      </c>
      <c r="T164" s="723"/>
      <c r="U164" s="550">
        <f>Rent_Roll[[#This Row],[Lease
Rent]]+Rent_Roll[[#This Row],[Corp
Rent]]</f>
        <v>1160</v>
      </c>
      <c r="V164" s="1344">
        <f>IF(Rent_Roll[[#This Row],[Total In-Place
Rent]]=0,0,Rent_Roll[[#This Row],[Total In-Place
Rent]]-Rent_Roll[[#This Row],[Market
Rent]])</f>
        <v>-140</v>
      </c>
      <c r="W164" s="1343">
        <v>0</v>
      </c>
      <c r="X164" s="723"/>
      <c r="Y164" s="723"/>
      <c r="Z164" s="723"/>
      <c r="AA164" s="1345"/>
      <c r="AB164" s="723"/>
      <c r="AC164" s="723"/>
      <c r="AD164" s="723"/>
      <c r="AE164" s="723"/>
      <c r="AF164" s="723"/>
      <c r="AG164" s="147"/>
      <c r="AH164" s="147"/>
      <c r="AI164" s="1348" t="str">
        <f>IF(Rent_Roll[[#This Row],[Future
Lease Start]]="","",DATEDIF(Rent_Roll[[#This Row],[Future
Lease Start]],Rent_Roll[[#This Row],[Future
Lease Exp]],"m")+1)</f>
        <v/>
      </c>
      <c r="AJ164" s="1347"/>
    </row>
    <row r="165" spans="2:36" x14ac:dyDescent="0.2">
      <c r="B165" s="638"/>
      <c r="C165" s="638">
        <v>637</v>
      </c>
      <c r="D165" s="638" t="s">
        <v>870</v>
      </c>
      <c r="E165" s="162" t="str">
        <f>IF(Rent_Roll[[#This Row],[Floor-
plan]]="studio",0,LEFT(Rent_Roll[[#This Row],[Floor-
plan]],1))</f>
        <v>2</v>
      </c>
      <c r="F165" s="162" cm="1">
        <f t="array" ref="F16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65" s="1336">
        <v>1099</v>
      </c>
      <c r="H165" s="722" t="s">
        <v>245</v>
      </c>
      <c r="I165" s="722"/>
      <c r="J165" s="1337" t="str" cm="1">
        <f t="array" ref="J16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65" s="1338" t="s">
        <v>873</v>
      </c>
      <c r="L165" s="147" t="s">
        <v>873</v>
      </c>
      <c r="M165" s="1339" t="str" cm="1">
        <f t="array" ref="M165">_xlfn.IFS(Rent_Roll[[#This Row],[Lease
Exp]]="","",Rent_Roll[[#This Row],[MTM
Lease]]="MTM Lease","--",Rent_Roll[[#This Row],[Lease
Exp]]&gt;0,(DATEDIF(Rent_Roll[[#This Row],[Lease
Start]],Rent_Roll[[#This Row],[Lease
Exp]],"m")+1))</f>
        <v/>
      </c>
      <c r="N165" s="1337" t="str">
        <f>IF(OR(Rent_Roll[[#This Row],[MTM Fee]]="",Rent_Roll[[#This Row],[MTM Fee]]=0),"","MTM Lease")</f>
        <v/>
      </c>
      <c r="O165" s="1340" t="str">
        <f>IFERROR(IF(Rent_Roll[[#This Row],[Lease
Exp]]="","",DATEDIF($F$3,Rent_Roll[[#This Row],[Lease
Exp]],"m")+1),0)</f>
        <v/>
      </c>
      <c r="P165" s="1341"/>
      <c r="Q165" s="1342" t="str" cm="1">
        <f t="array" ref="Q16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65" s="1343">
        <v>1440</v>
      </c>
      <c r="S165" s="723">
        <v>0</v>
      </c>
      <c r="T165" s="723"/>
      <c r="U165" s="550">
        <f>Rent_Roll[[#This Row],[Lease
Rent]]+Rent_Roll[[#This Row],[Corp
Rent]]</f>
        <v>0</v>
      </c>
      <c r="V165" s="1344">
        <f>IF(Rent_Roll[[#This Row],[Total In-Place
Rent]]=0,0,Rent_Roll[[#This Row],[Total In-Place
Rent]]-Rent_Roll[[#This Row],[Market
Rent]])</f>
        <v>0</v>
      </c>
      <c r="W165" s="1343">
        <v>0</v>
      </c>
      <c r="X165" s="723"/>
      <c r="Y165" s="723"/>
      <c r="Z165" s="723"/>
      <c r="AA165" s="1345"/>
      <c r="AB165" s="723"/>
      <c r="AC165" s="723"/>
      <c r="AD165" s="723"/>
      <c r="AE165" s="723"/>
      <c r="AF165" s="723"/>
      <c r="AG165" s="147"/>
      <c r="AH165" s="147"/>
      <c r="AI165" s="1348" t="str">
        <f>IF(Rent_Roll[[#This Row],[Future
Lease Start]]="","",DATEDIF(Rent_Roll[[#This Row],[Future
Lease Start]],Rent_Roll[[#This Row],[Future
Lease Exp]],"m")+1)</f>
        <v/>
      </c>
      <c r="AJ165" s="1347"/>
    </row>
    <row r="166" spans="2:36" x14ac:dyDescent="0.2">
      <c r="B166" s="638"/>
      <c r="C166" s="638">
        <v>638</v>
      </c>
      <c r="D166" s="638" t="s">
        <v>870</v>
      </c>
      <c r="E166" s="162" t="str">
        <f>IF(Rent_Roll[[#This Row],[Floor-
plan]]="studio",0,LEFT(Rent_Roll[[#This Row],[Floor-
plan]],1))</f>
        <v>2</v>
      </c>
      <c r="F166" s="162" cm="1">
        <f t="array" ref="F16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66" s="1336">
        <v>1099</v>
      </c>
      <c r="H166" s="722" t="s">
        <v>244</v>
      </c>
      <c r="I166" s="722"/>
      <c r="J166" s="1337" t="str" cm="1">
        <f t="array" ref="J16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66" s="1338">
        <v>44334</v>
      </c>
      <c r="L166" s="147">
        <v>44882</v>
      </c>
      <c r="M166" s="1339" cm="1">
        <f t="array" ref="M166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66" s="1337" t="str">
        <f>IF(OR(Rent_Roll[[#This Row],[MTM Fee]]="",Rent_Roll[[#This Row],[MTM Fee]]=0),"","MTM Lease")</f>
        <v/>
      </c>
      <c r="O166" s="1340">
        <f ca="1">IFERROR(IF(Rent_Roll[[#This Row],[Lease
Exp]]="","",DATEDIF($F$3,Rent_Roll[[#This Row],[Lease
Exp]],"m")+1),0)</f>
        <v>0</v>
      </c>
      <c r="P166" s="1341">
        <v>44848</v>
      </c>
      <c r="Q166" s="1342" t="str" cm="1">
        <f t="array" ref="Q16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166" s="1343">
        <v>1440</v>
      </c>
      <c r="S166" s="723">
        <v>1180</v>
      </c>
      <c r="T166" s="723"/>
      <c r="U166" s="550">
        <f>Rent_Roll[[#This Row],[Lease
Rent]]+Rent_Roll[[#This Row],[Corp
Rent]]</f>
        <v>1180</v>
      </c>
      <c r="V166" s="1344">
        <f>IF(Rent_Roll[[#This Row],[Total In-Place
Rent]]=0,0,Rent_Roll[[#This Row],[Total In-Place
Rent]]-Rent_Roll[[#This Row],[Market
Rent]])</f>
        <v>-260</v>
      </c>
      <c r="W166" s="1343">
        <v>0</v>
      </c>
      <c r="X166" s="723"/>
      <c r="Y166" s="723"/>
      <c r="Z166" s="723"/>
      <c r="AA166" s="1345"/>
      <c r="AB166" s="723"/>
      <c r="AC166" s="723"/>
      <c r="AD166" s="723"/>
      <c r="AE166" s="723"/>
      <c r="AF166" s="723"/>
      <c r="AG166" s="147"/>
      <c r="AH166" s="147"/>
      <c r="AI166" s="1348" t="str">
        <f>IF(Rent_Roll[[#This Row],[Future
Lease Start]]="","",DATEDIF(Rent_Roll[[#This Row],[Future
Lease Start]],Rent_Roll[[#This Row],[Future
Lease Exp]],"m")+1)</f>
        <v/>
      </c>
      <c r="AJ166" s="1347"/>
    </row>
    <row r="167" spans="2:36" x14ac:dyDescent="0.2">
      <c r="B167" s="638"/>
      <c r="C167" s="638">
        <v>702</v>
      </c>
      <c r="D167" s="638" t="s">
        <v>867</v>
      </c>
      <c r="E167" s="162" t="str">
        <f>IF(Rent_Roll[[#This Row],[Floor-
plan]]="studio",0,LEFT(Rent_Roll[[#This Row],[Floor-
plan]],1))</f>
        <v>3</v>
      </c>
      <c r="F167" s="162" cm="1">
        <f t="array" ref="F16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67" s="1336">
        <v>1277</v>
      </c>
      <c r="H167" s="722" t="s">
        <v>244</v>
      </c>
      <c r="I167" s="722"/>
      <c r="J167" s="1337" t="str" cm="1">
        <f t="array" ref="J16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167" s="1338">
        <v>44675</v>
      </c>
      <c r="L167" s="147">
        <v>45039</v>
      </c>
      <c r="M167" s="1339" cm="1">
        <f t="array" ref="M16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67" s="1337" t="str">
        <f>IF(OR(Rent_Roll[[#This Row],[MTM Fee]]="",Rent_Roll[[#This Row],[MTM Fee]]=0),"","MTM Lease")</f>
        <v/>
      </c>
      <c r="O167" s="1340">
        <f ca="1">IFERROR(IF(Rent_Roll[[#This Row],[Lease
Exp]]="","",DATEDIF($F$3,Rent_Roll[[#This Row],[Lease
Exp]],"m")+1),0)</f>
        <v>3</v>
      </c>
      <c r="P167" s="1341"/>
      <c r="Q167" s="1342" t="str" cm="1">
        <f t="array" ref="Q16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67" s="1343">
        <v>1530</v>
      </c>
      <c r="S167" s="723">
        <v>1460</v>
      </c>
      <c r="T167" s="723"/>
      <c r="U167" s="550">
        <f>Rent_Roll[[#This Row],[Lease
Rent]]+Rent_Roll[[#This Row],[Corp
Rent]]</f>
        <v>1460</v>
      </c>
      <c r="V167" s="1344">
        <f>IF(Rent_Roll[[#This Row],[Total In-Place
Rent]]=0,0,Rent_Roll[[#This Row],[Total In-Place
Rent]]-Rent_Roll[[#This Row],[Market
Rent]])</f>
        <v>-70</v>
      </c>
      <c r="W167" s="1343">
        <v>0</v>
      </c>
      <c r="X167" s="723"/>
      <c r="Y167" s="723"/>
      <c r="Z167" s="723"/>
      <c r="AA167" s="1345"/>
      <c r="AB167" s="723"/>
      <c r="AC167" s="723"/>
      <c r="AD167" s="723"/>
      <c r="AE167" s="723"/>
      <c r="AF167" s="723"/>
      <c r="AG167" s="147"/>
      <c r="AH167" s="147"/>
      <c r="AI167" s="1348" t="str">
        <f>IF(Rent_Roll[[#This Row],[Future
Lease Start]]="","",DATEDIF(Rent_Roll[[#This Row],[Future
Lease Start]],Rent_Roll[[#This Row],[Future
Lease Exp]],"m")+1)</f>
        <v/>
      </c>
      <c r="AJ167" s="1347"/>
    </row>
    <row r="168" spans="2:36" x14ac:dyDescent="0.2">
      <c r="B168" s="638"/>
      <c r="C168" s="638">
        <v>703</v>
      </c>
      <c r="D168" s="638" t="s">
        <v>866</v>
      </c>
      <c r="E168" s="162" t="str">
        <f>IF(Rent_Roll[[#This Row],[Floor-
plan]]="studio",0,LEFT(Rent_Roll[[#This Row],[Floor-
plan]],1))</f>
        <v>2</v>
      </c>
      <c r="F168" s="162" cm="1">
        <f t="array" ref="F16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68" s="1336">
        <v>1000</v>
      </c>
      <c r="H168" s="722" t="s">
        <v>244</v>
      </c>
      <c r="I168" s="722"/>
      <c r="J168" s="1337" t="str" cm="1">
        <f t="array" ref="J16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68" s="1338">
        <v>44471</v>
      </c>
      <c r="L168" s="147">
        <v>44835</v>
      </c>
      <c r="M168" s="1339" cm="1">
        <f t="array" ref="M16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68" s="1337" t="str">
        <f>IF(OR(Rent_Roll[[#This Row],[MTM Fee]]="",Rent_Roll[[#This Row],[MTM Fee]]=0),"","MTM Lease")</f>
        <v/>
      </c>
      <c r="O168" s="1340">
        <f ca="1">IFERROR(IF(Rent_Roll[[#This Row],[Lease
Exp]]="","",DATEDIF($F$3,Rent_Roll[[#This Row],[Lease
Exp]],"m")+1),0)</f>
        <v>0</v>
      </c>
      <c r="P168" s="1341"/>
      <c r="Q168" s="1342" t="str" cm="1">
        <f t="array" ref="Q16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68" s="1343">
        <v>1370</v>
      </c>
      <c r="S168" s="723">
        <v>1180</v>
      </c>
      <c r="T168" s="723"/>
      <c r="U168" s="550">
        <f>Rent_Roll[[#This Row],[Lease
Rent]]+Rent_Roll[[#This Row],[Corp
Rent]]</f>
        <v>1180</v>
      </c>
      <c r="V168" s="1344">
        <f>IF(Rent_Roll[[#This Row],[Total In-Place
Rent]]=0,0,Rent_Roll[[#This Row],[Total In-Place
Rent]]-Rent_Roll[[#This Row],[Market
Rent]])</f>
        <v>-190</v>
      </c>
      <c r="W168" s="1343">
        <v>0</v>
      </c>
      <c r="X168" s="723"/>
      <c r="Y168" s="723"/>
      <c r="Z168" s="723"/>
      <c r="AA168" s="1345"/>
      <c r="AB168" s="723"/>
      <c r="AC168" s="723"/>
      <c r="AD168" s="723"/>
      <c r="AE168" s="723"/>
      <c r="AF168" s="723"/>
      <c r="AG168" s="147"/>
      <c r="AH168" s="147"/>
      <c r="AI168" s="1348" t="str">
        <f>IF(Rent_Roll[[#This Row],[Future
Lease Start]]="","",DATEDIF(Rent_Roll[[#This Row],[Future
Lease Start]],Rent_Roll[[#This Row],[Future
Lease Exp]],"m")+1)</f>
        <v/>
      </c>
      <c r="AJ168" s="1347"/>
    </row>
    <row r="169" spans="2:36" x14ac:dyDescent="0.2">
      <c r="B169" s="638"/>
      <c r="C169" s="638">
        <v>706</v>
      </c>
      <c r="D169" s="638" t="s">
        <v>866</v>
      </c>
      <c r="E169" s="162" t="str">
        <f>IF(Rent_Roll[[#This Row],[Floor-
plan]]="studio",0,LEFT(Rent_Roll[[#This Row],[Floor-
plan]],1))</f>
        <v>2</v>
      </c>
      <c r="F169" s="162" cm="1">
        <f t="array" ref="F16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69" s="1336">
        <v>1000</v>
      </c>
      <c r="H169" s="722" t="s">
        <v>245</v>
      </c>
      <c r="I169" s="722"/>
      <c r="J169" s="1337" t="str" cm="1">
        <f t="array" ref="J16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69" s="1338" t="s">
        <v>873</v>
      </c>
      <c r="L169" s="147" t="s">
        <v>873</v>
      </c>
      <c r="M169" s="1339" t="str" cm="1">
        <f t="array" ref="M169">_xlfn.IFS(Rent_Roll[[#This Row],[Lease
Exp]]="","",Rent_Roll[[#This Row],[MTM
Lease]]="MTM Lease","--",Rent_Roll[[#This Row],[Lease
Exp]]&gt;0,(DATEDIF(Rent_Roll[[#This Row],[Lease
Start]],Rent_Roll[[#This Row],[Lease
Exp]],"m")+1))</f>
        <v/>
      </c>
      <c r="N169" s="1337" t="str">
        <f>IF(OR(Rent_Roll[[#This Row],[MTM Fee]]="",Rent_Roll[[#This Row],[MTM Fee]]=0),"","MTM Lease")</f>
        <v/>
      </c>
      <c r="O169" s="1340" t="str">
        <f>IFERROR(IF(Rent_Roll[[#This Row],[Lease
Exp]]="","",DATEDIF($F$3,Rent_Roll[[#This Row],[Lease
Exp]],"m")+1),0)</f>
        <v/>
      </c>
      <c r="P169" s="1341"/>
      <c r="Q169" s="1342" t="str" cm="1">
        <f t="array" ref="Q16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69" s="1343">
        <v>1370</v>
      </c>
      <c r="S169" s="723">
        <v>0</v>
      </c>
      <c r="T169" s="723"/>
      <c r="U169" s="550">
        <f>Rent_Roll[[#This Row],[Lease
Rent]]+Rent_Roll[[#This Row],[Corp
Rent]]</f>
        <v>0</v>
      </c>
      <c r="V169" s="1344">
        <f>IF(Rent_Roll[[#This Row],[Total In-Place
Rent]]=0,0,Rent_Roll[[#This Row],[Total In-Place
Rent]]-Rent_Roll[[#This Row],[Market
Rent]])</f>
        <v>0</v>
      </c>
      <c r="W169" s="1343">
        <v>0</v>
      </c>
      <c r="X169" s="723"/>
      <c r="Y169" s="723"/>
      <c r="Z169" s="723"/>
      <c r="AA169" s="1345"/>
      <c r="AB169" s="723"/>
      <c r="AC169" s="723"/>
      <c r="AD169" s="723"/>
      <c r="AE169" s="723"/>
      <c r="AF169" s="723"/>
      <c r="AG169" s="147"/>
      <c r="AH169" s="147"/>
      <c r="AI169" s="1348" t="str">
        <f>IF(Rent_Roll[[#This Row],[Future
Lease Start]]="","",DATEDIF(Rent_Roll[[#This Row],[Future
Lease Start]],Rent_Roll[[#This Row],[Future
Lease Exp]],"m")+1)</f>
        <v/>
      </c>
      <c r="AJ169" s="1347"/>
    </row>
    <row r="170" spans="2:36" x14ac:dyDescent="0.2">
      <c r="B170" s="638"/>
      <c r="C170" s="638">
        <v>707</v>
      </c>
      <c r="D170" s="638" t="s">
        <v>867</v>
      </c>
      <c r="E170" s="162" t="str">
        <f>IF(Rent_Roll[[#This Row],[Floor-
plan]]="studio",0,LEFT(Rent_Roll[[#This Row],[Floor-
plan]],1))</f>
        <v>3</v>
      </c>
      <c r="F170" s="162" cm="1">
        <f t="array" ref="F17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70" s="1336">
        <v>1277</v>
      </c>
      <c r="H170" s="722" t="s">
        <v>244</v>
      </c>
      <c r="I170" s="722"/>
      <c r="J170" s="1337" t="str" cm="1">
        <f t="array" ref="J17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170" s="1338">
        <v>44597</v>
      </c>
      <c r="L170" s="147">
        <v>44961</v>
      </c>
      <c r="M170" s="1339" cm="1">
        <f t="array" ref="M17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70" s="1337" t="str">
        <f>IF(OR(Rent_Roll[[#This Row],[MTM Fee]]="",Rent_Roll[[#This Row],[MTM Fee]]=0),"","MTM Lease")</f>
        <v/>
      </c>
      <c r="O170" s="1340">
        <f ca="1">IFERROR(IF(Rent_Roll[[#This Row],[Lease
Exp]]="","",DATEDIF($F$3,Rent_Roll[[#This Row],[Lease
Exp]],"m")+1),0)</f>
        <v>1</v>
      </c>
      <c r="P170" s="1341"/>
      <c r="Q170" s="1342" t="str" cm="1">
        <f t="array" ref="Q17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70" s="1343">
        <v>1530</v>
      </c>
      <c r="S170" s="723">
        <v>1530</v>
      </c>
      <c r="T170" s="723"/>
      <c r="U170" s="550">
        <f>Rent_Roll[[#This Row],[Lease
Rent]]+Rent_Roll[[#This Row],[Corp
Rent]]</f>
        <v>1530</v>
      </c>
      <c r="V170" s="1344">
        <f>IF(Rent_Roll[[#This Row],[Total In-Place
Rent]]=0,0,Rent_Roll[[#This Row],[Total In-Place
Rent]]-Rent_Roll[[#This Row],[Market
Rent]])</f>
        <v>0</v>
      </c>
      <c r="W170" s="1343">
        <v>0</v>
      </c>
      <c r="X170" s="723"/>
      <c r="Y170" s="723"/>
      <c r="Z170" s="723"/>
      <c r="AA170" s="1345"/>
      <c r="AB170" s="723"/>
      <c r="AC170" s="723"/>
      <c r="AD170" s="723"/>
      <c r="AE170" s="723"/>
      <c r="AF170" s="723"/>
      <c r="AG170" s="147"/>
      <c r="AH170" s="147"/>
      <c r="AI170" s="1348" t="str">
        <f>IF(Rent_Roll[[#This Row],[Future
Lease Start]]="","",DATEDIF(Rent_Roll[[#This Row],[Future
Lease Start]],Rent_Roll[[#This Row],[Future
Lease Exp]],"m")+1)</f>
        <v/>
      </c>
      <c r="AJ170" s="1347"/>
    </row>
    <row r="171" spans="2:36" x14ac:dyDescent="0.2">
      <c r="B171" s="638"/>
      <c r="C171" s="638">
        <v>711</v>
      </c>
      <c r="D171" s="638" t="s">
        <v>867</v>
      </c>
      <c r="E171" s="162" t="str">
        <f>IF(Rent_Roll[[#This Row],[Floor-
plan]]="studio",0,LEFT(Rent_Roll[[#This Row],[Floor-
plan]],1))</f>
        <v>3</v>
      </c>
      <c r="F171" s="162" cm="1">
        <f t="array" ref="F17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71" s="1336">
        <v>1277</v>
      </c>
      <c r="H171" s="722" t="s">
        <v>244</v>
      </c>
      <c r="I171" s="722"/>
      <c r="J171" s="1337" t="str" cm="1">
        <f t="array" ref="J17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171" s="1338">
        <v>44778</v>
      </c>
      <c r="L171" s="147">
        <v>45142</v>
      </c>
      <c r="M171" s="1339" cm="1">
        <f t="array" ref="M17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71" s="1337" t="str">
        <f>IF(OR(Rent_Roll[[#This Row],[MTM Fee]]="",Rent_Roll[[#This Row],[MTM Fee]]=0),"","MTM Lease")</f>
        <v/>
      </c>
      <c r="O171" s="1340">
        <f ca="1">IFERROR(IF(Rent_Roll[[#This Row],[Lease
Exp]]="","",DATEDIF($F$3,Rent_Roll[[#This Row],[Lease
Exp]],"m")+1),0)</f>
        <v>7</v>
      </c>
      <c r="P171" s="1341"/>
      <c r="Q171" s="1342" t="str" cm="1">
        <f t="array" ref="Q17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71" s="1343">
        <v>1540</v>
      </c>
      <c r="S171" s="723">
        <v>1540</v>
      </c>
      <c r="T171" s="723"/>
      <c r="U171" s="550">
        <f>Rent_Roll[[#This Row],[Lease
Rent]]+Rent_Roll[[#This Row],[Corp
Rent]]</f>
        <v>1540</v>
      </c>
      <c r="V171" s="1344">
        <f>IF(Rent_Roll[[#This Row],[Total In-Place
Rent]]=0,0,Rent_Roll[[#This Row],[Total In-Place
Rent]]-Rent_Roll[[#This Row],[Market
Rent]])</f>
        <v>0</v>
      </c>
      <c r="W171" s="1343">
        <v>0</v>
      </c>
      <c r="X171" s="723"/>
      <c r="Y171" s="723"/>
      <c r="Z171" s="723"/>
      <c r="AA171" s="1345"/>
      <c r="AB171" s="723"/>
      <c r="AC171" s="723"/>
      <c r="AD171" s="723"/>
      <c r="AE171" s="723"/>
      <c r="AF171" s="723"/>
      <c r="AG171" s="147"/>
      <c r="AH171" s="147"/>
      <c r="AI171" s="1348" t="str">
        <f>IF(Rent_Roll[[#This Row],[Future
Lease Start]]="","",DATEDIF(Rent_Roll[[#This Row],[Future
Lease Start]],Rent_Roll[[#This Row],[Future
Lease Exp]],"m")+1)</f>
        <v/>
      </c>
      <c r="AJ171" s="1347"/>
    </row>
    <row r="172" spans="2:36" x14ac:dyDescent="0.2">
      <c r="B172" s="638"/>
      <c r="C172" s="638">
        <v>712</v>
      </c>
      <c r="D172" s="638" t="s">
        <v>867</v>
      </c>
      <c r="E172" s="162" t="str">
        <f>IF(Rent_Roll[[#This Row],[Floor-
plan]]="studio",0,LEFT(Rent_Roll[[#This Row],[Floor-
plan]],1))</f>
        <v>3</v>
      </c>
      <c r="F172" s="162" cm="1">
        <f t="array" ref="F17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72" s="1336">
        <v>1277</v>
      </c>
      <c r="H172" s="722" t="s">
        <v>244</v>
      </c>
      <c r="I172" s="722"/>
      <c r="J172" s="1337" t="str" cm="1">
        <f t="array" ref="J17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172" s="1338">
        <v>44512</v>
      </c>
      <c r="L172" s="147">
        <v>44876</v>
      </c>
      <c r="M172" s="1339" cm="1">
        <f t="array" ref="M17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72" s="1337" t="str">
        <f>IF(OR(Rent_Roll[[#This Row],[MTM Fee]]="",Rent_Roll[[#This Row],[MTM Fee]]=0),"","MTM Lease")</f>
        <v/>
      </c>
      <c r="O172" s="1340">
        <f ca="1">IFERROR(IF(Rent_Roll[[#This Row],[Lease
Exp]]="","",DATEDIF($F$3,Rent_Roll[[#This Row],[Lease
Exp]],"m")+1),0)</f>
        <v>0</v>
      </c>
      <c r="P172" s="1341"/>
      <c r="Q172" s="1342" t="str" cm="1">
        <f t="array" ref="Q17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72" s="1343">
        <v>1540</v>
      </c>
      <c r="S172" s="723">
        <v>1540</v>
      </c>
      <c r="T172" s="723"/>
      <c r="U172" s="550">
        <f>Rent_Roll[[#This Row],[Lease
Rent]]+Rent_Roll[[#This Row],[Corp
Rent]]</f>
        <v>1540</v>
      </c>
      <c r="V172" s="1344">
        <f>IF(Rent_Roll[[#This Row],[Total In-Place
Rent]]=0,0,Rent_Roll[[#This Row],[Total In-Place
Rent]]-Rent_Roll[[#This Row],[Market
Rent]])</f>
        <v>0</v>
      </c>
      <c r="W172" s="1343">
        <v>0</v>
      </c>
      <c r="X172" s="723"/>
      <c r="Y172" s="723"/>
      <c r="Z172" s="723"/>
      <c r="AA172" s="1345"/>
      <c r="AB172" s="723"/>
      <c r="AC172" s="723"/>
      <c r="AD172" s="723"/>
      <c r="AE172" s="723"/>
      <c r="AF172" s="723"/>
      <c r="AG172" s="147"/>
      <c r="AH172" s="147"/>
      <c r="AI172" s="1348" t="str">
        <f>IF(Rent_Roll[[#This Row],[Future
Lease Start]]="","",DATEDIF(Rent_Roll[[#This Row],[Future
Lease Start]],Rent_Roll[[#This Row],[Future
Lease Exp]],"m")+1)</f>
        <v/>
      </c>
      <c r="AJ172" s="1347"/>
    </row>
    <row r="173" spans="2:36" x14ac:dyDescent="0.2">
      <c r="B173" s="638"/>
      <c r="C173" s="638">
        <v>713</v>
      </c>
      <c r="D173" s="638" t="s">
        <v>866</v>
      </c>
      <c r="E173" s="162" t="str">
        <f>IF(Rent_Roll[[#This Row],[Floor-
plan]]="studio",0,LEFT(Rent_Roll[[#This Row],[Floor-
plan]],1))</f>
        <v>2</v>
      </c>
      <c r="F173" s="162" cm="1">
        <f t="array" ref="F17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73" s="1336">
        <v>1000</v>
      </c>
      <c r="H173" s="722" t="s">
        <v>244</v>
      </c>
      <c r="I173" s="722"/>
      <c r="J173" s="1337" t="str" cm="1">
        <f t="array" ref="J17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73" s="1338">
        <v>44539</v>
      </c>
      <c r="L173" s="147">
        <v>44903</v>
      </c>
      <c r="M173" s="1339" cm="1">
        <f t="array" ref="M17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73" s="1337" t="str">
        <f>IF(OR(Rent_Roll[[#This Row],[MTM Fee]]="",Rent_Roll[[#This Row],[MTM Fee]]=0),"","MTM Lease")</f>
        <v/>
      </c>
      <c r="O173" s="1340">
        <f ca="1">IFERROR(IF(Rent_Roll[[#This Row],[Lease
Exp]]="","",DATEDIF($F$3,Rent_Roll[[#This Row],[Lease
Exp]],"m")+1),0)</f>
        <v>0</v>
      </c>
      <c r="P173" s="1341"/>
      <c r="Q173" s="1342" t="str" cm="1">
        <f t="array" ref="Q17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73" s="1343">
        <v>1380</v>
      </c>
      <c r="S173" s="723">
        <v>1210</v>
      </c>
      <c r="T173" s="723"/>
      <c r="U173" s="550">
        <f>Rent_Roll[[#This Row],[Lease
Rent]]+Rent_Roll[[#This Row],[Corp
Rent]]</f>
        <v>1210</v>
      </c>
      <c r="V173" s="1344">
        <f>IF(Rent_Roll[[#This Row],[Total In-Place
Rent]]=0,0,Rent_Roll[[#This Row],[Total In-Place
Rent]]-Rent_Roll[[#This Row],[Market
Rent]])</f>
        <v>-170</v>
      </c>
      <c r="W173" s="1343">
        <v>0</v>
      </c>
      <c r="X173" s="723"/>
      <c r="Y173" s="723"/>
      <c r="Z173" s="723"/>
      <c r="AA173" s="1345"/>
      <c r="AB173" s="723"/>
      <c r="AC173" s="723"/>
      <c r="AD173" s="723"/>
      <c r="AE173" s="723"/>
      <c r="AF173" s="723"/>
      <c r="AG173" s="147"/>
      <c r="AH173" s="147"/>
      <c r="AI173" s="1348" t="str">
        <f>IF(Rent_Roll[[#This Row],[Future
Lease Start]]="","",DATEDIF(Rent_Roll[[#This Row],[Future
Lease Start]],Rent_Roll[[#This Row],[Future
Lease Exp]],"m")+1)</f>
        <v/>
      </c>
      <c r="AJ173" s="1347"/>
    </row>
    <row r="174" spans="2:36" x14ac:dyDescent="0.2">
      <c r="B174" s="638"/>
      <c r="C174" s="638">
        <v>714</v>
      </c>
      <c r="D174" s="638" t="s">
        <v>866</v>
      </c>
      <c r="E174" s="162" t="str">
        <f>IF(Rent_Roll[[#This Row],[Floor-
plan]]="studio",0,LEFT(Rent_Roll[[#This Row],[Floor-
plan]],1))</f>
        <v>2</v>
      </c>
      <c r="F174" s="162" cm="1">
        <f t="array" ref="F17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74" s="1336">
        <v>1000</v>
      </c>
      <c r="H174" s="722" t="s">
        <v>244</v>
      </c>
      <c r="I174" s="722"/>
      <c r="J174" s="1337" t="str" cm="1">
        <f t="array" ref="J17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74" s="1338">
        <v>44740</v>
      </c>
      <c r="L174" s="147">
        <v>45226</v>
      </c>
      <c r="M174" s="1339" cm="1">
        <f t="array" ref="M174">_xlfn.IFS(Rent_Roll[[#This Row],[Lease
Exp]]="","",Rent_Roll[[#This Row],[MTM
Lease]]="MTM Lease","--",Rent_Roll[[#This Row],[Lease
Exp]]&gt;0,(DATEDIF(Rent_Roll[[#This Row],[Lease
Start]],Rent_Roll[[#This Row],[Lease
Exp]],"m")+1))</f>
        <v>16</v>
      </c>
      <c r="N174" s="1337" t="str">
        <f>IF(OR(Rent_Roll[[#This Row],[MTM Fee]]="",Rent_Roll[[#This Row],[MTM Fee]]=0),"","MTM Lease")</f>
        <v/>
      </c>
      <c r="O174" s="1340">
        <f ca="1">IFERROR(IF(Rent_Roll[[#This Row],[Lease
Exp]]="","",DATEDIF($F$3,Rent_Roll[[#This Row],[Lease
Exp]],"m")+1),0)</f>
        <v>10</v>
      </c>
      <c r="P174" s="1341"/>
      <c r="Q174" s="1342" t="str" cm="1">
        <f t="array" ref="Q17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74" s="1343">
        <v>1380</v>
      </c>
      <c r="S174" s="723">
        <v>1000</v>
      </c>
      <c r="T174" s="723"/>
      <c r="U174" s="550">
        <f>Rent_Roll[[#This Row],[Lease
Rent]]+Rent_Roll[[#This Row],[Corp
Rent]]</f>
        <v>1000</v>
      </c>
      <c r="V174" s="1344">
        <f>IF(Rent_Roll[[#This Row],[Total In-Place
Rent]]=0,0,Rent_Roll[[#This Row],[Total In-Place
Rent]]-Rent_Roll[[#This Row],[Market
Rent]])</f>
        <v>-380</v>
      </c>
      <c r="W174" s="1343">
        <v>0</v>
      </c>
      <c r="X174" s="723"/>
      <c r="Y174" s="723"/>
      <c r="Z174" s="723"/>
      <c r="AA174" s="1345"/>
      <c r="AB174" s="723"/>
      <c r="AC174" s="723"/>
      <c r="AD174" s="723"/>
      <c r="AE174" s="723"/>
      <c r="AF174" s="723"/>
      <c r="AG174" s="147"/>
      <c r="AH174" s="147"/>
      <c r="AI174" s="1348" t="str">
        <f>IF(Rent_Roll[[#This Row],[Future
Lease Start]]="","",DATEDIF(Rent_Roll[[#This Row],[Future
Lease Start]],Rent_Roll[[#This Row],[Future
Lease Exp]],"m")+1)</f>
        <v/>
      </c>
      <c r="AJ174" s="1347"/>
    </row>
    <row r="175" spans="2:36" x14ac:dyDescent="0.2">
      <c r="B175" s="638"/>
      <c r="C175" s="638">
        <v>715</v>
      </c>
      <c r="D175" s="638" t="s">
        <v>866</v>
      </c>
      <c r="E175" s="162" t="str">
        <f>IF(Rent_Roll[[#This Row],[Floor-
plan]]="studio",0,LEFT(Rent_Roll[[#This Row],[Floor-
plan]],1))</f>
        <v>2</v>
      </c>
      <c r="F175" s="162" cm="1">
        <f t="array" ref="F17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75" s="1336">
        <v>1000</v>
      </c>
      <c r="H175" s="722" t="s">
        <v>244</v>
      </c>
      <c r="I175" s="722"/>
      <c r="J175" s="1337" t="str" cm="1">
        <f t="array" ref="J17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75" s="1338">
        <v>44728</v>
      </c>
      <c r="L175" s="147">
        <v>45092</v>
      </c>
      <c r="M175" s="1339" cm="1">
        <f t="array" ref="M17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75" s="1337" t="str">
        <f>IF(OR(Rent_Roll[[#This Row],[MTM Fee]]="",Rent_Roll[[#This Row],[MTM Fee]]=0),"","MTM Lease")</f>
        <v/>
      </c>
      <c r="O175" s="1340">
        <f ca="1">IFERROR(IF(Rent_Roll[[#This Row],[Lease
Exp]]="","",DATEDIF($F$3,Rent_Roll[[#This Row],[Lease
Exp]],"m")+1),0)</f>
        <v>5</v>
      </c>
      <c r="P175" s="1341"/>
      <c r="Q175" s="1342" t="str" cm="1">
        <f t="array" ref="Q17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75" s="1343">
        <v>1380</v>
      </c>
      <c r="S175" s="723">
        <v>1380</v>
      </c>
      <c r="T175" s="723"/>
      <c r="U175" s="550">
        <f>Rent_Roll[[#This Row],[Lease
Rent]]+Rent_Roll[[#This Row],[Corp
Rent]]</f>
        <v>1380</v>
      </c>
      <c r="V175" s="1344">
        <f>IF(Rent_Roll[[#This Row],[Total In-Place
Rent]]=0,0,Rent_Roll[[#This Row],[Total In-Place
Rent]]-Rent_Roll[[#This Row],[Market
Rent]])</f>
        <v>0</v>
      </c>
      <c r="W175" s="1343">
        <v>0</v>
      </c>
      <c r="X175" s="723"/>
      <c r="Y175" s="723"/>
      <c r="Z175" s="723"/>
      <c r="AA175" s="1345"/>
      <c r="AB175" s="723"/>
      <c r="AC175" s="723"/>
      <c r="AD175" s="723"/>
      <c r="AE175" s="723"/>
      <c r="AF175" s="723"/>
      <c r="AG175" s="147"/>
      <c r="AH175" s="147"/>
      <c r="AI175" s="1348" t="str">
        <f>IF(Rent_Roll[[#This Row],[Future
Lease Start]]="","",DATEDIF(Rent_Roll[[#This Row],[Future
Lease Start]],Rent_Roll[[#This Row],[Future
Lease Exp]],"m")+1)</f>
        <v/>
      </c>
      <c r="AJ175" s="1347"/>
    </row>
    <row r="176" spans="2:36" x14ac:dyDescent="0.2">
      <c r="B176" s="638"/>
      <c r="C176" s="638">
        <v>716</v>
      </c>
      <c r="D176" s="638" t="s">
        <v>866</v>
      </c>
      <c r="E176" s="162" t="str">
        <f>IF(Rent_Roll[[#This Row],[Floor-
plan]]="studio",0,LEFT(Rent_Roll[[#This Row],[Floor-
plan]],1))</f>
        <v>2</v>
      </c>
      <c r="F176" s="162" cm="1">
        <f t="array" ref="F17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76" s="1336">
        <v>1000</v>
      </c>
      <c r="H176" s="722" t="s">
        <v>244</v>
      </c>
      <c r="I176" s="722"/>
      <c r="J176" s="1337" t="str" cm="1">
        <f t="array" ref="J17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76" s="1338">
        <v>44753</v>
      </c>
      <c r="L176" s="147">
        <v>45117</v>
      </c>
      <c r="M176" s="1339" cm="1">
        <f t="array" ref="M17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76" s="1337" t="str">
        <f>IF(OR(Rent_Roll[[#This Row],[MTM Fee]]="",Rent_Roll[[#This Row],[MTM Fee]]=0),"","MTM Lease")</f>
        <v/>
      </c>
      <c r="O176" s="1340">
        <f ca="1">IFERROR(IF(Rent_Roll[[#This Row],[Lease
Exp]]="","",DATEDIF($F$3,Rent_Roll[[#This Row],[Lease
Exp]],"m")+1),0)</f>
        <v>6</v>
      </c>
      <c r="P176" s="1341"/>
      <c r="Q176" s="1342" t="str" cm="1">
        <f t="array" ref="Q17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76" s="1343">
        <v>1380</v>
      </c>
      <c r="S176" s="723">
        <v>1380</v>
      </c>
      <c r="T176" s="723"/>
      <c r="U176" s="550">
        <f>Rent_Roll[[#This Row],[Lease
Rent]]+Rent_Roll[[#This Row],[Corp
Rent]]</f>
        <v>1380</v>
      </c>
      <c r="V176" s="1344">
        <f>IF(Rent_Roll[[#This Row],[Total In-Place
Rent]]=0,0,Rent_Roll[[#This Row],[Total In-Place
Rent]]-Rent_Roll[[#This Row],[Market
Rent]])</f>
        <v>0</v>
      </c>
      <c r="W176" s="1343">
        <v>0</v>
      </c>
      <c r="X176" s="723"/>
      <c r="Y176" s="723"/>
      <c r="Z176" s="723"/>
      <c r="AA176" s="1345"/>
      <c r="AB176" s="723"/>
      <c r="AC176" s="723"/>
      <c r="AD176" s="723"/>
      <c r="AE176" s="723"/>
      <c r="AF176" s="723"/>
      <c r="AG176" s="147"/>
      <c r="AH176" s="147"/>
      <c r="AI176" s="1348" t="str">
        <f>IF(Rent_Roll[[#This Row],[Future
Lease Start]]="","",DATEDIF(Rent_Roll[[#This Row],[Future
Lease Start]],Rent_Roll[[#This Row],[Future
Lease Exp]],"m")+1)</f>
        <v/>
      </c>
      <c r="AJ176" s="1347"/>
    </row>
    <row r="177" spans="2:36" x14ac:dyDescent="0.2">
      <c r="B177" s="638"/>
      <c r="C177" s="638">
        <v>717</v>
      </c>
      <c r="D177" s="638" t="s">
        <v>867</v>
      </c>
      <c r="E177" s="162" t="str">
        <f>IF(Rent_Roll[[#This Row],[Floor-
plan]]="studio",0,LEFT(Rent_Roll[[#This Row],[Floor-
plan]],1))</f>
        <v>3</v>
      </c>
      <c r="F177" s="162" cm="1">
        <f t="array" ref="F17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77" s="1336">
        <v>1277</v>
      </c>
      <c r="H177" s="722" t="s">
        <v>244</v>
      </c>
      <c r="I177" s="722"/>
      <c r="J177" s="1337" t="str" cm="1">
        <f t="array" ref="J17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177" s="1338">
        <v>44492</v>
      </c>
      <c r="L177" s="147">
        <v>44856</v>
      </c>
      <c r="M177" s="1339" cm="1">
        <f t="array" ref="M17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77" s="1337" t="str">
        <f>IF(OR(Rent_Roll[[#This Row],[MTM Fee]]="",Rent_Roll[[#This Row],[MTM Fee]]=0),"","MTM Lease")</f>
        <v/>
      </c>
      <c r="O177" s="1340">
        <f ca="1">IFERROR(IF(Rent_Roll[[#This Row],[Lease
Exp]]="","",DATEDIF($F$3,Rent_Roll[[#This Row],[Lease
Exp]],"m")+1),0)</f>
        <v>0</v>
      </c>
      <c r="P177" s="1341"/>
      <c r="Q177" s="1342" t="str" cm="1">
        <f t="array" ref="Q17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77" s="1343">
        <v>1540</v>
      </c>
      <c r="S177" s="723">
        <v>1325</v>
      </c>
      <c r="T177" s="723"/>
      <c r="U177" s="550">
        <f>Rent_Roll[[#This Row],[Lease
Rent]]+Rent_Roll[[#This Row],[Corp
Rent]]</f>
        <v>1325</v>
      </c>
      <c r="V177" s="1344">
        <f>IF(Rent_Roll[[#This Row],[Total In-Place
Rent]]=0,0,Rent_Roll[[#This Row],[Total In-Place
Rent]]-Rent_Roll[[#This Row],[Market
Rent]])</f>
        <v>-215</v>
      </c>
      <c r="W177" s="1343">
        <v>0</v>
      </c>
      <c r="X177" s="723"/>
      <c r="Y177" s="723"/>
      <c r="Z177" s="723"/>
      <c r="AA177" s="1345"/>
      <c r="AB177" s="723"/>
      <c r="AC177" s="723"/>
      <c r="AD177" s="723"/>
      <c r="AE177" s="723"/>
      <c r="AF177" s="723"/>
      <c r="AG177" s="147"/>
      <c r="AH177" s="147"/>
      <c r="AI177" s="1348" t="str">
        <f>IF(Rent_Roll[[#This Row],[Future
Lease Start]]="","",DATEDIF(Rent_Roll[[#This Row],[Future
Lease Start]],Rent_Roll[[#This Row],[Future
Lease Exp]],"m")+1)</f>
        <v/>
      </c>
      <c r="AJ177" s="1347"/>
    </row>
    <row r="178" spans="2:36" x14ac:dyDescent="0.2">
      <c r="B178" s="638"/>
      <c r="C178" s="638">
        <v>718</v>
      </c>
      <c r="D178" s="638" t="s">
        <v>867</v>
      </c>
      <c r="E178" s="162" t="str">
        <f>IF(Rent_Roll[[#This Row],[Floor-
plan]]="studio",0,LEFT(Rent_Roll[[#This Row],[Floor-
plan]],1))</f>
        <v>3</v>
      </c>
      <c r="F178" s="162" cm="1">
        <f t="array" ref="F17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78" s="1336">
        <v>1277</v>
      </c>
      <c r="H178" s="722" t="s">
        <v>244</v>
      </c>
      <c r="I178" s="722"/>
      <c r="J178" s="1337" t="str" cm="1">
        <f t="array" ref="J17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178" s="1338">
        <v>44721</v>
      </c>
      <c r="L178" s="147">
        <v>45085</v>
      </c>
      <c r="M178" s="1339" cm="1">
        <f t="array" ref="M17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78" s="1337" t="str">
        <f>IF(OR(Rent_Roll[[#This Row],[MTM Fee]]="",Rent_Roll[[#This Row],[MTM Fee]]=0),"","MTM Lease")</f>
        <v/>
      </c>
      <c r="O178" s="1340">
        <f ca="1">IFERROR(IF(Rent_Roll[[#This Row],[Lease
Exp]]="","",DATEDIF($F$3,Rent_Roll[[#This Row],[Lease
Exp]],"m")+1),0)</f>
        <v>5</v>
      </c>
      <c r="P178" s="1341"/>
      <c r="Q178" s="1342" t="str" cm="1">
        <f t="array" ref="Q17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78" s="1343">
        <v>1540</v>
      </c>
      <c r="S178" s="723">
        <v>1460</v>
      </c>
      <c r="T178" s="723"/>
      <c r="U178" s="550">
        <f>Rent_Roll[[#This Row],[Lease
Rent]]+Rent_Roll[[#This Row],[Corp
Rent]]</f>
        <v>1460</v>
      </c>
      <c r="V178" s="1344">
        <f>IF(Rent_Roll[[#This Row],[Total In-Place
Rent]]=0,0,Rent_Roll[[#This Row],[Total In-Place
Rent]]-Rent_Roll[[#This Row],[Market
Rent]])</f>
        <v>-80</v>
      </c>
      <c r="W178" s="1343">
        <v>0</v>
      </c>
      <c r="X178" s="723"/>
      <c r="Y178" s="723"/>
      <c r="Z178" s="723"/>
      <c r="AA178" s="1345"/>
      <c r="AB178" s="723"/>
      <c r="AC178" s="723"/>
      <c r="AD178" s="723"/>
      <c r="AE178" s="723"/>
      <c r="AF178" s="723"/>
      <c r="AG178" s="147"/>
      <c r="AH178" s="147"/>
      <c r="AI178" s="1348" t="str">
        <f>IF(Rent_Roll[[#This Row],[Future
Lease Start]]="","",DATEDIF(Rent_Roll[[#This Row],[Future
Lease Start]],Rent_Roll[[#This Row],[Future
Lease Exp]],"m")+1)</f>
        <v/>
      </c>
      <c r="AJ178" s="1347"/>
    </row>
    <row r="179" spans="2:36" x14ac:dyDescent="0.2">
      <c r="B179" s="638"/>
      <c r="C179" s="638">
        <v>721</v>
      </c>
      <c r="D179" s="638" t="s">
        <v>867</v>
      </c>
      <c r="E179" s="162" t="str">
        <f>IF(Rent_Roll[[#This Row],[Floor-
plan]]="studio",0,LEFT(Rent_Roll[[#This Row],[Floor-
plan]],1))</f>
        <v>3</v>
      </c>
      <c r="F179" s="162" cm="1">
        <f t="array" ref="F17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79" s="1336">
        <v>1277</v>
      </c>
      <c r="H179" s="722" t="s">
        <v>244</v>
      </c>
      <c r="I179" s="722"/>
      <c r="J179" s="1337" t="str" cm="1">
        <f t="array" ref="J17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179" s="1338">
        <v>44767</v>
      </c>
      <c r="L179" s="147">
        <v>45131</v>
      </c>
      <c r="M179" s="1339" cm="1">
        <f t="array" ref="M17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79" s="1337" t="str">
        <f>IF(OR(Rent_Roll[[#This Row],[MTM Fee]]="",Rent_Roll[[#This Row],[MTM Fee]]=0),"","MTM Lease")</f>
        <v/>
      </c>
      <c r="O179" s="1340">
        <f ca="1">IFERROR(IF(Rent_Roll[[#This Row],[Lease
Exp]]="","",DATEDIF($F$3,Rent_Roll[[#This Row],[Lease
Exp]],"m")+1),0)</f>
        <v>6</v>
      </c>
      <c r="P179" s="1341"/>
      <c r="Q179" s="1342" t="str" cm="1">
        <f t="array" ref="Q17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79" s="1343">
        <v>1520</v>
      </c>
      <c r="S179" s="723">
        <v>1520</v>
      </c>
      <c r="T179" s="723"/>
      <c r="U179" s="550">
        <f>Rent_Roll[[#This Row],[Lease
Rent]]+Rent_Roll[[#This Row],[Corp
Rent]]</f>
        <v>1520</v>
      </c>
      <c r="V179" s="1344">
        <f>IF(Rent_Roll[[#This Row],[Total In-Place
Rent]]=0,0,Rent_Roll[[#This Row],[Total In-Place
Rent]]-Rent_Roll[[#This Row],[Market
Rent]])</f>
        <v>0</v>
      </c>
      <c r="W179" s="1343">
        <v>0</v>
      </c>
      <c r="X179" s="723"/>
      <c r="Y179" s="723"/>
      <c r="Z179" s="723"/>
      <c r="AA179" s="1345"/>
      <c r="AB179" s="723"/>
      <c r="AC179" s="723"/>
      <c r="AD179" s="723"/>
      <c r="AE179" s="723"/>
      <c r="AF179" s="723"/>
      <c r="AG179" s="147"/>
      <c r="AH179" s="147"/>
      <c r="AI179" s="1348" t="str">
        <f>IF(Rent_Roll[[#This Row],[Future
Lease Start]]="","",DATEDIF(Rent_Roll[[#This Row],[Future
Lease Start]],Rent_Roll[[#This Row],[Future
Lease Exp]],"m")+1)</f>
        <v/>
      </c>
      <c r="AJ179" s="1347"/>
    </row>
    <row r="180" spans="2:36" x14ac:dyDescent="0.2">
      <c r="B180" s="638"/>
      <c r="C180" s="638">
        <v>722</v>
      </c>
      <c r="D180" s="638" t="s">
        <v>867</v>
      </c>
      <c r="E180" s="162" t="str">
        <f>IF(Rent_Roll[[#This Row],[Floor-
plan]]="studio",0,LEFT(Rent_Roll[[#This Row],[Floor-
plan]],1))</f>
        <v>3</v>
      </c>
      <c r="F180" s="162" cm="1">
        <f t="array" ref="F18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80" s="1336">
        <v>1277</v>
      </c>
      <c r="H180" s="722" t="s">
        <v>244</v>
      </c>
      <c r="I180" s="722"/>
      <c r="J180" s="1337" t="str" cm="1">
        <f t="array" ref="J18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180" s="1338">
        <v>44743</v>
      </c>
      <c r="L180" s="147">
        <v>45107</v>
      </c>
      <c r="M180" s="1339" cm="1">
        <f t="array" ref="M18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80" s="1337" t="str">
        <f>IF(OR(Rent_Roll[[#This Row],[MTM Fee]]="",Rent_Roll[[#This Row],[MTM Fee]]=0),"","MTM Lease")</f>
        <v/>
      </c>
      <c r="O180" s="1340">
        <f ca="1">IFERROR(IF(Rent_Roll[[#This Row],[Lease
Exp]]="","",DATEDIF($F$3,Rent_Roll[[#This Row],[Lease
Exp]],"m")+1),0)</f>
        <v>6</v>
      </c>
      <c r="P180" s="1341"/>
      <c r="Q180" s="1342" t="str" cm="1">
        <f t="array" ref="Q18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80" s="1343">
        <v>1520</v>
      </c>
      <c r="S180" s="723">
        <v>1520</v>
      </c>
      <c r="T180" s="723"/>
      <c r="U180" s="550">
        <f>Rent_Roll[[#This Row],[Lease
Rent]]+Rent_Roll[[#This Row],[Corp
Rent]]</f>
        <v>1520</v>
      </c>
      <c r="V180" s="1344">
        <f>IF(Rent_Roll[[#This Row],[Total In-Place
Rent]]=0,0,Rent_Roll[[#This Row],[Total In-Place
Rent]]-Rent_Roll[[#This Row],[Market
Rent]])</f>
        <v>0</v>
      </c>
      <c r="W180" s="1343">
        <v>0</v>
      </c>
      <c r="X180" s="723"/>
      <c r="Y180" s="723"/>
      <c r="Z180" s="723"/>
      <c r="AA180" s="1345"/>
      <c r="AB180" s="723"/>
      <c r="AC180" s="723"/>
      <c r="AD180" s="723"/>
      <c r="AE180" s="723"/>
      <c r="AF180" s="723"/>
      <c r="AG180" s="147"/>
      <c r="AH180" s="147"/>
      <c r="AI180" s="1348" t="str">
        <f>IF(Rent_Roll[[#This Row],[Future
Lease Start]]="","",DATEDIF(Rent_Roll[[#This Row],[Future
Lease Start]],Rent_Roll[[#This Row],[Future
Lease Exp]],"m")+1)</f>
        <v/>
      </c>
      <c r="AJ180" s="1347"/>
    </row>
    <row r="181" spans="2:36" x14ac:dyDescent="0.2">
      <c r="B181" s="638"/>
      <c r="C181" s="638">
        <v>723</v>
      </c>
      <c r="D181" s="638" t="s">
        <v>866</v>
      </c>
      <c r="E181" s="162" t="str">
        <f>IF(Rent_Roll[[#This Row],[Floor-
plan]]="studio",0,LEFT(Rent_Roll[[#This Row],[Floor-
plan]],1))</f>
        <v>2</v>
      </c>
      <c r="F181" s="162" cm="1">
        <f t="array" ref="F18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81" s="1336">
        <v>1000</v>
      </c>
      <c r="H181" s="722" t="s">
        <v>244</v>
      </c>
      <c r="I181" s="722"/>
      <c r="J181" s="1337" t="str" cm="1">
        <f t="array" ref="J18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81" s="1338">
        <v>44736</v>
      </c>
      <c r="L181" s="147">
        <v>45100</v>
      </c>
      <c r="M181" s="1339" cm="1">
        <f t="array" ref="M18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81" s="1337" t="str">
        <f>IF(OR(Rent_Roll[[#This Row],[MTM Fee]]="",Rent_Roll[[#This Row],[MTM Fee]]=0),"","MTM Lease")</f>
        <v/>
      </c>
      <c r="O181" s="1340">
        <f ca="1">IFERROR(IF(Rent_Roll[[#This Row],[Lease
Exp]]="","",DATEDIF($F$3,Rent_Roll[[#This Row],[Lease
Exp]],"m")+1),0)</f>
        <v>5</v>
      </c>
      <c r="P181" s="1341"/>
      <c r="Q181" s="1342" t="str" cm="1">
        <f t="array" ref="Q18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81" s="1343">
        <v>1360</v>
      </c>
      <c r="S181" s="723">
        <v>1360</v>
      </c>
      <c r="T181" s="723"/>
      <c r="U181" s="550">
        <f>Rent_Roll[[#This Row],[Lease
Rent]]+Rent_Roll[[#This Row],[Corp
Rent]]</f>
        <v>1360</v>
      </c>
      <c r="V181" s="1344">
        <f>IF(Rent_Roll[[#This Row],[Total In-Place
Rent]]=0,0,Rent_Roll[[#This Row],[Total In-Place
Rent]]-Rent_Roll[[#This Row],[Market
Rent]])</f>
        <v>0</v>
      </c>
      <c r="W181" s="1343">
        <v>0</v>
      </c>
      <c r="X181" s="723"/>
      <c r="Y181" s="723"/>
      <c r="Z181" s="723"/>
      <c r="AA181" s="1345"/>
      <c r="AB181" s="723"/>
      <c r="AC181" s="723"/>
      <c r="AD181" s="723"/>
      <c r="AE181" s="723"/>
      <c r="AF181" s="723"/>
      <c r="AG181" s="147"/>
      <c r="AH181" s="147"/>
      <c r="AI181" s="1348" t="str">
        <f>IF(Rent_Roll[[#This Row],[Future
Lease Start]]="","",DATEDIF(Rent_Roll[[#This Row],[Future
Lease Start]],Rent_Roll[[#This Row],[Future
Lease Exp]],"m")+1)</f>
        <v/>
      </c>
      <c r="AJ181" s="1347"/>
    </row>
    <row r="182" spans="2:36" x14ac:dyDescent="0.2">
      <c r="B182" s="638"/>
      <c r="C182" s="638">
        <v>724</v>
      </c>
      <c r="D182" s="638" t="s">
        <v>866</v>
      </c>
      <c r="E182" s="162" t="str">
        <f>IF(Rent_Roll[[#This Row],[Floor-
plan]]="studio",0,LEFT(Rent_Roll[[#This Row],[Floor-
plan]],1))</f>
        <v>2</v>
      </c>
      <c r="F182" s="162" cm="1">
        <f t="array" ref="F18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82" s="1336">
        <v>1000</v>
      </c>
      <c r="H182" s="722" t="s">
        <v>244</v>
      </c>
      <c r="I182" s="722"/>
      <c r="J182" s="1337" t="str" cm="1">
        <f t="array" ref="J18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82" s="1338">
        <v>44541</v>
      </c>
      <c r="L182" s="147">
        <v>45026</v>
      </c>
      <c r="M182" s="1339" cm="1">
        <f t="array" ref="M182">_xlfn.IFS(Rent_Roll[[#This Row],[Lease
Exp]]="","",Rent_Roll[[#This Row],[MTM
Lease]]="MTM Lease","--",Rent_Roll[[#This Row],[Lease
Exp]]&gt;0,(DATEDIF(Rent_Roll[[#This Row],[Lease
Start]],Rent_Roll[[#This Row],[Lease
Exp]],"m")+1))</f>
        <v>16</v>
      </c>
      <c r="N182" s="1337" t="str">
        <f>IF(OR(Rent_Roll[[#This Row],[MTM Fee]]="",Rent_Roll[[#This Row],[MTM Fee]]=0),"","MTM Lease")</f>
        <v/>
      </c>
      <c r="O182" s="1340">
        <f ca="1">IFERROR(IF(Rent_Roll[[#This Row],[Lease
Exp]]="","",DATEDIF($F$3,Rent_Roll[[#This Row],[Lease
Exp]],"m")+1),0)</f>
        <v>3</v>
      </c>
      <c r="P182" s="1341"/>
      <c r="Q182" s="1342" t="str" cm="1">
        <f t="array" ref="Q18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82" s="1343">
        <v>1360</v>
      </c>
      <c r="S182" s="723">
        <v>1185</v>
      </c>
      <c r="T182" s="723"/>
      <c r="U182" s="550">
        <f>Rent_Roll[[#This Row],[Lease
Rent]]+Rent_Roll[[#This Row],[Corp
Rent]]</f>
        <v>1185</v>
      </c>
      <c r="V182" s="1344">
        <f>IF(Rent_Roll[[#This Row],[Total In-Place
Rent]]=0,0,Rent_Roll[[#This Row],[Total In-Place
Rent]]-Rent_Roll[[#This Row],[Market
Rent]])</f>
        <v>-175</v>
      </c>
      <c r="W182" s="1343">
        <v>0</v>
      </c>
      <c r="X182" s="723"/>
      <c r="Y182" s="723"/>
      <c r="Z182" s="723"/>
      <c r="AA182" s="1345"/>
      <c r="AB182" s="723"/>
      <c r="AC182" s="723"/>
      <c r="AD182" s="723"/>
      <c r="AE182" s="723"/>
      <c r="AF182" s="723"/>
      <c r="AG182" s="147"/>
      <c r="AH182" s="147"/>
      <c r="AI182" s="1348" t="str">
        <f>IF(Rent_Roll[[#This Row],[Future
Lease Start]]="","",DATEDIF(Rent_Roll[[#This Row],[Future
Lease Start]],Rent_Roll[[#This Row],[Future
Lease Exp]],"m")+1)</f>
        <v/>
      </c>
      <c r="AJ182" s="1347"/>
    </row>
    <row r="183" spans="2:36" x14ac:dyDescent="0.2">
      <c r="B183" s="638"/>
      <c r="C183" s="638">
        <v>725</v>
      </c>
      <c r="D183" s="638" t="s">
        <v>866</v>
      </c>
      <c r="E183" s="162" t="str">
        <f>IF(Rent_Roll[[#This Row],[Floor-
plan]]="studio",0,LEFT(Rent_Roll[[#This Row],[Floor-
plan]],1))</f>
        <v>2</v>
      </c>
      <c r="F183" s="162" cm="1">
        <f t="array" ref="F18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83" s="1336">
        <v>1000</v>
      </c>
      <c r="H183" s="722" t="s">
        <v>244</v>
      </c>
      <c r="I183" s="722"/>
      <c r="J183" s="1337" t="str" cm="1">
        <f t="array" ref="J18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83" s="1338">
        <v>44642</v>
      </c>
      <c r="L183" s="147">
        <v>45006</v>
      </c>
      <c r="M183" s="1339" cm="1">
        <f t="array" ref="M18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83" s="1337" t="str">
        <f>IF(OR(Rent_Roll[[#This Row],[MTM Fee]]="",Rent_Roll[[#This Row],[MTM Fee]]=0),"","MTM Lease")</f>
        <v/>
      </c>
      <c r="O183" s="1340">
        <f ca="1">IFERROR(IF(Rent_Roll[[#This Row],[Lease
Exp]]="","",DATEDIF($F$3,Rent_Roll[[#This Row],[Lease
Exp]],"m")+1),0)</f>
        <v>2</v>
      </c>
      <c r="P183" s="1341"/>
      <c r="Q183" s="1342" t="str" cm="1">
        <f t="array" ref="Q18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83" s="1343">
        <v>1360</v>
      </c>
      <c r="S183" s="723">
        <v>1280</v>
      </c>
      <c r="T183" s="723"/>
      <c r="U183" s="550">
        <f>Rent_Roll[[#This Row],[Lease
Rent]]+Rent_Roll[[#This Row],[Corp
Rent]]</f>
        <v>1280</v>
      </c>
      <c r="V183" s="1344">
        <f>IF(Rent_Roll[[#This Row],[Total In-Place
Rent]]=0,0,Rent_Roll[[#This Row],[Total In-Place
Rent]]-Rent_Roll[[#This Row],[Market
Rent]])</f>
        <v>-80</v>
      </c>
      <c r="W183" s="1343">
        <v>0</v>
      </c>
      <c r="X183" s="723"/>
      <c r="Y183" s="723"/>
      <c r="Z183" s="723"/>
      <c r="AA183" s="1345"/>
      <c r="AB183" s="723"/>
      <c r="AC183" s="723"/>
      <c r="AD183" s="723"/>
      <c r="AE183" s="723"/>
      <c r="AF183" s="723"/>
      <c r="AG183" s="147"/>
      <c r="AH183" s="147"/>
      <c r="AI183" s="1348" t="str">
        <f>IF(Rent_Roll[[#This Row],[Future
Lease Start]]="","",DATEDIF(Rent_Roll[[#This Row],[Future
Lease Start]],Rent_Roll[[#This Row],[Future
Lease Exp]],"m")+1)</f>
        <v/>
      </c>
      <c r="AJ183" s="1347"/>
    </row>
    <row r="184" spans="2:36" x14ac:dyDescent="0.2">
      <c r="B184" s="638"/>
      <c r="C184" s="638">
        <v>726</v>
      </c>
      <c r="D184" s="638" t="s">
        <v>866</v>
      </c>
      <c r="E184" s="162" t="str">
        <f>IF(Rent_Roll[[#This Row],[Floor-
plan]]="studio",0,LEFT(Rent_Roll[[#This Row],[Floor-
plan]],1))</f>
        <v>2</v>
      </c>
      <c r="F184" s="162" cm="1">
        <f t="array" ref="F18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84" s="1336">
        <v>1000</v>
      </c>
      <c r="H184" s="722" t="s">
        <v>244</v>
      </c>
      <c r="I184" s="722"/>
      <c r="J184" s="1337" t="str" cm="1">
        <f t="array" ref="J18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84" s="1338">
        <v>44819</v>
      </c>
      <c r="L184" s="147">
        <v>45183</v>
      </c>
      <c r="M184" s="1339" cm="1">
        <f t="array" ref="M18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84" s="1337" t="str">
        <f>IF(OR(Rent_Roll[[#This Row],[MTM Fee]]="",Rent_Roll[[#This Row],[MTM Fee]]=0),"","MTM Lease")</f>
        <v/>
      </c>
      <c r="O184" s="1340">
        <f ca="1">IFERROR(IF(Rent_Roll[[#This Row],[Lease
Exp]]="","",DATEDIF($F$3,Rent_Roll[[#This Row],[Lease
Exp]],"m")+1),0)</f>
        <v>8</v>
      </c>
      <c r="P184" s="1341"/>
      <c r="Q184" s="1342" t="str" cm="1">
        <f t="array" ref="Q18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84" s="1343">
        <v>1360</v>
      </c>
      <c r="S184" s="723">
        <v>1200</v>
      </c>
      <c r="T184" s="723"/>
      <c r="U184" s="550">
        <f>Rent_Roll[[#This Row],[Lease
Rent]]+Rent_Roll[[#This Row],[Corp
Rent]]</f>
        <v>1200</v>
      </c>
      <c r="V184" s="1344">
        <f>IF(Rent_Roll[[#This Row],[Total In-Place
Rent]]=0,0,Rent_Roll[[#This Row],[Total In-Place
Rent]]-Rent_Roll[[#This Row],[Market
Rent]])</f>
        <v>-160</v>
      </c>
      <c r="W184" s="1343">
        <v>0</v>
      </c>
      <c r="X184" s="723"/>
      <c r="Y184" s="723"/>
      <c r="Z184" s="723"/>
      <c r="AA184" s="1345"/>
      <c r="AB184" s="723"/>
      <c r="AC184" s="723"/>
      <c r="AD184" s="723"/>
      <c r="AE184" s="723"/>
      <c r="AF184" s="723"/>
      <c r="AG184" s="147"/>
      <c r="AH184" s="147"/>
      <c r="AI184" s="1348" t="str">
        <f>IF(Rent_Roll[[#This Row],[Future
Lease Start]]="","",DATEDIF(Rent_Roll[[#This Row],[Future
Lease Start]],Rent_Roll[[#This Row],[Future
Lease Exp]],"m")+1)</f>
        <v/>
      </c>
      <c r="AJ184" s="1347"/>
    </row>
    <row r="185" spans="2:36" x14ac:dyDescent="0.2">
      <c r="B185" s="638"/>
      <c r="C185" s="638">
        <v>727</v>
      </c>
      <c r="D185" s="638" t="s">
        <v>867</v>
      </c>
      <c r="E185" s="162" t="str">
        <f>IF(Rent_Roll[[#This Row],[Floor-
plan]]="studio",0,LEFT(Rent_Roll[[#This Row],[Floor-
plan]],1))</f>
        <v>3</v>
      </c>
      <c r="F185" s="162" cm="1">
        <f t="array" ref="F18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85" s="1336">
        <v>1277</v>
      </c>
      <c r="H185" s="722" t="s">
        <v>244</v>
      </c>
      <c r="I185" s="722"/>
      <c r="J185" s="1337" t="str" cm="1">
        <f t="array" ref="J18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185" s="1338">
        <v>44581</v>
      </c>
      <c r="L185" s="147">
        <v>45065</v>
      </c>
      <c r="M185" s="1339" cm="1">
        <f t="array" ref="M185">_xlfn.IFS(Rent_Roll[[#This Row],[Lease
Exp]]="","",Rent_Roll[[#This Row],[MTM
Lease]]="MTM Lease","--",Rent_Roll[[#This Row],[Lease
Exp]]&gt;0,(DATEDIF(Rent_Roll[[#This Row],[Lease
Start]],Rent_Roll[[#This Row],[Lease
Exp]],"m")+1))</f>
        <v>16</v>
      </c>
      <c r="N185" s="1337" t="str">
        <f>IF(OR(Rent_Roll[[#This Row],[MTM Fee]]="",Rent_Roll[[#This Row],[MTM Fee]]=0),"","MTM Lease")</f>
        <v/>
      </c>
      <c r="O185" s="1340">
        <f ca="1">IFERROR(IF(Rent_Roll[[#This Row],[Lease
Exp]]="","",DATEDIF($F$3,Rent_Roll[[#This Row],[Lease
Exp]],"m")+1),0)</f>
        <v>4</v>
      </c>
      <c r="P185" s="1341"/>
      <c r="Q185" s="1342" t="str" cm="1">
        <f t="array" ref="Q18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85" s="1343">
        <v>1520</v>
      </c>
      <c r="S185" s="723">
        <v>1210</v>
      </c>
      <c r="T185" s="723"/>
      <c r="U185" s="550">
        <f>Rent_Roll[[#This Row],[Lease
Rent]]+Rent_Roll[[#This Row],[Corp
Rent]]</f>
        <v>1210</v>
      </c>
      <c r="V185" s="1344">
        <f>IF(Rent_Roll[[#This Row],[Total In-Place
Rent]]=0,0,Rent_Roll[[#This Row],[Total In-Place
Rent]]-Rent_Roll[[#This Row],[Market
Rent]])</f>
        <v>-310</v>
      </c>
      <c r="W185" s="1343">
        <v>0</v>
      </c>
      <c r="X185" s="723"/>
      <c r="Y185" s="723"/>
      <c r="Z185" s="723"/>
      <c r="AA185" s="1345"/>
      <c r="AB185" s="723"/>
      <c r="AC185" s="723"/>
      <c r="AD185" s="723"/>
      <c r="AE185" s="723"/>
      <c r="AF185" s="723"/>
      <c r="AG185" s="147"/>
      <c r="AH185" s="147"/>
      <c r="AI185" s="1348" t="str">
        <f>IF(Rent_Roll[[#This Row],[Future
Lease Start]]="","",DATEDIF(Rent_Roll[[#This Row],[Future
Lease Start]],Rent_Roll[[#This Row],[Future
Lease Exp]],"m")+1)</f>
        <v/>
      </c>
      <c r="AJ185" s="1347"/>
    </row>
    <row r="186" spans="2:36" x14ac:dyDescent="0.2">
      <c r="B186" s="638"/>
      <c r="C186" s="638">
        <v>728</v>
      </c>
      <c r="D186" s="638" t="s">
        <v>867</v>
      </c>
      <c r="E186" s="162" t="str">
        <f>IF(Rent_Roll[[#This Row],[Floor-
plan]]="studio",0,LEFT(Rent_Roll[[#This Row],[Floor-
plan]],1))</f>
        <v>3</v>
      </c>
      <c r="F186" s="162" cm="1">
        <f t="array" ref="F18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86" s="1336">
        <v>1277</v>
      </c>
      <c r="H186" s="722" t="s">
        <v>244</v>
      </c>
      <c r="I186" s="722"/>
      <c r="J186" s="1337" t="str" cm="1">
        <f t="array" ref="J18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</v>
      </c>
      <c r="K186" s="1338">
        <v>44763</v>
      </c>
      <c r="L186" s="147">
        <v>45127</v>
      </c>
      <c r="M186" s="1339" cm="1">
        <f t="array" ref="M18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86" s="1337" t="str">
        <f>IF(OR(Rent_Roll[[#This Row],[MTM Fee]]="",Rent_Roll[[#This Row],[MTM Fee]]=0),"","MTM Lease")</f>
        <v/>
      </c>
      <c r="O186" s="1340">
        <f ca="1">IFERROR(IF(Rent_Roll[[#This Row],[Lease
Exp]]="","",DATEDIF($F$3,Rent_Roll[[#This Row],[Lease
Exp]],"m")+1),0)</f>
        <v>6</v>
      </c>
      <c r="P186" s="1341"/>
      <c r="Q186" s="1342" t="str" cm="1">
        <f t="array" ref="Q18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86" s="1343">
        <v>1520</v>
      </c>
      <c r="S186" s="723">
        <v>1340</v>
      </c>
      <c r="T186" s="723"/>
      <c r="U186" s="550">
        <f>Rent_Roll[[#This Row],[Lease
Rent]]+Rent_Roll[[#This Row],[Corp
Rent]]</f>
        <v>1340</v>
      </c>
      <c r="V186" s="1344">
        <f>IF(Rent_Roll[[#This Row],[Total In-Place
Rent]]=0,0,Rent_Roll[[#This Row],[Total In-Place
Rent]]-Rent_Roll[[#This Row],[Market
Rent]])</f>
        <v>-180</v>
      </c>
      <c r="W186" s="1343">
        <v>0</v>
      </c>
      <c r="X186" s="723"/>
      <c r="Y186" s="723"/>
      <c r="Z186" s="723"/>
      <c r="AA186" s="1345"/>
      <c r="AB186" s="723"/>
      <c r="AC186" s="723"/>
      <c r="AD186" s="723"/>
      <c r="AE186" s="723"/>
      <c r="AF186" s="723"/>
      <c r="AG186" s="147"/>
      <c r="AH186" s="147"/>
      <c r="AI186" s="1348" t="str">
        <f>IF(Rent_Roll[[#This Row],[Future
Lease Start]]="","",DATEDIF(Rent_Roll[[#This Row],[Future
Lease Start]],Rent_Roll[[#This Row],[Future
Lease Exp]],"m")+1)</f>
        <v/>
      </c>
      <c r="AJ186" s="1347"/>
    </row>
    <row r="187" spans="2:36" x14ac:dyDescent="0.2">
      <c r="B187" s="638"/>
      <c r="C187" s="638">
        <v>731</v>
      </c>
      <c r="D187" s="638" t="s">
        <v>872</v>
      </c>
      <c r="E187" s="162" t="str">
        <f>IF(Rent_Roll[[#This Row],[Floor-
plan]]="studio",0,LEFT(Rent_Roll[[#This Row],[Floor-
plan]],1))</f>
        <v>3</v>
      </c>
      <c r="F187" s="162" cm="1">
        <f t="array" ref="F18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87" s="1336">
        <v>1386</v>
      </c>
      <c r="H187" s="722" t="s">
        <v>244</v>
      </c>
      <c r="I187" s="722"/>
      <c r="J187" s="1337" t="str" cm="1">
        <f t="array" ref="J18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3x2-S</v>
      </c>
      <c r="K187" s="1338">
        <v>44743</v>
      </c>
      <c r="L187" s="147">
        <v>45291</v>
      </c>
      <c r="M187" s="1339" cm="1">
        <f t="array" ref="M187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87" s="1337" t="str">
        <f>IF(OR(Rent_Roll[[#This Row],[MTM Fee]]="",Rent_Roll[[#This Row],[MTM Fee]]=0),"","MTM Lease")</f>
        <v/>
      </c>
      <c r="O187" s="1340">
        <f ca="1">IFERROR(IF(Rent_Roll[[#This Row],[Lease
Exp]]="","",DATEDIF($F$3,Rent_Roll[[#This Row],[Lease
Exp]],"m")+1),0)</f>
        <v>12</v>
      </c>
      <c r="P187" s="1341"/>
      <c r="Q187" s="1342" t="str" cm="1">
        <f t="array" ref="Q18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87" s="1343">
        <v>1550</v>
      </c>
      <c r="S187" s="723">
        <v>1550</v>
      </c>
      <c r="T187" s="723"/>
      <c r="U187" s="550">
        <f>Rent_Roll[[#This Row],[Lease
Rent]]+Rent_Roll[[#This Row],[Corp
Rent]]</f>
        <v>1550</v>
      </c>
      <c r="V187" s="1344">
        <f>IF(Rent_Roll[[#This Row],[Total In-Place
Rent]]=0,0,Rent_Roll[[#This Row],[Total In-Place
Rent]]-Rent_Roll[[#This Row],[Market
Rent]])</f>
        <v>0</v>
      </c>
      <c r="W187" s="1343">
        <v>0</v>
      </c>
      <c r="X187" s="723"/>
      <c r="Y187" s="723"/>
      <c r="Z187" s="723"/>
      <c r="AA187" s="1345"/>
      <c r="AB187" s="723"/>
      <c r="AC187" s="723"/>
      <c r="AD187" s="723"/>
      <c r="AE187" s="723"/>
      <c r="AF187" s="723"/>
      <c r="AG187" s="147"/>
      <c r="AH187" s="147"/>
      <c r="AI187" s="1348" t="str">
        <f>IF(Rent_Roll[[#This Row],[Future
Lease Start]]="","",DATEDIF(Rent_Roll[[#This Row],[Future
Lease Start]],Rent_Roll[[#This Row],[Future
Lease Exp]],"m")+1)</f>
        <v/>
      </c>
      <c r="AJ187" s="1347"/>
    </row>
    <row r="188" spans="2:36" x14ac:dyDescent="0.2">
      <c r="B188" s="638"/>
      <c r="C188" s="638">
        <v>732</v>
      </c>
      <c r="D188" s="638" t="s">
        <v>872</v>
      </c>
      <c r="E188" s="162" t="str">
        <f>IF(Rent_Roll[[#This Row],[Floor-
plan]]="studio",0,LEFT(Rent_Roll[[#This Row],[Floor-
plan]],1))</f>
        <v>3</v>
      </c>
      <c r="F188" s="162" cm="1">
        <f t="array" ref="F18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88" s="1336">
        <v>1386</v>
      </c>
      <c r="H188" s="722" t="s">
        <v>244</v>
      </c>
      <c r="I188" s="722"/>
      <c r="J188" s="1337" t="str" cm="1">
        <f t="array" ref="J18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3x2-S</v>
      </c>
      <c r="K188" s="1338">
        <v>44708</v>
      </c>
      <c r="L188" s="147">
        <v>45164</v>
      </c>
      <c r="M188" s="1339" cm="1">
        <f t="array" ref="M188">_xlfn.IFS(Rent_Roll[[#This Row],[Lease
Exp]]="","",Rent_Roll[[#This Row],[MTM
Lease]]="MTM Lease","--",Rent_Roll[[#This Row],[Lease
Exp]]&gt;0,(DATEDIF(Rent_Roll[[#This Row],[Lease
Start]],Rent_Roll[[#This Row],[Lease
Exp]],"m")+1))</f>
        <v>15</v>
      </c>
      <c r="N188" s="1337" t="str">
        <f>IF(OR(Rent_Roll[[#This Row],[MTM Fee]]="",Rent_Roll[[#This Row],[MTM Fee]]=0),"","MTM Lease")</f>
        <v/>
      </c>
      <c r="O188" s="1340">
        <f ca="1">IFERROR(IF(Rent_Roll[[#This Row],[Lease
Exp]]="","",DATEDIF($F$3,Rent_Roll[[#This Row],[Lease
Exp]],"m")+1),0)</f>
        <v>8</v>
      </c>
      <c r="P188" s="1341"/>
      <c r="Q188" s="1342" t="str" cm="1">
        <f t="array" ref="Q18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88" s="1343">
        <v>1550</v>
      </c>
      <c r="S188" s="723">
        <v>1550</v>
      </c>
      <c r="T188" s="723"/>
      <c r="U188" s="550">
        <f>Rent_Roll[[#This Row],[Lease
Rent]]+Rent_Roll[[#This Row],[Corp
Rent]]</f>
        <v>1550</v>
      </c>
      <c r="V188" s="1344">
        <f>IF(Rent_Roll[[#This Row],[Total In-Place
Rent]]=0,0,Rent_Roll[[#This Row],[Total In-Place
Rent]]-Rent_Roll[[#This Row],[Market
Rent]])</f>
        <v>0</v>
      </c>
      <c r="W188" s="1343">
        <v>0</v>
      </c>
      <c r="X188" s="723"/>
      <c r="Y188" s="723"/>
      <c r="Z188" s="723"/>
      <c r="AA188" s="1345"/>
      <c r="AB188" s="723"/>
      <c r="AC188" s="723"/>
      <c r="AD188" s="723"/>
      <c r="AE188" s="723"/>
      <c r="AF188" s="723"/>
      <c r="AG188" s="147"/>
      <c r="AH188" s="147"/>
      <c r="AI188" s="1348" t="str">
        <f>IF(Rent_Roll[[#This Row],[Future
Lease Start]]="","",DATEDIF(Rent_Roll[[#This Row],[Future
Lease Start]],Rent_Roll[[#This Row],[Future
Lease Exp]],"m")+1)</f>
        <v/>
      </c>
      <c r="AJ188" s="1347"/>
    </row>
    <row r="189" spans="2:36" x14ac:dyDescent="0.2">
      <c r="B189" s="638"/>
      <c r="C189" s="638">
        <v>733</v>
      </c>
      <c r="D189" s="638" t="s">
        <v>870</v>
      </c>
      <c r="E189" s="162" t="str">
        <f>IF(Rent_Roll[[#This Row],[Floor-
plan]]="studio",0,LEFT(Rent_Roll[[#This Row],[Floor-
plan]],1))</f>
        <v>2</v>
      </c>
      <c r="F189" s="162" cm="1">
        <f t="array" ref="F18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89" s="1336">
        <v>1099</v>
      </c>
      <c r="H189" s="722" t="s">
        <v>244</v>
      </c>
      <c r="I189" s="722"/>
      <c r="J189" s="1337" t="str" cm="1">
        <f t="array" ref="J18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89" s="1338">
        <v>44680</v>
      </c>
      <c r="L189" s="147">
        <v>45074</v>
      </c>
      <c r="M189" s="1339" cm="1">
        <f t="array" ref="M189">_xlfn.IFS(Rent_Roll[[#This Row],[Lease
Exp]]="","",Rent_Roll[[#This Row],[MTM
Lease]]="MTM Lease","--",Rent_Roll[[#This Row],[Lease
Exp]]&gt;0,(DATEDIF(Rent_Roll[[#This Row],[Lease
Start]],Rent_Roll[[#This Row],[Lease
Exp]],"m")+1))</f>
        <v>13</v>
      </c>
      <c r="N189" s="1337" t="str">
        <f>IF(OR(Rent_Roll[[#This Row],[MTM Fee]]="",Rent_Roll[[#This Row],[MTM Fee]]=0),"","MTM Lease")</f>
        <v/>
      </c>
      <c r="O189" s="1340">
        <f ca="1">IFERROR(IF(Rent_Roll[[#This Row],[Lease
Exp]]="","",DATEDIF($F$3,Rent_Roll[[#This Row],[Lease
Exp]],"m")+1),0)</f>
        <v>5</v>
      </c>
      <c r="P189" s="1341"/>
      <c r="Q189" s="1342" t="str" cm="1">
        <f t="array" ref="Q18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89" s="1343">
        <v>1440</v>
      </c>
      <c r="S189" s="723">
        <v>1440</v>
      </c>
      <c r="T189" s="723"/>
      <c r="U189" s="550">
        <f>Rent_Roll[[#This Row],[Lease
Rent]]+Rent_Roll[[#This Row],[Corp
Rent]]</f>
        <v>1440</v>
      </c>
      <c r="V189" s="1344">
        <f>IF(Rent_Roll[[#This Row],[Total In-Place
Rent]]=0,0,Rent_Roll[[#This Row],[Total In-Place
Rent]]-Rent_Roll[[#This Row],[Market
Rent]])</f>
        <v>0</v>
      </c>
      <c r="W189" s="1343">
        <v>0</v>
      </c>
      <c r="X189" s="723"/>
      <c r="Y189" s="723"/>
      <c r="Z189" s="723"/>
      <c r="AA189" s="1345"/>
      <c r="AB189" s="723"/>
      <c r="AC189" s="723"/>
      <c r="AD189" s="723"/>
      <c r="AE189" s="723"/>
      <c r="AF189" s="723"/>
      <c r="AG189" s="147"/>
      <c r="AH189" s="147"/>
      <c r="AI189" s="1348" t="str">
        <f>IF(Rent_Roll[[#This Row],[Future
Lease Start]]="","",DATEDIF(Rent_Roll[[#This Row],[Future
Lease Start]],Rent_Roll[[#This Row],[Future
Lease Exp]],"m")+1)</f>
        <v/>
      </c>
      <c r="AJ189" s="1347"/>
    </row>
    <row r="190" spans="2:36" x14ac:dyDescent="0.2">
      <c r="B190" s="638"/>
      <c r="C190" s="638">
        <v>734</v>
      </c>
      <c r="D190" s="638" t="s">
        <v>870</v>
      </c>
      <c r="E190" s="162" t="str">
        <f>IF(Rent_Roll[[#This Row],[Floor-
plan]]="studio",0,LEFT(Rent_Roll[[#This Row],[Floor-
plan]],1))</f>
        <v>2</v>
      </c>
      <c r="F190" s="162" cm="1">
        <f t="array" ref="F19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90" s="1336">
        <v>1099</v>
      </c>
      <c r="H190" s="722" t="s">
        <v>244</v>
      </c>
      <c r="I190" s="722"/>
      <c r="J190" s="1337" t="str" cm="1">
        <f t="array" ref="J19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90" s="1338">
        <v>44682</v>
      </c>
      <c r="L190" s="147">
        <v>45046</v>
      </c>
      <c r="M190" s="1339" cm="1">
        <f t="array" ref="M19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90" s="1337" t="str">
        <f>IF(OR(Rent_Roll[[#This Row],[MTM Fee]]="",Rent_Roll[[#This Row],[MTM Fee]]=0),"","MTM Lease")</f>
        <v/>
      </c>
      <c r="O190" s="1340">
        <f ca="1">IFERROR(IF(Rent_Roll[[#This Row],[Lease
Exp]]="","",DATEDIF($F$3,Rent_Roll[[#This Row],[Lease
Exp]],"m")+1),0)</f>
        <v>4</v>
      </c>
      <c r="P190" s="1341"/>
      <c r="Q190" s="1342" t="str" cm="1">
        <f t="array" ref="Q19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90" s="1343">
        <v>1440</v>
      </c>
      <c r="S190" s="723">
        <v>1175</v>
      </c>
      <c r="T190" s="723"/>
      <c r="U190" s="550">
        <f>Rent_Roll[[#This Row],[Lease
Rent]]+Rent_Roll[[#This Row],[Corp
Rent]]</f>
        <v>1175</v>
      </c>
      <c r="V190" s="1344">
        <f>IF(Rent_Roll[[#This Row],[Total In-Place
Rent]]=0,0,Rent_Roll[[#This Row],[Total In-Place
Rent]]-Rent_Roll[[#This Row],[Market
Rent]])</f>
        <v>-265</v>
      </c>
      <c r="W190" s="1343">
        <v>0</v>
      </c>
      <c r="X190" s="723"/>
      <c r="Y190" s="723"/>
      <c r="Z190" s="723"/>
      <c r="AA190" s="1345"/>
      <c r="AB190" s="723"/>
      <c r="AC190" s="723"/>
      <c r="AD190" s="723"/>
      <c r="AE190" s="723"/>
      <c r="AF190" s="723"/>
      <c r="AG190" s="147"/>
      <c r="AH190" s="147"/>
      <c r="AI190" s="1348" t="str">
        <f>IF(Rent_Roll[[#This Row],[Future
Lease Start]]="","",DATEDIF(Rent_Roll[[#This Row],[Future
Lease Start]],Rent_Roll[[#This Row],[Future
Lease Exp]],"m")+1)</f>
        <v/>
      </c>
      <c r="AJ190" s="1347"/>
    </row>
    <row r="191" spans="2:36" x14ac:dyDescent="0.2">
      <c r="B191" s="638"/>
      <c r="C191" s="638">
        <v>735</v>
      </c>
      <c r="D191" s="638" t="s">
        <v>870</v>
      </c>
      <c r="E191" s="162" t="str">
        <f>IF(Rent_Roll[[#This Row],[Floor-
plan]]="studio",0,LEFT(Rent_Roll[[#This Row],[Floor-
plan]],1))</f>
        <v>2</v>
      </c>
      <c r="F191" s="162" cm="1">
        <f t="array" ref="F19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91" s="1336">
        <v>1099</v>
      </c>
      <c r="H191" s="722" t="s">
        <v>244</v>
      </c>
      <c r="I191" s="722"/>
      <c r="J191" s="1337" t="str" cm="1">
        <f t="array" ref="J19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91" s="1338">
        <v>44316</v>
      </c>
      <c r="L191" s="147">
        <v>44863</v>
      </c>
      <c r="M191" s="1339" cm="1">
        <f t="array" ref="M191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191" s="1337" t="str">
        <f>IF(OR(Rent_Roll[[#This Row],[MTM Fee]]="",Rent_Roll[[#This Row],[MTM Fee]]=0),"","MTM Lease")</f>
        <v/>
      </c>
      <c r="O191" s="1340">
        <f ca="1">IFERROR(IF(Rent_Roll[[#This Row],[Lease
Exp]]="","",DATEDIF($F$3,Rent_Roll[[#This Row],[Lease
Exp]],"m")+1),0)</f>
        <v>0</v>
      </c>
      <c r="P191" s="1341"/>
      <c r="Q191" s="1342" t="str" cm="1">
        <f t="array" ref="Q19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91" s="1343">
        <v>1440</v>
      </c>
      <c r="S191" s="723">
        <v>1180</v>
      </c>
      <c r="T191" s="723"/>
      <c r="U191" s="550">
        <f>Rent_Roll[[#This Row],[Lease
Rent]]+Rent_Roll[[#This Row],[Corp
Rent]]</f>
        <v>1180</v>
      </c>
      <c r="V191" s="1344">
        <f>IF(Rent_Roll[[#This Row],[Total In-Place
Rent]]=0,0,Rent_Roll[[#This Row],[Total In-Place
Rent]]-Rent_Roll[[#This Row],[Market
Rent]])</f>
        <v>-260</v>
      </c>
      <c r="W191" s="1343">
        <v>0</v>
      </c>
      <c r="X191" s="723"/>
      <c r="Y191" s="723"/>
      <c r="Z191" s="723"/>
      <c r="AA191" s="1345"/>
      <c r="AB191" s="723"/>
      <c r="AC191" s="723"/>
      <c r="AD191" s="723"/>
      <c r="AE191" s="723"/>
      <c r="AF191" s="723"/>
      <c r="AG191" s="147"/>
      <c r="AH191" s="147"/>
      <c r="AI191" s="1348" t="str">
        <f>IF(Rent_Roll[[#This Row],[Future
Lease Start]]="","",DATEDIF(Rent_Roll[[#This Row],[Future
Lease Start]],Rent_Roll[[#This Row],[Future
Lease Exp]],"m")+1)</f>
        <v/>
      </c>
      <c r="AJ191" s="1347"/>
    </row>
    <row r="192" spans="2:36" x14ac:dyDescent="0.2">
      <c r="B192" s="638"/>
      <c r="C192" s="638">
        <v>736</v>
      </c>
      <c r="D192" s="638" t="s">
        <v>870</v>
      </c>
      <c r="E192" s="162" t="str">
        <f>IF(Rent_Roll[[#This Row],[Floor-
plan]]="studio",0,LEFT(Rent_Roll[[#This Row],[Floor-
plan]],1))</f>
        <v>2</v>
      </c>
      <c r="F192" s="162" cm="1">
        <f t="array" ref="F19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92" s="1336">
        <v>1099</v>
      </c>
      <c r="H192" s="722" t="s">
        <v>244</v>
      </c>
      <c r="I192" s="722"/>
      <c r="J192" s="1337" t="str" cm="1">
        <f t="array" ref="J19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192" s="1338">
        <v>44567</v>
      </c>
      <c r="L192" s="147">
        <v>44931</v>
      </c>
      <c r="M192" s="1339" cm="1">
        <f t="array" ref="M19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92" s="1337" t="str">
        <f>IF(OR(Rent_Roll[[#This Row],[MTM Fee]]="",Rent_Roll[[#This Row],[MTM Fee]]=0),"","MTM Lease")</f>
        <v/>
      </c>
      <c r="O192" s="1340">
        <f ca="1">IFERROR(IF(Rent_Roll[[#This Row],[Lease
Exp]]="","",DATEDIF($F$3,Rent_Roll[[#This Row],[Lease
Exp]],"m")+1),0)</f>
        <v>0</v>
      </c>
      <c r="P192" s="1341"/>
      <c r="Q192" s="1342" t="str" cm="1">
        <f t="array" ref="Q19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92" s="1343">
        <v>1440</v>
      </c>
      <c r="S192" s="723">
        <v>1440</v>
      </c>
      <c r="T192" s="723"/>
      <c r="U192" s="550">
        <f>Rent_Roll[[#This Row],[Lease
Rent]]+Rent_Roll[[#This Row],[Corp
Rent]]</f>
        <v>1440</v>
      </c>
      <c r="V192" s="1344">
        <f>IF(Rent_Roll[[#This Row],[Total In-Place
Rent]]=0,0,Rent_Roll[[#This Row],[Total In-Place
Rent]]-Rent_Roll[[#This Row],[Market
Rent]])</f>
        <v>0</v>
      </c>
      <c r="W192" s="1343">
        <v>0</v>
      </c>
      <c r="X192" s="723"/>
      <c r="Y192" s="723"/>
      <c r="Z192" s="723"/>
      <c r="AA192" s="1345"/>
      <c r="AB192" s="723"/>
      <c r="AC192" s="723"/>
      <c r="AD192" s="723"/>
      <c r="AE192" s="723"/>
      <c r="AF192" s="723"/>
      <c r="AG192" s="147"/>
      <c r="AH192" s="147"/>
      <c r="AI192" s="1348" t="str">
        <f>IF(Rent_Roll[[#This Row],[Future
Lease Start]]="","",DATEDIF(Rent_Roll[[#This Row],[Future
Lease Start]],Rent_Roll[[#This Row],[Future
Lease Exp]],"m")+1)</f>
        <v/>
      </c>
      <c r="AJ192" s="1347"/>
    </row>
    <row r="193" spans="2:36" x14ac:dyDescent="0.2">
      <c r="B193" s="638"/>
      <c r="C193" s="638">
        <v>737</v>
      </c>
      <c r="D193" s="638" t="s">
        <v>872</v>
      </c>
      <c r="E193" s="162" t="str">
        <f>IF(Rent_Roll[[#This Row],[Floor-
plan]]="studio",0,LEFT(Rent_Roll[[#This Row],[Floor-
plan]],1))</f>
        <v>3</v>
      </c>
      <c r="F193" s="162" cm="1">
        <f t="array" ref="F19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93" s="1336">
        <v>1386</v>
      </c>
      <c r="H193" s="722" t="s">
        <v>244</v>
      </c>
      <c r="I193" s="722"/>
      <c r="J193" s="1337" t="str" cm="1">
        <f t="array" ref="J19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3x2-S</v>
      </c>
      <c r="K193" s="1338">
        <v>44755</v>
      </c>
      <c r="L193" s="147">
        <v>45119</v>
      </c>
      <c r="M193" s="1339" cm="1">
        <f t="array" ref="M19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93" s="1337" t="str">
        <f>IF(OR(Rent_Roll[[#This Row],[MTM Fee]]="",Rent_Roll[[#This Row],[MTM Fee]]=0),"","MTM Lease")</f>
        <v/>
      </c>
      <c r="O193" s="1340">
        <f ca="1">IFERROR(IF(Rent_Roll[[#This Row],[Lease
Exp]]="","",DATEDIF($F$3,Rent_Roll[[#This Row],[Lease
Exp]],"m")+1),0)</f>
        <v>6</v>
      </c>
      <c r="P193" s="1341"/>
      <c r="Q193" s="1342" t="str" cm="1">
        <f t="array" ref="Q19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93" s="1343">
        <v>1550</v>
      </c>
      <c r="S193" s="723">
        <v>1370</v>
      </c>
      <c r="T193" s="723"/>
      <c r="U193" s="550">
        <f>Rent_Roll[[#This Row],[Lease
Rent]]+Rent_Roll[[#This Row],[Corp
Rent]]</f>
        <v>1370</v>
      </c>
      <c r="V193" s="1344">
        <f>IF(Rent_Roll[[#This Row],[Total In-Place
Rent]]=0,0,Rent_Roll[[#This Row],[Total In-Place
Rent]]-Rent_Roll[[#This Row],[Market
Rent]])</f>
        <v>-180</v>
      </c>
      <c r="W193" s="1343">
        <v>0</v>
      </c>
      <c r="X193" s="723"/>
      <c r="Y193" s="723"/>
      <c r="Z193" s="723"/>
      <c r="AA193" s="1345"/>
      <c r="AB193" s="723"/>
      <c r="AC193" s="723"/>
      <c r="AD193" s="723"/>
      <c r="AE193" s="723"/>
      <c r="AF193" s="723"/>
      <c r="AG193" s="147"/>
      <c r="AH193" s="147"/>
      <c r="AI193" s="1348" t="str">
        <f>IF(Rent_Roll[[#This Row],[Future
Lease Start]]="","",DATEDIF(Rent_Roll[[#This Row],[Future
Lease Start]],Rent_Roll[[#This Row],[Future
Lease Exp]],"m")+1)</f>
        <v/>
      </c>
      <c r="AJ193" s="1347"/>
    </row>
    <row r="194" spans="2:36" x14ac:dyDescent="0.2">
      <c r="B194" s="638"/>
      <c r="C194" s="638">
        <v>738</v>
      </c>
      <c r="D194" s="638" t="s">
        <v>872</v>
      </c>
      <c r="E194" s="162" t="str">
        <f>IF(Rent_Roll[[#This Row],[Floor-
plan]]="studio",0,LEFT(Rent_Roll[[#This Row],[Floor-
plan]],1))</f>
        <v>3</v>
      </c>
      <c r="F194" s="162" cm="1">
        <f t="array" ref="F19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94" s="1336">
        <v>1386</v>
      </c>
      <c r="H194" s="722" t="s">
        <v>244</v>
      </c>
      <c r="I194" s="722"/>
      <c r="J194" s="1337" t="str" cm="1">
        <f t="array" ref="J19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3x2-S</v>
      </c>
      <c r="K194" s="1338">
        <v>44795</v>
      </c>
      <c r="L194" s="147">
        <v>45190</v>
      </c>
      <c r="M194" s="1339" cm="1">
        <f t="array" ref="M194">_xlfn.IFS(Rent_Roll[[#This Row],[Lease
Exp]]="","",Rent_Roll[[#This Row],[MTM
Lease]]="MTM Lease","--",Rent_Roll[[#This Row],[Lease
Exp]]&gt;0,(DATEDIF(Rent_Roll[[#This Row],[Lease
Start]],Rent_Roll[[#This Row],[Lease
Exp]],"m")+1))</f>
        <v>13</v>
      </c>
      <c r="N194" s="1337" t="str">
        <f>IF(OR(Rent_Roll[[#This Row],[MTM Fee]]="",Rent_Roll[[#This Row],[MTM Fee]]=0),"","MTM Lease")</f>
        <v/>
      </c>
      <c r="O194" s="1340">
        <f ca="1">IFERROR(IF(Rent_Roll[[#This Row],[Lease
Exp]]="","",DATEDIF($F$3,Rent_Roll[[#This Row],[Lease
Exp]],"m")+1),0)</f>
        <v>8</v>
      </c>
      <c r="P194" s="1341"/>
      <c r="Q194" s="1342" t="str" cm="1">
        <f t="array" ref="Q19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94" s="1343">
        <v>1550</v>
      </c>
      <c r="S194" s="723">
        <v>1550</v>
      </c>
      <c r="T194" s="723"/>
      <c r="U194" s="550">
        <f>Rent_Roll[[#This Row],[Lease
Rent]]+Rent_Roll[[#This Row],[Corp
Rent]]</f>
        <v>1550</v>
      </c>
      <c r="V194" s="1344">
        <f>IF(Rent_Roll[[#This Row],[Total In-Place
Rent]]=0,0,Rent_Roll[[#This Row],[Total In-Place
Rent]]-Rent_Roll[[#This Row],[Market
Rent]])</f>
        <v>0</v>
      </c>
      <c r="W194" s="1343">
        <v>0</v>
      </c>
      <c r="X194" s="723"/>
      <c r="Y194" s="723"/>
      <c r="Z194" s="723"/>
      <c r="AA194" s="1345"/>
      <c r="AB194" s="723"/>
      <c r="AC194" s="723"/>
      <c r="AD194" s="723"/>
      <c r="AE194" s="723"/>
      <c r="AF194" s="723"/>
      <c r="AG194" s="147"/>
      <c r="AH194" s="147"/>
      <c r="AI194" s="1348" t="str">
        <f>IF(Rent_Roll[[#This Row],[Future
Lease Start]]="","",DATEDIF(Rent_Roll[[#This Row],[Future
Lease Start]],Rent_Roll[[#This Row],[Future
Lease Exp]],"m")+1)</f>
        <v/>
      </c>
      <c r="AJ194" s="1347"/>
    </row>
    <row r="195" spans="2:36" x14ac:dyDescent="0.2">
      <c r="B195" s="638"/>
      <c r="C195" s="638">
        <v>811</v>
      </c>
      <c r="D195" s="638" t="s">
        <v>866</v>
      </c>
      <c r="E195" s="162" t="str">
        <f>IF(Rent_Roll[[#This Row],[Floor-
plan]]="studio",0,LEFT(Rent_Roll[[#This Row],[Floor-
plan]],1))</f>
        <v>2</v>
      </c>
      <c r="F195" s="162" cm="1">
        <f t="array" ref="F19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95" s="1336">
        <v>1000</v>
      </c>
      <c r="H195" s="722" t="s">
        <v>244</v>
      </c>
      <c r="I195" s="722"/>
      <c r="J195" s="1337" t="str" cm="1">
        <f t="array" ref="J19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95" s="1338">
        <v>44765</v>
      </c>
      <c r="L195" s="147">
        <v>45129</v>
      </c>
      <c r="M195" s="1339" cm="1">
        <f t="array" ref="M19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95" s="1337" t="str">
        <f>IF(OR(Rent_Roll[[#This Row],[MTM Fee]]="",Rent_Roll[[#This Row],[MTM Fee]]=0),"","MTM Lease")</f>
        <v/>
      </c>
      <c r="O195" s="1340">
        <f ca="1">IFERROR(IF(Rent_Roll[[#This Row],[Lease
Exp]]="","",DATEDIF($F$3,Rent_Roll[[#This Row],[Lease
Exp]],"m")+1),0)</f>
        <v>6</v>
      </c>
      <c r="P195" s="1341"/>
      <c r="Q195" s="1342" t="str" cm="1">
        <f t="array" ref="Q19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95" s="1343">
        <v>1380</v>
      </c>
      <c r="S195" s="723">
        <v>1270</v>
      </c>
      <c r="T195" s="723"/>
      <c r="U195" s="550">
        <f>Rent_Roll[[#This Row],[Lease
Rent]]+Rent_Roll[[#This Row],[Corp
Rent]]</f>
        <v>1270</v>
      </c>
      <c r="V195" s="1344">
        <f>IF(Rent_Roll[[#This Row],[Total In-Place
Rent]]=0,0,Rent_Roll[[#This Row],[Total In-Place
Rent]]-Rent_Roll[[#This Row],[Market
Rent]])</f>
        <v>-110</v>
      </c>
      <c r="W195" s="1343">
        <v>0</v>
      </c>
      <c r="X195" s="723"/>
      <c r="Y195" s="723"/>
      <c r="Z195" s="723"/>
      <c r="AA195" s="1345"/>
      <c r="AB195" s="723"/>
      <c r="AC195" s="723"/>
      <c r="AD195" s="723"/>
      <c r="AE195" s="723"/>
      <c r="AF195" s="723"/>
      <c r="AG195" s="147"/>
      <c r="AH195" s="147"/>
      <c r="AI195" s="1348" t="str">
        <f>IF(Rent_Roll[[#This Row],[Future
Lease Start]]="","",DATEDIF(Rent_Roll[[#This Row],[Future
Lease Start]],Rent_Roll[[#This Row],[Future
Lease Exp]],"m")+1)</f>
        <v/>
      </c>
      <c r="AJ195" s="1347"/>
    </row>
    <row r="196" spans="2:36" x14ac:dyDescent="0.2">
      <c r="B196" s="638"/>
      <c r="C196" s="638">
        <v>812</v>
      </c>
      <c r="D196" s="638" t="s">
        <v>866</v>
      </c>
      <c r="E196" s="162" t="str">
        <f>IF(Rent_Roll[[#This Row],[Floor-
plan]]="studio",0,LEFT(Rent_Roll[[#This Row],[Floor-
plan]],1))</f>
        <v>2</v>
      </c>
      <c r="F196" s="162" cm="1">
        <f t="array" ref="F19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196" s="1336">
        <v>1000</v>
      </c>
      <c r="H196" s="722" t="s">
        <v>244</v>
      </c>
      <c r="I196" s="722"/>
      <c r="J196" s="1337" t="str" cm="1">
        <f t="array" ref="J19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196" s="1338">
        <v>44604</v>
      </c>
      <c r="L196" s="147">
        <v>44968</v>
      </c>
      <c r="M196" s="1339" cm="1">
        <f t="array" ref="M19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96" s="1337" t="str">
        <f>IF(OR(Rent_Roll[[#This Row],[MTM Fee]]="",Rent_Roll[[#This Row],[MTM Fee]]=0),"","MTM Lease")</f>
        <v/>
      </c>
      <c r="O196" s="1340">
        <f ca="1">IFERROR(IF(Rent_Roll[[#This Row],[Lease
Exp]]="","",DATEDIF($F$3,Rent_Roll[[#This Row],[Lease
Exp]],"m")+1),0)</f>
        <v>1</v>
      </c>
      <c r="P196" s="1341"/>
      <c r="Q196" s="1342" t="str" cm="1">
        <f t="array" ref="Q19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96" s="1343">
        <v>1400</v>
      </c>
      <c r="S196" s="723">
        <v>1255</v>
      </c>
      <c r="T196" s="723"/>
      <c r="U196" s="550">
        <f>Rent_Roll[[#This Row],[Lease
Rent]]+Rent_Roll[[#This Row],[Corp
Rent]]</f>
        <v>1255</v>
      </c>
      <c r="V196" s="1344">
        <f>IF(Rent_Roll[[#This Row],[Total In-Place
Rent]]=0,0,Rent_Roll[[#This Row],[Total In-Place
Rent]]-Rent_Roll[[#This Row],[Market
Rent]])</f>
        <v>-145</v>
      </c>
      <c r="W196" s="1343">
        <v>0</v>
      </c>
      <c r="X196" s="723"/>
      <c r="Y196" s="723"/>
      <c r="Z196" s="723"/>
      <c r="AA196" s="1345"/>
      <c r="AB196" s="723"/>
      <c r="AC196" s="723"/>
      <c r="AD196" s="723"/>
      <c r="AE196" s="723"/>
      <c r="AF196" s="723"/>
      <c r="AG196" s="147"/>
      <c r="AH196" s="147"/>
      <c r="AI196" s="1348" t="str">
        <f>IF(Rent_Roll[[#This Row],[Future
Lease Start]]="","",DATEDIF(Rent_Roll[[#This Row],[Future
Lease Start]],Rent_Roll[[#This Row],[Future
Lease Exp]],"m")+1)</f>
        <v/>
      </c>
      <c r="AJ196" s="1347"/>
    </row>
    <row r="197" spans="2:36" x14ac:dyDescent="0.2">
      <c r="B197" s="638"/>
      <c r="C197" s="638">
        <v>813</v>
      </c>
      <c r="D197" s="638" t="s">
        <v>868</v>
      </c>
      <c r="E197" s="162" t="str">
        <f>IF(Rent_Roll[[#This Row],[Floor-
plan]]="studio",0,LEFT(Rent_Roll[[#This Row],[Floor-
plan]],1))</f>
        <v>1</v>
      </c>
      <c r="F197" s="162" cm="1">
        <f t="array" ref="F19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97" s="1336">
        <v>642</v>
      </c>
      <c r="H197" s="722" t="s">
        <v>244</v>
      </c>
      <c r="I197" s="722"/>
      <c r="J197" s="1337" t="str" cm="1">
        <f t="array" ref="J19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97" s="1338">
        <v>44710</v>
      </c>
      <c r="L197" s="147">
        <v>45074</v>
      </c>
      <c r="M197" s="1339" cm="1">
        <f t="array" ref="M19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97" s="1337" t="str">
        <f>IF(OR(Rent_Roll[[#This Row],[MTM Fee]]="",Rent_Roll[[#This Row],[MTM Fee]]=0),"","MTM Lease")</f>
        <v/>
      </c>
      <c r="O197" s="1340">
        <f ca="1">IFERROR(IF(Rent_Roll[[#This Row],[Lease
Exp]]="","",DATEDIF($F$3,Rent_Roll[[#This Row],[Lease
Exp]],"m")+1),0)</f>
        <v>5</v>
      </c>
      <c r="P197" s="1341"/>
      <c r="Q197" s="1342" t="str" cm="1">
        <f t="array" ref="Q19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97" s="1343">
        <v>1115</v>
      </c>
      <c r="S197" s="723">
        <v>970</v>
      </c>
      <c r="T197" s="723"/>
      <c r="U197" s="550">
        <f>Rent_Roll[[#This Row],[Lease
Rent]]+Rent_Roll[[#This Row],[Corp
Rent]]</f>
        <v>970</v>
      </c>
      <c r="V197" s="1344">
        <f>IF(Rent_Roll[[#This Row],[Total In-Place
Rent]]=0,0,Rent_Roll[[#This Row],[Total In-Place
Rent]]-Rent_Roll[[#This Row],[Market
Rent]])</f>
        <v>-145</v>
      </c>
      <c r="W197" s="1343">
        <v>0</v>
      </c>
      <c r="X197" s="723"/>
      <c r="Y197" s="723"/>
      <c r="Z197" s="723"/>
      <c r="AA197" s="1345"/>
      <c r="AB197" s="723"/>
      <c r="AC197" s="723"/>
      <c r="AD197" s="723"/>
      <c r="AE197" s="723"/>
      <c r="AF197" s="723"/>
      <c r="AG197" s="147"/>
      <c r="AH197" s="147"/>
      <c r="AI197" s="1348" t="str">
        <f>IF(Rent_Roll[[#This Row],[Future
Lease Start]]="","",DATEDIF(Rent_Roll[[#This Row],[Future
Lease Start]],Rent_Roll[[#This Row],[Future
Lease Exp]],"m")+1)</f>
        <v/>
      </c>
      <c r="AJ197" s="1347"/>
    </row>
    <row r="198" spans="2:36" x14ac:dyDescent="0.2">
      <c r="B198" s="638"/>
      <c r="C198" s="638">
        <v>814</v>
      </c>
      <c r="D198" s="638" t="s">
        <v>868</v>
      </c>
      <c r="E198" s="162" t="str">
        <f>IF(Rent_Roll[[#This Row],[Floor-
plan]]="studio",0,LEFT(Rent_Roll[[#This Row],[Floor-
plan]],1))</f>
        <v>1</v>
      </c>
      <c r="F198" s="162" cm="1">
        <f t="array" ref="F19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98" s="1336">
        <v>642</v>
      </c>
      <c r="H198" s="722" t="s">
        <v>244</v>
      </c>
      <c r="I198" s="722"/>
      <c r="J198" s="1337" t="str" cm="1">
        <f t="array" ref="J19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98" s="1338">
        <v>44753</v>
      </c>
      <c r="L198" s="147">
        <v>45117</v>
      </c>
      <c r="M198" s="1339" cm="1">
        <f t="array" ref="M19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98" s="1337" t="str">
        <f>IF(OR(Rent_Roll[[#This Row],[MTM Fee]]="",Rent_Roll[[#This Row],[MTM Fee]]=0),"","MTM Lease")</f>
        <v/>
      </c>
      <c r="O198" s="1340">
        <f ca="1">IFERROR(IF(Rent_Roll[[#This Row],[Lease
Exp]]="","",DATEDIF($F$3,Rent_Roll[[#This Row],[Lease
Exp]],"m")+1),0)</f>
        <v>6</v>
      </c>
      <c r="P198" s="1341"/>
      <c r="Q198" s="1342" t="str" cm="1">
        <f t="array" ref="Q19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98" s="1343">
        <v>1095</v>
      </c>
      <c r="S198" s="723">
        <v>945</v>
      </c>
      <c r="T198" s="723"/>
      <c r="U198" s="550">
        <f>Rent_Roll[[#This Row],[Lease
Rent]]+Rent_Roll[[#This Row],[Corp
Rent]]</f>
        <v>945</v>
      </c>
      <c r="V198" s="1344">
        <f>IF(Rent_Roll[[#This Row],[Total In-Place
Rent]]=0,0,Rent_Roll[[#This Row],[Total In-Place
Rent]]-Rent_Roll[[#This Row],[Market
Rent]])</f>
        <v>-150</v>
      </c>
      <c r="W198" s="1343">
        <v>0</v>
      </c>
      <c r="X198" s="723"/>
      <c r="Y198" s="723"/>
      <c r="Z198" s="723"/>
      <c r="AA198" s="1345"/>
      <c r="AB198" s="723"/>
      <c r="AC198" s="723"/>
      <c r="AD198" s="723"/>
      <c r="AE198" s="723"/>
      <c r="AF198" s="723"/>
      <c r="AG198" s="147"/>
      <c r="AH198" s="147"/>
      <c r="AI198" s="1348" t="str">
        <f>IF(Rent_Roll[[#This Row],[Future
Lease Start]]="","",DATEDIF(Rent_Roll[[#This Row],[Future
Lease Start]],Rent_Roll[[#This Row],[Future
Lease Exp]],"m")+1)</f>
        <v/>
      </c>
      <c r="AJ198" s="1347"/>
    </row>
    <row r="199" spans="2:36" x14ac:dyDescent="0.2">
      <c r="B199" s="638"/>
      <c r="C199" s="638">
        <v>815</v>
      </c>
      <c r="D199" s="638" t="s">
        <v>868</v>
      </c>
      <c r="E199" s="162" t="str">
        <f>IF(Rent_Roll[[#This Row],[Floor-
plan]]="studio",0,LEFT(Rent_Roll[[#This Row],[Floor-
plan]],1))</f>
        <v>1</v>
      </c>
      <c r="F199" s="162" cm="1">
        <f t="array" ref="F19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199" s="1336">
        <v>642</v>
      </c>
      <c r="H199" s="722" t="s">
        <v>244</v>
      </c>
      <c r="I199" s="722"/>
      <c r="J199" s="1337" t="str" cm="1">
        <f t="array" ref="J19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199" s="1338">
        <v>44468</v>
      </c>
      <c r="L199" s="147">
        <v>44832</v>
      </c>
      <c r="M199" s="1339" cm="1">
        <f t="array" ref="M19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199" s="1337" t="str">
        <f>IF(OR(Rent_Roll[[#This Row],[MTM Fee]]="",Rent_Roll[[#This Row],[MTM Fee]]=0),"","MTM Lease")</f>
        <v/>
      </c>
      <c r="O199" s="1340">
        <f ca="1">IFERROR(IF(Rent_Roll[[#This Row],[Lease
Exp]]="","",DATEDIF($F$3,Rent_Roll[[#This Row],[Lease
Exp]],"m")+1),0)</f>
        <v>0</v>
      </c>
      <c r="P199" s="1341"/>
      <c r="Q199" s="1342" t="str" cm="1">
        <f t="array" ref="Q19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199" s="1343">
        <v>1095</v>
      </c>
      <c r="S199" s="723">
        <v>985</v>
      </c>
      <c r="T199" s="723"/>
      <c r="U199" s="550">
        <f>Rent_Roll[[#This Row],[Lease
Rent]]+Rent_Roll[[#This Row],[Corp
Rent]]</f>
        <v>985</v>
      </c>
      <c r="V199" s="1344">
        <f>IF(Rent_Roll[[#This Row],[Total In-Place
Rent]]=0,0,Rent_Roll[[#This Row],[Total In-Place
Rent]]-Rent_Roll[[#This Row],[Market
Rent]])</f>
        <v>-110</v>
      </c>
      <c r="W199" s="1343">
        <v>0</v>
      </c>
      <c r="X199" s="723"/>
      <c r="Y199" s="723"/>
      <c r="Z199" s="723"/>
      <c r="AA199" s="1345"/>
      <c r="AB199" s="723"/>
      <c r="AC199" s="723"/>
      <c r="AD199" s="723"/>
      <c r="AE199" s="723"/>
      <c r="AF199" s="723"/>
      <c r="AG199" s="147"/>
      <c r="AH199" s="147"/>
      <c r="AI199" s="1348" t="str">
        <f>IF(Rent_Roll[[#This Row],[Future
Lease Start]]="","",DATEDIF(Rent_Roll[[#This Row],[Future
Lease Start]],Rent_Roll[[#This Row],[Future
Lease Exp]],"m")+1)</f>
        <v/>
      </c>
      <c r="AJ199" s="1347"/>
    </row>
    <row r="200" spans="2:36" x14ac:dyDescent="0.2">
      <c r="B200" s="638"/>
      <c r="C200" s="638">
        <v>816</v>
      </c>
      <c r="D200" s="638" t="s">
        <v>868</v>
      </c>
      <c r="E200" s="162" t="str">
        <f>IF(Rent_Roll[[#This Row],[Floor-
plan]]="studio",0,LEFT(Rent_Roll[[#This Row],[Floor-
plan]],1))</f>
        <v>1</v>
      </c>
      <c r="F200" s="162" cm="1">
        <f t="array" ref="F20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00" s="1336">
        <v>642</v>
      </c>
      <c r="H200" s="722" t="s">
        <v>244</v>
      </c>
      <c r="I200" s="722"/>
      <c r="J200" s="1337" t="str" cm="1">
        <f t="array" ref="J20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00" s="1338">
        <v>44546</v>
      </c>
      <c r="L200" s="147">
        <v>44910</v>
      </c>
      <c r="M200" s="1339" cm="1">
        <f t="array" ref="M20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00" s="1337" t="str">
        <f>IF(OR(Rent_Roll[[#This Row],[MTM Fee]]="",Rent_Roll[[#This Row],[MTM Fee]]=0),"","MTM Lease")</f>
        <v/>
      </c>
      <c r="O200" s="1340">
        <f ca="1">IFERROR(IF(Rent_Roll[[#This Row],[Lease
Exp]]="","",DATEDIF($F$3,Rent_Roll[[#This Row],[Lease
Exp]],"m")+1),0)</f>
        <v>0</v>
      </c>
      <c r="P200" s="1341"/>
      <c r="Q200" s="1342" t="str" cm="1">
        <f t="array" ref="Q20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00" s="1343">
        <v>1115</v>
      </c>
      <c r="S200" s="723">
        <v>1005</v>
      </c>
      <c r="T200" s="723"/>
      <c r="U200" s="550">
        <f>Rent_Roll[[#This Row],[Lease
Rent]]+Rent_Roll[[#This Row],[Corp
Rent]]</f>
        <v>1005</v>
      </c>
      <c r="V200" s="1344">
        <f>IF(Rent_Roll[[#This Row],[Total In-Place
Rent]]=0,0,Rent_Roll[[#This Row],[Total In-Place
Rent]]-Rent_Roll[[#This Row],[Market
Rent]])</f>
        <v>-110</v>
      </c>
      <c r="W200" s="1343">
        <v>0</v>
      </c>
      <c r="X200" s="723"/>
      <c r="Y200" s="723"/>
      <c r="Z200" s="723"/>
      <c r="AA200" s="1345"/>
      <c r="AB200" s="723"/>
      <c r="AC200" s="723"/>
      <c r="AD200" s="723"/>
      <c r="AE200" s="723"/>
      <c r="AF200" s="723"/>
      <c r="AG200" s="147"/>
      <c r="AH200" s="147"/>
      <c r="AI200" s="1348" t="str">
        <f>IF(Rent_Roll[[#This Row],[Future
Lease Start]]="","",DATEDIF(Rent_Roll[[#This Row],[Future
Lease Start]],Rent_Roll[[#This Row],[Future
Lease Exp]],"m")+1)</f>
        <v/>
      </c>
      <c r="AJ200" s="1347"/>
    </row>
    <row r="201" spans="2:36" x14ac:dyDescent="0.2">
      <c r="B201" s="638"/>
      <c r="C201" s="638">
        <v>817</v>
      </c>
      <c r="D201" s="638" t="s">
        <v>866</v>
      </c>
      <c r="E201" s="162" t="str">
        <f>IF(Rent_Roll[[#This Row],[Floor-
plan]]="studio",0,LEFT(Rent_Roll[[#This Row],[Floor-
plan]],1))</f>
        <v>2</v>
      </c>
      <c r="F201" s="162" cm="1">
        <f t="array" ref="F20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01" s="1336">
        <v>1000</v>
      </c>
      <c r="H201" s="722" t="s">
        <v>244</v>
      </c>
      <c r="I201" s="722"/>
      <c r="J201" s="1337" t="str" cm="1">
        <f t="array" ref="J20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01" s="1338">
        <v>44783</v>
      </c>
      <c r="L201" s="147">
        <v>45147</v>
      </c>
      <c r="M201" s="1339" cm="1">
        <f t="array" ref="M20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01" s="1337" t="str">
        <f>IF(OR(Rent_Roll[[#This Row],[MTM Fee]]="",Rent_Roll[[#This Row],[MTM Fee]]=0),"","MTM Lease")</f>
        <v/>
      </c>
      <c r="O201" s="1340">
        <f ca="1">IFERROR(IF(Rent_Roll[[#This Row],[Lease
Exp]]="","",DATEDIF($F$3,Rent_Roll[[#This Row],[Lease
Exp]],"m")+1),0)</f>
        <v>7</v>
      </c>
      <c r="P201" s="1341"/>
      <c r="Q201" s="1342" t="str" cm="1">
        <f t="array" ref="Q20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01" s="1343">
        <v>1400</v>
      </c>
      <c r="S201" s="723">
        <v>1400</v>
      </c>
      <c r="T201" s="723"/>
      <c r="U201" s="550">
        <f>Rent_Roll[[#This Row],[Lease
Rent]]+Rent_Roll[[#This Row],[Corp
Rent]]</f>
        <v>1400</v>
      </c>
      <c r="V201" s="1344">
        <f>IF(Rent_Roll[[#This Row],[Total In-Place
Rent]]=0,0,Rent_Roll[[#This Row],[Total In-Place
Rent]]-Rent_Roll[[#This Row],[Market
Rent]])</f>
        <v>0</v>
      </c>
      <c r="W201" s="1343">
        <v>0</v>
      </c>
      <c r="X201" s="723"/>
      <c r="Y201" s="723"/>
      <c r="Z201" s="723"/>
      <c r="AA201" s="1345"/>
      <c r="AB201" s="723"/>
      <c r="AC201" s="723"/>
      <c r="AD201" s="723"/>
      <c r="AE201" s="723"/>
      <c r="AF201" s="723"/>
      <c r="AG201" s="147"/>
      <c r="AH201" s="147"/>
      <c r="AI201" s="1348" t="str">
        <f>IF(Rent_Roll[[#This Row],[Future
Lease Start]]="","",DATEDIF(Rent_Roll[[#This Row],[Future
Lease Start]],Rent_Roll[[#This Row],[Future
Lease Exp]],"m")+1)</f>
        <v/>
      </c>
      <c r="AJ201" s="1347"/>
    </row>
    <row r="202" spans="2:36" x14ac:dyDescent="0.2">
      <c r="B202" s="638"/>
      <c r="C202" s="638">
        <v>818</v>
      </c>
      <c r="D202" s="638" t="s">
        <v>866</v>
      </c>
      <c r="E202" s="162" t="str">
        <f>IF(Rent_Roll[[#This Row],[Floor-
plan]]="studio",0,LEFT(Rent_Roll[[#This Row],[Floor-
plan]],1))</f>
        <v>2</v>
      </c>
      <c r="F202" s="162" cm="1">
        <f t="array" ref="F20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02" s="1336">
        <v>1000</v>
      </c>
      <c r="H202" s="722" t="s">
        <v>245</v>
      </c>
      <c r="I202" s="722"/>
      <c r="J202" s="1337" t="str" cm="1">
        <f t="array" ref="J20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02" s="1338" t="s">
        <v>873</v>
      </c>
      <c r="L202" s="147" t="s">
        <v>873</v>
      </c>
      <c r="M202" s="1339" t="str" cm="1">
        <f t="array" ref="M202">_xlfn.IFS(Rent_Roll[[#This Row],[Lease
Exp]]="","",Rent_Roll[[#This Row],[MTM
Lease]]="MTM Lease","--",Rent_Roll[[#This Row],[Lease
Exp]]&gt;0,(DATEDIF(Rent_Roll[[#This Row],[Lease
Start]],Rent_Roll[[#This Row],[Lease
Exp]],"m")+1))</f>
        <v/>
      </c>
      <c r="N202" s="1337" t="str">
        <f>IF(OR(Rent_Roll[[#This Row],[MTM Fee]]="",Rent_Roll[[#This Row],[MTM Fee]]=0),"","MTM Lease")</f>
        <v/>
      </c>
      <c r="O202" s="1340" t="str">
        <f>IFERROR(IF(Rent_Roll[[#This Row],[Lease
Exp]]="","",DATEDIF($F$3,Rent_Roll[[#This Row],[Lease
Exp]],"m")+1),0)</f>
        <v/>
      </c>
      <c r="P202" s="1341"/>
      <c r="Q202" s="1342" t="str" cm="1">
        <f t="array" ref="Q20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02" s="1343">
        <v>1380</v>
      </c>
      <c r="S202" s="723">
        <v>0</v>
      </c>
      <c r="T202" s="723"/>
      <c r="U202" s="550">
        <f>Rent_Roll[[#This Row],[Lease
Rent]]+Rent_Roll[[#This Row],[Corp
Rent]]</f>
        <v>0</v>
      </c>
      <c r="V202" s="1344">
        <f>IF(Rent_Roll[[#This Row],[Total In-Place
Rent]]=0,0,Rent_Roll[[#This Row],[Total In-Place
Rent]]-Rent_Roll[[#This Row],[Market
Rent]])</f>
        <v>0</v>
      </c>
      <c r="W202" s="1343">
        <v>0</v>
      </c>
      <c r="X202" s="723"/>
      <c r="Y202" s="723"/>
      <c r="Z202" s="723"/>
      <c r="AA202" s="1345"/>
      <c r="AB202" s="723"/>
      <c r="AC202" s="723"/>
      <c r="AD202" s="723"/>
      <c r="AE202" s="723"/>
      <c r="AF202" s="723"/>
      <c r="AG202" s="147"/>
      <c r="AH202" s="147"/>
      <c r="AI202" s="1348" t="str">
        <f>IF(Rent_Roll[[#This Row],[Future
Lease Start]]="","",DATEDIF(Rent_Roll[[#This Row],[Future
Lease Start]],Rent_Roll[[#This Row],[Future
Lease Exp]],"m")+1)</f>
        <v/>
      </c>
      <c r="AJ202" s="1347"/>
    </row>
    <row r="203" spans="2:36" x14ac:dyDescent="0.2">
      <c r="B203" s="638"/>
      <c r="C203" s="638">
        <v>821</v>
      </c>
      <c r="D203" s="638" t="s">
        <v>866</v>
      </c>
      <c r="E203" s="162" t="str">
        <f>IF(Rent_Roll[[#This Row],[Floor-
plan]]="studio",0,LEFT(Rent_Roll[[#This Row],[Floor-
plan]],1))</f>
        <v>2</v>
      </c>
      <c r="F203" s="162" cm="1">
        <f t="array" ref="F20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03" s="1336">
        <v>1000</v>
      </c>
      <c r="H203" s="722" t="s">
        <v>244</v>
      </c>
      <c r="I203" s="722"/>
      <c r="J203" s="1337" t="str" cm="1">
        <f t="array" ref="J20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03" s="1338">
        <v>44617</v>
      </c>
      <c r="L203" s="147">
        <v>44981</v>
      </c>
      <c r="M203" s="1339" cm="1">
        <f t="array" ref="M20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03" s="1337" t="str">
        <f>IF(OR(Rent_Roll[[#This Row],[MTM Fee]]="",Rent_Roll[[#This Row],[MTM Fee]]=0),"","MTM Lease")</f>
        <v/>
      </c>
      <c r="O203" s="1340">
        <f ca="1">IFERROR(IF(Rent_Roll[[#This Row],[Lease
Exp]]="","",DATEDIF($F$3,Rent_Roll[[#This Row],[Lease
Exp]],"m")+1),0)</f>
        <v>1</v>
      </c>
      <c r="P203" s="1341"/>
      <c r="Q203" s="1342" t="str" cm="1">
        <f t="array" ref="Q20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03" s="1343">
        <v>1360</v>
      </c>
      <c r="S203" s="723">
        <v>1360</v>
      </c>
      <c r="T203" s="723"/>
      <c r="U203" s="550">
        <f>Rent_Roll[[#This Row],[Lease
Rent]]+Rent_Roll[[#This Row],[Corp
Rent]]</f>
        <v>1360</v>
      </c>
      <c r="V203" s="1344">
        <f>IF(Rent_Roll[[#This Row],[Total In-Place
Rent]]=0,0,Rent_Roll[[#This Row],[Total In-Place
Rent]]-Rent_Roll[[#This Row],[Market
Rent]])</f>
        <v>0</v>
      </c>
      <c r="W203" s="1343">
        <v>0</v>
      </c>
      <c r="X203" s="723"/>
      <c r="Y203" s="723"/>
      <c r="Z203" s="723"/>
      <c r="AA203" s="1345"/>
      <c r="AB203" s="723"/>
      <c r="AC203" s="723"/>
      <c r="AD203" s="723"/>
      <c r="AE203" s="723"/>
      <c r="AF203" s="723"/>
      <c r="AG203" s="147"/>
      <c r="AH203" s="147"/>
      <c r="AI203" s="1348" t="str">
        <f>IF(Rent_Roll[[#This Row],[Future
Lease Start]]="","",DATEDIF(Rent_Roll[[#This Row],[Future
Lease Start]],Rent_Roll[[#This Row],[Future
Lease Exp]],"m")+1)</f>
        <v/>
      </c>
      <c r="AJ203" s="1347"/>
    </row>
    <row r="204" spans="2:36" x14ac:dyDescent="0.2">
      <c r="B204" s="638"/>
      <c r="C204" s="638">
        <v>822</v>
      </c>
      <c r="D204" s="638" t="s">
        <v>866</v>
      </c>
      <c r="E204" s="162" t="str">
        <f>IF(Rent_Roll[[#This Row],[Floor-
plan]]="studio",0,LEFT(Rent_Roll[[#This Row],[Floor-
plan]],1))</f>
        <v>2</v>
      </c>
      <c r="F204" s="162" cm="1">
        <f t="array" ref="F20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04" s="1336">
        <v>1000</v>
      </c>
      <c r="H204" s="722" t="s">
        <v>244</v>
      </c>
      <c r="I204" s="722"/>
      <c r="J204" s="1337" t="str" cm="1">
        <f t="array" ref="J20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04" s="1338">
        <v>44551</v>
      </c>
      <c r="L204" s="147">
        <v>44915</v>
      </c>
      <c r="M204" s="1339" cm="1">
        <f t="array" ref="M20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04" s="1337" t="str">
        <f>IF(OR(Rent_Roll[[#This Row],[MTM Fee]]="",Rent_Roll[[#This Row],[MTM Fee]]=0),"","MTM Lease")</f>
        <v/>
      </c>
      <c r="O204" s="1340">
        <f ca="1">IFERROR(IF(Rent_Roll[[#This Row],[Lease
Exp]]="","",DATEDIF($F$3,Rent_Roll[[#This Row],[Lease
Exp]],"m")+1),0)</f>
        <v>0</v>
      </c>
      <c r="P204" s="1341">
        <v>44896</v>
      </c>
      <c r="Q204" s="1342" t="str" cm="1">
        <f t="array" ref="Q20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204" s="1343">
        <v>1380</v>
      </c>
      <c r="S204" s="723">
        <v>1380</v>
      </c>
      <c r="T204" s="723"/>
      <c r="U204" s="550">
        <f>Rent_Roll[[#This Row],[Lease
Rent]]+Rent_Roll[[#This Row],[Corp
Rent]]</f>
        <v>1380</v>
      </c>
      <c r="V204" s="1344">
        <f>IF(Rent_Roll[[#This Row],[Total In-Place
Rent]]=0,0,Rent_Roll[[#This Row],[Total In-Place
Rent]]-Rent_Roll[[#This Row],[Market
Rent]])</f>
        <v>0</v>
      </c>
      <c r="W204" s="1343">
        <v>0</v>
      </c>
      <c r="X204" s="723"/>
      <c r="Y204" s="723"/>
      <c r="Z204" s="723"/>
      <c r="AA204" s="1345"/>
      <c r="AB204" s="723"/>
      <c r="AC204" s="723"/>
      <c r="AD204" s="723"/>
      <c r="AE204" s="723"/>
      <c r="AF204" s="723"/>
      <c r="AG204" s="147"/>
      <c r="AH204" s="147"/>
      <c r="AI204" s="1348" t="str">
        <f>IF(Rent_Roll[[#This Row],[Future
Lease Start]]="","",DATEDIF(Rent_Roll[[#This Row],[Future
Lease Start]],Rent_Roll[[#This Row],[Future
Lease Exp]],"m")+1)</f>
        <v/>
      </c>
      <c r="AJ204" s="1347"/>
    </row>
    <row r="205" spans="2:36" x14ac:dyDescent="0.2">
      <c r="B205" s="638"/>
      <c r="C205" s="638">
        <v>823</v>
      </c>
      <c r="D205" s="638" t="s">
        <v>868</v>
      </c>
      <c r="E205" s="162" t="str">
        <f>IF(Rent_Roll[[#This Row],[Floor-
plan]]="studio",0,LEFT(Rent_Roll[[#This Row],[Floor-
plan]],1))</f>
        <v>1</v>
      </c>
      <c r="F205" s="162" cm="1">
        <f t="array" ref="F20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05" s="1336">
        <v>642</v>
      </c>
      <c r="H205" s="722" t="s">
        <v>244</v>
      </c>
      <c r="I205" s="722"/>
      <c r="J205" s="1337" t="str" cm="1">
        <f t="array" ref="J20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05" s="1338">
        <v>44739</v>
      </c>
      <c r="L205" s="147">
        <v>45286</v>
      </c>
      <c r="M205" s="1339" cm="1">
        <f t="array" ref="M205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205" s="1337" t="str">
        <f>IF(OR(Rent_Roll[[#This Row],[MTM Fee]]="",Rent_Roll[[#This Row],[MTM Fee]]=0),"","MTM Lease")</f>
        <v/>
      </c>
      <c r="O205" s="1340">
        <f ca="1">IFERROR(IF(Rent_Roll[[#This Row],[Lease
Exp]]="","",DATEDIF($F$3,Rent_Roll[[#This Row],[Lease
Exp]],"m")+1),0)</f>
        <v>12</v>
      </c>
      <c r="P205" s="1341"/>
      <c r="Q205" s="1342" t="str" cm="1">
        <f t="array" ref="Q20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05" s="1343">
        <v>1095</v>
      </c>
      <c r="S205" s="723">
        <v>1095</v>
      </c>
      <c r="T205" s="723"/>
      <c r="U205" s="550">
        <f>Rent_Roll[[#This Row],[Lease
Rent]]+Rent_Roll[[#This Row],[Corp
Rent]]</f>
        <v>1095</v>
      </c>
      <c r="V205" s="1344">
        <f>IF(Rent_Roll[[#This Row],[Total In-Place
Rent]]=0,0,Rent_Roll[[#This Row],[Total In-Place
Rent]]-Rent_Roll[[#This Row],[Market
Rent]])</f>
        <v>0</v>
      </c>
      <c r="W205" s="1343">
        <v>0</v>
      </c>
      <c r="X205" s="723"/>
      <c r="Y205" s="723"/>
      <c r="Z205" s="723"/>
      <c r="AA205" s="1345"/>
      <c r="AB205" s="723"/>
      <c r="AC205" s="723"/>
      <c r="AD205" s="723"/>
      <c r="AE205" s="723"/>
      <c r="AF205" s="723"/>
      <c r="AG205" s="147"/>
      <c r="AH205" s="147"/>
      <c r="AI205" s="1348" t="str">
        <f>IF(Rent_Roll[[#This Row],[Future
Lease Start]]="","",DATEDIF(Rent_Roll[[#This Row],[Future
Lease Start]],Rent_Roll[[#This Row],[Future
Lease Exp]],"m")+1)</f>
        <v/>
      </c>
      <c r="AJ205" s="1347"/>
    </row>
    <row r="206" spans="2:36" x14ac:dyDescent="0.2">
      <c r="B206" s="638"/>
      <c r="C206" s="638">
        <v>824</v>
      </c>
      <c r="D206" s="638" t="s">
        <v>868</v>
      </c>
      <c r="E206" s="162" t="str">
        <f>IF(Rent_Roll[[#This Row],[Floor-
plan]]="studio",0,LEFT(Rent_Roll[[#This Row],[Floor-
plan]],1))</f>
        <v>1</v>
      </c>
      <c r="F206" s="162" cm="1">
        <f t="array" ref="F20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06" s="1336">
        <v>642</v>
      </c>
      <c r="H206" s="722" t="s">
        <v>244</v>
      </c>
      <c r="I206" s="722"/>
      <c r="J206" s="1337" t="str" cm="1">
        <f t="array" ref="J20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06" s="1338">
        <v>44365</v>
      </c>
      <c r="L206" s="147">
        <v>44912</v>
      </c>
      <c r="M206" s="1339" cm="1">
        <f t="array" ref="M206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206" s="1337" t="str">
        <f>IF(OR(Rent_Roll[[#This Row],[MTM Fee]]="",Rent_Roll[[#This Row],[MTM Fee]]=0),"","MTM Lease")</f>
        <v/>
      </c>
      <c r="O206" s="1340">
        <f ca="1">IFERROR(IF(Rent_Roll[[#This Row],[Lease
Exp]]="","",DATEDIF($F$3,Rent_Roll[[#This Row],[Lease
Exp]],"m")+1),0)</f>
        <v>0</v>
      </c>
      <c r="P206" s="1341"/>
      <c r="Q206" s="1342" t="str" cm="1">
        <f t="array" ref="Q20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06" s="1343">
        <v>1075</v>
      </c>
      <c r="S206" s="723">
        <v>945</v>
      </c>
      <c r="T206" s="723"/>
      <c r="U206" s="550">
        <f>Rent_Roll[[#This Row],[Lease
Rent]]+Rent_Roll[[#This Row],[Corp
Rent]]</f>
        <v>945</v>
      </c>
      <c r="V206" s="1344">
        <f>IF(Rent_Roll[[#This Row],[Total In-Place
Rent]]=0,0,Rent_Roll[[#This Row],[Total In-Place
Rent]]-Rent_Roll[[#This Row],[Market
Rent]])</f>
        <v>-130</v>
      </c>
      <c r="W206" s="1343">
        <v>0</v>
      </c>
      <c r="X206" s="723"/>
      <c r="Y206" s="723"/>
      <c r="Z206" s="723"/>
      <c r="AA206" s="1345"/>
      <c r="AB206" s="723"/>
      <c r="AC206" s="723"/>
      <c r="AD206" s="723"/>
      <c r="AE206" s="723"/>
      <c r="AF206" s="723"/>
      <c r="AG206" s="147"/>
      <c r="AH206" s="147"/>
      <c r="AI206" s="1348" t="str">
        <f>IF(Rent_Roll[[#This Row],[Future
Lease Start]]="","",DATEDIF(Rent_Roll[[#This Row],[Future
Lease Start]],Rent_Roll[[#This Row],[Future
Lease Exp]],"m")+1)</f>
        <v/>
      </c>
      <c r="AJ206" s="1347"/>
    </row>
    <row r="207" spans="2:36" x14ac:dyDescent="0.2">
      <c r="B207" s="638"/>
      <c r="C207" s="638">
        <v>825</v>
      </c>
      <c r="D207" s="638" t="s">
        <v>868</v>
      </c>
      <c r="E207" s="162" t="str">
        <f>IF(Rent_Roll[[#This Row],[Floor-
plan]]="studio",0,LEFT(Rent_Roll[[#This Row],[Floor-
plan]],1))</f>
        <v>1</v>
      </c>
      <c r="F207" s="162" cm="1">
        <f t="array" ref="F20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07" s="1336">
        <v>642</v>
      </c>
      <c r="H207" s="722" t="s">
        <v>244</v>
      </c>
      <c r="I207" s="722"/>
      <c r="J207" s="1337" t="str" cm="1">
        <f t="array" ref="J20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07" s="1338">
        <v>44802</v>
      </c>
      <c r="L207" s="147">
        <v>44842</v>
      </c>
      <c r="M207" s="1339" t="str" cm="1">
        <f t="array" ref="M207">_xlfn.IFS(Rent_Roll[[#This Row],[Lease
Exp]]="","",Rent_Roll[[#This Row],[MTM
Lease]]="MTM Lease","--",Rent_Roll[[#This Row],[Lease
Exp]]&gt;0,(DATEDIF(Rent_Roll[[#This Row],[Lease
Start]],Rent_Roll[[#This Row],[Lease
Exp]],"m")+1))</f>
        <v>--</v>
      </c>
      <c r="N207" s="1337" t="str">
        <f>IF(OR(Rent_Roll[[#This Row],[MTM Fee]]="",Rent_Roll[[#This Row],[MTM Fee]]=0),"","MTM Lease")</f>
        <v>MTM Lease</v>
      </c>
      <c r="O207" s="1340">
        <f ca="1">IFERROR(IF(Rent_Roll[[#This Row],[Lease
Exp]]="","",DATEDIF($F$3,Rent_Roll[[#This Row],[Lease
Exp]],"m")+1),0)</f>
        <v>0</v>
      </c>
      <c r="P207" s="1341">
        <v>44842</v>
      </c>
      <c r="Q207" s="1342" t="str" cm="1">
        <f t="array" ref="Q20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207" s="1343">
        <v>1075</v>
      </c>
      <c r="S207" s="723">
        <v>1070</v>
      </c>
      <c r="T207" s="723"/>
      <c r="U207" s="550">
        <f>Rent_Roll[[#This Row],[Lease
Rent]]+Rent_Roll[[#This Row],[Corp
Rent]]</f>
        <v>1070</v>
      </c>
      <c r="V207" s="1344">
        <f>IF(Rent_Roll[[#This Row],[Total In-Place
Rent]]=0,0,Rent_Roll[[#This Row],[Total In-Place
Rent]]-Rent_Roll[[#This Row],[Market
Rent]])</f>
        <v>-5</v>
      </c>
      <c r="W207" s="1343">
        <v>200</v>
      </c>
      <c r="X207" s="723"/>
      <c r="Y207" s="723"/>
      <c r="Z207" s="723"/>
      <c r="AA207" s="1345"/>
      <c r="AB207" s="723"/>
      <c r="AC207" s="723"/>
      <c r="AD207" s="723"/>
      <c r="AE207" s="723"/>
      <c r="AF207" s="723"/>
      <c r="AG207" s="147"/>
      <c r="AH207" s="147"/>
      <c r="AI207" s="1348" t="str">
        <f>IF(Rent_Roll[[#This Row],[Future
Lease Start]]="","",DATEDIF(Rent_Roll[[#This Row],[Future
Lease Start]],Rent_Roll[[#This Row],[Future
Lease Exp]],"m")+1)</f>
        <v/>
      </c>
      <c r="AJ207" s="1347"/>
    </row>
    <row r="208" spans="2:36" x14ac:dyDescent="0.2">
      <c r="B208" s="638"/>
      <c r="C208" s="638">
        <v>826</v>
      </c>
      <c r="D208" s="638" t="s">
        <v>868</v>
      </c>
      <c r="E208" s="162" t="str">
        <f>IF(Rent_Roll[[#This Row],[Floor-
plan]]="studio",0,LEFT(Rent_Roll[[#This Row],[Floor-
plan]],1))</f>
        <v>1</v>
      </c>
      <c r="F208" s="162" cm="1">
        <f t="array" ref="F20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08" s="1336">
        <v>642</v>
      </c>
      <c r="H208" s="722" t="s">
        <v>244</v>
      </c>
      <c r="I208" s="722"/>
      <c r="J208" s="1337" t="str" cm="1">
        <f t="array" ref="J20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08" s="1338">
        <v>44519</v>
      </c>
      <c r="L208" s="147">
        <v>44883</v>
      </c>
      <c r="M208" s="1339" cm="1">
        <f t="array" ref="M20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08" s="1337" t="str">
        <f>IF(OR(Rent_Roll[[#This Row],[MTM Fee]]="",Rent_Roll[[#This Row],[MTM Fee]]=0),"","MTM Lease")</f>
        <v/>
      </c>
      <c r="O208" s="1340">
        <f ca="1">IFERROR(IF(Rent_Roll[[#This Row],[Lease
Exp]]="","",DATEDIF($F$3,Rent_Roll[[#This Row],[Lease
Exp]],"m")+1),0)</f>
        <v>0</v>
      </c>
      <c r="P208" s="1341"/>
      <c r="Q208" s="1342" t="str" cm="1">
        <f t="array" ref="Q20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08" s="1343">
        <v>1095</v>
      </c>
      <c r="S208" s="723">
        <v>985</v>
      </c>
      <c r="T208" s="723"/>
      <c r="U208" s="550">
        <f>Rent_Roll[[#This Row],[Lease
Rent]]+Rent_Roll[[#This Row],[Corp
Rent]]</f>
        <v>985</v>
      </c>
      <c r="V208" s="1344">
        <f>IF(Rent_Roll[[#This Row],[Total In-Place
Rent]]=0,0,Rent_Roll[[#This Row],[Total In-Place
Rent]]-Rent_Roll[[#This Row],[Market
Rent]])</f>
        <v>-110</v>
      </c>
      <c r="W208" s="1343">
        <v>0</v>
      </c>
      <c r="X208" s="723"/>
      <c r="Y208" s="723"/>
      <c r="Z208" s="723"/>
      <c r="AA208" s="1345"/>
      <c r="AB208" s="723"/>
      <c r="AC208" s="723"/>
      <c r="AD208" s="723"/>
      <c r="AE208" s="723"/>
      <c r="AF208" s="723"/>
      <c r="AG208" s="147"/>
      <c r="AH208" s="147"/>
      <c r="AI208" s="1348" t="str">
        <f>IF(Rent_Roll[[#This Row],[Future
Lease Start]]="","",DATEDIF(Rent_Roll[[#This Row],[Future
Lease Start]],Rent_Roll[[#This Row],[Future
Lease Exp]],"m")+1)</f>
        <v/>
      </c>
      <c r="AJ208" s="1347"/>
    </row>
    <row r="209" spans="2:36" x14ac:dyDescent="0.2">
      <c r="B209" s="638"/>
      <c r="C209" s="638">
        <v>827</v>
      </c>
      <c r="D209" s="638" t="s">
        <v>866</v>
      </c>
      <c r="E209" s="162" t="str">
        <f>IF(Rent_Roll[[#This Row],[Floor-
plan]]="studio",0,LEFT(Rent_Roll[[#This Row],[Floor-
plan]],1))</f>
        <v>2</v>
      </c>
      <c r="F209" s="162" cm="1">
        <f t="array" ref="F20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09" s="1336">
        <v>1000</v>
      </c>
      <c r="H209" s="722" t="s">
        <v>244</v>
      </c>
      <c r="I209" s="722"/>
      <c r="J209" s="1337" t="str" cm="1">
        <f t="array" ref="J20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09" s="1338">
        <v>44729</v>
      </c>
      <c r="L209" s="147">
        <v>45093</v>
      </c>
      <c r="M209" s="1339" cm="1">
        <f t="array" ref="M20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09" s="1337" t="str">
        <f>IF(OR(Rent_Roll[[#This Row],[MTM Fee]]="",Rent_Roll[[#This Row],[MTM Fee]]=0),"","MTM Lease")</f>
        <v/>
      </c>
      <c r="O209" s="1340">
        <f ca="1">IFERROR(IF(Rent_Roll[[#This Row],[Lease
Exp]]="","",DATEDIF($F$3,Rent_Roll[[#This Row],[Lease
Exp]],"m")+1),0)</f>
        <v>5</v>
      </c>
      <c r="P209" s="1341"/>
      <c r="Q209" s="1342" t="str" cm="1">
        <f t="array" ref="Q20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09" s="1343">
        <v>1380</v>
      </c>
      <c r="S209" s="723">
        <v>1380</v>
      </c>
      <c r="T209" s="723"/>
      <c r="U209" s="550">
        <f>Rent_Roll[[#This Row],[Lease
Rent]]+Rent_Roll[[#This Row],[Corp
Rent]]</f>
        <v>1380</v>
      </c>
      <c r="V209" s="1344">
        <f>IF(Rent_Roll[[#This Row],[Total In-Place
Rent]]=0,0,Rent_Roll[[#This Row],[Total In-Place
Rent]]-Rent_Roll[[#This Row],[Market
Rent]])</f>
        <v>0</v>
      </c>
      <c r="W209" s="1343">
        <v>0</v>
      </c>
      <c r="X209" s="723"/>
      <c r="Y209" s="723"/>
      <c r="Z209" s="723"/>
      <c r="AA209" s="1345"/>
      <c r="AB209" s="723"/>
      <c r="AC209" s="723"/>
      <c r="AD209" s="723"/>
      <c r="AE209" s="723"/>
      <c r="AF209" s="723"/>
      <c r="AG209" s="147"/>
      <c r="AH209" s="147"/>
      <c r="AI209" s="1348" t="str">
        <f>IF(Rent_Roll[[#This Row],[Future
Lease Start]]="","",DATEDIF(Rent_Roll[[#This Row],[Future
Lease Start]],Rent_Roll[[#This Row],[Future
Lease Exp]],"m")+1)</f>
        <v/>
      </c>
      <c r="AJ209" s="1347"/>
    </row>
    <row r="210" spans="2:36" x14ac:dyDescent="0.2">
      <c r="B210" s="638"/>
      <c r="C210" s="638">
        <v>828</v>
      </c>
      <c r="D210" s="638" t="s">
        <v>866</v>
      </c>
      <c r="E210" s="162" t="str">
        <f>IF(Rent_Roll[[#This Row],[Floor-
plan]]="studio",0,LEFT(Rent_Roll[[#This Row],[Floor-
plan]],1))</f>
        <v>2</v>
      </c>
      <c r="F210" s="162" cm="1">
        <f t="array" ref="F21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10" s="1336">
        <v>1000</v>
      </c>
      <c r="H210" s="722" t="s">
        <v>244</v>
      </c>
      <c r="I210" s="722"/>
      <c r="J210" s="1337" t="str" cm="1">
        <f t="array" ref="J21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10" s="1338">
        <v>44760</v>
      </c>
      <c r="L210" s="147">
        <v>45124</v>
      </c>
      <c r="M210" s="1339" cm="1">
        <f t="array" ref="M21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10" s="1337" t="str">
        <f>IF(OR(Rent_Roll[[#This Row],[MTM Fee]]="",Rent_Roll[[#This Row],[MTM Fee]]=0),"","MTM Lease")</f>
        <v/>
      </c>
      <c r="O210" s="1340">
        <f ca="1">IFERROR(IF(Rent_Roll[[#This Row],[Lease
Exp]]="","",DATEDIF($F$3,Rent_Roll[[#This Row],[Lease
Exp]],"m")+1),0)</f>
        <v>6</v>
      </c>
      <c r="P210" s="1341"/>
      <c r="Q210" s="1342" t="str" cm="1">
        <f t="array" ref="Q21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10" s="1343">
        <v>1360</v>
      </c>
      <c r="S210" s="723">
        <v>1360</v>
      </c>
      <c r="T210" s="723"/>
      <c r="U210" s="550">
        <f>Rent_Roll[[#This Row],[Lease
Rent]]+Rent_Roll[[#This Row],[Corp
Rent]]</f>
        <v>1360</v>
      </c>
      <c r="V210" s="1344">
        <f>IF(Rent_Roll[[#This Row],[Total In-Place
Rent]]=0,0,Rent_Roll[[#This Row],[Total In-Place
Rent]]-Rent_Roll[[#This Row],[Market
Rent]])</f>
        <v>0</v>
      </c>
      <c r="W210" s="1343">
        <v>0</v>
      </c>
      <c r="X210" s="723"/>
      <c r="Y210" s="723"/>
      <c r="Z210" s="723"/>
      <c r="AA210" s="1345"/>
      <c r="AB210" s="723"/>
      <c r="AC210" s="723"/>
      <c r="AD210" s="723"/>
      <c r="AE210" s="723"/>
      <c r="AF210" s="723"/>
      <c r="AG210" s="147"/>
      <c r="AH210" s="147"/>
      <c r="AI210" s="1348" t="str">
        <f>IF(Rent_Roll[[#This Row],[Future
Lease Start]]="","",DATEDIF(Rent_Roll[[#This Row],[Future
Lease Start]],Rent_Roll[[#This Row],[Future
Lease Exp]],"m")+1)</f>
        <v/>
      </c>
      <c r="AJ210" s="1347"/>
    </row>
    <row r="211" spans="2:36" x14ac:dyDescent="0.2">
      <c r="B211" s="638"/>
      <c r="C211" s="638">
        <v>831</v>
      </c>
      <c r="D211" s="638" t="s">
        <v>870</v>
      </c>
      <c r="E211" s="162" t="str">
        <f>IF(Rent_Roll[[#This Row],[Floor-
plan]]="studio",0,LEFT(Rent_Roll[[#This Row],[Floor-
plan]],1))</f>
        <v>2</v>
      </c>
      <c r="F211" s="162" cm="1">
        <f t="array" ref="F21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11" s="1336">
        <v>1099</v>
      </c>
      <c r="H211" s="722" t="s">
        <v>245</v>
      </c>
      <c r="I211" s="722"/>
      <c r="J211" s="1337" t="str" cm="1">
        <f t="array" ref="J21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211" s="1338" t="s">
        <v>873</v>
      </c>
      <c r="L211" s="147" t="s">
        <v>873</v>
      </c>
      <c r="M211" s="1339" t="str" cm="1">
        <f t="array" ref="M211">_xlfn.IFS(Rent_Roll[[#This Row],[Lease
Exp]]="","",Rent_Roll[[#This Row],[MTM
Lease]]="MTM Lease","--",Rent_Roll[[#This Row],[Lease
Exp]]&gt;0,(DATEDIF(Rent_Roll[[#This Row],[Lease
Start]],Rent_Roll[[#This Row],[Lease
Exp]],"m")+1))</f>
        <v/>
      </c>
      <c r="N211" s="1337" t="str">
        <f>IF(OR(Rent_Roll[[#This Row],[MTM Fee]]="",Rent_Roll[[#This Row],[MTM Fee]]=0),"","MTM Lease")</f>
        <v/>
      </c>
      <c r="O211" s="1340" t="str">
        <f>IFERROR(IF(Rent_Roll[[#This Row],[Lease
Exp]]="","",DATEDIF($F$3,Rent_Roll[[#This Row],[Lease
Exp]],"m")+1),0)</f>
        <v/>
      </c>
      <c r="P211" s="1341"/>
      <c r="Q211" s="1342" t="str" cm="1">
        <f t="array" ref="Q21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11" s="1343">
        <v>1440</v>
      </c>
      <c r="S211" s="723">
        <v>0</v>
      </c>
      <c r="T211" s="723"/>
      <c r="U211" s="550">
        <f>Rent_Roll[[#This Row],[Lease
Rent]]+Rent_Roll[[#This Row],[Corp
Rent]]</f>
        <v>0</v>
      </c>
      <c r="V211" s="1344">
        <f>IF(Rent_Roll[[#This Row],[Total In-Place
Rent]]=0,0,Rent_Roll[[#This Row],[Total In-Place
Rent]]-Rent_Roll[[#This Row],[Market
Rent]])</f>
        <v>0</v>
      </c>
      <c r="W211" s="1343">
        <v>0</v>
      </c>
      <c r="X211" s="723"/>
      <c r="Y211" s="723"/>
      <c r="Z211" s="723"/>
      <c r="AA211" s="1345"/>
      <c r="AB211" s="723"/>
      <c r="AC211" s="723"/>
      <c r="AD211" s="723"/>
      <c r="AE211" s="723"/>
      <c r="AF211" s="723"/>
      <c r="AG211" s="147"/>
      <c r="AH211" s="147"/>
      <c r="AI211" s="1348" t="str">
        <f>IF(Rent_Roll[[#This Row],[Future
Lease Start]]="","",DATEDIF(Rent_Roll[[#This Row],[Future
Lease Start]],Rent_Roll[[#This Row],[Future
Lease Exp]],"m")+1)</f>
        <v/>
      </c>
      <c r="AJ211" s="1347"/>
    </row>
    <row r="212" spans="2:36" x14ac:dyDescent="0.2">
      <c r="B212" s="638"/>
      <c r="C212" s="638">
        <v>832</v>
      </c>
      <c r="D212" s="638" t="s">
        <v>866</v>
      </c>
      <c r="E212" s="162" t="str">
        <f>IF(Rent_Roll[[#This Row],[Floor-
plan]]="studio",0,LEFT(Rent_Roll[[#This Row],[Floor-
plan]],1))</f>
        <v>2</v>
      </c>
      <c r="F212" s="162" cm="1">
        <f t="array" ref="F21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12" s="1336">
        <v>1000</v>
      </c>
      <c r="H212" s="722" t="s">
        <v>244</v>
      </c>
      <c r="I212" s="722"/>
      <c r="J212" s="1337" t="str" cm="1">
        <f t="array" ref="J21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12" s="1338">
        <v>44730</v>
      </c>
      <c r="L212" s="147">
        <v>45094</v>
      </c>
      <c r="M212" s="1339" cm="1">
        <f t="array" ref="M21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12" s="1337" t="str">
        <f>IF(OR(Rent_Roll[[#This Row],[MTM Fee]]="",Rent_Roll[[#This Row],[MTM Fee]]=0),"","MTM Lease")</f>
        <v/>
      </c>
      <c r="O212" s="1340">
        <f ca="1">IFERROR(IF(Rent_Roll[[#This Row],[Lease
Exp]]="","",DATEDIF($F$3,Rent_Roll[[#This Row],[Lease
Exp]],"m")+1),0)</f>
        <v>5</v>
      </c>
      <c r="P212" s="1341"/>
      <c r="Q212" s="1342" t="str" cm="1">
        <f t="array" ref="Q21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12" s="1343">
        <v>1360</v>
      </c>
      <c r="S212" s="723">
        <v>1360</v>
      </c>
      <c r="T212" s="723"/>
      <c r="U212" s="550">
        <f>Rent_Roll[[#This Row],[Lease
Rent]]+Rent_Roll[[#This Row],[Corp
Rent]]</f>
        <v>1360</v>
      </c>
      <c r="V212" s="1344">
        <f>IF(Rent_Roll[[#This Row],[Total In-Place
Rent]]=0,0,Rent_Roll[[#This Row],[Total In-Place
Rent]]-Rent_Roll[[#This Row],[Market
Rent]])</f>
        <v>0</v>
      </c>
      <c r="W212" s="1343">
        <v>0</v>
      </c>
      <c r="X212" s="723"/>
      <c r="Y212" s="723"/>
      <c r="Z212" s="723"/>
      <c r="AA212" s="1345"/>
      <c r="AB212" s="723"/>
      <c r="AC212" s="723"/>
      <c r="AD212" s="723"/>
      <c r="AE212" s="723"/>
      <c r="AF212" s="723"/>
      <c r="AG212" s="147"/>
      <c r="AH212" s="147"/>
      <c r="AI212" s="1348" t="str">
        <f>IF(Rent_Roll[[#This Row],[Future
Lease Start]]="","",DATEDIF(Rent_Roll[[#This Row],[Future
Lease Start]],Rent_Roll[[#This Row],[Future
Lease Exp]],"m")+1)</f>
        <v/>
      </c>
      <c r="AJ212" s="1347"/>
    </row>
    <row r="213" spans="2:36" x14ac:dyDescent="0.2">
      <c r="B213" s="638"/>
      <c r="C213" s="638">
        <v>833</v>
      </c>
      <c r="D213" s="638" t="s">
        <v>868</v>
      </c>
      <c r="E213" s="162" t="str">
        <f>IF(Rent_Roll[[#This Row],[Floor-
plan]]="studio",0,LEFT(Rent_Roll[[#This Row],[Floor-
plan]],1))</f>
        <v>1</v>
      </c>
      <c r="F213" s="162" cm="1">
        <f t="array" ref="F21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13" s="1336">
        <v>642</v>
      </c>
      <c r="H213" s="722" t="s">
        <v>244</v>
      </c>
      <c r="I213" s="722"/>
      <c r="J213" s="1337" t="str" cm="1">
        <f t="array" ref="J21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13" s="1338">
        <v>44812</v>
      </c>
      <c r="L213" s="147">
        <v>45176</v>
      </c>
      <c r="M213" s="1339" cm="1">
        <f t="array" ref="M21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13" s="1337" t="str">
        <f>IF(OR(Rent_Roll[[#This Row],[MTM Fee]]="",Rent_Roll[[#This Row],[MTM Fee]]=0),"","MTM Lease")</f>
        <v/>
      </c>
      <c r="O213" s="1340">
        <f ca="1">IFERROR(IF(Rent_Roll[[#This Row],[Lease
Exp]]="","",DATEDIF($F$3,Rent_Roll[[#This Row],[Lease
Exp]],"m")+1),0)</f>
        <v>8</v>
      </c>
      <c r="P213" s="1341"/>
      <c r="Q213" s="1342" t="str" cm="1">
        <f t="array" ref="Q21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13" s="1343">
        <v>1075</v>
      </c>
      <c r="S213" s="723">
        <v>1075</v>
      </c>
      <c r="T213" s="723"/>
      <c r="U213" s="550">
        <f>Rent_Roll[[#This Row],[Lease
Rent]]+Rent_Roll[[#This Row],[Corp
Rent]]</f>
        <v>1075</v>
      </c>
      <c r="V213" s="1344">
        <f>IF(Rent_Roll[[#This Row],[Total In-Place
Rent]]=0,0,Rent_Roll[[#This Row],[Total In-Place
Rent]]-Rent_Roll[[#This Row],[Market
Rent]])</f>
        <v>0</v>
      </c>
      <c r="W213" s="1343">
        <v>0</v>
      </c>
      <c r="X213" s="723"/>
      <c r="Y213" s="723"/>
      <c r="Z213" s="723"/>
      <c r="AA213" s="1345"/>
      <c r="AB213" s="723"/>
      <c r="AC213" s="723"/>
      <c r="AD213" s="723"/>
      <c r="AE213" s="723"/>
      <c r="AF213" s="723"/>
      <c r="AG213" s="147"/>
      <c r="AH213" s="147"/>
      <c r="AI213" s="1348" t="str">
        <f>IF(Rent_Roll[[#This Row],[Future
Lease Start]]="","",DATEDIF(Rent_Roll[[#This Row],[Future
Lease Start]],Rent_Roll[[#This Row],[Future
Lease Exp]],"m")+1)</f>
        <v/>
      </c>
      <c r="AJ213" s="1347"/>
    </row>
    <row r="214" spans="2:36" x14ac:dyDescent="0.2">
      <c r="B214" s="638"/>
      <c r="C214" s="638">
        <v>834</v>
      </c>
      <c r="D214" s="638" t="s">
        <v>868</v>
      </c>
      <c r="E214" s="162" t="str">
        <f>IF(Rent_Roll[[#This Row],[Floor-
plan]]="studio",0,LEFT(Rent_Roll[[#This Row],[Floor-
plan]],1))</f>
        <v>1</v>
      </c>
      <c r="F214" s="162" cm="1">
        <f t="array" ref="F21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14" s="1336">
        <v>642</v>
      </c>
      <c r="H214" s="722" t="s">
        <v>244</v>
      </c>
      <c r="I214" s="722"/>
      <c r="J214" s="1337" t="str" cm="1">
        <f t="array" ref="J21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14" s="1338">
        <v>44802</v>
      </c>
      <c r="L214" s="147">
        <v>45166</v>
      </c>
      <c r="M214" s="1339" cm="1">
        <f t="array" ref="M21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14" s="1337" t="str">
        <f>IF(OR(Rent_Roll[[#This Row],[MTM Fee]]="",Rent_Roll[[#This Row],[MTM Fee]]=0),"","MTM Lease")</f>
        <v/>
      </c>
      <c r="O214" s="1340">
        <f ca="1">IFERROR(IF(Rent_Roll[[#This Row],[Lease
Exp]]="","",DATEDIF($F$3,Rent_Roll[[#This Row],[Lease
Exp]],"m")+1),0)</f>
        <v>8</v>
      </c>
      <c r="P214" s="1341"/>
      <c r="Q214" s="1342" t="str" cm="1">
        <f t="array" ref="Q21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14" s="1343">
        <v>1055</v>
      </c>
      <c r="S214" s="723">
        <v>1055</v>
      </c>
      <c r="T214" s="723"/>
      <c r="U214" s="550">
        <f>Rent_Roll[[#This Row],[Lease
Rent]]+Rent_Roll[[#This Row],[Corp
Rent]]</f>
        <v>1055</v>
      </c>
      <c r="V214" s="1344">
        <f>IF(Rent_Roll[[#This Row],[Total In-Place
Rent]]=0,0,Rent_Roll[[#This Row],[Total In-Place
Rent]]-Rent_Roll[[#This Row],[Market
Rent]])</f>
        <v>0</v>
      </c>
      <c r="W214" s="1343">
        <v>0</v>
      </c>
      <c r="X214" s="723"/>
      <c r="Y214" s="723"/>
      <c r="Z214" s="723"/>
      <c r="AA214" s="1345"/>
      <c r="AB214" s="723"/>
      <c r="AC214" s="723"/>
      <c r="AD214" s="723"/>
      <c r="AE214" s="723"/>
      <c r="AF214" s="723"/>
      <c r="AG214" s="147"/>
      <c r="AH214" s="147"/>
      <c r="AI214" s="1348" t="str">
        <f>IF(Rent_Roll[[#This Row],[Future
Lease Start]]="","",DATEDIF(Rent_Roll[[#This Row],[Future
Lease Start]],Rent_Roll[[#This Row],[Future
Lease Exp]],"m")+1)</f>
        <v/>
      </c>
      <c r="AJ214" s="1347"/>
    </row>
    <row r="215" spans="2:36" x14ac:dyDescent="0.2">
      <c r="B215" s="638"/>
      <c r="C215" s="638">
        <v>835</v>
      </c>
      <c r="D215" s="638" t="s">
        <v>868</v>
      </c>
      <c r="E215" s="162" t="str">
        <f>IF(Rent_Roll[[#This Row],[Floor-
plan]]="studio",0,LEFT(Rent_Roll[[#This Row],[Floor-
plan]],1))</f>
        <v>1</v>
      </c>
      <c r="F215" s="162" cm="1">
        <f t="array" ref="F21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15" s="1336">
        <v>642</v>
      </c>
      <c r="H215" s="722" t="s">
        <v>244</v>
      </c>
      <c r="I215" s="722"/>
      <c r="J215" s="1337" t="str" cm="1">
        <f t="array" ref="J21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15" s="1338">
        <v>44632</v>
      </c>
      <c r="L215" s="147">
        <v>44996</v>
      </c>
      <c r="M215" s="1339" cm="1">
        <f t="array" ref="M21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15" s="1337" t="str">
        <f>IF(OR(Rent_Roll[[#This Row],[MTM Fee]]="",Rent_Roll[[#This Row],[MTM Fee]]=0),"","MTM Lease")</f>
        <v/>
      </c>
      <c r="O215" s="1340">
        <f ca="1">IFERROR(IF(Rent_Roll[[#This Row],[Lease
Exp]]="","",DATEDIF($F$3,Rent_Roll[[#This Row],[Lease
Exp]],"m")+1),0)</f>
        <v>2</v>
      </c>
      <c r="P215" s="1341"/>
      <c r="Q215" s="1342" t="str" cm="1">
        <f t="array" ref="Q21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15" s="1343">
        <v>1055</v>
      </c>
      <c r="S215" s="723">
        <v>960</v>
      </c>
      <c r="T215" s="723"/>
      <c r="U215" s="550">
        <f>Rent_Roll[[#This Row],[Lease
Rent]]+Rent_Roll[[#This Row],[Corp
Rent]]</f>
        <v>960</v>
      </c>
      <c r="V215" s="1344">
        <f>IF(Rent_Roll[[#This Row],[Total In-Place
Rent]]=0,0,Rent_Roll[[#This Row],[Total In-Place
Rent]]-Rent_Roll[[#This Row],[Market
Rent]])</f>
        <v>-95</v>
      </c>
      <c r="W215" s="1343">
        <v>0</v>
      </c>
      <c r="X215" s="723"/>
      <c r="Y215" s="723"/>
      <c r="Z215" s="723"/>
      <c r="AA215" s="1345"/>
      <c r="AB215" s="723"/>
      <c r="AC215" s="723"/>
      <c r="AD215" s="723"/>
      <c r="AE215" s="723"/>
      <c r="AF215" s="723"/>
      <c r="AG215" s="147"/>
      <c r="AH215" s="147"/>
      <c r="AI215" s="1348" t="str">
        <f>IF(Rent_Roll[[#This Row],[Future
Lease Start]]="","",DATEDIF(Rent_Roll[[#This Row],[Future
Lease Start]],Rent_Roll[[#This Row],[Future
Lease Exp]],"m")+1)</f>
        <v/>
      </c>
      <c r="AJ215" s="1347"/>
    </row>
    <row r="216" spans="2:36" x14ac:dyDescent="0.2">
      <c r="B216" s="638"/>
      <c r="C216" s="638">
        <v>836</v>
      </c>
      <c r="D216" s="638" t="s">
        <v>868</v>
      </c>
      <c r="E216" s="162" t="str">
        <f>IF(Rent_Roll[[#This Row],[Floor-
plan]]="studio",0,LEFT(Rent_Roll[[#This Row],[Floor-
plan]],1))</f>
        <v>1</v>
      </c>
      <c r="F216" s="162" cm="1">
        <f t="array" ref="F21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16" s="1336">
        <v>642</v>
      </c>
      <c r="H216" s="722" t="s">
        <v>244</v>
      </c>
      <c r="I216" s="722"/>
      <c r="J216" s="1337" t="str" cm="1">
        <f t="array" ref="J21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16" s="1338">
        <v>44661</v>
      </c>
      <c r="L216" s="147">
        <v>45025</v>
      </c>
      <c r="M216" s="1339" cm="1">
        <f t="array" ref="M21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16" s="1337" t="str">
        <f>IF(OR(Rent_Roll[[#This Row],[MTM Fee]]="",Rent_Roll[[#This Row],[MTM Fee]]=0),"","MTM Lease")</f>
        <v/>
      </c>
      <c r="O216" s="1340">
        <f ca="1">IFERROR(IF(Rent_Roll[[#This Row],[Lease
Exp]]="","",DATEDIF($F$3,Rent_Roll[[#This Row],[Lease
Exp]],"m")+1),0)</f>
        <v>3</v>
      </c>
      <c r="P216" s="1341"/>
      <c r="Q216" s="1342" t="str" cm="1">
        <f t="array" ref="Q21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16" s="1343">
        <v>1075</v>
      </c>
      <c r="S216" s="723">
        <v>1005</v>
      </c>
      <c r="T216" s="723"/>
      <c r="U216" s="550">
        <f>Rent_Roll[[#This Row],[Lease
Rent]]+Rent_Roll[[#This Row],[Corp
Rent]]</f>
        <v>1005</v>
      </c>
      <c r="V216" s="1344">
        <f>IF(Rent_Roll[[#This Row],[Total In-Place
Rent]]=0,0,Rent_Roll[[#This Row],[Total In-Place
Rent]]-Rent_Roll[[#This Row],[Market
Rent]])</f>
        <v>-70</v>
      </c>
      <c r="W216" s="1343">
        <v>0</v>
      </c>
      <c r="X216" s="723"/>
      <c r="Y216" s="723"/>
      <c r="Z216" s="723"/>
      <c r="AA216" s="1345"/>
      <c r="AB216" s="723"/>
      <c r="AC216" s="723"/>
      <c r="AD216" s="723"/>
      <c r="AE216" s="723"/>
      <c r="AF216" s="723"/>
      <c r="AG216" s="147"/>
      <c r="AH216" s="147"/>
      <c r="AI216" s="1348" t="str">
        <f>IF(Rent_Roll[[#This Row],[Future
Lease Start]]="","",DATEDIF(Rent_Roll[[#This Row],[Future
Lease Start]],Rent_Roll[[#This Row],[Future
Lease Exp]],"m")+1)</f>
        <v/>
      </c>
      <c r="AJ216" s="1347"/>
    </row>
    <row r="217" spans="2:36" x14ac:dyDescent="0.2">
      <c r="B217" s="638"/>
      <c r="C217" s="638">
        <v>837</v>
      </c>
      <c r="D217" s="638" t="s">
        <v>866</v>
      </c>
      <c r="E217" s="162" t="str">
        <f>IF(Rent_Roll[[#This Row],[Floor-
plan]]="studio",0,LEFT(Rent_Roll[[#This Row],[Floor-
plan]],1))</f>
        <v>2</v>
      </c>
      <c r="F217" s="162" cm="1">
        <f t="array" ref="F21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17" s="1336">
        <v>1000</v>
      </c>
      <c r="H217" s="722" t="s">
        <v>244</v>
      </c>
      <c r="I217" s="722"/>
      <c r="J217" s="1337" t="str" cm="1">
        <f t="array" ref="J21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17" s="1338">
        <v>44675</v>
      </c>
      <c r="L217" s="147">
        <v>45039</v>
      </c>
      <c r="M217" s="1339" cm="1">
        <f t="array" ref="M21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17" s="1337" t="str">
        <f>IF(OR(Rent_Roll[[#This Row],[MTM Fee]]="",Rent_Roll[[#This Row],[MTM Fee]]=0),"","MTM Lease")</f>
        <v/>
      </c>
      <c r="O217" s="1340">
        <f ca="1">IFERROR(IF(Rent_Roll[[#This Row],[Lease
Exp]]="","",DATEDIF($F$3,Rent_Roll[[#This Row],[Lease
Exp]],"m")+1),0)</f>
        <v>3</v>
      </c>
      <c r="P217" s="1341"/>
      <c r="Q217" s="1342" t="str" cm="1">
        <f t="array" ref="Q21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17" s="1343">
        <v>1360</v>
      </c>
      <c r="S217" s="723">
        <v>1225</v>
      </c>
      <c r="T217" s="723"/>
      <c r="U217" s="550">
        <f>Rent_Roll[[#This Row],[Lease
Rent]]+Rent_Roll[[#This Row],[Corp
Rent]]</f>
        <v>1225</v>
      </c>
      <c r="V217" s="1344">
        <f>IF(Rent_Roll[[#This Row],[Total In-Place
Rent]]=0,0,Rent_Roll[[#This Row],[Total In-Place
Rent]]-Rent_Roll[[#This Row],[Market
Rent]])</f>
        <v>-135</v>
      </c>
      <c r="W217" s="1343">
        <v>0</v>
      </c>
      <c r="X217" s="723"/>
      <c r="Y217" s="723"/>
      <c r="Z217" s="723"/>
      <c r="AA217" s="1345"/>
      <c r="AB217" s="723"/>
      <c r="AC217" s="723"/>
      <c r="AD217" s="723"/>
      <c r="AE217" s="723"/>
      <c r="AF217" s="723"/>
      <c r="AG217" s="147"/>
      <c r="AH217" s="147"/>
      <c r="AI217" s="1348" t="str">
        <f>IF(Rent_Roll[[#This Row],[Future
Lease Start]]="","",DATEDIF(Rent_Roll[[#This Row],[Future
Lease Start]],Rent_Roll[[#This Row],[Future
Lease Exp]],"m")+1)</f>
        <v/>
      </c>
      <c r="AJ217" s="1347"/>
    </row>
    <row r="218" spans="2:36" x14ac:dyDescent="0.2">
      <c r="B218" s="638"/>
      <c r="C218" s="638">
        <v>838</v>
      </c>
      <c r="D218" s="638" t="s">
        <v>870</v>
      </c>
      <c r="E218" s="162" t="str">
        <f>IF(Rent_Roll[[#This Row],[Floor-
plan]]="studio",0,LEFT(Rent_Roll[[#This Row],[Floor-
plan]],1))</f>
        <v>2</v>
      </c>
      <c r="F218" s="162" cm="1">
        <f t="array" ref="F21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18" s="1336">
        <v>1099</v>
      </c>
      <c r="H218" s="722" t="s">
        <v>244</v>
      </c>
      <c r="I218" s="722"/>
      <c r="J218" s="1337" t="str" cm="1">
        <f t="array" ref="J21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218" s="1338">
        <v>44747</v>
      </c>
      <c r="L218" s="147">
        <v>45142</v>
      </c>
      <c r="M218" s="1339" cm="1">
        <f t="array" ref="M218">_xlfn.IFS(Rent_Roll[[#This Row],[Lease
Exp]]="","",Rent_Roll[[#This Row],[MTM
Lease]]="MTM Lease","--",Rent_Roll[[#This Row],[Lease
Exp]]&gt;0,(DATEDIF(Rent_Roll[[#This Row],[Lease
Start]],Rent_Roll[[#This Row],[Lease
Exp]],"m")+1))</f>
        <v>13</v>
      </c>
      <c r="N218" s="1337" t="str">
        <f>IF(OR(Rent_Roll[[#This Row],[MTM Fee]]="",Rent_Roll[[#This Row],[MTM Fee]]=0),"","MTM Lease")</f>
        <v/>
      </c>
      <c r="O218" s="1340">
        <f ca="1">IFERROR(IF(Rent_Roll[[#This Row],[Lease
Exp]]="","",DATEDIF($F$3,Rent_Roll[[#This Row],[Lease
Exp]],"m")+1),0)</f>
        <v>7</v>
      </c>
      <c r="P218" s="1341"/>
      <c r="Q218" s="1342" t="str" cm="1">
        <f t="array" ref="Q21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18" s="1343">
        <v>1440</v>
      </c>
      <c r="S218" s="723">
        <v>1440</v>
      </c>
      <c r="T218" s="723"/>
      <c r="U218" s="550">
        <f>Rent_Roll[[#This Row],[Lease
Rent]]+Rent_Roll[[#This Row],[Corp
Rent]]</f>
        <v>1440</v>
      </c>
      <c r="V218" s="1344">
        <f>IF(Rent_Roll[[#This Row],[Total In-Place
Rent]]=0,0,Rent_Roll[[#This Row],[Total In-Place
Rent]]-Rent_Roll[[#This Row],[Market
Rent]])</f>
        <v>0</v>
      </c>
      <c r="W218" s="1343">
        <v>0</v>
      </c>
      <c r="X218" s="723"/>
      <c r="Y218" s="723"/>
      <c r="Z218" s="723"/>
      <c r="AA218" s="1345"/>
      <c r="AB218" s="723"/>
      <c r="AC218" s="723"/>
      <c r="AD218" s="723"/>
      <c r="AE218" s="723"/>
      <c r="AF218" s="723"/>
      <c r="AG218" s="147"/>
      <c r="AH218" s="147"/>
      <c r="AI218" s="1348" t="str">
        <f>IF(Rent_Roll[[#This Row],[Future
Lease Start]]="","",DATEDIF(Rent_Roll[[#This Row],[Future
Lease Start]],Rent_Roll[[#This Row],[Future
Lease Exp]],"m")+1)</f>
        <v/>
      </c>
      <c r="AJ218" s="1347"/>
    </row>
    <row r="219" spans="2:36" x14ac:dyDescent="0.2">
      <c r="B219" s="638"/>
      <c r="C219" s="638">
        <v>1002</v>
      </c>
      <c r="D219" s="638" t="s">
        <v>866</v>
      </c>
      <c r="E219" s="162" t="str">
        <f>IF(Rent_Roll[[#This Row],[Floor-
plan]]="studio",0,LEFT(Rent_Roll[[#This Row],[Floor-
plan]],1))</f>
        <v>2</v>
      </c>
      <c r="F219" s="162" cm="1">
        <f t="array" ref="F21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19" s="1336">
        <v>1000</v>
      </c>
      <c r="H219" s="722" t="s">
        <v>244</v>
      </c>
      <c r="I219" s="722"/>
      <c r="J219" s="1337" t="str" cm="1">
        <f t="array" ref="J21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19" s="1338">
        <v>44743</v>
      </c>
      <c r="L219" s="147">
        <v>44926</v>
      </c>
      <c r="M219" s="1339" cm="1">
        <f t="array" ref="M219">_xlfn.IFS(Rent_Roll[[#This Row],[Lease
Exp]]="","",Rent_Roll[[#This Row],[MTM
Lease]]="MTM Lease","--",Rent_Roll[[#This Row],[Lease
Exp]]&gt;0,(DATEDIF(Rent_Roll[[#This Row],[Lease
Start]],Rent_Roll[[#This Row],[Lease
Exp]],"m")+1))</f>
        <v>6</v>
      </c>
      <c r="N219" s="1337" t="str">
        <f>IF(OR(Rent_Roll[[#This Row],[MTM Fee]]="",Rent_Roll[[#This Row],[MTM Fee]]=0),"","MTM Lease")</f>
        <v/>
      </c>
      <c r="O219" s="1340">
        <f ca="1">IFERROR(IF(Rent_Roll[[#This Row],[Lease
Exp]]="","",DATEDIF($F$3,Rent_Roll[[#This Row],[Lease
Exp]],"m")+1),0)</f>
        <v>0</v>
      </c>
      <c r="P219" s="1341"/>
      <c r="Q219" s="1342" t="str" cm="1">
        <f t="array" ref="Q21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19" s="1343">
        <v>1370</v>
      </c>
      <c r="S219" s="723">
        <v>1250</v>
      </c>
      <c r="T219" s="723"/>
      <c r="U219" s="550">
        <f>Rent_Roll[[#This Row],[Lease
Rent]]+Rent_Roll[[#This Row],[Corp
Rent]]</f>
        <v>1250</v>
      </c>
      <c r="V219" s="1344">
        <f>IF(Rent_Roll[[#This Row],[Total In-Place
Rent]]=0,0,Rent_Roll[[#This Row],[Total In-Place
Rent]]-Rent_Roll[[#This Row],[Market
Rent]])</f>
        <v>-120</v>
      </c>
      <c r="W219" s="1343">
        <v>0</v>
      </c>
      <c r="X219" s="723"/>
      <c r="Y219" s="723"/>
      <c r="Z219" s="723"/>
      <c r="AA219" s="1345"/>
      <c r="AB219" s="723"/>
      <c r="AC219" s="723"/>
      <c r="AD219" s="723"/>
      <c r="AE219" s="723"/>
      <c r="AF219" s="723"/>
      <c r="AG219" s="147"/>
      <c r="AH219" s="147"/>
      <c r="AI219" s="1348" t="str">
        <f>IF(Rent_Roll[[#This Row],[Future
Lease Start]]="","",DATEDIF(Rent_Roll[[#This Row],[Future
Lease Start]],Rent_Roll[[#This Row],[Future
Lease Exp]],"m")+1)</f>
        <v/>
      </c>
      <c r="AJ219" s="1347"/>
    </row>
    <row r="220" spans="2:36" x14ac:dyDescent="0.2">
      <c r="B220" s="638"/>
      <c r="C220" s="638">
        <v>1003</v>
      </c>
      <c r="D220" s="638" t="s">
        <v>868</v>
      </c>
      <c r="E220" s="162" t="str">
        <f>IF(Rent_Roll[[#This Row],[Floor-
plan]]="studio",0,LEFT(Rent_Roll[[#This Row],[Floor-
plan]],1))</f>
        <v>1</v>
      </c>
      <c r="F220" s="162" cm="1">
        <f t="array" ref="F22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20" s="1336">
        <v>727</v>
      </c>
      <c r="H220" s="722" t="s">
        <v>244</v>
      </c>
      <c r="I220" s="722"/>
      <c r="J220" s="1337" t="str" cm="1">
        <f t="array" ref="J22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20" s="1338">
        <v>44738</v>
      </c>
      <c r="L220" s="147">
        <v>45102</v>
      </c>
      <c r="M220" s="1339" cm="1">
        <f t="array" ref="M22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20" s="1337" t="str">
        <f>IF(OR(Rent_Roll[[#This Row],[MTM Fee]]="",Rent_Roll[[#This Row],[MTM Fee]]=0),"","MTM Lease")</f>
        <v/>
      </c>
      <c r="O220" s="1340">
        <f ca="1">IFERROR(IF(Rent_Roll[[#This Row],[Lease
Exp]]="","",DATEDIF($F$3,Rent_Roll[[#This Row],[Lease
Exp]],"m")+1),0)</f>
        <v>6</v>
      </c>
      <c r="P220" s="1341"/>
      <c r="Q220" s="1342" t="str" cm="1">
        <f t="array" ref="Q22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20" s="1343">
        <v>1140</v>
      </c>
      <c r="S220" s="723">
        <v>1090</v>
      </c>
      <c r="T220" s="723"/>
      <c r="U220" s="550">
        <f>Rent_Roll[[#This Row],[Lease
Rent]]+Rent_Roll[[#This Row],[Corp
Rent]]</f>
        <v>1090</v>
      </c>
      <c r="V220" s="1344">
        <f>IF(Rent_Roll[[#This Row],[Total In-Place
Rent]]=0,0,Rent_Roll[[#This Row],[Total In-Place
Rent]]-Rent_Roll[[#This Row],[Market
Rent]])</f>
        <v>-50</v>
      </c>
      <c r="W220" s="1343">
        <v>0</v>
      </c>
      <c r="X220" s="723"/>
      <c r="Y220" s="723"/>
      <c r="Z220" s="723"/>
      <c r="AA220" s="1345"/>
      <c r="AB220" s="723"/>
      <c r="AC220" s="723"/>
      <c r="AD220" s="723"/>
      <c r="AE220" s="723"/>
      <c r="AF220" s="723"/>
      <c r="AG220" s="147"/>
      <c r="AH220" s="147"/>
      <c r="AI220" s="1348" t="str">
        <f>IF(Rent_Roll[[#This Row],[Future
Lease Start]]="","",DATEDIF(Rent_Roll[[#This Row],[Future
Lease Start]],Rent_Roll[[#This Row],[Future
Lease Exp]],"m")+1)</f>
        <v/>
      </c>
      <c r="AJ220" s="1347"/>
    </row>
    <row r="221" spans="2:36" x14ac:dyDescent="0.2">
      <c r="B221" s="638"/>
      <c r="C221" s="638">
        <v>1006</v>
      </c>
      <c r="D221" s="638" t="s">
        <v>868</v>
      </c>
      <c r="E221" s="162" t="str">
        <f>IF(Rent_Roll[[#This Row],[Floor-
plan]]="studio",0,LEFT(Rent_Roll[[#This Row],[Floor-
plan]],1))</f>
        <v>1</v>
      </c>
      <c r="F221" s="162" cm="1">
        <f t="array" ref="F22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21" s="1336">
        <v>727</v>
      </c>
      <c r="H221" s="722" t="s">
        <v>244</v>
      </c>
      <c r="I221" s="722"/>
      <c r="J221" s="1337" t="str" cm="1">
        <f t="array" ref="J22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21" s="1338">
        <v>44673</v>
      </c>
      <c r="L221" s="147">
        <v>45037</v>
      </c>
      <c r="M221" s="1339" cm="1">
        <f t="array" ref="M22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21" s="1337" t="str">
        <f>IF(OR(Rent_Roll[[#This Row],[MTM Fee]]="",Rent_Roll[[#This Row],[MTM Fee]]=0),"","MTM Lease")</f>
        <v/>
      </c>
      <c r="O221" s="1340">
        <f ca="1">IFERROR(IF(Rent_Roll[[#This Row],[Lease
Exp]]="","",DATEDIF($F$3,Rent_Roll[[#This Row],[Lease
Exp]],"m")+1),0)</f>
        <v>3</v>
      </c>
      <c r="P221" s="1341"/>
      <c r="Q221" s="1342" t="str" cm="1">
        <f t="array" ref="Q22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21" s="1343">
        <v>1140</v>
      </c>
      <c r="S221" s="723">
        <v>1140</v>
      </c>
      <c r="T221" s="723"/>
      <c r="U221" s="550">
        <f>Rent_Roll[[#This Row],[Lease
Rent]]+Rent_Roll[[#This Row],[Corp
Rent]]</f>
        <v>1140</v>
      </c>
      <c r="V221" s="1344">
        <f>IF(Rent_Roll[[#This Row],[Total In-Place
Rent]]=0,0,Rent_Roll[[#This Row],[Total In-Place
Rent]]-Rent_Roll[[#This Row],[Market
Rent]])</f>
        <v>0</v>
      </c>
      <c r="W221" s="1343">
        <v>0</v>
      </c>
      <c r="X221" s="723"/>
      <c r="Y221" s="723"/>
      <c r="Z221" s="723"/>
      <c r="AA221" s="1345"/>
      <c r="AB221" s="723"/>
      <c r="AC221" s="723"/>
      <c r="AD221" s="723"/>
      <c r="AE221" s="723"/>
      <c r="AF221" s="723"/>
      <c r="AG221" s="147"/>
      <c r="AH221" s="147"/>
      <c r="AI221" s="1348" t="str">
        <f>IF(Rent_Roll[[#This Row],[Future
Lease Start]]="","",DATEDIF(Rent_Roll[[#This Row],[Future
Lease Start]],Rent_Roll[[#This Row],[Future
Lease Exp]],"m")+1)</f>
        <v/>
      </c>
      <c r="AJ221" s="1347"/>
    </row>
    <row r="222" spans="2:36" x14ac:dyDescent="0.2">
      <c r="B222" s="638"/>
      <c r="C222" s="638">
        <v>1007</v>
      </c>
      <c r="D222" s="638" t="s">
        <v>866</v>
      </c>
      <c r="E222" s="162" t="str">
        <f>IF(Rent_Roll[[#This Row],[Floor-
plan]]="studio",0,LEFT(Rent_Roll[[#This Row],[Floor-
plan]],1))</f>
        <v>2</v>
      </c>
      <c r="F222" s="162" cm="1">
        <f t="array" ref="F22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22" s="1336">
        <v>1000</v>
      </c>
      <c r="H222" s="722" t="s">
        <v>244</v>
      </c>
      <c r="I222" s="722"/>
      <c r="J222" s="1337" t="str" cm="1">
        <f t="array" ref="J22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22" s="1338">
        <v>44682</v>
      </c>
      <c r="L222" s="147">
        <v>45169</v>
      </c>
      <c r="M222" s="1339" cm="1">
        <f t="array" ref="M222">_xlfn.IFS(Rent_Roll[[#This Row],[Lease
Exp]]="","",Rent_Roll[[#This Row],[MTM
Lease]]="MTM Lease","--",Rent_Roll[[#This Row],[Lease
Exp]]&gt;0,(DATEDIF(Rent_Roll[[#This Row],[Lease
Start]],Rent_Roll[[#This Row],[Lease
Exp]],"m")+1))</f>
        <v>16</v>
      </c>
      <c r="N222" s="1337" t="str">
        <f>IF(OR(Rent_Roll[[#This Row],[MTM Fee]]="",Rent_Roll[[#This Row],[MTM Fee]]=0),"","MTM Lease")</f>
        <v/>
      </c>
      <c r="O222" s="1340">
        <f ca="1">IFERROR(IF(Rent_Roll[[#This Row],[Lease
Exp]]="","",DATEDIF($F$3,Rent_Roll[[#This Row],[Lease
Exp]],"m")+1),0)</f>
        <v>8</v>
      </c>
      <c r="P222" s="1341"/>
      <c r="Q222" s="1342" t="str" cm="1">
        <f t="array" ref="Q22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22" s="1343">
        <v>1370</v>
      </c>
      <c r="S222" s="723">
        <v>1240</v>
      </c>
      <c r="T222" s="723"/>
      <c r="U222" s="550">
        <f>Rent_Roll[[#This Row],[Lease
Rent]]+Rent_Roll[[#This Row],[Corp
Rent]]</f>
        <v>1240</v>
      </c>
      <c r="V222" s="1344">
        <f>IF(Rent_Roll[[#This Row],[Total In-Place
Rent]]=0,0,Rent_Roll[[#This Row],[Total In-Place
Rent]]-Rent_Roll[[#This Row],[Market
Rent]])</f>
        <v>-130</v>
      </c>
      <c r="W222" s="1343">
        <v>0</v>
      </c>
      <c r="X222" s="723"/>
      <c r="Y222" s="723"/>
      <c r="Z222" s="723"/>
      <c r="AA222" s="1345"/>
      <c r="AB222" s="723"/>
      <c r="AC222" s="723"/>
      <c r="AD222" s="723"/>
      <c r="AE222" s="723"/>
      <c r="AF222" s="723"/>
      <c r="AG222" s="147"/>
      <c r="AH222" s="147"/>
      <c r="AI222" s="1348" t="str">
        <f>IF(Rent_Roll[[#This Row],[Future
Lease Start]]="","",DATEDIF(Rent_Roll[[#This Row],[Future
Lease Start]],Rent_Roll[[#This Row],[Future
Lease Exp]],"m")+1)</f>
        <v/>
      </c>
      <c r="AJ222" s="1347"/>
    </row>
    <row r="223" spans="2:36" x14ac:dyDescent="0.2">
      <c r="B223" s="638"/>
      <c r="C223" s="638">
        <v>1011</v>
      </c>
      <c r="D223" s="638" t="s">
        <v>866</v>
      </c>
      <c r="E223" s="162" t="str">
        <f>IF(Rent_Roll[[#This Row],[Floor-
plan]]="studio",0,LEFT(Rent_Roll[[#This Row],[Floor-
plan]],1))</f>
        <v>2</v>
      </c>
      <c r="F223" s="162" cm="1">
        <f t="array" ref="F22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23" s="1336">
        <v>1000</v>
      </c>
      <c r="H223" s="722" t="s">
        <v>244</v>
      </c>
      <c r="I223" s="722"/>
      <c r="J223" s="1337" t="str" cm="1">
        <f t="array" ref="J22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23" s="1338">
        <v>44642</v>
      </c>
      <c r="L223" s="147">
        <v>45006</v>
      </c>
      <c r="M223" s="1339" cm="1">
        <f t="array" ref="M22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23" s="1337" t="str">
        <f>IF(OR(Rent_Roll[[#This Row],[MTM Fee]]="",Rent_Roll[[#This Row],[MTM Fee]]=0),"","MTM Lease")</f>
        <v/>
      </c>
      <c r="O223" s="1340">
        <f ca="1">IFERROR(IF(Rent_Roll[[#This Row],[Lease
Exp]]="","",DATEDIF($F$3,Rent_Roll[[#This Row],[Lease
Exp]],"m")+1),0)</f>
        <v>2</v>
      </c>
      <c r="P223" s="1341"/>
      <c r="Q223" s="1342" t="str" cm="1">
        <f t="array" ref="Q22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23" s="1343">
        <v>1380</v>
      </c>
      <c r="S223" s="723">
        <v>1265</v>
      </c>
      <c r="T223" s="723"/>
      <c r="U223" s="550">
        <f>Rent_Roll[[#This Row],[Lease
Rent]]+Rent_Roll[[#This Row],[Corp
Rent]]</f>
        <v>1265</v>
      </c>
      <c r="V223" s="1344">
        <f>IF(Rent_Roll[[#This Row],[Total In-Place
Rent]]=0,0,Rent_Roll[[#This Row],[Total In-Place
Rent]]-Rent_Roll[[#This Row],[Market
Rent]])</f>
        <v>-115</v>
      </c>
      <c r="W223" s="1343">
        <v>0</v>
      </c>
      <c r="X223" s="723"/>
      <c r="Y223" s="723"/>
      <c r="Z223" s="723"/>
      <c r="AA223" s="1345"/>
      <c r="AB223" s="723"/>
      <c r="AC223" s="723"/>
      <c r="AD223" s="723"/>
      <c r="AE223" s="723"/>
      <c r="AF223" s="723"/>
      <c r="AG223" s="147"/>
      <c r="AH223" s="147"/>
      <c r="AI223" s="1348" t="str">
        <f>IF(Rent_Roll[[#This Row],[Future
Lease Start]]="","",DATEDIF(Rent_Roll[[#This Row],[Future
Lease Start]],Rent_Roll[[#This Row],[Future
Lease Exp]],"m")+1)</f>
        <v/>
      </c>
      <c r="AJ223" s="1347"/>
    </row>
    <row r="224" spans="2:36" x14ac:dyDescent="0.2">
      <c r="B224" s="638"/>
      <c r="C224" s="638">
        <v>1012</v>
      </c>
      <c r="D224" s="638" t="s">
        <v>866</v>
      </c>
      <c r="E224" s="162" t="str">
        <f>IF(Rent_Roll[[#This Row],[Floor-
plan]]="studio",0,LEFT(Rent_Roll[[#This Row],[Floor-
plan]],1))</f>
        <v>2</v>
      </c>
      <c r="F224" s="162" cm="1">
        <f t="array" ref="F22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24" s="1336">
        <v>1000</v>
      </c>
      <c r="H224" s="722" t="s">
        <v>244</v>
      </c>
      <c r="I224" s="722"/>
      <c r="J224" s="1337" t="str" cm="1">
        <f t="array" ref="J22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24" s="1338">
        <v>44519</v>
      </c>
      <c r="L224" s="147">
        <v>45064</v>
      </c>
      <c r="M224" s="1339" cm="1">
        <f t="array" ref="M224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224" s="1337" t="str">
        <f>IF(OR(Rent_Roll[[#This Row],[MTM Fee]]="",Rent_Roll[[#This Row],[MTM Fee]]=0),"","MTM Lease")</f>
        <v/>
      </c>
      <c r="O224" s="1340">
        <f ca="1">IFERROR(IF(Rent_Roll[[#This Row],[Lease
Exp]]="","",DATEDIF($F$3,Rent_Roll[[#This Row],[Lease
Exp]],"m")+1),0)</f>
        <v>4</v>
      </c>
      <c r="P224" s="1341"/>
      <c r="Q224" s="1342" t="str" cm="1">
        <f t="array" ref="Q22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24" s="1343">
        <v>1380</v>
      </c>
      <c r="S224" s="723">
        <v>1200</v>
      </c>
      <c r="T224" s="723"/>
      <c r="U224" s="550">
        <f>Rent_Roll[[#This Row],[Lease
Rent]]+Rent_Roll[[#This Row],[Corp
Rent]]</f>
        <v>1200</v>
      </c>
      <c r="V224" s="1344">
        <f>IF(Rent_Roll[[#This Row],[Total In-Place
Rent]]=0,0,Rent_Roll[[#This Row],[Total In-Place
Rent]]-Rent_Roll[[#This Row],[Market
Rent]])</f>
        <v>-180</v>
      </c>
      <c r="W224" s="1343">
        <v>0</v>
      </c>
      <c r="X224" s="723"/>
      <c r="Y224" s="723"/>
      <c r="Z224" s="723"/>
      <c r="AA224" s="1345"/>
      <c r="AB224" s="723"/>
      <c r="AC224" s="723"/>
      <c r="AD224" s="723"/>
      <c r="AE224" s="723"/>
      <c r="AF224" s="723"/>
      <c r="AG224" s="147"/>
      <c r="AH224" s="147"/>
      <c r="AI224" s="1348" t="str">
        <f>IF(Rent_Roll[[#This Row],[Future
Lease Start]]="","",DATEDIF(Rent_Roll[[#This Row],[Future
Lease Start]],Rent_Roll[[#This Row],[Future
Lease Exp]],"m")+1)</f>
        <v/>
      </c>
      <c r="AJ224" s="1347"/>
    </row>
    <row r="225" spans="2:36" x14ac:dyDescent="0.2">
      <c r="B225" s="638"/>
      <c r="C225" s="638">
        <v>1013</v>
      </c>
      <c r="D225" s="638" t="s">
        <v>868</v>
      </c>
      <c r="E225" s="162" t="str">
        <f>IF(Rent_Roll[[#This Row],[Floor-
plan]]="studio",0,LEFT(Rent_Roll[[#This Row],[Floor-
plan]],1))</f>
        <v>1</v>
      </c>
      <c r="F225" s="162" cm="1">
        <f t="array" ref="F22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25" s="1336">
        <v>727</v>
      </c>
      <c r="H225" s="722" t="s">
        <v>244</v>
      </c>
      <c r="I225" s="722"/>
      <c r="J225" s="1337" t="str" cm="1">
        <f t="array" ref="J22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25" s="1338">
        <v>44583</v>
      </c>
      <c r="L225" s="147">
        <v>44947</v>
      </c>
      <c r="M225" s="1339" cm="1">
        <f t="array" ref="M22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25" s="1337" t="str">
        <f>IF(OR(Rent_Roll[[#This Row],[MTM Fee]]="",Rent_Roll[[#This Row],[MTM Fee]]=0),"","MTM Lease")</f>
        <v/>
      </c>
      <c r="O225" s="1340">
        <f ca="1">IFERROR(IF(Rent_Roll[[#This Row],[Lease
Exp]]="","",DATEDIF($F$3,Rent_Roll[[#This Row],[Lease
Exp]],"m")+1),0)</f>
        <v>0</v>
      </c>
      <c r="P225" s="1341"/>
      <c r="Q225" s="1342" t="str" cm="1">
        <f t="array" ref="Q22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25" s="1343">
        <v>1150</v>
      </c>
      <c r="S225" s="723">
        <v>945</v>
      </c>
      <c r="T225" s="723"/>
      <c r="U225" s="550">
        <f>Rent_Roll[[#This Row],[Lease
Rent]]+Rent_Roll[[#This Row],[Corp
Rent]]</f>
        <v>945</v>
      </c>
      <c r="V225" s="1344">
        <f>IF(Rent_Roll[[#This Row],[Total In-Place
Rent]]=0,0,Rent_Roll[[#This Row],[Total In-Place
Rent]]-Rent_Roll[[#This Row],[Market
Rent]])</f>
        <v>-205</v>
      </c>
      <c r="W225" s="1343">
        <v>0</v>
      </c>
      <c r="X225" s="723"/>
      <c r="Y225" s="723"/>
      <c r="Z225" s="723"/>
      <c r="AA225" s="1345"/>
      <c r="AB225" s="723"/>
      <c r="AC225" s="723"/>
      <c r="AD225" s="723"/>
      <c r="AE225" s="723"/>
      <c r="AF225" s="723"/>
      <c r="AG225" s="147"/>
      <c r="AH225" s="147"/>
      <c r="AI225" s="1348" t="str">
        <f>IF(Rent_Roll[[#This Row],[Future
Lease Start]]="","",DATEDIF(Rent_Roll[[#This Row],[Future
Lease Start]],Rent_Roll[[#This Row],[Future
Lease Exp]],"m")+1)</f>
        <v/>
      </c>
      <c r="AJ225" s="1347"/>
    </row>
    <row r="226" spans="2:36" x14ac:dyDescent="0.2">
      <c r="B226" s="638"/>
      <c r="C226" s="638">
        <v>1014</v>
      </c>
      <c r="D226" s="638" t="s">
        <v>868</v>
      </c>
      <c r="E226" s="162" t="str">
        <f>IF(Rent_Roll[[#This Row],[Floor-
plan]]="studio",0,LEFT(Rent_Roll[[#This Row],[Floor-
plan]],1))</f>
        <v>1</v>
      </c>
      <c r="F226" s="162" cm="1">
        <f t="array" ref="F22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26" s="1336">
        <v>727</v>
      </c>
      <c r="H226" s="722" t="s">
        <v>244</v>
      </c>
      <c r="I226" s="722"/>
      <c r="J226" s="1337" t="str" cm="1">
        <f t="array" ref="J22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26" s="1338">
        <v>44784</v>
      </c>
      <c r="L226" s="147">
        <v>45148</v>
      </c>
      <c r="M226" s="1339" cm="1">
        <f t="array" ref="M22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26" s="1337" t="str">
        <f>IF(OR(Rent_Roll[[#This Row],[MTM Fee]]="",Rent_Roll[[#This Row],[MTM Fee]]=0),"","MTM Lease")</f>
        <v/>
      </c>
      <c r="O226" s="1340">
        <f ca="1">IFERROR(IF(Rent_Roll[[#This Row],[Lease
Exp]]="","",DATEDIF($F$3,Rent_Roll[[#This Row],[Lease
Exp]],"m")+1),0)</f>
        <v>7</v>
      </c>
      <c r="P226" s="1341"/>
      <c r="Q226" s="1342" t="str" cm="1">
        <f t="array" ref="Q22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26" s="1343">
        <v>1150</v>
      </c>
      <c r="S226" s="723">
        <v>1150</v>
      </c>
      <c r="T226" s="723"/>
      <c r="U226" s="550">
        <f>Rent_Roll[[#This Row],[Lease
Rent]]+Rent_Roll[[#This Row],[Corp
Rent]]</f>
        <v>1150</v>
      </c>
      <c r="V226" s="1344">
        <f>IF(Rent_Roll[[#This Row],[Total In-Place
Rent]]=0,0,Rent_Roll[[#This Row],[Total In-Place
Rent]]-Rent_Roll[[#This Row],[Market
Rent]])</f>
        <v>0</v>
      </c>
      <c r="W226" s="1343">
        <v>0</v>
      </c>
      <c r="X226" s="723"/>
      <c r="Y226" s="723"/>
      <c r="Z226" s="723"/>
      <c r="AA226" s="1345"/>
      <c r="AB226" s="723"/>
      <c r="AC226" s="723"/>
      <c r="AD226" s="723"/>
      <c r="AE226" s="723"/>
      <c r="AF226" s="723"/>
      <c r="AG226" s="147"/>
      <c r="AH226" s="147"/>
      <c r="AI226" s="1348" t="str">
        <f>IF(Rent_Roll[[#This Row],[Future
Lease Start]]="","",DATEDIF(Rent_Roll[[#This Row],[Future
Lease Start]],Rent_Roll[[#This Row],[Future
Lease Exp]],"m")+1)</f>
        <v/>
      </c>
      <c r="AJ226" s="1347"/>
    </row>
    <row r="227" spans="2:36" x14ac:dyDescent="0.2">
      <c r="B227" s="638"/>
      <c r="C227" s="638">
        <v>1015</v>
      </c>
      <c r="D227" s="638" t="s">
        <v>868</v>
      </c>
      <c r="E227" s="162" t="str">
        <f>IF(Rent_Roll[[#This Row],[Floor-
plan]]="studio",0,LEFT(Rent_Roll[[#This Row],[Floor-
plan]],1))</f>
        <v>1</v>
      </c>
      <c r="F227" s="162" cm="1">
        <f t="array" ref="F22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27" s="1336">
        <v>727</v>
      </c>
      <c r="H227" s="722" t="s">
        <v>244</v>
      </c>
      <c r="I227" s="722"/>
      <c r="J227" s="1337" t="str" cm="1">
        <f t="array" ref="J22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27" s="1338">
        <v>44606</v>
      </c>
      <c r="L227" s="147">
        <v>44970</v>
      </c>
      <c r="M227" s="1339" cm="1">
        <f t="array" ref="M22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27" s="1337" t="str">
        <f>IF(OR(Rent_Roll[[#This Row],[MTM Fee]]="",Rent_Roll[[#This Row],[MTM Fee]]=0),"","MTM Lease")</f>
        <v/>
      </c>
      <c r="O227" s="1340">
        <f ca="1">IFERROR(IF(Rent_Roll[[#This Row],[Lease
Exp]]="","",DATEDIF($F$3,Rent_Roll[[#This Row],[Lease
Exp]],"m")+1),0)</f>
        <v>1</v>
      </c>
      <c r="P227" s="1341"/>
      <c r="Q227" s="1342" t="str" cm="1">
        <f t="array" ref="Q22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27" s="1343">
        <v>1150</v>
      </c>
      <c r="S227" s="723">
        <v>975</v>
      </c>
      <c r="T227" s="723"/>
      <c r="U227" s="550">
        <f>Rent_Roll[[#This Row],[Lease
Rent]]+Rent_Roll[[#This Row],[Corp
Rent]]</f>
        <v>975</v>
      </c>
      <c r="V227" s="1344">
        <f>IF(Rent_Roll[[#This Row],[Total In-Place
Rent]]=0,0,Rent_Roll[[#This Row],[Total In-Place
Rent]]-Rent_Roll[[#This Row],[Market
Rent]])</f>
        <v>-175</v>
      </c>
      <c r="W227" s="1343">
        <v>0</v>
      </c>
      <c r="X227" s="723"/>
      <c r="Y227" s="723"/>
      <c r="Z227" s="723"/>
      <c r="AA227" s="1345"/>
      <c r="AB227" s="723"/>
      <c r="AC227" s="723"/>
      <c r="AD227" s="723"/>
      <c r="AE227" s="723"/>
      <c r="AF227" s="723"/>
      <c r="AG227" s="147"/>
      <c r="AH227" s="147"/>
      <c r="AI227" s="1348" t="str">
        <f>IF(Rent_Roll[[#This Row],[Future
Lease Start]]="","",DATEDIF(Rent_Roll[[#This Row],[Future
Lease Start]],Rent_Roll[[#This Row],[Future
Lease Exp]],"m")+1)</f>
        <v/>
      </c>
      <c r="AJ227" s="1347"/>
    </row>
    <row r="228" spans="2:36" x14ac:dyDescent="0.2">
      <c r="B228" s="638"/>
      <c r="C228" s="638">
        <v>1016</v>
      </c>
      <c r="D228" s="638" t="s">
        <v>868</v>
      </c>
      <c r="E228" s="162" t="str">
        <f>IF(Rent_Roll[[#This Row],[Floor-
plan]]="studio",0,LEFT(Rent_Roll[[#This Row],[Floor-
plan]],1))</f>
        <v>1</v>
      </c>
      <c r="F228" s="162" cm="1">
        <f t="array" ref="F22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28" s="1336">
        <v>727</v>
      </c>
      <c r="H228" s="722" t="s">
        <v>244</v>
      </c>
      <c r="I228" s="722"/>
      <c r="J228" s="1337" t="str" cm="1">
        <f t="array" ref="J22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28" s="1338">
        <v>44669</v>
      </c>
      <c r="L228" s="147">
        <v>45033</v>
      </c>
      <c r="M228" s="1339" cm="1">
        <f t="array" ref="M22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28" s="1337" t="str">
        <f>IF(OR(Rent_Roll[[#This Row],[MTM Fee]]="",Rent_Roll[[#This Row],[MTM Fee]]=0),"","MTM Lease")</f>
        <v/>
      </c>
      <c r="O228" s="1340">
        <f ca="1">IFERROR(IF(Rent_Roll[[#This Row],[Lease
Exp]]="","",DATEDIF($F$3,Rent_Roll[[#This Row],[Lease
Exp]],"m")+1),0)</f>
        <v>3</v>
      </c>
      <c r="P228" s="1341"/>
      <c r="Q228" s="1342" t="str" cm="1">
        <f t="array" ref="Q22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28" s="1343">
        <v>1150</v>
      </c>
      <c r="S228" s="723">
        <v>1150</v>
      </c>
      <c r="T228" s="723"/>
      <c r="U228" s="550">
        <f>Rent_Roll[[#This Row],[Lease
Rent]]+Rent_Roll[[#This Row],[Corp
Rent]]</f>
        <v>1150</v>
      </c>
      <c r="V228" s="1344">
        <f>IF(Rent_Roll[[#This Row],[Total In-Place
Rent]]=0,0,Rent_Roll[[#This Row],[Total In-Place
Rent]]-Rent_Roll[[#This Row],[Market
Rent]])</f>
        <v>0</v>
      </c>
      <c r="W228" s="1343">
        <v>0</v>
      </c>
      <c r="X228" s="723"/>
      <c r="Y228" s="723"/>
      <c r="Z228" s="723"/>
      <c r="AA228" s="1345"/>
      <c r="AB228" s="723"/>
      <c r="AC228" s="723"/>
      <c r="AD228" s="723"/>
      <c r="AE228" s="723"/>
      <c r="AF228" s="723"/>
      <c r="AG228" s="147"/>
      <c r="AH228" s="147"/>
      <c r="AI228" s="1348" t="str">
        <f>IF(Rent_Roll[[#This Row],[Future
Lease Start]]="","",DATEDIF(Rent_Roll[[#This Row],[Future
Lease Start]],Rent_Roll[[#This Row],[Future
Lease Exp]],"m")+1)</f>
        <v/>
      </c>
      <c r="AJ228" s="1347"/>
    </row>
    <row r="229" spans="2:36" x14ac:dyDescent="0.2">
      <c r="B229" s="638"/>
      <c r="C229" s="638">
        <v>1017</v>
      </c>
      <c r="D229" s="638" t="s">
        <v>866</v>
      </c>
      <c r="E229" s="162" t="str">
        <f>IF(Rent_Roll[[#This Row],[Floor-
plan]]="studio",0,LEFT(Rent_Roll[[#This Row],[Floor-
plan]],1))</f>
        <v>2</v>
      </c>
      <c r="F229" s="162" cm="1">
        <f t="array" ref="F22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29" s="1336">
        <v>1000</v>
      </c>
      <c r="H229" s="722" t="s">
        <v>244</v>
      </c>
      <c r="I229" s="722"/>
      <c r="J229" s="1337" t="str" cm="1">
        <f t="array" ref="J22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29" s="1338">
        <v>44804</v>
      </c>
      <c r="L229" s="147">
        <v>44822</v>
      </c>
      <c r="M229" s="1339" t="str" cm="1">
        <f t="array" ref="M229">_xlfn.IFS(Rent_Roll[[#This Row],[Lease
Exp]]="","",Rent_Roll[[#This Row],[MTM
Lease]]="MTM Lease","--",Rent_Roll[[#This Row],[Lease
Exp]]&gt;0,(DATEDIF(Rent_Roll[[#This Row],[Lease
Start]],Rent_Roll[[#This Row],[Lease
Exp]],"m")+1))</f>
        <v>--</v>
      </c>
      <c r="N229" s="1337" t="str">
        <f>IF(OR(Rent_Roll[[#This Row],[MTM Fee]]="",Rent_Roll[[#This Row],[MTM Fee]]=0),"","MTM Lease")</f>
        <v>MTM Lease</v>
      </c>
      <c r="O229" s="1340">
        <f ca="1">IFERROR(IF(Rent_Roll[[#This Row],[Lease
Exp]]="","",DATEDIF($F$3,Rent_Roll[[#This Row],[Lease
Exp]],"m")+1),0)</f>
        <v>0</v>
      </c>
      <c r="P229" s="1341">
        <v>44822</v>
      </c>
      <c r="Q229" s="1342" t="str" cm="1">
        <f t="array" ref="Q22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>NTV</v>
      </c>
      <c r="R229" s="1343">
        <v>1380</v>
      </c>
      <c r="S229" s="723">
        <v>1370</v>
      </c>
      <c r="T229" s="723"/>
      <c r="U229" s="550">
        <f>Rent_Roll[[#This Row],[Lease
Rent]]+Rent_Roll[[#This Row],[Corp
Rent]]</f>
        <v>1370</v>
      </c>
      <c r="V229" s="1344">
        <f>IF(Rent_Roll[[#This Row],[Total In-Place
Rent]]=0,0,Rent_Roll[[#This Row],[Total In-Place
Rent]]-Rent_Roll[[#This Row],[Market
Rent]])</f>
        <v>-10</v>
      </c>
      <c r="W229" s="1343">
        <v>200</v>
      </c>
      <c r="X229" s="723"/>
      <c r="Y229" s="723"/>
      <c r="Z229" s="723"/>
      <c r="AA229" s="1345"/>
      <c r="AB229" s="723"/>
      <c r="AC229" s="723"/>
      <c r="AD229" s="723"/>
      <c r="AE229" s="723"/>
      <c r="AF229" s="723"/>
      <c r="AG229" s="147"/>
      <c r="AH229" s="147"/>
      <c r="AI229" s="1348" t="str">
        <f>IF(Rent_Roll[[#This Row],[Future
Lease Start]]="","",DATEDIF(Rent_Roll[[#This Row],[Future
Lease Start]],Rent_Roll[[#This Row],[Future
Lease Exp]],"m")+1)</f>
        <v/>
      </c>
      <c r="AJ229" s="1347"/>
    </row>
    <row r="230" spans="2:36" x14ac:dyDescent="0.2">
      <c r="B230" s="638"/>
      <c r="C230" s="638">
        <v>1018</v>
      </c>
      <c r="D230" s="638" t="s">
        <v>866</v>
      </c>
      <c r="E230" s="162" t="str">
        <f>IF(Rent_Roll[[#This Row],[Floor-
plan]]="studio",0,LEFT(Rent_Roll[[#This Row],[Floor-
plan]],1))</f>
        <v>2</v>
      </c>
      <c r="F230" s="162" cm="1">
        <f t="array" ref="F23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30" s="1336">
        <v>1000</v>
      </c>
      <c r="H230" s="722" t="s">
        <v>244</v>
      </c>
      <c r="I230" s="722"/>
      <c r="J230" s="1337" t="str" cm="1">
        <f t="array" ref="J23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30" s="1338">
        <v>44652</v>
      </c>
      <c r="L230" s="147">
        <v>45015</v>
      </c>
      <c r="M230" s="1339" cm="1">
        <f t="array" ref="M230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30" s="1337" t="str">
        <f>IF(OR(Rent_Roll[[#This Row],[MTM Fee]]="",Rent_Roll[[#This Row],[MTM Fee]]=0),"","MTM Lease")</f>
        <v/>
      </c>
      <c r="O230" s="1340">
        <f ca="1">IFERROR(IF(Rent_Roll[[#This Row],[Lease
Exp]]="","",DATEDIF($F$3,Rent_Roll[[#This Row],[Lease
Exp]],"m")+1),0)</f>
        <v>3</v>
      </c>
      <c r="P230" s="1341"/>
      <c r="Q230" s="1342" t="str" cm="1">
        <f t="array" ref="Q23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30" s="1343">
        <v>1380</v>
      </c>
      <c r="S230" s="723">
        <v>1380</v>
      </c>
      <c r="T230" s="723"/>
      <c r="U230" s="550">
        <f>Rent_Roll[[#This Row],[Lease
Rent]]+Rent_Roll[[#This Row],[Corp
Rent]]</f>
        <v>1380</v>
      </c>
      <c r="V230" s="1344">
        <f>IF(Rent_Roll[[#This Row],[Total In-Place
Rent]]=0,0,Rent_Roll[[#This Row],[Total In-Place
Rent]]-Rent_Roll[[#This Row],[Market
Rent]])</f>
        <v>0</v>
      </c>
      <c r="W230" s="1343">
        <v>0</v>
      </c>
      <c r="X230" s="723"/>
      <c r="Y230" s="723"/>
      <c r="Z230" s="723"/>
      <c r="AA230" s="1345"/>
      <c r="AB230" s="723"/>
      <c r="AC230" s="723"/>
      <c r="AD230" s="723"/>
      <c r="AE230" s="723"/>
      <c r="AF230" s="723"/>
      <c r="AG230" s="147"/>
      <c r="AH230" s="147"/>
      <c r="AI230" s="1348" t="str">
        <f>IF(Rent_Roll[[#This Row],[Future
Lease Start]]="","",DATEDIF(Rent_Roll[[#This Row],[Future
Lease Start]],Rent_Roll[[#This Row],[Future
Lease Exp]],"m")+1)</f>
        <v/>
      </c>
      <c r="AJ230" s="1347"/>
    </row>
    <row r="231" spans="2:36" x14ac:dyDescent="0.2">
      <c r="B231" s="638"/>
      <c r="C231" s="638">
        <v>1021</v>
      </c>
      <c r="D231" s="638" t="s">
        <v>866</v>
      </c>
      <c r="E231" s="162" t="str">
        <f>IF(Rent_Roll[[#This Row],[Floor-
plan]]="studio",0,LEFT(Rent_Roll[[#This Row],[Floor-
plan]],1))</f>
        <v>2</v>
      </c>
      <c r="F231" s="162" cm="1">
        <f t="array" ref="F23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31" s="1336">
        <v>1000</v>
      </c>
      <c r="H231" s="722" t="s">
        <v>244</v>
      </c>
      <c r="I231" s="722"/>
      <c r="J231" s="1337" t="str" cm="1">
        <f t="array" ref="J23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31" s="1338">
        <v>44784</v>
      </c>
      <c r="L231" s="147">
        <v>45148</v>
      </c>
      <c r="M231" s="1339" cm="1">
        <f t="array" ref="M23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31" s="1337" t="str">
        <f>IF(OR(Rent_Roll[[#This Row],[MTM Fee]]="",Rent_Roll[[#This Row],[MTM Fee]]=0),"","MTM Lease")</f>
        <v/>
      </c>
      <c r="O231" s="1340">
        <f ca="1">IFERROR(IF(Rent_Roll[[#This Row],[Lease
Exp]]="","",DATEDIF($F$3,Rent_Roll[[#This Row],[Lease
Exp]],"m")+1),0)</f>
        <v>7</v>
      </c>
      <c r="P231" s="1341"/>
      <c r="Q231" s="1342" t="str" cm="1">
        <f t="array" ref="Q23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31" s="1343">
        <v>1360</v>
      </c>
      <c r="S231" s="723">
        <v>1220</v>
      </c>
      <c r="T231" s="723"/>
      <c r="U231" s="550">
        <f>Rent_Roll[[#This Row],[Lease
Rent]]+Rent_Roll[[#This Row],[Corp
Rent]]</f>
        <v>1220</v>
      </c>
      <c r="V231" s="1344">
        <f>IF(Rent_Roll[[#This Row],[Total In-Place
Rent]]=0,0,Rent_Roll[[#This Row],[Total In-Place
Rent]]-Rent_Roll[[#This Row],[Market
Rent]])</f>
        <v>-140</v>
      </c>
      <c r="W231" s="1343">
        <v>0</v>
      </c>
      <c r="X231" s="723"/>
      <c r="Y231" s="723"/>
      <c r="Z231" s="723"/>
      <c r="AA231" s="1345"/>
      <c r="AB231" s="723"/>
      <c r="AC231" s="723"/>
      <c r="AD231" s="723"/>
      <c r="AE231" s="723"/>
      <c r="AF231" s="723"/>
      <c r="AG231" s="147"/>
      <c r="AH231" s="147"/>
      <c r="AI231" s="1348" t="str">
        <f>IF(Rent_Roll[[#This Row],[Future
Lease Start]]="","",DATEDIF(Rent_Roll[[#This Row],[Future
Lease Start]],Rent_Roll[[#This Row],[Future
Lease Exp]],"m")+1)</f>
        <v/>
      </c>
      <c r="AJ231" s="1347"/>
    </row>
    <row r="232" spans="2:36" x14ac:dyDescent="0.2">
      <c r="B232" s="638"/>
      <c r="C232" s="638">
        <v>1022</v>
      </c>
      <c r="D232" s="638" t="s">
        <v>866</v>
      </c>
      <c r="E232" s="162" t="str">
        <f>IF(Rent_Roll[[#This Row],[Floor-
plan]]="studio",0,LEFT(Rent_Roll[[#This Row],[Floor-
plan]],1))</f>
        <v>2</v>
      </c>
      <c r="F232" s="162" cm="1">
        <f t="array" ref="F23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32" s="1336">
        <v>1000</v>
      </c>
      <c r="H232" s="722" t="s">
        <v>244</v>
      </c>
      <c r="I232" s="722"/>
      <c r="J232" s="1337" t="str" cm="1">
        <f t="array" ref="J23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32" s="1338">
        <v>44695</v>
      </c>
      <c r="L232" s="147">
        <v>45059</v>
      </c>
      <c r="M232" s="1339" cm="1">
        <f t="array" ref="M23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32" s="1337" t="str">
        <f>IF(OR(Rent_Roll[[#This Row],[MTM Fee]]="",Rent_Roll[[#This Row],[MTM Fee]]=0),"","MTM Lease")</f>
        <v/>
      </c>
      <c r="O232" s="1340">
        <f ca="1">IFERROR(IF(Rent_Roll[[#This Row],[Lease
Exp]]="","",DATEDIF($F$3,Rent_Roll[[#This Row],[Lease
Exp]],"m")+1),0)</f>
        <v>4</v>
      </c>
      <c r="P232" s="1341"/>
      <c r="Q232" s="1342" t="str" cm="1">
        <f t="array" ref="Q23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32" s="1343">
        <v>1360</v>
      </c>
      <c r="S232" s="723">
        <v>1360</v>
      </c>
      <c r="T232" s="723"/>
      <c r="U232" s="550">
        <f>Rent_Roll[[#This Row],[Lease
Rent]]+Rent_Roll[[#This Row],[Corp
Rent]]</f>
        <v>1360</v>
      </c>
      <c r="V232" s="1344">
        <f>IF(Rent_Roll[[#This Row],[Total In-Place
Rent]]=0,0,Rent_Roll[[#This Row],[Total In-Place
Rent]]-Rent_Roll[[#This Row],[Market
Rent]])</f>
        <v>0</v>
      </c>
      <c r="W232" s="1343">
        <v>0</v>
      </c>
      <c r="X232" s="723"/>
      <c r="Y232" s="723"/>
      <c r="Z232" s="723"/>
      <c r="AA232" s="1345"/>
      <c r="AB232" s="723"/>
      <c r="AC232" s="723"/>
      <c r="AD232" s="723"/>
      <c r="AE232" s="723"/>
      <c r="AF232" s="723"/>
      <c r="AG232" s="147"/>
      <c r="AH232" s="147"/>
      <c r="AI232" s="1348" t="str">
        <f>IF(Rent_Roll[[#This Row],[Future
Lease Start]]="","",DATEDIF(Rent_Roll[[#This Row],[Future
Lease Start]],Rent_Roll[[#This Row],[Future
Lease Exp]],"m")+1)</f>
        <v/>
      </c>
      <c r="AJ232" s="1347"/>
    </row>
    <row r="233" spans="2:36" x14ac:dyDescent="0.2">
      <c r="B233" s="638"/>
      <c r="C233" s="638">
        <v>1023</v>
      </c>
      <c r="D233" s="638" t="s">
        <v>868</v>
      </c>
      <c r="E233" s="162" t="str">
        <f>IF(Rent_Roll[[#This Row],[Floor-
plan]]="studio",0,LEFT(Rent_Roll[[#This Row],[Floor-
plan]],1))</f>
        <v>1</v>
      </c>
      <c r="F233" s="162" cm="1">
        <f t="array" ref="F23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33" s="1336">
        <v>727</v>
      </c>
      <c r="H233" s="722" t="s">
        <v>244</v>
      </c>
      <c r="I233" s="722"/>
      <c r="J233" s="1337" t="str" cm="1">
        <f t="array" ref="J23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33" s="1338">
        <v>44638</v>
      </c>
      <c r="L233" s="147">
        <v>45002</v>
      </c>
      <c r="M233" s="1339" cm="1">
        <f t="array" ref="M233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33" s="1337" t="str">
        <f>IF(OR(Rent_Roll[[#This Row],[MTM Fee]]="",Rent_Roll[[#This Row],[MTM Fee]]=0),"","MTM Lease")</f>
        <v/>
      </c>
      <c r="O233" s="1340">
        <f ca="1">IFERROR(IF(Rent_Roll[[#This Row],[Lease
Exp]]="","",DATEDIF($F$3,Rent_Roll[[#This Row],[Lease
Exp]],"m")+1),0)</f>
        <v>2</v>
      </c>
      <c r="P233" s="1341"/>
      <c r="Q233" s="1342" t="str" cm="1">
        <f t="array" ref="Q23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33" s="1343">
        <v>1130</v>
      </c>
      <c r="S233" s="723">
        <v>1025</v>
      </c>
      <c r="T233" s="723"/>
      <c r="U233" s="550">
        <f>Rent_Roll[[#This Row],[Lease
Rent]]+Rent_Roll[[#This Row],[Corp
Rent]]</f>
        <v>1025</v>
      </c>
      <c r="V233" s="1344">
        <f>IF(Rent_Roll[[#This Row],[Total In-Place
Rent]]=0,0,Rent_Roll[[#This Row],[Total In-Place
Rent]]-Rent_Roll[[#This Row],[Market
Rent]])</f>
        <v>-105</v>
      </c>
      <c r="W233" s="1343">
        <v>0</v>
      </c>
      <c r="X233" s="723"/>
      <c r="Y233" s="723"/>
      <c r="Z233" s="723"/>
      <c r="AA233" s="1345"/>
      <c r="AB233" s="723"/>
      <c r="AC233" s="723"/>
      <c r="AD233" s="723"/>
      <c r="AE233" s="723"/>
      <c r="AF233" s="723"/>
      <c r="AG233" s="147"/>
      <c r="AH233" s="147"/>
      <c r="AI233" s="1348" t="str">
        <f>IF(Rent_Roll[[#This Row],[Future
Lease Start]]="","",DATEDIF(Rent_Roll[[#This Row],[Future
Lease Start]],Rent_Roll[[#This Row],[Future
Lease Exp]],"m")+1)</f>
        <v/>
      </c>
      <c r="AJ233" s="1347"/>
    </row>
    <row r="234" spans="2:36" x14ac:dyDescent="0.2">
      <c r="B234" s="638"/>
      <c r="C234" s="638">
        <v>1024</v>
      </c>
      <c r="D234" s="638" t="s">
        <v>868</v>
      </c>
      <c r="E234" s="162" t="str">
        <f>IF(Rent_Roll[[#This Row],[Floor-
plan]]="studio",0,LEFT(Rent_Roll[[#This Row],[Floor-
plan]],1))</f>
        <v>1</v>
      </c>
      <c r="F234" s="162" cm="1">
        <f t="array" ref="F23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34" s="1336">
        <v>727</v>
      </c>
      <c r="H234" s="722" t="s">
        <v>244</v>
      </c>
      <c r="I234" s="722"/>
      <c r="J234" s="1337" t="str" cm="1">
        <f t="array" ref="J23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34" s="1338">
        <v>44605</v>
      </c>
      <c r="L234" s="147">
        <v>44969</v>
      </c>
      <c r="M234" s="1339" cm="1">
        <f t="array" ref="M23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34" s="1337" t="str">
        <f>IF(OR(Rent_Roll[[#This Row],[MTM Fee]]="",Rent_Roll[[#This Row],[MTM Fee]]=0),"","MTM Lease")</f>
        <v/>
      </c>
      <c r="O234" s="1340">
        <f ca="1">IFERROR(IF(Rent_Roll[[#This Row],[Lease
Exp]]="","",DATEDIF($F$3,Rent_Roll[[#This Row],[Lease
Exp]],"m")+1),0)</f>
        <v>1</v>
      </c>
      <c r="P234" s="1341"/>
      <c r="Q234" s="1342" t="str" cm="1">
        <f t="array" ref="Q23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34" s="1343">
        <v>1130</v>
      </c>
      <c r="S234" s="723">
        <v>995</v>
      </c>
      <c r="T234" s="723"/>
      <c r="U234" s="550">
        <f>Rent_Roll[[#This Row],[Lease
Rent]]+Rent_Roll[[#This Row],[Corp
Rent]]</f>
        <v>995</v>
      </c>
      <c r="V234" s="1344">
        <f>IF(Rent_Roll[[#This Row],[Total In-Place
Rent]]=0,0,Rent_Roll[[#This Row],[Total In-Place
Rent]]-Rent_Roll[[#This Row],[Market
Rent]])</f>
        <v>-135</v>
      </c>
      <c r="W234" s="1343">
        <v>0</v>
      </c>
      <c r="X234" s="723"/>
      <c r="Y234" s="723"/>
      <c r="Z234" s="723"/>
      <c r="AA234" s="1345"/>
      <c r="AB234" s="723"/>
      <c r="AC234" s="723"/>
      <c r="AD234" s="723"/>
      <c r="AE234" s="723"/>
      <c r="AF234" s="723"/>
      <c r="AG234" s="147"/>
      <c r="AH234" s="147"/>
      <c r="AI234" s="1348" t="str">
        <f>IF(Rent_Roll[[#This Row],[Future
Lease Start]]="","",DATEDIF(Rent_Roll[[#This Row],[Future
Lease Start]],Rent_Roll[[#This Row],[Future
Lease Exp]],"m")+1)</f>
        <v/>
      </c>
      <c r="AJ234" s="1347"/>
    </row>
    <row r="235" spans="2:36" x14ac:dyDescent="0.2">
      <c r="B235" s="638"/>
      <c r="C235" s="638">
        <v>1025</v>
      </c>
      <c r="D235" s="638" t="s">
        <v>868</v>
      </c>
      <c r="E235" s="162" t="str">
        <f>IF(Rent_Roll[[#This Row],[Floor-
plan]]="studio",0,LEFT(Rent_Roll[[#This Row],[Floor-
plan]],1))</f>
        <v>1</v>
      </c>
      <c r="F235" s="162" cm="1">
        <f t="array" ref="F23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35" s="1336">
        <v>727</v>
      </c>
      <c r="H235" s="722" t="s">
        <v>244</v>
      </c>
      <c r="I235" s="722"/>
      <c r="J235" s="1337" t="str" cm="1">
        <f t="array" ref="J23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35" s="1338">
        <v>44629</v>
      </c>
      <c r="L235" s="147">
        <v>44993</v>
      </c>
      <c r="M235" s="1339" cm="1">
        <f t="array" ref="M235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35" s="1337" t="str">
        <f>IF(OR(Rent_Roll[[#This Row],[MTM Fee]]="",Rent_Roll[[#This Row],[MTM Fee]]=0),"","MTM Lease")</f>
        <v/>
      </c>
      <c r="O235" s="1340">
        <f ca="1">IFERROR(IF(Rent_Roll[[#This Row],[Lease
Exp]]="","",DATEDIF($F$3,Rent_Roll[[#This Row],[Lease
Exp]],"m")+1),0)</f>
        <v>2</v>
      </c>
      <c r="P235" s="1341"/>
      <c r="Q235" s="1342" t="str" cm="1">
        <f t="array" ref="Q23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35" s="1343">
        <v>1130</v>
      </c>
      <c r="S235" s="723">
        <v>1130</v>
      </c>
      <c r="T235" s="723"/>
      <c r="U235" s="550">
        <f>Rent_Roll[[#This Row],[Lease
Rent]]+Rent_Roll[[#This Row],[Corp
Rent]]</f>
        <v>1130</v>
      </c>
      <c r="V235" s="1344">
        <f>IF(Rent_Roll[[#This Row],[Total In-Place
Rent]]=0,0,Rent_Roll[[#This Row],[Total In-Place
Rent]]-Rent_Roll[[#This Row],[Market
Rent]])</f>
        <v>0</v>
      </c>
      <c r="W235" s="1343">
        <v>0</v>
      </c>
      <c r="X235" s="723"/>
      <c r="Y235" s="723"/>
      <c r="Z235" s="723"/>
      <c r="AA235" s="1345"/>
      <c r="AB235" s="723"/>
      <c r="AC235" s="723"/>
      <c r="AD235" s="723"/>
      <c r="AE235" s="723"/>
      <c r="AF235" s="723"/>
      <c r="AG235" s="147"/>
      <c r="AH235" s="147"/>
      <c r="AI235" s="1348" t="str">
        <f>IF(Rent_Roll[[#This Row],[Future
Lease Start]]="","",DATEDIF(Rent_Roll[[#This Row],[Future
Lease Start]],Rent_Roll[[#This Row],[Future
Lease Exp]],"m")+1)</f>
        <v/>
      </c>
      <c r="AJ235" s="1347"/>
    </row>
    <row r="236" spans="2:36" x14ac:dyDescent="0.2">
      <c r="B236" s="638"/>
      <c r="C236" s="638">
        <v>1026</v>
      </c>
      <c r="D236" s="638" t="s">
        <v>868</v>
      </c>
      <c r="E236" s="162" t="str">
        <f>IF(Rent_Roll[[#This Row],[Floor-
plan]]="studio",0,LEFT(Rent_Roll[[#This Row],[Floor-
plan]],1))</f>
        <v>1</v>
      </c>
      <c r="F236" s="162" cm="1">
        <f t="array" ref="F23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36" s="1336">
        <v>727</v>
      </c>
      <c r="H236" s="722" t="s">
        <v>244</v>
      </c>
      <c r="I236" s="722"/>
      <c r="J236" s="1337" t="str" cm="1">
        <f t="array" ref="J23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36" s="1338">
        <v>44593</v>
      </c>
      <c r="L236" s="147">
        <v>44957</v>
      </c>
      <c r="M236" s="1339" cm="1">
        <f t="array" ref="M23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36" s="1337" t="str">
        <f>IF(OR(Rent_Roll[[#This Row],[MTM Fee]]="",Rent_Roll[[#This Row],[MTM Fee]]=0),"","MTM Lease")</f>
        <v/>
      </c>
      <c r="O236" s="1340">
        <f ca="1">IFERROR(IF(Rent_Roll[[#This Row],[Lease
Exp]]="","",DATEDIF($F$3,Rent_Roll[[#This Row],[Lease
Exp]],"m")+1),0)</f>
        <v>1</v>
      </c>
      <c r="P236" s="1341"/>
      <c r="Q236" s="1342" t="str" cm="1">
        <f t="array" ref="Q23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36" s="1343">
        <v>1130</v>
      </c>
      <c r="S236" s="723">
        <v>985</v>
      </c>
      <c r="T236" s="723"/>
      <c r="U236" s="550">
        <f>Rent_Roll[[#This Row],[Lease
Rent]]+Rent_Roll[[#This Row],[Corp
Rent]]</f>
        <v>985</v>
      </c>
      <c r="V236" s="1344">
        <f>IF(Rent_Roll[[#This Row],[Total In-Place
Rent]]=0,0,Rent_Roll[[#This Row],[Total In-Place
Rent]]-Rent_Roll[[#This Row],[Market
Rent]])</f>
        <v>-145</v>
      </c>
      <c r="W236" s="1343">
        <v>0</v>
      </c>
      <c r="X236" s="723"/>
      <c r="Y236" s="723"/>
      <c r="Z236" s="723"/>
      <c r="AA236" s="1345"/>
      <c r="AB236" s="723"/>
      <c r="AC236" s="723"/>
      <c r="AD236" s="723"/>
      <c r="AE236" s="723"/>
      <c r="AF236" s="723"/>
      <c r="AG236" s="147"/>
      <c r="AH236" s="147"/>
      <c r="AI236" s="1348" t="str">
        <f>IF(Rent_Roll[[#This Row],[Future
Lease Start]]="","",DATEDIF(Rent_Roll[[#This Row],[Future
Lease Start]],Rent_Roll[[#This Row],[Future
Lease Exp]],"m")+1)</f>
        <v/>
      </c>
      <c r="AJ236" s="1347"/>
    </row>
    <row r="237" spans="2:36" x14ac:dyDescent="0.2">
      <c r="B237" s="638"/>
      <c r="C237" s="638">
        <v>1027</v>
      </c>
      <c r="D237" s="638" t="s">
        <v>866</v>
      </c>
      <c r="E237" s="162" t="str">
        <f>IF(Rent_Roll[[#This Row],[Floor-
plan]]="studio",0,LEFT(Rent_Roll[[#This Row],[Floor-
plan]],1))</f>
        <v>2</v>
      </c>
      <c r="F237" s="162" cm="1">
        <f t="array" ref="F23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37" s="1336">
        <v>1000</v>
      </c>
      <c r="H237" s="722" t="s">
        <v>244</v>
      </c>
      <c r="I237" s="722"/>
      <c r="J237" s="1337" t="str" cm="1">
        <f t="array" ref="J23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37" s="1338">
        <v>44713</v>
      </c>
      <c r="L237" s="147">
        <v>45077</v>
      </c>
      <c r="M237" s="1339" cm="1">
        <f t="array" ref="M23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37" s="1337" t="str">
        <f>IF(OR(Rent_Roll[[#This Row],[MTM Fee]]="",Rent_Roll[[#This Row],[MTM Fee]]=0),"","MTM Lease")</f>
        <v/>
      </c>
      <c r="O237" s="1340">
        <f ca="1">IFERROR(IF(Rent_Roll[[#This Row],[Lease
Exp]]="","",DATEDIF($F$3,Rent_Roll[[#This Row],[Lease
Exp]],"m")+1),0)</f>
        <v>5</v>
      </c>
      <c r="P237" s="1341"/>
      <c r="Q237" s="1342" t="str" cm="1">
        <f t="array" ref="Q23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37" s="1343">
        <v>1360</v>
      </c>
      <c r="S237" s="723">
        <v>1160</v>
      </c>
      <c r="T237" s="723"/>
      <c r="U237" s="550">
        <f>Rent_Roll[[#This Row],[Lease
Rent]]+Rent_Roll[[#This Row],[Corp
Rent]]</f>
        <v>1160</v>
      </c>
      <c r="V237" s="1344">
        <f>IF(Rent_Roll[[#This Row],[Total In-Place
Rent]]=0,0,Rent_Roll[[#This Row],[Total In-Place
Rent]]-Rent_Roll[[#This Row],[Market
Rent]])</f>
        <v>-200</v>
      </c>
      <c r="W237" s="1343">
        <v>0</v>
      </c>
      <c r="X237" s="723"/>
      <c r="Y237" s="723"/>
      <c r="Z237" s="723"/>
      <c r="AA237" s="1345"/>
      <c r="AB237" s="723"/>
      <c r="AC237" s="723"/>
      <c r="AD237" s="723"/>
      <c r="AE237" s="723"/>
      <c r="AF237" s="723"/>
      <c r="AG237" s="147"/>
      <c r="AH237" s="147"/>
      <c r="AI237" s="1348" t="str">
        <f>IF(Rent_Roll[[#This Row],[Future
Lease Start]]="","",DATEDIF(Rent_Roll[[#This Row],[Future
Lease Start]],Rent_Roll[[#This Row],[Future
Lease Exp]],"m")+1)</f>
        <v/>
      </c>
      <c r="AJ237" s="1347"/>
    </row>
    <row r="238" spans="2:36" x14ac:dyDescent="0.2">
      <c r="B238" s="638"/>
      <c r="C238" s="638">
        <v>1028</v>
      </c>
      <c r="D238" s="638" t="s">
        <v>866</v>
      </c>
      <c r="E238" s="162" t="str">
        <f>IF(Rent_Roll[[#This Row],[Floor-
plan]]="studio",0,LEFT(Rent_Roll[[#This Row],[Floor-
plan]],1))</f>
        <v>2</v>
      </c>
      <c r="F238" s="162" cm="1">
        <f t="array" ref="F23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38" s="1336">
        <v>1000</v>
      </c>
      <c r="H238" s="722" t="s">
        <v>244</v>
      </c>
      <c r="I238" s="722"/>
      <c r="J238" s="1337" t="str" cm="1">
        <f t="array" ref="J23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38" s="1338">
        <v>44693</v>
      </c>
      <c r="L238" s="147">
        <v>45057</v>
      </c>
      <c r="M238" s="1339" cm="1">
        <f t="array" ref="M23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38" s="1337" t="str">
        <f>IF(OR(Rent_Roll[[#This Row],[MTM Fee]]="",Rent_Roll[[#This Row],[MTM Fee]]=0),"","MTM Lease")</f>
        <v/>
      </c>
      <c r="O238" s="1340">
        <f ca="1">IFERROR(IF(Rent_Roll[[#This Row],[Lease
Exp]]="","",DATEDIF($F$3,Rent_Roll[[#This Row],[Lease
Exp]],"m")+1),0)</f>
        <v>4</v>
      </c>
      <c r="P238" s="1341"/>
      <c r="Q238" s="1342" t="str" cm="1">
        <f t="array" ref="Q23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38" s="1343">
        <v>1360</v>
      </c>
      <c r="S238" s="723">
        <v>1240</v>
      </c>
      <c r="T238" s="723"/>
      <c r="U238" s="550">
        <f>Rent_Roll[[#This Row],[Lease
Rent]]+Rent_Roll[[#This Row],[Corp
Rent]]</f>
        <v>1240</v>
      </c>
      <c r="V238" s="1344">
        <f>IF(Rent_Roll[[#This Row],[Total In-Place
Rent]]=0,0,Rent_Roll[[#This Row],[Total In-Place
Rent]]-Rent_Roll[[#This Row],[Market
Rent]])</f>
        <v>-120</v>
      </c>
      <c r="W238" s="1343">
        <v>0</v>
      </c>
      <c r="X238" s="723"/>
      <c r="Y238" s="723"/>
      <c r="Z238" s="723"/>
      <c r="AA238" s="1345"/>
      <c r="AB238" s="723"/>
      <c r="AC238" s="723"/>
      <c r="AD238" s="723"/>
      <c r="AE238" s="723"/>
      <c r="AF238" s="723"/>
      <c r="AG238" s="147"/>
      <c r="AH238" s="147"/>
      <c r="AI238" s="1348" t="str">
        <f>IF(Rent_Roll[[#This Row],[Future
Lease Start]]="","",DATEDIF(Rent_Roll[[#This Row],[Future
Lease Start]],Rent_Roll[[#This Row],[Future
Lease Exp]],"m")+1)</f>
        <v/>
      </c>
      <c r="AJ238" s="1347"/>
    </row>
    <row r="239" spans="2:36" x14ac:dyDescent="0.2">
      <c r="B239" s="638"/>
      <c r="C239" s="638">
        <v>1031</v>
      </c>
      <c r="D239" s="638" t="s">
        <v>870</v>
      </c>
      <c r="E239" s="162" t="str">
        <f>IF(Rent_Roll[[#This Row],[Floor-
plan]]="studio",0,LEFT(Rent_Roll[[#This Row],[Floor-
plan]],1))</f>
        <v>2</v>
      </c>
      <c r="F239" s="162" cm="1">
        <f t="array" ref="F23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39" s="1336">
        <v>1099</v>
      </c>
      <c r="H239" s="722" t="s">
        <v>244</v>
      </c>
      <c r="I239" s="722"/>
      <c r="J239" s="1337" t="str" cm="1">
        <f t="array" ref="J23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239" s="1338">
        <v>44682</v>
      </c>
      <c r="L239" s="147">
        <v>45046</v>
      </c>
      <c r="M239" s="1339" cm="1">
        <f t="array" ref="M239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39" s="1337" t="str">
        <f>IF(OR(Rent_Roll[[#This Row],[MTM Fee]]="",Rent_Roll[[#This Row],[MTM Fee]]=0),"","MTM Lease")</f>
        <v/>
      </c>
      <c r="O239" s="1340">
        <f ca="1">IFERROR(IF(Rent_Roll[[#This Row],[Lease
Exp]]="","",DATEDIF($F$3,Rent_Roll[[#This Row],[Lease
Exp]],"m")+1),0)</f>
        <v>4</v>
      </c>
      <c r="P239" s="1341"/>
      <c r="Q239" s="1342" t="str" cm="1">
        <f t="array" ref="Q23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39" s="1343">
        <v>1440</v>
      </c>
      <c r="S239" s="723">
        <v>1150</v>
      </c>
      <c r="T239" s="723"/>
      <c r="U239" s="550">
        <f>Rent_Roll[[#This Row],[Lease
Rent]]+Rent_Roll[[#This Row],[Corp
Rent]]</f>
        <v>1150</v>
      </c>
      <c r="V239" s="1344">
        <f>IF(Rent_Roll[[#This Row],[Total In-Place
Rent]]=0,0,Rent_Roll[[#This Row],[Total In-Place
Rent]]-Rent_Roll[[#This Row],[Market
Rent]])</f>
        <v>-290</v>
      </c>
      <c r="W239" s="1343">
        <v>0</v>
      </c>
      <c r="X239" s="723"/>
      <c r="Y239" s="723"/>
      <c r="Z239" s="723"/>
      <c r="AA239" s="1345"/>
      <c r="AB239" s="723"/>
      <c r="AC239" s="723"/>
      <c r="AD239" s="723"/>
      <c r="AE239" s="723"/>
      <c r="AF239" s="723"/>
      <c r="AG239" s="147"/>
      <c r="AH239" s="147"/>
      <c r="AI239" s="1348" t="str">
        <f>IF(Rent_Roll[[#This Row],[Future
Lease Start]]="","",DATEDIF(Rent_Roll[[#This Row],[Future
Lease Start]],Rent_Roll[[#This Row],[Future
Lease Exp]],"m")+1)</f>
        <v/>
      </c>
      <c r="AJ239" s="1347"/>
    </row>
    <row r="240" spans="2:36" x14ac:dyDescent="0.2">
      <c r="B240" s="638"/>
      <c r="C240" s="638">
        <v>1032</v>
      </c>
      <c r="D240" s="638" t="s">
        <v>866</v>
      </c>
      <c r="E240" s="162" t="str">
        <f>IF(Rent_Roll[[#This Row],[Floor-
plan]]="studio",0,LEFT(Rent_Roll[[#This Row],[Floor-
plan]],1))</f>
        <v>2</v>
      </c>
      <c r="F240" s="162" cm="1">
        <f t="array" ref="F24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40" s="1349">
        <v>1000</v>
      </c>
      <c r="H240" s="722" t="s">
        <v>244</v>
      </c>
      <c r="J240" s="1337" t="str" cm="1">
        <f t="array" ref="J24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40" s="1350">
        <v>44422</v>
      </c>
      <c r="L240" s="150" t="s">
        <v>873</v>
      </c>
      <c r="M240" s="1339" t="str" cm="1">
        <f t="array" ref="M240">_xlfn.IFS(Rent_Roll[[#This Row],[Lease
Exp]]="","",Rent_Roll[[#This Row],[MTM
Lease]]="MTM Lease","--",Rent_Roll[[#This Row],[Lease
Exp]]&gt;0,(DATEDIF(Rent_Roll[[#This Row],[Lease
Start]],Rent_Roll[[#This Row],[Lease
Exp]],"m")+1))</f>
        <v/>
      </c>
      <c r="N240" s="1337" t="str">
        <f>IF(OR(Rent_Roll[[#This Row],[MTM Fee]]="",Rent_Roll[[#This Row],[MTM Fee]]=0),"","MTM Lease")</f>
        <v>MTM Lease</v>
      </c>
      <c r="O240" s="1340" t="str">
        <f>IFERROR(IF(Rent_Roll[[#This Row],[Lease
Exp]]="","",DATEDIF($F$3,Rent_Roll[[#This Row],[Lease
Exp]],"m")+1),0)</f>
        <v/>
      </c>
      <c r="P240" s="155"/>
      <c r="Q240" s="1342" t="str" cm="1">
        <f t="array" ref="Q24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40" s="1351">
        <v>1340</v>
      </c>
      <c r="S240" s="550">
        <v>1220</v>
      </c>
      <c r="T240" s="550"/>
      <c r="U240" s="550">
        <f>Rent_Roll[[#This Row],[Lease
Rent]]+Rent_Roll[[#This Row],[Corp
Rent]]</f>
        <v>1220</v>
      </c>
      <c r="V240" s="1344">
        <f>IF(Rent_Roll[[#This Row],[Total In-Place
Rent]]=0,0,Rent_Roll[[#This Row],[Total In-Place
Rent]]-Rent_Roll[[#This Row],[Market
Rent]])</f>
        <v>-120</v>
      </c>
      <c r="W240" s="1351">
        <v>200</v>
      </c>
      <c r="X240" s="723"/>
      <c r="Y240" s="723"/>
      <c r="Z240" s="723"/>
      <c r="AA240" s="1345"/>
      <c r="AB240" s="723"/>
      <c r="AC240" s="723"/>
      <c r="AD240" s="723"/>
      <c r="AE240" s="723"/>
      <c r="AF240" s="723"/>
      <c r="AG240" s="147"/>
      <c r="AH240" s="147"/>
      <c r="AI240" s="1348" t="str">
        <f>IF(Rent_Roll[[#This Row],[Future
Lease Start]]="","",DATEDIF(Rent_Roll[[#This Row],[Future
Lease Start]],Rent_Roll[[#This Row],[Future
Lease Exp]],"m")+1)</f>
        <v/>
      </c>
      <c r="AJ240" s="1347"/>
    </row>
    <row r="241" spans="2:36" x14ac:dyDescent="0.2">
      <c r="B241" s="638"/>
      <c r="C241" s="638">
        <v>1033</v>
      </c>
      <c r="D241" s="638" t="s">
        <v>868</v>
      </c>
      <c r="E241" s="162" t="str">
        <f>IF(Rent_Roll[[#This Row],[Floor-
plan]]="studio",0,LEFT(Rent_Roll[[#This Row],[Floor-
plan]],1))</f>
        <v>1</v>
      </c>
      <c r="F241" s="162" cm="1">
        <f t="array" ref="F24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41" s="1349">
        <v>727</v>
      </c>
      <c r="H241" s="722" t="s">
        <v>244</v>
      </c>
      <c r="J241" s="1337" t="str" cm="1">
        <f t="array" ref="J24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41" s="1350">
        <v>44762</v>
      </c>
      <c r="L241" s="150">
        <v>45126</v>
      </c>
      <c r="M241" s="1339" cm="1">
        <f t="array" ref="M241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41" s="1337" t="str">
        <f>IF(OR(Rent_Roll[[#This Row],[MTM Fee]]="",Rent_Roll[[#This Row],[MTM Fee]]=0),"","MTM Lease")</f>
        <v/>
      </c>
      <c r="O241" s="1340">
        <f ca="1">IFERROR(IF(Rent_Roll[[#This Row],[Lease
Exp]]="","",DATEDIF($F$3,Rent_Roll[[#This Row],[Lease
Exp]],"m")+1),0)</f>
        <v>6</v>
      </c>
      <c r="P241" s="155"/>
      <c r="Q241" s="1342" t="str" cm="1">
        <f t="array" ref="Q24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41" s="1351">
        <v>1110</v>
      </c>
      <c r="S241" s="550">
        <v>950</v>
      </c>
      <c r="T241" s="550"/>
      <c r="U241" s="550">
        <f>Rent_Roll[[#This Row],[Lease
Rent]]+Rent_Roll[[#This Row],[Corp
Rent]]</f>
        <v>950</v>
      </c>
      <c r="V241" s="1344">
        <f>IF(Rent_Roll[[#This Row],[Total In-Place
Rent]]=0,0,Rent_Roll[[#This Row],[Total In-Place
Rent]]-Rent_Roll[[#This Row],[Market
Rent]])</f>
        <v>-160</v>
      </c>
      <c r="W241" s="1351">
        <v>0</v>
      </c>
      <c r="X241" s="723"/>
      <c r="Y241" s="723"/>
      <c r="Z241" s="723"/>
      <c r="AA241" s="1345"/>
      <c r="AB241" s="723"/>
      <c r="AC241" s="723"/>
      <c r="AD241" s="723"/>
      <c r="AE241" s="723"/>
      <c r="AF241" s="723"/>
      <c r="AG241" s="147"/>
      <c r="AH241" s="147"/>
      <c r="AI241" s="1348" t="str">
        <f>IF(Rent_Roll[[#This Row],[Future
Lease Start]]="","",DATEDIF(Rent_Roll[[#This Row],[Future
Lease Start]],Rent_Roll[[#This Row],[Future
Lease Exp]],"m")+1)</f>
        <v/>
      </c>
      <c r="AJ241" s="1347"/>
    </row>
    <row r="242" spans="2:36" x14ac:dyDescent="0.2">
      <c r="B242" s="638"/>
      <c r="C242" s="638">
        <v>1034</v>
      </c>
      <c r="D242" s="638" t="s">
        <v>871</v>
      </c>
      <c r="E242" s="162" t="str">
        <f>IF(Rent_Roll[[#This Row],[Floor-
plan]]="studio",0,LEFT(Rent_Roll[[#This Row],[Floor-
plan]],1))</f>
        <v>1</v>
      </c>
      <c r="F242" s="162" t="str" cm="1">
        <f t="array" ref="F24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42" s="1349">
        <v>805</v>
      </c>
      <c r="H242" s="722" t="s">
        <v>244</v>
      </c>
      <c r="J242" s="1337" t="str" cm="1">
        <f t="array" ref="J24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1x1-S</v>
      </c>
      <c r="K242" s="1350">
        <v>44769</v>
      </c>
      <c r="L242" s="150">
        <v>45133</v>
      </c>
      <c r="M242" s="1339" cm="1">
        <f t="array" ref="M242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42" s="1337" t="str">
        <f>IF(OR(Rent_Roll[[#This Row],[MTM Fee]]="",Rent_Roll[[#This Row],[MTM Fee]]=0),"","MTM Lease")</f>
        <v/>
      </c>
      <c r="O242" s="1340">
        <f ca="1">IFERROR(IF(Rent_Roll[[#This Row],[Lease
Exp]]="","",DATEDIF($F$3,Rent_Roll[[#This Row],[Lease
Exp]],"m")+1),0)</f>
        <v>7</v>
      </c>
      <c r="P242" s="155"/>
      <c r="Q242" s="1342" t="str" cm="1">
        <f t="array" ref="Q24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42" s="1351">
        <v>1155</v>
      </c>
      <c r="S242" s="550">
        <v>1155</v>
      </c>
      <c r="T242" s="550"/>
      <c r="U242" s="550">
        <f>Rent_Roll[[#This Row],[Lease
Rent]]+Rent_Roll[[#This Row],[Corp
Rent]]</f>
        <v>1155</v>
      </c>
      <c r="V242" s="1344">
        <f>IF(Rent_Roll[[#This Row],[Total In-Place
Rent]]=0,0,Rent_Roll[[#This Row],[Total In-Place
Rent]]-Rent_Roll[[#This Row],[Market
Rent]])</f>
        <v>0</v>
      </c>
      <c r="W242" s="1351">
        <v>0</v>
      </c>
      <c r="X242" s="723"/>
      <c r="Y242" s="723"/>
      <c r="Z242" s="723"/>
      <c r="AA242" s="1345"/>
      <c r="AB242" s="723"/>
      <c r="AC242" s="723"/>
      <c r="AD242" s="723"/>
      <c r="AE242" s="723"/>
      <c r="AF242" s="723"/>
      <c r="AG242" s="147"/>
      <c r="AH242" s="147"/>
      <c r="AI242" s="1348" t="str">
        <f>IF(Rent_Roll[[#This Row],[Future
Lease Start]]="","",DATEDIF(Rent_Roll[[#This Row],[Future
Lease Start]],Rent_Roll[[#This Row],[Future
Lease Exp]],"m")+1)</f>
        <v/>
      </c>
      <c r="AJ242" s="1347"/>
    </row>
    <row r="243" spans="2:36" x14ac:dyDescent="0.2">
      <c r="B243" s="638"/>
      <c r="C243" s="638">
        <v>1035</v>
      </c>
      <c r="D243" s="638" t="s">
        <v>871</v>
      </c>
      <c r="E243" s="162" t="str">
        <f>IF(Rent_Roll[[#This Row],[Floor-
plan]]="studio",0,LEFT(Rent_Roll[[#This Row],[Floor-
plan]],1))</f>
        <v>1</v>
      </c>
      <c r="F243" s="162" t="str" cm="1">
        <f t="array" ref="F24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43" s="1349">
        <v>805</v>
      </c>
      <c r="H243" s="722" t="s">
        <v>244</v>
      </c>
      <c r="J243" s="1337" t="str" cm="1">
        <f t="array" ref="J24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1x1-S</v>
      </c>
      <c r="K243" s="1350">
        <v>44690</v>
      </c>
      <c r="L243" s="150">
        <v>45115</v>
      </c>
      <c r="M243" s="1339" cm="1">
        <f t="array" ref="M243">_xlfn.IFS(Rent_Roll[[#This Row],[Lease
Exp]]="","",Rent_Roll[[#This Row],[MTM
Lease]]="MTM Lease","--",Rent_Roll[[#This Row],[Lease
Exp]]&gt;0,(DATEDIF(Rent_Roll[[#This Row],[Lease
Start]],Rent_Roll[[#This Row],[Lease
Exp]],"m")+1))</f>
        <v>14</v>
      </c>
      <c r="N243" s="1337" t="str">
        <f>IF(OR(Rent_Roll[[#This Row],[MTM Fee]]="",Rent_Roll[[#This Row],[MTM Fee]]=0),"","MTM Lease")</f>
        <v/>
      </c>
      <c r="O243" s="1340">
        <f ca="1">IFERROR(IF(Rent_Roll[[#This Row],[Lease
Exp]]="","",DATEDIF($F$3,Rent_Roll[[#This Row],[Lease
Exp]],"m")+1),0)</f>
        <v>6</v>
      </c>
      <c r="P243" s="155"/>
      <c r="Q243" s="1342" t="str" cm="1">
        <f t="array" ref="Q24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43" s="1351">
        <v>1155</v>
      </c>
      <c r="S243" s="550">
        <v>1110</v>
      </c>
      <c r="T243" s="550"/>
      <c r="U243" s="550">
        <f>Rent_Roll[[#This Row],[Lease
Rent]]+Rent_Roll[[#This Row],[Corp
Rent]]</f>
        <v>1110</v>
      </c>
      <c r="V243" s="1344">
        <f>IF(Rent_Roll[[#This Row],[Total In-Place
Rent]]=0,0,Rent_Roll[[#This Row],[Total In-Place
Rent]]-Rent_Roll[[#This Row],[Market
Rent]])</f>
        <v>-45</v>
      </c>
      <c r="W243" s="1351">
        <v>0</v>
      </c>
      <c r="X243" s="723"/>
      <c r="Y243" s="723"/>
      <c r="Z243" s="723"/>
      <c r="AA243" s="1345"/>
      <c r="AB243" s="723"/>
      <c r="AC243" s="723"/>
      <c r="AD243" s="723"/>
      <c r="AE243" s="723"/>
      <c r="AF243" s="723"/>
      <c r="AG243" s="147"/>
      <c r="AH243" s="147"/>
      <c r="AI243" s="1348" t="str">
        <f>IF(Rent_Roll[[#This Row],[Future
Lease Start]]="","",DATEDIF(Rent_Roll[[#This Row],[Future
Lease Start]],Rent_Roll[[#This Row],[Future
Lease Exp]],"m")+1)</f>
        <v/>
      </c>
      <c r="AJ243" s="1347"/>
    </row>
    <row r="244" spans="2:36" x14ac:dyDescent="0.2">
      <c r="B244" s="638"/>
      <c r="C244" s="638">
        <v>1036</v>
      </c>
      <c r="D244" s="638" t="s">
        <v>868</v>
      </c>
      <c r="E244" s="162" t="str">
        <f>IF(Rent_Roll[[#This Row],[Floor-
plan]]="studio",0,LEFT(Rent_Roll[[#This Row],[Floor-
plan]],1))</f>
        <v>1</v>
      </c>
      <c r="F244" s="162" cm="1">
        <f t="array" ref="F24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44" s="1349">
        <v>727</v>
      </c>
      <c r="H244" s="722" t="s">
        <v>244</v>
      </c>
      <c r="J244" s="1337" t="str" cm="1">
        <f t="array" ref="J24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44" s="1350">
        <v>44744</v>
      </c>
      <c r="L244" s="150">
        <v>45108</v>
      </c>
      <c r="M244" s="1339" cm="1">
        <f t="array" ref="M244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44" s="1337" t="str">
        <f>IF(OR(Rent_Roll[[#This Row],[MTM Fee]]="",Rent_Roll[[#This Row],[MTM Fee]]=0),"","MTM Lease")</f>
        <v/>
      </c>
      <c r="O244" s="1340">
        <f ca="1">IFERROR(IF(Rent_Roll[[#This Row],[Lease
Exp]]="","",DATEDIF($F$3,Rent_Roll[[#This Row],[Lease
Exp]],"m")+1),0)</f>
        <v>6</v>
      </c>
      <c r="P244" s="155"/>
      <c r="Q244" s="1342" t="str" cm="1">
        <f t="array" ref="Q24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44" s="1351">
        <v>1110</v>
      </c>
      <c r="S244" s="550">
        <v>1060</v>
      </c>
      <c r="T244" s="550"/>
      <c r="U244" s="550">
        <f>Rent_Roll[[#This Row],[Lease
Rent]]+Rent_Roll[[#This Row],[Corp
Rent]]</f>
        <v>1060</v>
      </c>
      <c r="V244" s="1344">
        <f>IF(Rent_Roll[[#This Row],[Total In-Place
Rent]]=0,0,Rent_Roll[[#This Row],[Total In-Place
Rent]]-Rent_Roll[[#This Row],[Market
Rent]])</f>
        <v>-50</v>
      </c>
      <c r="W244" s="1351">
        <v>0</v>
      </c>
      <c r="X244" s="723"/>
      <c r="Y244" s="723"/>
      <c r="Z244" s="723"/>
      <c r="AA244" s="1345"/>
      <c r="AB244" s="723"/>
      <c r="AC244" s="723"/>
      <c r="AD244" s="723"/>
      <c r="AE244" s="723"/>
      <c r="AF244" s="723"/>
      <c r="AG244" s="147"/>
      <c r="AH244" s="147"/>
      <c r="AI244" s="1348" t="str">
        <f>IF(Rent_Roll[[#This Row],[Future
Lease Start]]="","",DATEDIF(Rent_Roll[[#This Row],[Future
Lease Start]],Rent_Roll[[#This Row],[Future
Lease Exp]],"m")+1)</f>
        <v/>
      </c>
      <c r="AJ244" s="1347"/>
    </row>
    <row r="245" spans="2:36" x14ac:dyDescent="0.2">
      <c r="B245" s="638"/>
      <c r="C245" s="638">
        <v>1037</v>
      </c>
      <c r="D245" s="638" t="s">
        <v>866</v>
      </c>
      <c r="E245" s="162" t="str">
        <f>IF(Rent_Roll[[#This Row],[Floor-
plan]]="studio",0,LEFT(Rent_Roll[[#This Row],[Floor-
plan]],1))</f>
        <v>2</v>
      </c>
      <c r="F245" s="162" cm="1">
        <f t="array" ref="F24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45" s="1349">
        <v>1000</v>
      </c>
      <c r="H245" s="722" t="s">
        <v>244</v>
      </c>
      <c r="J245" s="1337" t="str" cm="1">
        <f t="array" ref="J24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</v>
      </c>
      <c r="K245" s="1350">
        <v>44788</v>
      </c>
      <c r="L245" s="150">
        <v>45060</v>
      </c>
      <c r="M245" s="1339" cm="1">
        <f t="array" ref="M245">_xlfn.IFS(Rent_Roll[[#This Row],[Lease
Exp]]="","",Rent_Roll[[#This Row],[MTM
Lease]]="MTM Lease","--",Rent_Roll[[#This Row],[Lease
Exp]]&gt;0,(DATEDIF(Rent_Roll[[#This Row],[Lease
Start]],Rent_Roll[[#This Row],[Lease
Exp]],"m")+1))</f>
        <v>9</v>
      </c>
      <c r="N245" s="1337" t="str">
        <f>IF(OR(Rent_Roll[[#This Row],[MTM Fee]]="",Rent_Roll[[#This Row],[MTM Fee]]=0),"","MTM Lease")</f>
        <v/>
      </c>
      <c r="O245" s="1340">
        <f ca="1">IFERROR(IF(Rent_Roll[[#This Row],[Lease
Exp]]="","",DATEDIF($F$3,Rent_Roll[[#This Row],[Lease
Exp]],"m")+1),0)</f>
        <v>4</v>
      </c>
      <c r="P245" s="155"/>
      <c r="Q245" s="1342" t="str" cm="1">
        <f t="array" ref="Q24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45" s="1351">
        <v>1340</v>
      </c>
      <c r="S245" s="550">
        <v>1440</v>
      </c>
      <c r="T245" s="550"/>
      <c r="U245" s="550">
        <f>Rent_Roll[[#This Row],[Lease
Rent]]+Rent_Roll[[#This Row],[Corp
Rent]]</f>
        <v>1440</v>
      </c>
      <c r="V245" s="1344">
        <f>IF(Rent_Roll[[#This Row],[Total In-Place
Rent]]=0,0,Rent_Roll[[#This Row],[Total In-Place
Rent]]-Rent_Roll[[#This Row],[Market
Rent]])</f>
        <v>100</v>
      </c>
      <c r="W245" s="1351">
        <v>0</v>
      </c>
      <c r="X245" s="723"/>
      <c r="Y245" s="723"/>
      <c r="Z245" s="723"/>
      <c r="AA245" s="1345"/>
      <c r="AB245" s="723"/>
      <c r="AC245" s="723"/>
      <c r="AD245" s="723"/>
      <c r="AE245" s="723"/>
      <c r="AF245" s="723"/>
      <c r="AG245" s="147"/>
      <c r="AH245" s="147"/>
      <c r="AI245" s="1348" t="str">
        <f>IF(Rent_Roll[[#This Row],[Future
Lease Start]]="","",DATEDIF(Rent_Roll[[#This Row],[Future
Lease Start]],Rent_Roll[[#This Row],[Future
Lease Exp]],"m")+1)</f>
        <v/>
      </c>
      <c r="AJ245" s="1347"/>
    </row>
    <row r="246" spans="2:36" x14ac:dyDescent="0.2">
      <c r="B246" s="638"/>
      <c r="C246" s="638">
        <v>1038</v>
      </c>
      <c r="D246" s="638" t="s">
        <v>870</v>
      </c>
      <c r="E246" s="162" t="str">
        <f>IF(Rent_Roll[[#This Row],[Floor-
plan]]="studio",0,LEFT(Rent_Roll[[#This Row],[Floor-
plan]],1))</f>
        <v>2</v>
      </c>
      <c r="F246" s="162" cm="1">
        <f t="array" ref="F24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2</v>
      </c>
      <c r="G246" s="1349">
        <v>1099</v>
      </c>
      <c r="H246" s="722" t="s">
        <v>244</v>
      </c>
      <c r="J246" s="1337" t="str" cm="1">
        <f t="array" ref="J24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2x2-S</v>
      </c>
      <c r="K246" s="1350">
        <v>44681</v>
      </c>
      <c r="L246" s="150">
        <v>45045</v>
      </c>
      <c r="M246" s="1339" cm="1">
        <f t="array" ref="M246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46" s="1337" t="str">
        <f>IF(OR(Rent_Roll[[#This Row],[MTM Fee]]="",Rent_Roll[[#This Row],[MTM Fee]]=0),"","MTM Lease")</f>
        <v/>
      </c>
      <c r="O246" s="1340">
        <f ca="1">IFERROR(IF(Rent_Roll[[#This Row],[Lease
Exp]]="","",DATEDIF($F$3,Rent_Roll[[#This Row],[Lease
Exp]],"m")+1),0)</f>
        <v>4</v>
      </c>
      <c r="P246" s="155"/>
      <c r="Q246" s="1342" t="str" cm="1">
        <f t="array" ref="Q24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46" s="1351">
        <v>1440</v>
      </c>
      <c r="S246" s="550">
        <v>1440</v>
      </c>
      <c r="T246" s="550"/>
      <c r="U246" s="550">
        <f>Rent_Roll[[#This Row],[Lease
Rent]]+Rent_Roll[[#This Row],[Corp
Rent]]</f>
        <v>1440</v>
      </c>
      <c r="V246" s="1344">
        <f>IF(Rent_Roll[[#This Row],[Total In-Place
Rent]]=0,0,Rent_Roll[[#This Row],[Total In-Place
Rent]]-Rent_Roll[[#This Row],[Market
Rent]])</f>
        <v>0</v>
      </c>
      <c r="W246" s="1351">
        <v>0</v>
      </c>
      <c r="X246" s="723"/>
      <c r="Y246" s="723"/>
      <c r="Z246" s="723"/>
      <c r="AA246" s="1345"/>
      <c r="AB246" s="723"/>
      <c r="AC246" s="723"/>
      <c r="AD246" s="723"/>
      <c r="AE246" s="723"/>
      <c r="AF246" s="723"/>
      <c r="AG246" s="147"/>
      <c r="AH246" s="147"/>
      <c r="AI246" s="1348" t="str">
        <f>IF(Rent_Roll[[#This Row],[Future
Lease Start]]="","",DATEDIF(Rent_Roll[[#This Row],[Future
Lease Start]],Rent_Roll[[#This Row],[Future
Lease Exp]],"m")+1)</f>
        <v/>
      </c>
      <c r="AJ246" s="1347"/>
    </row>
    <row r="247" spans="2:36" x14ac:dyDescent="0.2">
      <c r="B247" s="638"/>
      <c r="C247" s="638">
        <v>1521</v>
      </c>
      <c r="D247" s="638" t="s">
        <v>868</v>
      </c>
      <c r="E247" s="162" t="str">
        <f>IF(Rent_Roll[[#This Row],[Floor-
plan]]="studio",0,LEFT(Rent_Roll[[#This Row],[Floor-
plan]],1))</f>
        <v>1</v>
      </c>
      <c r="F247" s="162" cm="1">
        <f t="array" ref="F24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47" s="1349">
        <v>855</v>
      </c>
      <c r="H247" s="722" t="s">
        <v>244</v>
      </c>
      <c r="J247" s="1337" t="str" cm="1">
        <f t="array" ref="J24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47" s="1350">
        <v>44505</v>
      </c>
      <c r="L247" s="150">
        <v>44869</v>
      </c>
      <c r="M247" s="1339" cm="1">
        <f t="array" ref="M247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47" s="1337" t="str">
        <f>IF(OR(Rent_Roll[[#This Row],[MTM Fee]]="",Rent_Roll[[#This Row],[MTM Fee]]=0),"","MTM Lease")</f>
        <v/>
      </c>
      <c r="O247" s="1340">
        <f ca="1">IFERROR(IF(Rent_Roll[[#This Row],[Lease
Exp]]="","",DATEDIF($F$3,Rent_Roll[[#This Row],[Lease
Exp]],"m")+1),0)</f>
        <v>0</v>
      </c>
      <c r="P247" s="155"/>
      <c r="Q247" s="1342" t="str" cm="1">
        <f t="array" ref="Q24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47" s="1351">
        <v>1245</v>
      </c>
      <c r="S247" s="550">
        <v>1195</v>
      </c>
      <c r="T247" s="550"/>
      <c r="U247" s="550">
        <f>Rent_Roll[[#This Row],[Lease
Rent]]+Rent_Roll[[#This Row],[Corp
Rent]]</f>
        <v>1195</v>
      </c>
      <c r="V247" s="1344">
        <f>IF(Rent_Roll[[#This Row],[Total In-Place
Rent]]=0,0,Rent_Roll[[#This Row],[Total In-Place
Rent]]-Rent_Roll[[#This Row],[Market
Rent]])</f>
        <v>-50</v>
      </c>
      <c r="W247" s="1351">
        <v>0</v>
      </c>
      <c r="X247" s="723"/>
      <c r="Y247" s="723"/>
      <c r="Z247" s="723"/>
      <c r="AA247" s="1345"/>
      <c r="AB247" s="723"/>
      <c r="AC247" s="723"/>
      <c r="AD247" s="723"/>
      <c r="AE247" s="723"/>
      <c r="AF247" s="723"/>
      <c r="AG247" s="147"/>
      <c r="AH247" s="147"/>
      <c r="AI247" s="1348" t="str">
        <f>IF(Rent_Roll[[#This Row],[Future
Lease Start]]="","",DATEDIF(Rent_Roll[[#This Row],[Future
Lease Start]],Rent_Roll[[#This Row],[Future
Lease Exp]],"m")+1)</f>
        <v/>
      </c>
      <c r="AJ247" s="1347"/>
    </row>
    <row r="248" spans="2:36" x14ac:dyDescent="0.2">
      <c r="B248" s="638"/>
      <c r="C248" s="638">
        <v>1522</v>
      </c>
      <c r="D248" s="638" t="s">
        <v>868</v>
      </c>
      <c r="E248" s="162" t="str">
        <f>IF(Rent_Roll[[#This Row],[Floor-
plan]]="studio",0,LEFT(Rent_Roll[[#This Row],[Floor-
plan]],1))</f>
        <v>1</v>
      </c>
      <c r="F248" s="162" cm="1">
        <f t="array" ref="F24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48" s="1349">
        <v>855</v>
      </c>
      <c r="H248" s="722" t="s">
        <v>244</v>
      </c>
      <c r="J248" s="1337" t="str" cm="1">
        <f t="array" ref="J24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48" s="1350">
        <v>44652</v>
      </c>
      <c r="L248" s="150">
        <v>45016</v>
      </c>
      <c r="M248" s="1339" cm="1">
        <f t="array" ref="M248">_xlfn.IFS(Rent_Roll[[#This Row],[Lease
Exp]]="","",Rent_Roll[[#This Row],[MTM
Lease]]="MTM Lease","--",Rent_Roll[[#This Row],[Lease
Exp]]&gt;0,(DATEDIF(Rent_Roll[[#This Row],[Lease
Start]],Rent_Roll[[#This Row],[Lease
Exp]],"m")+1))</f>
        <v>12</v>
      </c>
      <c r="N248" s="1337" t="str">
        <f>IF(OR(Rent_Roll[[#This Row],[MTM Fee]]="",Rent_Roll[[#This Row],[MTM Fee]]=0),"","MTM Lease")</f>
        <v/>
      </c>
      <c r="O248" s="1340">
        <f ca="1">IFERROR(IF(Rent_Roll[[#This Row],[Lease
Exp]]="","",DATEDIF($F$3,Rent_Roll[[#This Row],[Lease
Exp]],"m")+1),0)</f>
        <v>3</v>
      </c>
      <c r="P248" s="155"/>
      <c r="Q248" s="1342" t="str" cm="1">
        <f t="array" ref="Q24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48" s="1351">
        <v>1345</v>
      </c>
      <c r="S248" s="550">
        <v>1345</v>
      </c>
      <c r="T248" s="550"/>
      <c r="U248" s="550">
        <f>Rent_Roll[[#This Row],[Lease
Rent]]+Rent_Roll[[#This Row],[Corp
Rent]]</f>
        <v>1345</v>
      </c>
      <c r="V248" s="1344">
        <f>IF(Rent_Roll[[#This Row],[Total In-Place
Rent]]=0,0,Rent_Roll[[#This Row],[Total In-Place
Rent]]-Rent_Roll[[#This Row],[Market
Rent]])</f>
        <v>0</v>
      </c>
      <c r="W248" s="1351">
        <v>0</v>
      </c>
      <c r="X248" s="723"/>
      <c r="Y248" s="723"/>
      <c r="Z248" s="723"/>
      <c r="AA248" s="1345"/>
      <c r="AB248" s="723"/>
      <c r="AC248" s="723"/>
      <c r="AD248" s="723"/>
      <c r="AE248" s="723"/>
      <c r="AF248" s="723"/>
      <c r="AG248" s="147"/>
      <c r="AH248" s="147"/>
      <c r="AI248" s="1348" t="str">
        <f>IF(Rent_Roll[[#This Row],[Future
Lease Start]]="","",DATEDIF(Rent_Roll[[#This Row],[Future
Lease Start]],Rent_Roll[[#This Row],[Future
Lease Exp]],"m")+1)</f>
        <v/>
      </c>
      <c r="AJ248" s="1347"/>
    </row>
    <row r="249" spans="2:36" x14ac:dyDescent="0.2">
      <c r="B249" s="638"/>
      <c r="C249" s="638">
        <v>1921</v>
      </c>
      <c r="D249" s="638" t="s">
        <v>868</v>
      </c>
      <c r="E249" s="162" t="str">
        <f>IF(Rent_Roll[[#This Row],[Floor-
plan]]="studio",0,LEFT(Rent_Roll[[#This Row],[Floor-
plan]],1))</f>
        <v>1</v>
      </c>
      <c r="F249" s="162" cm="1">
        <f t="array" ref="F24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49" s="1349">
        <v>855</v>
      </c>
      <c r="H249" s="722" t="s">
        <v>244</v>
      </c>
      <c r="J249" s="1337" t="str" cm="1">
        <f t="array" ref="J24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49" s="1350">
        <v>44660</v>
      </c>
      <c r="L249" s="150">
        <v>45085</v>
      </c>
      <c r="M249" s="1339" cm="1">
        <f t="array" ref="M249">_xlfn.IFS(Rent_Roll[[#This Row],[Lease
Exp]]="","",Rent_Roll[[#This Row],[MTM
Lease]]="MTM Lease","--",Rent_Roll[[#This Row],[Lease
Exp]]&gt;0,(DATEDIF(Rent_Roll[[#This Row],[Lease
Start]],Rent_Roll[[#This Row],[Lease
Exp]],"m")+1))</f>
        <v>14</v>
      </c>
      <c r="N249" s="1337" t="str">
        <f>IF(OR(Rent_Roll[[#This Row],[MTM Fee]]="",Rent_Roll[[#This Row],[MTM Fee]]=0),"","MTM Lease")</f>
        <v/>
      </c>
      <c r="O249" s="1340">
        <f ca="1">IFERROR(IF(Rent_Roll[[#This Row],[Lease
Exp]]="","",DATEDIF($F$3,Rent_Roll[[#This Row],[Lease
Exp]],"m")+1),0)</f>
        <v>5</v>
      </c>
      <c r="P249" s="155"/>
      <c r="Q249" s="1342" t="str" cm="1">
        <f t="array" ref="Q24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49" s="1351">
        <v>1245</v>
      </c>
      <c r="S249" s="550">
        <v>1245</v>
      </c>
      <c r="T249" s="550"/>
      <c r="U249" s="550">
        <f>Rent_Roll[[#This Row],[Lease
Rent]]+Rent_Roll[[#This Row],[Corp
Rent]]</f>
        <v>1245</v>
      </c>
      <c r="V249" s="1344">
        <f>IF(Rent_Roll[[#This Row],[Total In-Place
Rent]]=0,0,Rent_Roll[[#This Row],[Total In-Place
Rent]]-Rent_Roll[[#This Row],[Market
Rent]])</f>
        <v>0</v>
      </c>
      <c r="W249" s="1351">
        <v>0</v>
      </c>
      <c r="X249" s="723"/>
      <c r="Y249" s="723"/>
      <c r="Z249" s="723"/>
      <c r="AA249" s="1345"/>
      <c r="AB249" s="723"/>
      <c r="AC249" s="723"/>
      <c r="AD249" s="723"/>
      <c r="AE249" s="723"/>
      <c r="AF249" s="723"/>
      <c r="AG249" s="147"/>
      <c r="AH249" s="147"/>
      <c r="AI249" s="1348" t="str">
        <f>IF(Rent_Roll[[#This Row],[Future
Lease Start]]="","",DATEDIF(Rent_Roll[[#This Row],[Future
Lease Start]],Rent_Roll[[#This Row],[Future
Lease Exp]],"m")+1)</f>
        <v/>
      </c>
      <c r="AJ249" s="1347"/>
    </row>
    <row r="250" spans="2:36" x14ac:dyDescent="0.2">
      <c r="B250" s="638"/>
      <c r="C250" s="638">
        <v>1922</v>
      </c>
      <c r="D250" s="638" t="s">
        <v>868</v>
      </c>
      <c r="E250" s="162" t="str">
        <f>IF(Rent_Roll[[#This Row],[Floor-
plan]]="studio",0,LEFT(Rent_Roll[[#This Row],[Floor-
plan]],1))</f>
        <v>1</v>
      </c>
      <c r="F250" s="162" cm="1">
        <f t="array" ref="F25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>1</v>
      </c>
      <c r="G250" s="1349">
        <v>855</v>
      </c>
      <c r="H250" s="722" t="s">
        <v>244</v>
      </c>
      <c r="J250" s="1337" t="str" cm="1">
        <f t="array" ref="J25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>1x1</v>
      </c>
      <c r="K250" s="1350">
        <v>44293</v>
      </c>
      <c r="L250" s="150">
        <v>44840</v>
      </c>
      <c r="M250" s="1339" cm="1">
        <f t="array" ref="M250">_xlfn.IFS(Rent_Roll[[#This Row],[Lease
Exp]]="","",Rent_Roll[[#This Row],[MTM
Lease]]="MTM Lease","--",Rent_Roll[[#This Row],[Lease
Exp]]&gt;0,(DATEDIF(Rent_Roll[[#This Row],[Lease
Start]],Rent_Roll[[#This Row],[Lease
Exp]],"m")+1))</f>
        <v>18</v>
      </c>
      <c r="N250" s="1337" t="str">
        <f>IF(OR(Rent_Roll[[#This Row],[MTM Fee]]="",Rent_Roll[[#This Row],[MTM Fee]]=0),"","MTM Lease")</f>
        <v/>
      </c>
      <c r="O250" s="1340">
        <f ca="1">IFERROR(IF(Rent_Roll[[#This Row],[Lease
Exp]]="","",DATEDIF($F$3,Rent_Roll[[#This Row],[Lease
Exp]],"m")+1),0)</f>
        <v>0</v>
      </c>
      <c r="P250" s="155"/>
      <c r="Q250" s="1342" t="str" cm="1">
        <f t="array" ref="Q25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50" s="1351">
        <v>1245</v>
      </c>
      <c r="S250" s="550">
        <v>1140</v>
      </c>
      <c r="T250" s="550"/>
      <c r="U250" s="550">
        <f>Rent_Roll[[#This Row],[Lease
Rent]]+Rent_Roll[[#This Row],[Corp
Rent]]</f>
        <v>1140</v>
      </c>
      <c r="V250" s="1344">
        <f>IF(Rent_Roll[[#This Row],[Total In-Place
Rent]]=0,0,Rent_Roll[[#This Row],[Total In-Place
Rent]]-Rent_Roll[[#This Row],[Market
Rent]])</f>
        <v>-105</v>
      </c>
      <c r="W250" s="1351">
        <v>0</v>
      </c>
      <c r="X250" s="723"/>
      <c r="Y250" s="723"/>
      <c r="Z250" s="723"/>
      <c r="AA250" s="1345"/>
      <c r="AB250" s="723"/>
      <c r="AC250" s="723"/>
      <c r="AD250" s="723"/>
      <c r="AE250" s="723"/>
      <c r="AF250" s="723"/>
      <c r="AG250" s="147"/>
      <c r="AH250" s="147"/>
      <c r="AI250" s="1348" t="str">
        <f>IF(Rent_Roll[[#This Row],[Future
Lease Start]]="","",DATEDIF(Rent_Roll[[#This Row],[Future
Lease Start]],Rent_Roll[[#This Row],[Future
Lease Exp]],"m")+1)</f>
        <v/>
      </c>
      <c r="AJ250" s="1347"/>
    </row>
    <row r="251" spans="2:36" x14ac:dyDescent="0.2">
      <c r="B251" s="638"/>
      <c r="C251" s="638"/>
      <c r="D251" s="638"/>
      <c r="E251" s="162" t="str">
        <f>IF(Rent_Roll[[#This Row],[Floor-
plan]]="studio",0,LEFT(Rent_Roll[[#This Row],[Floor-
plan]],1))</f>
        <v/>
      </c>
      <c r="F251" s="162" t="str" cm="1">
        <f t="array" ref="F25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51" s="1349"/>
      <c r="H251" s="722"/>
      <c r="J251" s="1337" t="str" cm="1">
        <f t="array" ref="J25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51" s="1350"/>
      <c r="L251" s="150"/>
      <c r="M251" s="1339" t="str" cm="1">
        <f t="array" ref="M251">_xlfn.IFS(Rent_Roll[[#This Row],[Lease
Exp]]="","",Rent_Roll[[#This Row],[MTM
Lease]]="MTM Lease","--",Rent_Roll[[#This Row],[Lease
Exp]]&gt;0,(DATEDIF(Rent_Roll[[#This Row],[Lease
Start]],Rent_Roll[[#This Row],[Lease
Exp]],"m")+1))</f>
        <v/>
      </c>
      <c r="N251" s="1337" t="str">
        <f>IF(OR(Rent_Roll[[#This Row],[MTM Fee]]="",Rent_Roll[[#This Row],[MTM Fee]]=0),"","MTM Lease")</f>
        <v/>
      </c>
      <c r="O251" s="1340" t="str">
        <f>IFERROR(IF(Rent_Roll[[#This Row],[Lease
Exp]]="","",DATEDIF($F$3,Rent_Roll[[#This Row],[Lease
Exp]],"m")+1),0)</f>
        <v/>
      </c>
      <c r="P251" s="155"/>
      <c r="Q251" s="1342" t="str" cm="1">
        <f t="array" ref="Q25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51" s="1351"/>
      <c r="S251" s="550"/>
      <c r="T251" s="550"/>
      <c r="U251" s="550">
        <f>Rent_Roll[[#This Row],[Lease
Rent]]+Rent_Roll[[#This Row],[Corp
Rent]]</f>
        <v>0</v>
      </c>
      <c r="V251" s="1344">
        <f>IF(Rent_Roll[[#This Row],[Total In-Place
Rent]]=0,0,Rent_Roll[[#This Row],[Total In-Place
Rent]]-Rent_Roll[[#This Row],[Market
Rent]])</f>
        <v>0</v>
      </c>
      <c r="W251" s="1351"/>
      <c r="X251" s="723"/>
      <c r="Y251" s="723"/>
      <c r="Z251" s="723"/>
      <c r="AA251" s="1345"/>
      <c r="AB251" s="723"/>
      <c r="AC251" s="723"/>
      <c r="AD251" s="723"/>
      <c r="AE251" s="723"/>
      <c r="AF251" s="723"/>
      <c r="AG251" s="147"/>
      <c r="AH251" s="147"/>
      <c r="AI251" s="1348" t="str">
        <f>IF(Rent_Roll[[#This Row],[Future
Lease Start]]="","",DATEDIF(Rent_Roll[[#This Row],[Future
Lease Start]],Rent_Roll[[#This Row],[Future
Lease Exp]],"m")+1)</f>
        <v/>
      </c>
      <c r="AJ251" s="1347"/>
    </row>
    <row r="252" spans="2:36" hidden="1" x14ac:dyDescent="0.2">
      <c r="B252" s="638"/>
      <c r="C252" s="638"/>
      <c r="D252" s="638"/>
      <c r="E252" s="162" t="str">
        <f>IF(Rent_Roll[[#This Row],[Floor-
plan]]="studio",0,LEFT(Rent_Roll[[#This Row],[Floor-
plan]],1))</f>
        <v/>
      </c>
      <c r="F252" s="162" t="str" cm="1">
        <f t="array" ref="F25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52" s="1349"/>
      <c r="H252" s="722"/>
      <c r="J252" s="1337" t="str" cm="1">
        <f t="array" ref="J25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52" s="1350"/>
      <c r="L252" s="150"/>
      <c r="M252" s="1339" t="str" cm="1">
        <f t="array" ref="M252">_xlfn.IFS(Rent_Roll[[#This Row],[Lease
Exp]]="","",Rent_Roll[[#This Row],[MTM
Lease]]="MTM Lease","--",Rent_Roll[[#This Row],[Lease
Exp]]&gt;0,(DATEDIF(Rent_Roll[[#This Row],[Lease
Start]],Rent_Roll[[#This Row],[Lease
Exp]],"m")+1))</f>
        <v/>
      </c>
      <c r="N252" s="1337" t="str">
        <f>IF(OR(Rent_Roll[[#This Row],[MTM Fee]]="",Rent_Roll[[#This Row],[MTM Fee]]=0),"","MTM Lease")</f>
        <v/>
      </c>
      <c r="O252" s="1340" t="str">
        <f>IFERROR(IF(Rent_Roll[[#This Row],[Lease
Exp]]="","",DATEDIF($F$3,Rent_Roll[[#This Row],[Lease
Exp]],"m")+1),0)</f>
        <v/>
      </c>
      <c r="P252" s="155"/>
      <c r="Q252" s="1342" t="str" cm="1">
        <f t="array" ref="Q25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52" s="1351"/>
      <c r="S252" s="550"/>
      <c r="T252" s="550"/>
      <c r="U252" s="550">
        <f>Rent_Roll[[#This Row],[Lease
Rent]]+Rent_Roll[[#This Row],[Corp
Rent]]</f>
        <v>0</v>
      </c>
      <c r="V252" s="1344">
        <f>IF(Rent_Roll[[#This Row],[Total In-Place
Rent]]=0,0,Rent_Roll[[#This Row],[Total In-Place
Rent]]-Rent_Roll[[#This Row],[Market
Rent]])</f>
        <v>0</v>
      </c>
      <c r="W252" s="1351"/>
      <c r="X252" s="723"/>
      <c r="Y252" s="723"/>
      <c r="Z252" s="723"/>
      <c r="AA252" s="1345"/>
      <c r="AB252" s="723"/>
      <c r="AC252" s="723"/>
      <c r="AD252" s="723"/>
      <c r="AE252" s="723"/>
      <c r="AF252" s="723"/>
      <c r="AG252" s="147"/>
      <c r="AH252" s="147"/>
      <c r="AI252" s="1348" t="str">
        <f>IF(Rent_Roll[[#This Row],[Future
Lease Start]]="","",DATEDIF(Rent_Roll[[#This Row],[Future
Lease Start]],Rent_Roll[[#This Row],[Future
Lease Exp]],"m")+1)</f>
        <v/>
      </c>
      <c r="AJ252" s="1347"/>
    </row>
    <row r="253" spans="2:36" hidden="1" x14ac:dyDescent="0.2">
      <c r="B253" s="638"/>
      <c r="C253" s="638"/>
      <c r="D253" s="638"/>
      <c r="E253" s="162" t="str">
        <f>IF(Rent_Roll[[#This Row],[Floor-
plan]]="studio",0,LEFT(Rent_Roll[[#This Row],[Floor-
plan]],1))</f>
        <v/>
      </c>
      <c r="F253" s="162" t="str" cm="1">
        <f t="array" ref="F25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53" s="1349"/>
      <c r="H253" s="722"/>
      <c r="J253" s="1337" t="str" cm="1">
        <f t="array" ref="J25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53" s="1350"/>
      <c r="L253" s="150"/>
      <c r="M253" s="1339" t="str" cm="1">
        <f t="array" ref="M253">_xlfn.IFS(Rent_Roll[[#This Row],[Lease
Exp]]="","",Rent_Roll[[#This Row],[MTM
Lease]]="MTM Lease","--",Rent_Roll[[#This Row],[Lease
Exp]]&gt;0,(DATEDIF(Rent_Roll[[#This Row],[Lease
Start]],Rent_Roll[[#This Row],[Lease
Exp]],"m")+1))</f>
        <v/>
      </c>
      <c r="N253" s="1337" t="str">
        <f>IF(OR(Rent_Roll[[#This Row],[MTM Fee]]="",Rent_Roll[[#This Row],[MTM Fee]]=0),"","MTM Lease")</f>
        <v/>
      </c>
      <c r="O253" s="1340" t="str">
        <f>IFERROR(IF(Rent_Roll[[#This Row],[Lease
Exp]]="","",DATEDIF($F$3,Rent_Roll[[#This Row],[Lease
Exp]],"m")+1),0)</f>
        <v/>
      </c>
      <c r="P253" s="155"/>
      <c r="Q253" s="1342" t="str" cm="1">
        <f t="array" ref="Q25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53" s="1351"/>
      <c r="S253" s="550"/>
      <c r="T253" s="550"/>
      <c r="U253" s="550">
        <f>Rent_Roll[[#This Row],[Lease
Rent]]+Rent_Roll[[#This Row],[Corp
Rent]]</f>
        <v>0</v>
      </c>
      <c r="V253" s="1344">
        <f>IF(Rent_Roll[[#This Row],[Total In-Place
Rent]]=0,0,Rent_Roll[[#This Row],[Total In-Place
Rent]]-Rent_Roll[[#This Row],[Market
Rent]])</f>
        <v>0</v>
      </c>
      <c r="W253" s="1351"/>
      <c r="X253" s="723"/>
      <c r="Y253" s="723"/>
      <c r="Z253" s="723"/>
      <c r="AA253" s="1345"/>
      <c r="AB253" s="723"/>
      <c r="AC253" s="723"/>
      <c r="AD253" s="723"/>
      <c r="AE253" s="723"/>
      <c r="AF253" s="723"/>
      <c r="AG253" s="147"/>
      <c r="AH253" s="147"/>
      <c r="AI253" s="1348" t="str">
        <f>IF(Rent_Roll[[#This Row],[Future
Lease Start]]="","",DATEDIF(Rent_Roll[[#This Row],[Future
Lease Start]],Rent_Roll[[#This Row],[Future
Lease Exp]],"m")+1)</f>
        <v/>
      </c>
      <c r="AJ253" s="1347"/>
    </row>
    <row r="254" spans="2:36" hidden="1" x14ac:dyDescent="0.2">
      <c r="B254" s="638"/>
      <c r="C254" s="638"/>
      <c r="D254" s="638"/>
      <c r="E254" s="162" t="str">
        <f>IF(Rent_Roll[[#This Row],[Floor-
plan]]="studio",0,LEFT(Rent_Roll[[#This Row],[Floor-
plan]],1))</f>
        <v/>
      </c>
      <c r="F254" s="162" t="str" cm="1">
        <f t="array" ref="F25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54" s="1349"/>
      <c r="H254" s="722"/>
      <c r="J254" s="1337" t="str" cm="1">
        <f t="array" ref="J25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54" s="1350"/>
      <c r="L254" s="150"/>
      <c r="M254" s="1339" t="str" cm="1">
        <f t="array" ref="M254">_xlfn.IFS(Rent_Roll[[#This Row],[Lease
Exp]]="","",Rent_Roll[[#This Row],[MTM
Lease]]="MTM Lease","--",Rent_Roll[[#This Row],[Lease
Exp]]&gt;0,(DATEDIF(Rent_Roll[[#This Row],[Lease
Start]],Rent_Roll[[#This Row],[Lease
Exp]],"m")+1))</f>
        <v/>
      </c>
      <c r="N254" s="1337" t="str">
        <f>IF(OR(Rent_Roll[[#This Row],[MTM Fee]]="",Rent_Roll[[#This Row],[MTM Fee]]=0),"","MTM Lease")</f>
        <v/>
      </c>
      <c r="O254" s="1340" t="str">
        <f>IFERROR(IF(Rent_Roll[[#This Row],[Lease
Exp]]="","",DATEDIF($F$3,Rent_Roll[[#This Row],[Lease
Exp]],"m")+1),0)</f>
        <v/>
      </c>
      <c r="P254" s="155"/>
      <c r="Q254" s="1342" t="str" cm="1">
        <f t="array" ref="Q25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54" s="1351"/>
      <c r="S254" s="550"/>
      <c r="T254" s="550"/>
      <c r="U254" s="550">
        <f>Rent_Roll[[#This Row],[Lease
Rent]]+Rent_Roll[[#This Row],[Corp
Rent]]</f>
        <v>0</v>
      </c>
      <c r="V254" s="1344">
        <f>IF(Rent_Roll[[#This Row],[Total In-Place
Rent]]=0,0,Rent_Roll[[#This Row],[Total In-Place
Rent]]-Rent_Roll[[#This Row],[Market
Rent]])</f>
        <v>0</v>
      </c>
      <c r="W254" s="1351"/>
      <c r="X254" s="723"/>
      <c r="Y254" s="723"/>
      <c r="Z254" s="723"/>
      <c r="AA254" s="1345"/>
      <c r="AB254" s="723"/>
      <c r="AC254" s="723"/>
      <c r="AD254" s="723"/>
      <c r="AE254" s="723"/>
      <c r="AF254" s="723"/>
      <c r="AG254" s="147"/>
      <c r="AH254" s="147"/>
      <c r="AI254" s="1348" t="str">
        <f>IF(Rent_Roll[[#This Row],[Future
Lease Start]]="","",DATEDIF(Rent_Roll[[#This Row],[Future
Lease Start]],Rent_Roll[[#This Row],[Future
Lease Exp]],"m")+1)</f>
        <v/>
      </c>
      <c r="AJ254" s="1347"/>
    </row>
    <row r="255" spans="2:36" hidden="1" x14ac:dyDescent="0.2">
      <c r="B255" s="638"/>
      <c r="C255" s="638"/>
      <c r="D255" s="638"/>
      <c r="E255" s="162" t="str">
        <f>IF(Rent_Roll[[#This Row],[Floor-
plan]]="studio",0,LEFT(Rent_Roll[[#This Row],[Floor-
plan]],1))</f>
        <v/>
      </c>
      <c r="F255" s="162" t="str" cm="1">
        <f t="array" ref="F25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55" s="1349"/>
      <c r="H255" s="722"/>
      <c r="J255" s="1337" t="str" cm="1">
        <f t="array" ref="J25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55" s="1350"/>
      <c r="L255" s="150"/>
      <c r="M255" s="1339" t="str" cm="1">
        <f t="array" ref="M255">_xlfn.IFS(Rent_Roll[[#This Row],[Lease
Exp]]="","",Rent_Roll[[#This Row],[MTM
Lease]]="MTM Lease","--",Rent_Roll[[#This Row],[Lease
Exp]]&gt;0,(DATEDIF(Rent_Roll[[#This Row],[Lease
Start]],Rent_Roll[[#This Row],[Lease
Exp]],"m")+1))</f>
        <v/>
      </c>
      <c r="N255" s="1337" t="str">
        <f>IF(OR(Rent_Roll[[#This Row],[MTM Fee]]="",Rent_Roll[[#This Row],[MTM Fee]]=0),"","MTM Lease")</f>
        <v/>
      </c>
      <c r="O255" s="1340" t="str">
        <f>IFERROR(IF(Rent_Roll[[#This Row],[Lease
Exp]]="","",DATEDIF($F$3,Rent_Roll[[#This Row],[Lease
Exp]],"m")+1),0)</f>
        <v/>
      </c>
      <c r="P255" s="155"/>
      <c r="Q255" s="1342" t="str" cm="1">
        <f t="array" ref="Q25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55" s="1351"/>
      <c r="S255" s="550"/>
      <c r="T255" s="550"/>
      <c r="U255" s="550">
        <f>Rent_Roll[[#This Row],[Lease
Rent]]+Rent_Roll[[#This Row],[Corp
Rent]]</f>
        <v>0</v>
      </c>
      <c r="V255" s="1344">
        <f>IF(Rent_Roll[[#This Row],[Total In-Place
Rent]]=0,0,Rent_Roll[[#This Row],[Total In-Place
Rent]]-Rent_Roll[[#This Row],[Market
Rent]])</f>
        <v>0</v>
      </c>
      <c r="W255" s="1351"/>
      <c r="X255" s="723"/>
      <c r="Y255" s="723"/>
      <c r="Z255" s="723"/>
      <c r="AA255" s="1345"/>
      <c r="AB255" s="723"/>
      <c r="AC255" s="723"/>
      <c r="AD255" s="723"/>
      <c r="AE255" s="723"/>
      <c r="AF255" s="723"/>
      <c r="AG255" s="147"/>
      <c r="AH255" s="147"/>
      <c r="AI255" s="1348" t="str">
        <f>IF(Rent_Roll[[#This Row],[Future
Lease Start]]="","",DATEDIF(Rent_Roll[[#This Row],[Future
Lease Start]],Rent_Roll[[#This Row],[Future
Lease Exp]],"m")+1)</f>
        <v/>
      </c>
      <c r="AJ255" s="1347"/>
    </row>
    <row r="256" spans="2:36" hidden="1" x14ac:dyDescent="0.2">
      <c r="B256" s="638"/>
      <c r="C256" s="638"/>
      <c r="D256" s="638"/>
      <c r="E256" s="162" t="str">
        <f>IF(Rent_Roll[[#This Row],[Floor-
plan]]="studio",0,LEFT(Rent_Roll[[#This Row],[Floor-
plan]],1))</f>
        <v/>
      </c>
      <c r="F256" s="162" t="str" cm="1">
        <f t="array" ref="F25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56" s="1349"/>
      <c r="H256" s="722"/>
      <c r="J256" s="1337" t="str" cm="1">
        <f t="array" ref="J25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56" s="1350"/>
      <c r="L256" s="150"/>
      <c r="M256" s="1339" t="str" cm="1">
        <f t="array" ref="M256">_xlfn.IFS(Rent_Roll[[#This Row],[Lease
Exp]]="","",Rent_Roll[[#This Row],[MTM
Lease]]="MTM Lease","--",Rent_Roll[[#This Row],[Lease
Exp]]&gt;0,(DATEDIF(Rent_Roll[[#This Row],[Lease
Start]],Rent_Roll[[#This Row],[Lease
Exp]],"m")+1))</f>
        <v/>
      </c>
      <c r="N256" s="1337" t="str">
        <f>IF(OR(Rent_Roll[[#This Row],[MTM Fee]]="",Rent_Roll[[#This Row],[MTM Fee]]=0),"","MTM Lease")</f>
        <v/>
      </c>
      <c r="O256" s="1340" t="str">
        <f>IFERROR(IF(Rent_Roll[[#This Row],[Lease
Exp]]="","",DATEDIF($F$3,Rent_Roll[[#This Row],[Lease
Exp]],"m")+1),0)</f>
        <v/>
      </c>
      <c r="P256" s="155"/>
      <c r="Q256" s="1342" t="str" cm="1">
        <f t="array" ref="Q25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56" s="1351"/>
      <c r="S256" s="550"/>
      <c r="T256" s="550"/>
      <c r="U256" s="550">
        <f>Rent_Roll[[#This Row],[Lease
Rent]]+Rent_Roll[[#This Row],[Corp
Rent]]</f>
        <v>0</v>
      </c>
      <c r="V256" s="1344">
        <f>IF(Rent_Roll[[#This Row],[Total In-Place
Rent]]=0,0,Rent_Roll[[#This Row],[Total In-Place
Rent]]-Rent_Roll[[#This Row],[Market
Rent]])</f>
        <v>0</v>
      </c>
      <c r="W256" s="1351"/>
      <c r="X256" s="723"/>
      <c r="Y256" s="723"/>
      <c r="Z256" s="723"/>
      <c r="AA256" s="1345"/>
      <c r="AB256" s="723"/>
      <c r="AC256" s="723"/>
      <c r="AD256" s="723"/>
      <c r="AE256" s="723"/>
      <c r="AF256" s="723"/>
      <c r="AG256" s="147"/>
      <c r="AH256" s="147"/>
      <c r="AI256" s="1348" t="str">
        <f>IF(Rent_Roll[[#This Row],[Future
Lease Start]]="","",DATEDIF(Rent_Roll[[#This Row],[Future
Lease Start]],Rent_Roll[[#This Row],[Future
Lease Exp]],"m")+1)</f>
        <v/>
      </c>
      <c r="AJ256" s="1347"/>
    </row>
    <row r="257" spans="2:36" hidden="1" x14ac:dyDescent="0.2">
      <c r="B257" s="638"/>
      <c r="C257" s="638"/>
      <c r="D257" s="638"/>
      <c r="E257" s="162" t="str">
        <f>IF(Rent_Roll[[#This Row],[Floor-
plan]]="studio",0,LEFT(Rent_Roll[[#This Row],[Floor-
plan]],1))</f>
        <v/>
      </c>
      <c r="F257" s="162" t="str" cm="1">
        <f t="array" ref="F25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57" s="1349"/>
      <c r="H257" s="722"/>
      <c r="J257" s="1337" t="str" cm="1">
        <f t="array" ref="J25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57" s="1350"/>
      <c r="L257" s="150"/>
      <c r="M257" s="1339" t="str" cm="1">
        <f t="array" ref="M257">_xlfn.IFS(Rent_Roll[[#This Row],[Lease
Exp]]="","",Rent_Roll[[#This Row],[MTM
Lease]]="MTM Lease","--",Rent_Roll[[#This Row],[Lease
Exp]]&gt;0,(DATEDIF(Rent_Roll[[#This Row],[Lease
Start]],Rent_Roll[[#This Row],[Lease
Exp]],"m")+1))</f>
        <v/>
      </c>
      <c r="N257" s="1337" t="str">
        <f>IF(OR(Rent_Roll[[#This Row],[MTM Fee]]="",Rent_Roll[[#This Row],[MTM Fee]]=0),"","MTM Lease")</f>
        <v/>
      </c>
      <c r="O257" s="1340" t="str">
        <f>IFERROR(IF(Rent_Roll[[#This Row],[Lease
Exp]]="","",DATEDIF($F$3,Rent_Roll[[#This Row],[Lease
Exp]],"m")+1),0)</f>
        <v/>
      </c>
      <c r="P257" s="155"/>
      <c r="Q257" s="1342" t="str" cm="1">
        <f t="array" ref="Q25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57" s="1351"/>
      <c r="S257" s="550"/>
      <c r="T257" s="550"/>
      <c r="U257" s="550">
        <f>Rent_Roll[[#This Row],[Lease
Rent]]+Rent_Roll[[#This Row],[Corp
Rent]]</f>
        <v>0</v>
      </c>
      <c r="V257" s="1344">
        <f>IF(Rent_Roll[[#This Row],[Total In-Place
Rent]]=0,0,Rent_Roll[[#This Row],[Total In-Place
Rent]]-Rent_Roll[[#This Row],[Market
Rent]])</f>
        <v>0</v>
      </c>
      <c r="W257" s="1351"/>
      <c r="X257" s="723"/>
      <c r="Y257" s="723"/>
      <c r="Z257" s="723"/>
      <c r="AA257" s="1345"/>
      <c r="AB257" s="723"/>
      <c r="AC257" s="723"/>
      <c r="AD257" s="723"/>
      <c r="AE257" s="723"/>
      <c r="AF257" s="723"/>
      <c r="AG257" s="147"/>
      <c r="AH257" s="147"/>
      <c r="AI257" s="1348" t="str">
        <f>IF(Rent_Roll[[#This Row],[Future
Lease Start]]="","",DATEDIF(Rent_Roll[[#This Row],[Future
Lease Start]],Rent_Roll[[#This Row],[Future
Lease Exp]],"m")+1)</f>
        <v/>
      </c>
      <c r="AJ257" s="1347"/>
    </row>
    <row r="258" spans="2:36" hidden="1" x14ac:dyDescent="0.2">
      <c r="B258" s="638"/>
      <c r="C258" s="638"/>
      <c r="D258" s="638"/>
      <c r="E258" s="162" t="str">
        <f>IF(Rent_Roll[[#This Row],[Floor-
plan]]="studio",0,LEFT(Rent_Roll[[#This Row],[Floor-
plan]],1))</f>
        <v/>
      </c>
      <c r="F258" s="162" t="str" cm="1">
        <f t="array" ref="F25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58" s="1349"/>
      <c r="H258" s="722"/>
      <c r="J258" s="1337" t="str" cm="1">
        <f t="array" ref="J25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58" s="1350"/>
      <c r="L258" s="150"/>
      <c r="M258" s="1339" t="str" cm="1">
        <f t="array" ref="M258">_xlfn.IFS(Rent_Roll[[#This Row],[Lease
Exp]]="","",Rent_Roll[[#This Row],[MTM
Lease]]="MTM Lease","--",Rent_Roll[[#This Row],[Lease
Exp]]&gt;0,(DATEDIF(Rent_Roll[[#This Row],[Lease
Start]],Rent_Roll[[#This Row],[Lease
Exp]],"m")+1))</f>
        <v/>
      </c>
      <c r="N258" s="1337" t="str">
        <f>IF(OR(Rent_Roll[[#This Row],[MTM Fee]]="",Rent_Roll[[#This Row],[MTM Fee]]=0),"","MTM Lease")</f>
        <v/>
      </c>
      <c r="O258" s="1340" t="str">
        <f>IFERROR(IF(Rent_Roll[[#This Row],[Lease
Exp]]="","",DATEDIF($F$3,Rent_Roll[[#This Row],[Lease
Exp]],"m")+1),0)</f>
        <v/>
      </c>
      <c r="P258" s="155"/>
      <c r="Q258" s="1342" t="str" cm="1">
        <f t="array" ref="Q25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58" s="1351"/>
      <c r="S258" s="550"/>
      <c r="T258" s="550"/>
      <c r="U258" s="550">
        <f>Rent_Roll[[#This Row],[Lease
Rent]]+Rent_Roll[[#This Row],[Corp
Rent]]</f>
        <v>0</v>
      </c>
      <c r="V258" s="1344">
        <f>IF(Rent_Roll[[#This Row],[Total In-Place
Rent]]=0,0,Rent_Roll[[#This Row],[Total In-Place
Rent]]-Rent_Roll[[#This Row],[Market
Rent]])</f>
        <v>0</v>
      </c>
      <c r="W258" s="1351"/>
      <c r="X258" s="723"/>
      <c r="Y258" s="723"/>
      <c r="Z258" s="723"/>
      <c r="AA258" s="1345"/>
      <c r="AB258" s="723"/>
      <c r="AC258" s="723"/>
      <c r="AD258" s="723"/>
      <c r="AE258" s="723"/>
      <c r="AF258" s="723"/>
      <c r="AG258" s="147"/>
      <c r="AH258" s="147"/>
      <c r="AI258" s="1348" t="str">
        <f>IF(Rent_Roll[[#This Row],[Future
Lease Start]]="","",DATEDIF(Rent_Roll[[#This Row],[Future
Lease Start]],Rent_Roll[[#This Row],[Future
Lease Exp]],"m")+1)</f>
        <v/>
      </c>
      <c r="AJ258" s="1347"/>
    </row>
    <row r="259" spans="2:36" hidden="1" x14ac:dyDescent="0.2">
      <c r="B259" s="638"/>
      <c r="C259" s="638"/>
      <c r="D259" s="638"/>
      <c r="E259" s="162" t="str">
        <f>IF(Rent_Roll[[#This Row],[Floor-
plan]]="studio",0,LEFT(Rent_Roll[[#This Row],[Floor-
plan]],1))</f>
        <v/>
      </c>
      <c r="F259" s="162" t="str" cm="1">
        <f t="array" ref="F25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59" s="1349"/>
      <c r="H259" s="722"/>
      <c r="J259" s="1337" t="str" cm="1">
        <f t="array" ref="J25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59" s="1350"/>
      <c r="L259" s="150"/>
      <c r="M259" s="1339" t="str" cm="1">
        <f t="array" ref="M259">_xlfn.IFS(Rent_Roll[[#This Row],[Lease
Exp]]="","",Rent_Roll[[#This Row],[MTM
Lease]]="MTM Lease","--",Rent_Roll[[#This Row],[Lease
Exp]]&gt;0,(DATEDIF(Rent_Roll[[#This Row],[Lease
Start]],Rent_Roll[[#This Row],[Lease
Exp]],"m")+1))</f>
        <v/>
      </c>
      <c r="N259" s="1337" t="str">
        <f>IF(OR(Rent_Roll[[#This Row],[MTM Fee]]="",Rent_Roll[[#This Row],[MTM Fee]]=0),"","MTM Lease")</f>
        <v/>
      </c>
      <c r="O259" s="1340" t="str">
        <f>IFERROR(IF(Rent_Roll[[#This Row],[Lease
Exp]]="","",DATEDIF($F$3,Rent_Roll[[#This Row],[Lease
Exp]],"m")+1),0)</f>
        <v/>
      </c>
      <c r="P259" s="155"/>
      <c r="Q259" s="1342" t="str" cm="1">
        <f t="array" ref="Q25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59" s="1351"/>
      <c r="S259" s="550"/>
      <c r="T259" s="550"/>
      <c r="U259" s="550">
        <f>Rent_Roll[[#This Row],[Lease
Rent]]+Rent_Roll[[#This Row],[Corp
Rent]]</f>
        <v>0</v>
      </c>
      <c r="V259" s="1344">
        <f>IF(Rent_Roll[[#This Row],[Total In-Place
Rent]]=0,0,Rent_Roll[[#This Row],[Total In-Place
Rent]]-Rent_Roll[[#This Row],[Market
Rent]])</f>
        <v>0</v>
      </c>
      <c r="W259" s="1351"/>
      <c r="X259" s="723"/>
      <c r="Y259" s="723"/>
      <c r="Z259" s="723"/>
      <c r="AA259" s="1345"/>
      <c r="AB259" s="723"/>
      <c r="AC259" s="723"/>
      <c r="AD259" s="723"/>
      <c r="AE259" s="723"/>
      <c r="AF259" s="723"/>
      <c r="AG259" s="147"/>
      <c r="AH259" s="147"/>
      <c r="AI259" s="1348" t="str">
        <f>IF(Rent_Roll[[#This Row],[Future
Lease Start]]="","",DATEDIF(Rent_Roll[[#This Row],[Future
Lease Start]],Rent_Roll[[#This Row],[Future
Lease Exp]],"m")+1)</f>
        <v/>
      </c>
      <c r="AJ259" s="1347"/>
    </row>
    <row r="260" spans="2:36" hidden="1" x14ac:dyDescent="0.2">
      <c r="B260" s="638"/>
      <c r="C260" s="638"/>
      <c r="D260" s="638"/>
      <c r="E260" s="162" t="str">
        <f>IF(Rent_Roll[[#This Row],[Floor-
plan]]="studio",0,LEFT(Rent_Roll[[#This Row],[Floor-
plan]],1))</f>
        <v/>
      </c>
      <c r="F260" s="162" t="str" cm="1">
        <f t="array" ref="F26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60" s="1349"/>
      <c r="H260" s="722"/>
      <c r="J260" s="1337" t="str" cm="1">
        <f t="array" ref="J26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60" s="1350"/>
      <c r="L260" s="150"/>
      <c r="M260" s="1339" t="str" cm="1">
        <f t="array" ref="M260">_xlfn.IFS(Rent_Roll[[#This Row],[Lease
Exp]]="","",Rent_Roll[[#This Row],[MTM
Lease]]="MTM Lease","--",Rent_Roll[[#This Row],[Lease
Exp]]&gt;0,(DATEDIF(Rent_Roll[[#This Row],[Lease
Start]],Rent_Roll[[#This Row],[Lease
Exp]],"m")+1))</f>
        <v/>
      </c>
      <c r="N260" s="1337" t="str">
        <f>IF(OR(Rent_Roll[[#This Row],[MTM Fee]]="",Rent_Roll[[#This Row],[MTM Fee]]=0),"","MTM Lease")</f>
        <v/>
      </c>
      <c r="O260" s="1340" t="str">
        <f>IFERROR(IF(Rent_Roll[[#This Row],[Lease
Exp]]="","",DATEDIF($F$3,Rent_Roll[[#This Row],[Lease
Exp]],"m")+1),0)</f>
        <v/>
      </c>
      <c r="P260" s="155"/>
      <c r="Q260" s="1342" t="str" cm="1">
        <f t="array" ref="Q26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60" s="1351"/>
      <c r="S260" s="550"/>
      <c r="T260" s="550"/>
      <c r="U260" s="550">
        <f>Rent_Roll[[#This Row],[Lease
Rent]]+Rent_Roll[[#This Row],[Corp
Rent]]</f>
        <v>0</v>
      </c>
      <c r="V260" s="1344">
        <f>IF(Rent_Roll[[#This Row],[Total In-Place
Rent]]=0,0,Rent_Roll[[#This Row],[Total In-Place
Rent]]-Rent_Roll[[#This Row],[Market
Rent]])</f>
        <v>0</v>
      </c>
      <c r="W260" s="1351"/>
      <c r="X260" s="723"/>
      <c r="Y260" s="723"/>
      <c r="Z260" s="723"/>
      <c r="AA260" s="1345"/>
      <c r="AB260" s="723"/>
      <c r="AC260" s="723"/>
      <c r="AD260" s="723"/>
      <c r="AE260" s="723"/>
      <c r="AF260" s="723"/>
      <c r="AG260" s="147"/>
      <c r="AH260" s="147"/>
      <c r="AI260" s="1348" t="str">
        <f>IF(Rent_Roll[[#This Row],[Future
Lease Start]]="","",DATEDIF(Rent_Roll[[#This Row],[Future
Lease Start]],Rent_Roll[[#This Row],[Future
Lease Exp]],"m")+1)</f>
        <v/>
      </c>
      <c r="AJ260" s="1347"/>
    </row>
    <row r="261" spans="2:36" hidden="1" x14ac:dyDescent="0.2">
      <c r="B261" s="638"/>
      <c r="C261" s="638"/>
      <c r="D261" s="638"/>
      <c r="E261" s="162" t="str">
        <f>IF(Rent_Roll[[#This Row],[Floor-
plan]]="studio",0,LEFT(Rent_Roll[[#This Row],[Floor-
plan]],1))</f>
        <v/>
      </c>
      <c r="F261" s="162" t="str" cm="1">
        <f t="array" ref="F26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61" s="1349"/>
      <c r="H261" s="722"/>
      <c r="J261" s="1337" t="str" cm="1">
        <f t="array" ref="J26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61" s="1350"/>
      <c r="L261" s="150"/>
      <c r="M261" s="1339" t="str" cm="1">
        <f t="array" ref="M261">_xlfn.IFS(Rent_Roll[[#This Row],[Lease
Exp]]="","",Rent_Roll[[#This Row],[MTM
Lease]]="MTM Lease","--",Rent_Roll[[#This Row],[Lease
Exp]]&gt;0,(DATEDIF(Rent_Roll[[#This Row],[Lease
Start]],Rent_Roll[[#This Row],[Lease
Exp]],"m")+1))</f>
        <v/>
      </c>
      <c r="N261" s="1337" t="str">
        <f>IF(OR(Rent_Roll[[#This Row],[MTM Fee]]="",Rent_Roll[[#This Row],[MTM Fee]]=0),"","MTM Lease")</f>
        <v/>
      </c>
      <c r="O261" s="1340" t="str">
        <f>IFERROR(IF(Rent_Roll[[#This Row],[Lease
Exp]]="","",DATEDIF($F$3,Rent_Roll[[#This Row],[Lease
Exp]],"m")+1),0)</f>
        <v/>
      </c>
      <c r="P261" s="155"/>
      <c r="Q261" s="1342" t="str" cm="1">
        <f t="array" ref="Q26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61" s="1351"/>
      <c r="S261" s="550"/>
      <c r="T261" s="550"/>
      <c r="U261" s="550">
        <f>Rent_Roll[[#This Row],[Lease
Rent]]+Rent_Roll[[#This Row],[Corp
Rent]]</f>
        <v>0</v>
      </c>
      <c r="V261" s="1344">
        <f>IF(Rent_Roll[[#This Row],[Total In-Place
Rent]]=0,0,Rent_Roll[[#This Row],[Total In-Place
Rent]]-Rent_Roll[[#This Row],[Market
Rent]])</f>
        <v>0</v>
      </c>
      <c r="W261" s="1351"/>
      <c r="X261" s="723"/>
      <c r="Y261" s="723"/>
      <c r="Z261" s="723"/>
      <c r="AA261" s="1345"/>
      <c r="AB261" s="723"/>
      <c r="AC261" s="723"/>
      <c r="AD261" s="723"/>
      <c r="AE261" s="723"/>
      <c r="AF261" s="723"/>
      <c r="AG261" s="147"/>
      <c r="AH261" s="147"/>
      <c r="AI261" s="1348" t="str">
        <f>IF(Rent_Roll[[#This Row],[Future
Lease Start]]="","",DATEDIF(Rent_Roll[[#This Row],[Future
Lease Start]],Rent_Roll[[#This Row],[Future
Lease Exp]],"m")+1)</f>
        <v/>
      </c>
      <c r="AJ261" s="1347"/>
    </row>
    <row r="262" spans="2:36" hidden="1" x14ac:dyDescent="0.2">
      <c r="B262" s="638"/>
      <c r="C262" s="638"/>
      <c r="D262" s="638"/>
      <c r="E262" s="162" t="str">
        <f>IF(Rent_Roll[[#This Row],[Floor-
plan]]="studio",0,LEFT(Rent_Roll[[#This Row],[Floor-
plan]],1))</f>
        <v/>
      </c>
      <c r="F262" s="162" t="str" cm="1">
        <f t="array" ref="F26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62" s="1349"/>
      <c r="H262" s="722"/>
      <c r="J262" s="1337" t="str" cm="1">
        <f t="array" ref="J26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62" s="1350"/>
      <c r="L262" s="150"/>
      <c r="M262" s="1339" t="str" cm="1">
        <f t="array" ref="M262">_xlfn.IFS(Rent_Roll[[#This Row],[Lease
Exp]]="","",Rent_Roll[[#This Row],[MTM
Lease]]="MTM Lease","--",Rent_Roll[[#This Row],[Lease
Exp]]&gt;0,(DATEDIF(Rent_Roll[[#This Row],[Lease
Start]],Rent_Roll[[#This Row],[Lease
Exp]],"m")+1))</f>
        <v/>
      </c>
      <c r="N262" s="1337" t="str">
        <f>IF(OR(Rent_Roll[[#This Row],[MTM Fee]]="",Rent_Roll[[#This Row],[MTM Fee]]=0),"","MTM Lease")</f>
        <v/>
      </c>
      <c r="O262" s="1340" t="str">
        <f>IFERROR(IF(Rent_Roll[[#This Row],[Lease
Exp]]="","",DATEDIF($F$3,Rent_Roll[[#This Row],[Lease
Exp]],"m")+1),0)</f>
        <v/>
      </c>
      <c r="P262" s="155"/>
      <c r="Q262" s="1342" t="str" cm="1">
        <f t="array" ref="Q26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62" s="1351"/>
      <c r="S262" s="550"/>
      <c r="T262" s="550"/>
      <c r="U262" s="550">
        <f>Rent_Roll[[#This Row],[Lease
Rent]]+Rent_Roll[[#This Row],[Corp
Rent]]</f>
        <v>0</v>
      </c>
      <c r="V262" s="1344">
        <f>IF(Rent_Roll[[#This Row],[Total In-Place
Rent]]=0,0,Rent_Roll[[#This Row],[Total In-Place
Rent]]-Rent_Roll[[#This Row],[Market
Rent]])</f>
        <v>0</v>
      </c>
      <c r="W262" s="1351"/>
      <c r="X262" s="723"/>
      <c r="Y262" s="723"/>
      <c r="Z262" s="723"/>
      <c r="AA262" s="1345"/>
      <c r="AB262" s="723"/>
      <c r="AC262" s="723"/>
      <c r="AD262" s="723"/>
      <c r="AE262" s="723"/>
      <c r="AF262" s="723"/>
      <c r="AG262" s="147"/>
      <c r="AH262" s="147"/>
      <c r="AI262" s="1348" t="str">
        <f>IF(Rent_Roll[[#This Row],[Future
Lease Start]]="","",DATEDIF(Rent_Roll[[#This Row],[Future
Lease Start]],Rent_Roll[[#This Row],[Future
Lease Exp]],"m")+1)</f>
        <v/>
      </c>
      <c r="AJ262" s="1347"/>
    </row>
    <row r="263" spans="2:36" hidden="1" x14ac:dyDescent="0.2">
      <c r="B263" s="638"/>
      <c r="C263" s="638"/>
      <c r="D263" s="638"/>
      <c r="E263" s="162" t="str">
        <f>IF(Rent_Roll[[#This Row],[Floor-
plan]]="studio",0,LEFT(Rent_Roll[[#This Row],[Floor-
plan]],1))</f>
        <v/>
      </c>
      <c r="F263" s="162" t="str" cm="1">
        <f t="array" ref="F26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63" s="1349"/>
      <c r="H263" s="722"/>
      <c r="J263" s="1337" t="str" cm="1">
        <f t="array" ref="J26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63" s="1350"/>
      <c r="L263" s="150"/>
      <c r="M263" s="1339" t="str" cm="1">
        <f t="array" ref="M263">_xlfn.IFS(Rent_Roll[[#This Row],[Lease
Exp]]="","",Rent_Roll[[#This Row],[MTM
Lease]]="MTM Lease","--",Rent_Roll[[#This Row],[Lease
Exp]]&gt;0,(DATEDIF(Rent_Roll[[#This Row],[Lease
Start]],Rent_Roll[[#This Row],[Lease
Exp]],"m")+1))</f>
        <v/>
      </c>
      <c r="N263" s="1337" t="str">
        <f>IF(OR(Rent_Roll[[#This Row],[MTM Fee]]="",Rent_Roll[[#This Row],[MTM Fee]]=0),"","MTM Lease")</f>
        <v/>
      </c>
      <c r="O263" s="1340" t="str">
        <f>IFERROR(IF(Rent_Roll[[#This Row],[Lease
Exp]]="","",DATEDIF($F$3,Rent_Roll[[#This Row],[Lease
Exp]],"m")+1),0)</f>
        <v/>
      </c>
      <c r="P263" s="155"/>
      <c r="Q263" s="1342" t="str" cm="1">
        <f t="array" ref="Q26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63" s="1351"/>
      <c r="S263" s="550"/>
      <c r="T263" s="550"/>
      <c r="U263" s="550">
        <f>Rent_Roll[[#This Row],[Lease
Rent]]+Rent_Roll[[#This Row],[Corp
Rent]]</f>
        <v>0</v>
      </c>
      <c r="V263" s="1344">
        <f>IF(Rent_Roll[[#This Row],[Total In-Place
Rent]]=0,0,Rent_Roll[[#This Row],[Total In-Place
Rent]]-Rent_Roll[[#This Row],[Market
Rent]])</f>
        <v>0</v>
      </c>
      <c r="W263" s="1351"/>
      <c r="X263" s="723"/>
      <c r="Y263" s="723"/>
      <c r="Z263" s="723"/>
      <c r="AA263" s="1345"/>
      <c r="AB263" s="723"/>
      <c r="AC263" s="723"/>
      <c r="AD263" s="723"/>
      <c r="AE263" s="723"/>
      <c r="AF263" s="723"/>
      <c r="AG263" s="147"/>
      <c r="AH263" s="147"/>
      <c r="AI263" s="1348" t="str">
        <f>IF(Rent_Roll[[#This Row],[Future
Lease Start]]="","",DATEDIF(Rent_Roll[[#This Row],[Future
Lease Start]],Rent_Roll[[#This Row],[Future
Lease Exp]],"m")+1)</f>
        <v/>
      </c>
      <c r="AJ263" s="1347"/>
    </row>
    <row r="264" spans="2:36" hidden="1" x14ac:dyDescent="0.2">
      <c r="B264" s="638"/>
      <c r="C264" s="638"/>
      <c r="D264" s="638"/>
      <c r="E264" s="162" t="str">
        <f>IF(Rent_Roll[[#This Row],[Floor-
plan]]="studio",0,LEFT(Rent_Roll[[#This Row],[Floor-
plan]],1))</f>
        <v/>
      </c>
      <c r="F264" s="162" t="str" cm="1">
        <f t="array" ref="F26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64" s="1349"/>
      <c r="H264" s="722"/>
      <c r="J264" s="1337" t="str" cm="1">
        <f t="array" ref="J26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64" s="1350"/>
      <c r="L264" s="150"/>
      <c r="M264" s="1339" t="str" cm="1">
        <f t="array" ref="M264">_xlfn.IFS(Rent_Roll[[#This Row],[Lease
Exp]]="","",Rent_Roll[[#This Row],[MTM
Lease]]="MTM Lease","--",Rent_Roll[[#This Row],[Lease
Exp]]&gt;0,(DATEDIF(Rent_Roll[[#This Row],[Lease
Start]],Rent_Roll[[#This Row],[Lease
Exp]],"m")+1))</f>
        <v/>
      </c>
      <c r="N264" s="1337" t="str">
        <f>IF(OR(Rent_Roll[[#This Row],[MTM Fee]]="",Rent_Roll[[#This Row],[MTM Fee]]=0),"","MTM Lease")</f>
        <v/>
      </c>
      <c r="O264" s="1340" t="str">
        <f>IFERROR(IF(Rent_Roll[[#This Row],[Lease
Exp]]="","",DATEDIF($F$3,Rent_Roll[[#This Row],[Lease
Exp]],"m")+1),0)</f>
        <v/>
      </c>
      <c r="P264" s="155"/>
      <c r="Q264" s="1342" t="str" cm="1">
        <f t="array" ref="Q26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64" s="1351"/>
      <c r="S264" s="550"/>
      <c r="T264" s="550"/>
      <c r="U264" s="550">
        <f>Rent_Roll[[#This Row],[Lease
Rent]]+Rent_Roll[[#This Row],[Corp
Rent]]</f>
        <v>0</v>
      </c>
      <c r="V264" s="1344">
        <f>IF(Rent_Roll[[#This Row],[Total In-Place
Rent]]=0,0,Rent_Roll[[#This Row],[Total In-Place
Rent]]-Rent_Roll[[#This Row],[Market
Rent]])</f>
        <v>0</v>
      </c>
      <c r="W264" s="1351"/>
      <c r="X264" s="723"/>
      <c r="Y264" s="723"/>
      <c r="Z264" s="723"/>
      <c r="AA264" s="1345"/>
      <c r="AB264" s="723"/>
      <c r="AC264" s="723"/>
      <c r="AD264" s="723"/>
      <c r="AE264" s="723"/>
      <c r="AF264" s="723"/>
      <c r="AG264" s="147"/>
      <c r="AH264" s="147"/>
      <c r="AI264" s="1348" t="str">
        <f>IF(Rent_Roll[[#This Row],[Future
Lease Start]]="","",DATEDIF(Rent_Roll[[#This Row],[Future
Lease Start]],Rent_Roll[[#This Row],[Future
Lease Exp]],"m")+1)</f>
        <v/>
      </c>
      <c r="AJ264" s="1347"/>
    </row>
    <row r="265" spans="2:36" hidden="1" x14ac:dyDescent="0.2">
      <c r="B265" s="638"/>
      <c r="C265" s="638"/>
      <c r="D265" s="638"/>
      <c r="E265" s="162" t="str">
        <f>IF(Rent_Roll[[#This Row],[Floor-
plan]]="studio",0,LEFT(Rent_Roll[[#This Row],[Floor-
plan]],1))</f>
        <v/>
      </c>
      <c r="F265" s="162" t="str" cm="1">
        <f t="array" ref="F26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65" s="1349"/>
      <c r="H265" s="722"/>
      <c r="J265" s="1337" t="str" cm="1">
        <f t="array" ref="J26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65" s="1350"/>
      <c r="L265" s="150"/>
      <c r="M265" s="1339" t="str" cm="1">
        <f t="array" ref="M265">_xlfn.IFS(Rent_Roll[[#This Row],[Lease
Exp]]="","",Rent_Roll[[#This Row],[MTM
Lease]]="MTM Lease","--",Rent_Roll[[#This Row],[Lease
Exp]]&gt;0,(DATEDIF(Rent_Roll[[#This Row],[Lease
Start]],Rent_Roll[[#This Row],[Lease
Exp]],"m")+1))</f>
        <v/>
      </c>
      <c r="N265" s="1337" t="str">
        <f>IF(OR(Rent_Roll[[#This Row],[MTM Fee]]="",Rent_Roll[[#This Row],[MTM Fee]]=0),"","MTM Lease")</f>
        <v/>
      </c>
      <c r="O265" s="1340" t="str">
        <f>IFERROR(IF(Rent_Roll[[#This Row],[Lease
Exp]]="","",DATEDIF($F$3,Rent_Roll[[#This Row],[Lease
Exp]],"m")+1),0)</f>
        <v/>
      </c>
      <c r="P265" s="155"/>
      <c r="Q265" s="1342" t="str" cm="1">
        <f t="array" ref="Q26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65" s="1351"/>
      <c r="S265" s="550"/>
      <c r="T265" s="550"/>
      <c r="U265" s="550">
        <f>Rent_Roll[[#This Row],[Lease
Rent]]+Rent_Roll[[#This Row],[Corp
Rent]]</f>
        <v>0</v>
      </c>
      <c r="V265" s="1344">
        <f>IF(Rent_Roll[[#This Row],[Total In-Place
Rent]]=0,0,Rent_Roll[[#This Row],[Total In-Place
Rent]]-Rent_Roll[[#This Row],[Market
Rent]])</f>
        <v>0</v>
      </c>
      <c r="W265" s="1351"/>
      <c r="X265" s="723"/>
      <c r="Y265" s="723"/>
      <c r="Z265" s="723"/>
      <c r="AA265" s="1345"/>
      <c r="AB265" s="723"/>
      <c r="AC265" s="723"/>
      <c r="AD265" s="723"/>
      <c r="AE265" s="723"/>
      <c r="AF265" s="723"/>
      <c r="AG265" s="147"/>
      <c r="AH265" s="147"/>
      <c r="AI265" s="1348" t="str">
        <f>IF(Rent_Roll[[#This Row],[Future
Lease Start]]="","",DATEDIF(Rent_Roll[[#This Row],[Future
Lease Start]],Rent_Roll[[#This Row],[Future
Lease Exp]],"m")+1)</f>
        <v/>
      </c>
      <c r="AJ265" s="1347"/>
    </row>
    <row r="266" spans="2:36" hidden="1" x14ac:dyDescent="0.2">
      <c r="B266" s="638"/>
      <c r="C266" s="638"/>
      <c r="D266" s="638"/>
      <c r="E266" s="162" t="str">
        <f>IF(Rent_Roll[[#This Row],[Floor-
plan]]="studio",0,LEFT(Rent_Roll[[#This Row],[Floor-
plan]],1))</f>
        <v/>
      </c>
      <c r="F266" s="162" t="str" cm="1">
        <f t="array" ref="F26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66" s="1349"/>
      <c r="H266" s="722"/>
      <c r="J266" s="1337" t="str" cm="1">
        <f t="array" ref="J26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66" s="1350"/>
      <c r="L266" s="150"/>
      <c r="M266" s="1339" t="str" cm="1">
        <f t="array" ref="M266">_xlfn.IFS(Rent_Roll[[#This Row],[Lease
Exp]]="","",Rent_Roll[[#This Row],[MTM
Lease]]="MTM Lease","--",Rent_Roll[[#This Row],[Lease
Exp]]&gt;0,(DATEDIF(Rent_Roll[[#This Row],[Lease
Start]],Rent_Roll[[#This Row],[Lease
Exp]],"m")+1))</f>
        <v/>
      </c>
      <c r="N266" s="1337" t="str">
        <f>IF(OR(Rent_Roll[[#This Row],[MTM Fee]]="",Rent_Roll[[#This Row],[MTM Fee]]=0),"","MTM Lease")</f>
        <v/>
      </c>
      <c r="O266" s="1340" t="str">
        <f>IFERROR(IF(Rent_Roll[[#This Row],[Lease
Exp]]="","",DATEDIF($F$3,Rent_Roll[[#This Row],[Lease
Exp]],"m")+1),0)</f>
        <v/>
      </c>
      <c r="P266" s="155"/>
      <c r="Q266" s="1342" t="str" cm="1">
        <f t="array" ref="Q26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66" s="1351"/>
      <c r="S266" s="550"/>
      <c r="T266" s="550"/>
      <c r="U266" s="550">
        <f>Rent_Roll[[#This Row],[Lease
Rent]]+Rent_Roll[[#This Row],[Corp
Rent]]</f>
        <v>0</v>
      </c>
      <c r="V266" s="1344">
        <f>IF(Rent_Roll[[#This Row],[Total In-Place
Rent]]=0,0,Rent_Roll[[#This Row],[Total In-Place
Rent]]-Rent_Roll[[#This Row],[Market
Rent]])</f>
        <v>0</v>
      </c>
      <c r="W266" s="1351"/>
      <c r="X266" s="723"/>
      <c r="Y266" s="723"/>
      <c r="Z266" s="723"/>
      <c r="AA266" s="1345"/>
      <c r="AB266" s="723"/>
      <c r="AC266" s="723"/>
      <c r="AD266" s="723"/>
      <c r="AE266" s="723"/>
      <c r="AF266" s="723"/>
      <c r="AG266" s="147"/>
      <c r="AH266" s="147"/>
      <c r="AI266" s="1348" t="str">
        <f>IF(Rent_Roll[[#This Row],[Future
Lease Start]]="","",DATEDIF(Rent_Roll[[#This Row],[Future
Lease Start]],Rent_Roll[[#This Row],[Future
Lease Exp]],"m")+1)</f>
        <v/>
      </c>
      <c r="AJ266" s="1347"/>
    </row>
    <row r="267" spans="2:36" hidden="1" x14ac:dyDescent="0.2">
      <c r="B267" s="638"/>
      <c r="C267" s="638"/>
      <c r="D267" s="638"/>
      <c r="E267" s="162" t="str">
        <f>IF(Rent_Roll[[#This Row],[Floor-
plan]]="studio",0,LEFT(Rent_Roll[[#This Row],[Floor-
plan]],1))</f>
        <v/>
      </c>
      <c r="F267" s="162" t="str" cm="1">
        <f t="array" ref="F26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67" s="1349"/>
      <c r="H267" s="722"/>
      <c r="J267" s="1337" t="str" cm="1">
        <f t="array" ref="J26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67" s="1350"/>
      <c r="L267" s="150"/>
      <c r="M267" s="1339" t="str" cm="1">
        <f t="array" ref="M267">_xlfn.IFS(Rent_Roll[[#This Row],[Lease
Exp]]="","",Rent_Roll[[#This Row],[MTM
Lease]]="MTM Lease","--",Rent_Roll[[#This Row],[Lease
Exp]]&gt;0,(DATEDIF(Rent_Roll[[#This Row],[Lease
Start]],Rent_Roll[[#This Row],[Lease
Exp]],"m")+1))</f>
        <v/>
      </c>
      <c r="N267" s="1337" t="str">
        <f>IF(OR(Rent_Roll[[#This Row],[MTM Fee]]="",Rent_Roll[[#This Row],[MTM Fee]]=0),"","MTM Lease")</f>
        <v/>
      </c>
      <c r="O267" s="1340" t="str">
        <f>IFERROR(IF(Rent_Roll[[#This Row],[Lease
Exp]]="","",DATEDIF($F$3,Rent_Roll[[#This Row],[Lease
Exp]],"m")+1),0)</f>
        <v/>
      </c>
      <c r="P267" s="155"/>
      <c r="Q267" s="1342" t="str" cm="1">
        <f t="array" ref="Q26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67" s="1351"/>
      <c r="S267" s="550"/>
      <c r="T267" s="550"/>
      <c r="U267" s="550">
        <f>Rent_Roll[[#This Row],[Lease
Rent]]+Rent_Roll[[#This Row],[Corp
Rent]]</f>
        <v>0</v>
      </c>
      <c r="V267" s="1344">
        <f>IF(Rent_Roll[[#This Row],[Total In-Place
Rent]]=0,0,Rent_Roll[[#This Row],[Total In-Place
Rent]]-Rent_Roll[[#This Row],[Market
Rent]])</f>
        <v>0</v>
      </c>
      <c r="W267" s="1351"/>
      <c r="X267" s="723"/>
      <c r="Y267" s="723"/>
      <c r="Z267" s="723"/>
      <c r="AA267" s="1345"/>
      <c r="AB267" s="723"/>
      <c r="AC267" s="723"/>
      <c r="AD267" s="723"/>
      <c r="AE267" s="723"/>
      <c r="AF267" s="723"/>
      <c r="AG267" s="147"/>
      <c r="AH267" s="147"/>
      <c r="AI267" s="1348" t="str">
        <f>IF(Rent_Roll[[#This Row],[Future
Lease Start]]="","",DATEDIF(Rent_Roll[[#This Row],[Future
Lease Start]],Rent_Roll[[#This Row],[Future
Lease Exp]],"m")+1)</f>
        <v/>
      </c>
      <c r="AJ267" s="1347"/>
    </row>
    <row r="268" spans="2:36" hidden="1" x14ac:dyDescent="0.2">
      <c r="B268" s="638"/>
      <c r="C268" s="638"/>
      <c r="D268" s="638"/>
      <c r="E268" s="162" t="str">
        <f>IF(Rent_Roll[[#This Row],[Floor-
plan]]="studio",0,LEFT(Rent_Roll[[#This Row],[Floor-
plan]],1))</f>
        <v/>
      </c>
      <c r="F268" s="162" t="str" cm="1">
        <f t="array" ref="F26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68" s="1349"/>
      <c r="H268" s="722"/>
      <c r="J268" s="1337" t="str" cm="1">
        <f t="array" ref="J26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68" s="1350"/>
      <c r="L268" s="150"/>
      <c r="M268" s="1339" t="str" cm="1">
        <f t="array" ref="M268">_xlfn.IFS(Rent_Roll[[#This Row],[Lease
Exp]]="","",Rent_Roll[[#This Row],[MTM
Lease]]="MTM Lease","--",Rent_Roll[[#This Row],[Lease
Exp]]&gt;0,(DATEDIF(Rent_Roll[[#This Row],[Lease
Start]],Rent_Roll[[#This Row],[Lease
Exp]],"m")+1))</f>
        <v/>
      </c>
      <c r="N268" s="1337" t="str">
        <f>IF(OR(Rent_Roll[[#This Row],[MTM Fee]]="",Rent_Roll[[#This Row],[MTM Fee]]=0),"","MTM Lease")</f>
        <v/>
      </c>
      <c r="O268" s="1340" t="str">
        <f>IFERROR(IF(Rent_Roll[[#This Row],[Lease
Exp]]="","",DATEDIF($F$3,Rent_Roll[[#This Row],[Lease
Exp]],"m")+1),0)</f>
        <v/>
      </c>
      <c r="P268" s="155"/>
      <c r="Q268" s="1342" t="str" cm="1">
        <f t="array" ref="Q26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68" s="1351"/>
      <c r="S268" s="550"/>
      <c r="T268" s="550"/>
      <c r="U268" s="550">
        <f>Rent_Roll[[#This Row],[Lease
Rent]]+Rent_Roll[[#This Row],[Corp
Rent]]</f>
        <v>0</v>
      </c>
      <c r="V268" s="1344">
        <f>IF(Rent_Roll[[#This Row],[Total In-Place
Rent]]=0,0,Rent_Roll[[#This Row],[Total In-Place
Rent]]-Rent_Roll[[#This Row],[Market
Rent]])</f>
        <v>0</v>
      </c>
      <c r="W268" s="1351"/>
      <c r="X268" s="723"/>
      <c r="Y268" s="723"/>
      <c r="Z268" s="723"/>
      <c r="AA268" s="1345"/>
      <c r="AB268" s="723"/>
      <c r="AC268" s="723"/>
      <c r="AD268" s="723"/>
      <c r="AE268" s="723"/>
      <c r="AF268" s="723"/>
      <c r="AG268" s="147"/>
      <c r="AH268" s="147"/>
      <c r="AI268" s="1348" t="str">
        <f>IF(Rent_Roll[[#This Row],[Future
Lease Start]]="","",DATEDIF(Rent_Roll[[#This Row],[Future
Lease Start]],Rent_Roll[[#This Row],[Future
Lease Exp]],"m")+1)</f>
        <v/>
      </c>
      <c r="AJ268" s="1347"/>
    </row>
    <row r="269" spans="2:36" hidden="1" x14ac:dyDescent="0.2">
      <c r="B269" s="638"/>
      <c r="C269" s="638"/>
      <c r="D269" s="638"/>
      <c r="E269" s="162" t="str">
        <f>IF(Rent_Roll[[#This Row],[Floor-
plan]]="studio",0,LEFT(Rent_Roll[[#This Row],[Floor-
plan]],1))</f>
        <v/>
      </c>
      <c r="F269" s="162" t="str" cm="1">
        <f t="array" ref="F26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69" s="1349"/>
      <c r="H269" s="722"/>
      <c r="J269" s="1337" t="str" cm="1">
        <f t="array" ref="J26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69" s="1350"/>
      <c r="L269" s="150"/>
      <c r="M269" s="1339" t="str" cm="1">
        <f t="array" ref="M269">_xlfn.IFS(Rent_Roll[[#This Row],[Lease
Exp]]="","",Rent_Roll[[#This Row],[MTM
Lease]]="MTM Lease","--",Rent_Roll[[#This Row],[Lease
Exp]]&gt;0,(DATEDIF(Rent_Roll[[#This Row],[Lease
Start]],Rent_Roll[[#This Row],[Lease
Exp]],"m")+1))</f>
        <v/>
      </c>
      <c r="N269" s="1337" t="str">
        <f>IF(OR(Rent_Roll[[#This Row],[MTM Fee]]="",Rent_Roll[[#This Row],[MTM Fee]]=0),"","MTM Lease")</f>
        <v/>
      </c>
      <c r="O269" s="1340" t="str">
        <f>IFERROR(IF(Rent_Roll[[#This Row],[Lease
Exp]]="","",DATEDIF($F$3,Rent_Roll[[#This Row],[Lease
Exp]],"m")+1),0)</f>
        <v/>
      </c>
      <c r="P269" s="155"/>
      <c r="Q269" s="1342" t="str" cm="1">
        <f t="array" ref="Q26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69" s="1351"/>
      <c r="S269" s="550"/>
      <c r="T269" s="550"/>
      <c r="U269" s="550">
        <f>Rent_Roll[[#This Row],[Lease
Rent]]+Rent_Roll[[#This Row],[Corp
Rent]]</f>
        <v>0</v>
      </c>
      <c r="V269" s="1344">
        <f>IF(Rent_Roll[[#This Row],[Total In-Place
Rent]]=0,0,Rent_Roll[[#This Row],[Total In-Place
Rent]]-Rent_Roll[[#This Row],[Market
Rent]])</f>
        <v>0</v>
      </c>
      <c r="W269" s="1351"/>
      <c r="X269" s="723"/>
      <c r="Y269" s="723"/>
      <c r="Z269" s="723"/>
      <c r="AA269" s="1345"/>
      <c r="AB269" s="723"/>
      <c r="AC269" s="723"/>
      <c r="AD269" s="723"/>
      <c r="AE269" s="723"/>
      <c r="AF269" s="723"/>
      <c r="AG269" s="147"/>
      <c r="AH269" s="147"/>
      <c r="AI269" s="1348" t="str">
        <f>IF(Rent_Roll[[#This Row],[Future
Lease Start]]="","",DATEDIF(Rent_Roll[[#This Row],[Future
Lease Start]],Rent_Roll[[#This Row],[Future
Lease Exp]],"m")+1)</f>
        <v/>
      </c>
      <c r="AJ269" s="1347"/>
    </row>
    <row r="270" spans="2:36" hidden="1" x14ac:dyDescent="0.2">
      <c r="B270" s="638"/>
      <c r="C270" s="638"/>
      <c r="D270" s="638"/>
      <c r="E270" s="162" t="str">
        <f>IF(Rent_Roll[[#This Row],[Floor-
plan]]="studio",0,LEFT(Rent_Roll[[#This Row],[Floor-
plan]],1))</f>
        <v/>
      </c>
      <c r="F270" s="162" t="str" cm="1">
        <f t="array" ref="F27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70" s="1349"/>
      <c r="H270" s="722"/>
      <c r="J270" s="1337" t="str" cm="1">
        <f t="array" ref="J27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70" s="1350"/>
      <c r="L270" s="150"/>
      <c r="M270" s="1339" t="str" cm="1">
        <f t="array" ref="M270">_xlfn.IFS(Rent_Roll[[#This Row],[Lease
Exp]]="","",Rent_Roll[[#This Row],[MTM
Lease]]="MTM Lease","--",Rent_Roll[[#This Row],[Lease
Exp]]&gt;0,(DATEDIF(Rent_Roll[[#This Row],[Lease
Start]],Rent_Roll[[#This Row],[Lease
Exp]],"m")+1))</f>
        <v/>
      </c>
      <c r="N270" s="1337" t="str">
        <f>IF(OR(Rent_Roll[[#This Row],[MTM Fee]]="",Rent_Roll[[#This Row],[MTM Fee]]=0),"","MTM Lease")</f>
        <v/>
      </c>
      <c r="O270" s="1340" t="str">
        <f>IFERROR(IF(Rent_Roll[[#This Row],[Lease
Exp]]="","",DATEDIF($F$3,Rent_Roll[[#This Row],[Lease
Exp]],"m")+1),0)</f>
        <v/>
      </c>
      <c r="P270" s="155"/>
      <c r="Q270" s="1342" t="str" cm="1">
        <f t="array" ref="Q27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70" s="1351"/>
      <c r="S270" s="550"/>
      <c r="T270" s="550"/>
      <c r="U270" s="550">
        <f>Rent_Roll[[#This Row],[Lease
Rent]]+Rent_Roll[[#This Row],[Corp
Rent]]</f>
        <v>0</v>
      </c>
      <c r="V270" s="1344">
        <f>IF(Rent_Roll[[#This Row],[Total In-Place
Rent]]=0,0,Rent_Roll[[#This Row],[Total In-Place
Rent]]-Rent_Roll[[#This Row],[Market
Rent]])</f>
        <v>0</v>
      </c>
      <c r="W270" s="1351"/>
      <c r="X270" s="723"/>
      <c r="Y270" s="723"/>
      <c r="Z270" s="723"/>
      <c r="AA270" s="1345"/>
      <c r="AB270" s="723"/>
      <c r="AC270" s="723"/>
      <c r="AD270" s="723"/>
      <c r="AE270" s="723"/>
      <c r="AF270" s="723"/>
      <c r="AG270" s="147"/>
      <c r="AH270" s="147"/>
      <c r="AI270" s="1348" t="str">
        <f>IF(Rent_Roll[[#This Row],[Future
Lease Start]]="","",DATEDIF(Rent_Roll[[#This Row],[Future
Lease Start]],Rent_Roll[[#This Row],[Future
Lease Exp]],"m")+1)</f>
        <v/>
      </c>
      <c r="AJ270" s="1347"/>
    </row>
    <row r="271" spans="2:36" hidden="1" x14ac:dyDescent="0.2">
      <c r="B271" s="638"/>
      <c r="C271" s="638"/>
      <c r="D271" s="638"/>
      <c r="E271" s="162" t="str">
        <f>IF(Rent_Roll[[#This Row],[Floor-
plan]]="studio",0,LEFT(Rent_Roll[[#This Row],[Floor-
plan]],1))</f>
        <v/>
      </c>
      <c r="F271" s="162" t="str" cm="1">
        <f t="array" ref="F27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71" s="1349"/>
      <c r="H271" s="722"/>
      <c r="J271" s="1337" t="str" cm="1">
        <f t="array" ref="J27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71" s="1350"/>
      <c r="L271" s="150"/>
      <c r="M271" s="1339" t="str" cm="1">
        <f t="array" ref="M271">_xlfn.IFS(Rent_Roll[[#This Row],[Lease
Exp]]="","",Rent_Roll[[#This Row],[MTM
Lease]]="MTM Lease","--",Rent_Roll[[#This Row],[Lease
Exp]]&gt;0,(DATEDIF(Rent_Roll[[#This Row],[Lease
Start]],Rent_Roll[[#This Row],[Lease
Exp]],"m")+1))</f>
        <v/>
      </c>
      <c r="N271" s="1337" t="str">
        <f>IF(OR(Rent_Roll[[#This Row],[MTM Fee]]="",Rent_Roll[[#This Row],[MTM Fee]]=0),"","MTM Lease")</f>
        <v/>
      </c>
      <c r="O271" s="1340" t="str">
        <f>IFERROR(IF(Rent_Roll[[#This Row],[Lease
Exp]]="","",DATEDIF($F$3,Rent_Roll[[#This Row],[Lease
Exp]],"m")+1),0)</f>
        <v/>
      </c>
      <c r="P271" s="155"/>
      <c r="Q271" s="1342" t="str" cm="1">
        <f t="array" ref="Q27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71" s="1351"/>
      <c r="S271" s="550"/>
      <c r="T271" s="550"/>
      <c r="U271" s="550">
        <f>Rent_Roll[[#This Row],[Lease
Rent]]+Rent_Roll[[#This Row],[Corp
Rent]]</f>
        <v>0</v>
      </c>
      <c r="V271" s="1344">
        <f>IF(Rent_Roll[[#This Row],[Total In-Place
Rent]]=0,0,Rent_Roll[[#This Row],[Total In-Place
Rent]]-Rent_Roll[[#This Row],[Market
Rent]])</f>
        <v>0</v>
      </c>
      <c r="W271" s="1351"/>
      <c r="X271" s="723"/>
      <c r="Y271" s="723"/>
      <c r="Z271" s="723"/>
      <c r="AA271" s="1345"/>
      <c r="AB271" s="723"/>
      <c r="AC271" s="723"/>
      <c r="AD271" s="723"/>
      <c r="AE271" s="723"/>
      <c r="AF271" s="723"/>
      <c r="AG271" s="147"/>
      <c r="AH271" s="147"/>
      <c r="AI271" s="1348" t="str">
        <f>IF(Rent_Roll[[#This Row],[Future
Lease Start]]="","",DATEDIF(Rent_Roll[[#This Row],[Future
Lease Start]],Rent_Roll[[#This Row],[Future
Lease Exp]],"m")+1)</f>
        <v/>
      </c>
      <c r="AJ271" s="1347"/>
    </row>
    <row r="272" spans="2:36" hidden="1" x14ac:dyDescent="0.2">
      <c r="B272" s="638"/>
      <c r="C272" s="638"/>
      <c r="D272" s="638"/>
      <c r="E272" s="162" t="str">
        <f>IF(Rent_Roll[[#This Row],[Floor-
plan]]="studio",0,LEFT(Rent_Roll[[#This Row],[Floor-
plan]],1))</f>
        <v/>
      </c>
      <c r="F272" s="162" t="str" cm="1">
        <f t="array" ref="F27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72" s="1349"/>
      <c r="H272" s="722"/>
      <c r="J272" s="1337" t="str" cm="1">
        <f t="array" ref="J27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72" s="1350"/>
      <c r="L272" s="150"/>
      <c r="M272" s="1339" t="str" cm="1">
        <f t="array" ref="M272">_xlfn.IFS(Rent_Roll[[#This Row],[Lease
Exp]]="","",Rent_Roll[[#This Row],[MTM
Lease]]="MTM Lease","--",Rent_Roll[[#This Row],[Lease
Exp]]&gt;0,(DATEDIF(Rent_Roll[[#This Row],[Lease
Start]],Rent_Roll[[#This Row],[Lease
Exp]],"m")+1))</f>
        <v/>
      </c>
      <c r="N272" s="1337" t="str">
        <f>IF(OR(Rent_Roll[[#This Row],[MTM Fee]]="",Rent_Roll[[#This Row],[MTM Fee]]=0),"","MTM Lease")</f>
        <v/>
      </c>
      <c r="O272" s="1340" t="str">
        <f>IFERROR(IF(Rent_Roll[[#This Row],[Lease
Exp]]="","",DATEDIF($F$3,Rent_Roll[[#This Row],[Lease
Exp]],"m")+1),0)</f>
        <v/>
      </c>
      <c r="P272" s="155"/>
      <c r="Q272" s="1342" t="str" cm="1">
        <f t="array" ref="Q27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72" s="1351"/>
      <c r="S272" s="550"/>
      <c r="T272" s="550"/>
      <c r="U272" s="550">
        <f>Rent_Roll[[#This Row],[Lease
Rent]]+Rent_Roll[[#This Row],[Corp
Rent]]</f>
        <v>0</v>
      </c>
      <c r="V272" s="1344">
        <f>IF(Rent_Roll[[#This Row],[Total In-Place
Rent]]=0,0,Rent_Roll[[#This Row],[Total In-Place
Rent]]-Rent_Roll[[#This Row],[Market
Rent]])</f>
        <v>0</v>
      </c>
      <c r="W272" s="1351"/>
      <c r="X272" s="723"/>
      <c r="Y272" s="723"/>
      <c r="Z272" s="723"/>
      <c r="AA272" s="1345"/>
      <c r="AB272" s="723"/>
      <c r="AC272" s="723"/>
      <c r="AD272" s="723"/>
      <c r="AE272" s="723"/>
      <c r="AF272" s="723"/>
      <c r="AG272" s="147"/>
      <c r="AH272" s="147"/>
      <c r="AI272" s="1348" t="str">
        <f>IF(Rent_Roll[[#This Row],[Future
Lease Start]]="","",DATEDIF(Rent_Roll[[#This Row],[Future
Lease Start]],Rent_Roll[[#This Row],[Future
Lease Exp]],"m")+1)</f>
        <v/>
      </c>
      <c r="AJ272" s="1347"/>
    </row>
    <row r="273" spans="2:36" hidden="1" x14ac:dyDescent="0.2">
      <c r="B273" s="638"/>
      <c r="C273" s="638"/>
      <c r="D273" s="638"/>
      <c r="E273" s="162" t="str">
        <f>IF(Rent_Roll[[#This Row],[Floor-
plan]]="studio",0,LEFT(Rent_Roll[[#This Row],[Floor-
plan]],1))</f>
        <v/>
      </c>
      <c r="F273" s="162" t="str" cm="1">
        <f t="array" ref="F27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73" s="1349"/>
      <c r="H273" s="722"/>
      <c r="J273" s="1337" t="str" cm="1">
        <f t="array" ref="J27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73" s="1350"/>
      <c r="L273" s="150"/>
      <c r="M273" s="1339" t="str" cm="1">
        <f t="array" ref="M273">_xlfn.IFS(Rent_Roll[[#This Row],[Lease
Exp]]="","",Rent_Roll[[#This Row],[MTM
Lease]]="MTM Lease","--",Rent_Roll[[#This Row],[Lease
Exp]]&gt;0,(DATEDIF(Rent_Roll[[#This Row],[Lease
Start]],Rent_Roll[[#This Row],[Lease
Exp]],"m")+1))</f>
        <v/>
      </c>
      <c r="N273" s="1337" t="str">
        <f>IF(OR(Rent_Roll[[#This Row],[MTM Fee]]="",Rent_Roll[[#This Row],[MTM Fee]]=0),"","MTM Lease")</f>
        <v/>
      </c>
      <c r="O273" s="1340" t="str">
        <f>IFERROR(IF(Rent_Roll[[#This Row],[Lease
Exp]]="","",DATEDIF($F$3,Rent_Roll[[#This Row],[Lease
Exp]],"m")+1),0)</f>
        <v/>
      </c>
      <c r="P273" s="155"/>
      <c r="Q273" s="1342" t="str" cm="1">
        <f t="array" ref="Q27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73" s="1351"/>
      <c r="S273" s="550"/>
      <c r="T273" s="550"/>
      <c r="U273" s="550">
        <f>Rent_Roll[[#This Row],[Lease
Rent]]+Rent_Roll[[#This Row],[Corp
Rent]]</f>
        <v>0</v>
      </c>
      <c r="V273" s="1344">
        <f>IF(Rent_Roll[[#This Row],[Total In-Place
Rent]]=0,0,Rent_Roll[[#This Row],[Total In-Place
Rent]]-Rent_Roll[[#This Row],[Market
Rent]])</f>
        <v>0</v>
      </c>
      <c r="W273" s="1351"/>
      <c r="X273" s="723"/>
      <c r="Y273" s="723"/>
      <c r="Z273" s="723"/>
      <c r="AA273" s="1345"/>
      <c r="AB273" s="723"/>
      <c r="AC273" s="723"/>
      <c r="AD273" s="723"/>
      <c r="AE273" s="723"/>
      <c r="AF273" s="723"/>
      <c r="AG273" s="147"/>
      <c r="AH273" s="147"/>
      <c r="AI273" s="1348" t="str">
        <f>IF(Rent_Roll[[#This Row],[Future
Lease Start]]="","",DATEDIF(Rent_Roll[[#This Row],[Future
Lease Start]],Rent_Roll[[#This Row],[Future
Lease Exp]],"m")+1)</f>
        <v/>
      </c>
      <c r="AJ273" s="1347"/>
    </row>
    <row r="274" spans="2:36" hidden="1" x14ac:dyDescent="0.2">
      <c r="B274" s="638"/>
      <c r="C274" s="638"/>
      <c r="D274" s="638"/>
      <c r="E274" s="162" t="str">
        <f>IF(Rent_Roll[[#This Row],[Floor-
plan]]="studio",0,LEFT(Rent_Roll[[#This Row],[Floor-
plan]],1))</f>
        <v/>
      </c>
      <c r="F274" s="162" t="str" cm="1">
        <f t="array" ref="F27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74" s="1349"/>
      <c r="H274" s="722"/>
      <c r="J274" s="1337" t="str" cm="1">
        <f t="array" ref="J27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74" s="1350"/>
      <c r="L274" s="150"/>
      <c r="M274" s="1339" t="str" cm="1">
        <f t="array" ref="M274">_xlfn.IFS(Rent_Roll[[#This Row],[Lease
Exp]]="","",Rent_Roll[[#This Row],[MTM
Lease]]="MTM Lease","--",Rent_Roll[[#This Row],[Lease
Exp]]&gt;0,(DATEDIF(Rent_Roll[[#This Row],[Lease
Start]],Rent_Roll[[#This Row],[Lease
Exp]],"m")+1))</f>
        <v/>
      </c>
      <c r="N274" s="1337" t="str">
        <f>IF(OR(Rent_Roll[[#This Row],[MTM Fee]]="",Rent_Roll[[#This Row],[MTM Fee]]=0),"","MTM Lease")</f>
        <v/>
      </c>
      <c r="O274" s="1340" t="str">
        <f>IFERROR(IF(Rent_Roll[[#This Row],[Lease
Exp]]="","",DATEDIF($F$3,Rent_Roll[[#This Row],[Lease
Exp]],"m")+1),0)</f>
        <v/>
      </c>
      <c r="P274" s="155"/>
      <c r="Q274" s="1342" t="str" cm="1">
        <f t="array" ref="Q27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74" s="1351"/>
      <c r="S274" s="550"/>
      <c r="T274" s="550"/>
      <c r="U274" s="550">
        <f>Rent_Roll[[#This Row],[Lease
Rent]]+Rent_Roll[[#This Row],[Corp
Rent]]</f>
        <v>0</v>
      </c>
      <c r="V274" s="1344">
        <f>IF(Rent_Roll[[#This Row],[Total In-Place
Rent]]=0,0,Rent_Roll[[#This Row],[Total In-Place
Rent]]-Rent_Roll[[#This Row],[Market
Rent]])</f>
        <v>0</v>
      </c>
      <c r="W274" s="1351"/>
      <c r="X274" s="723"/>
      <c r="Y274" s="723"/>
      <c r="Z274" s="723"/>
      <c r="AA274" s="1345"/>
      <c r="AB274" s="723"/>
      <c r="AC274" s="723"/>
      <c r="AD274" s="723"/>
      <c r="AE274" s="723"/>
      <c r="AF274" s="723"/>
      <c r="AG274" s="147"/>
      <c r="AH274" s="147"/>
      <c r="AI274" s="1348" t="str">
        <f>IF(Rent_Roll[[#This Row],[Future
Lease Start]]="","",DATEDIF(Rent_Roll[[#This Row],[Future
Lease Start]],Rent_Roll[[#This Row],[Future
Lease Exp]],"m")+1)</f>
        <v/>
      </c>
      <c r="AJ274" s="1347"/>
    </row>
    <row r="275" spans="2:36" hidden="1" x14ac:dyDescent="0.2">
      <c r="B275" s="638"/>
      <c r="C275" s="638"/>
      <c r="D275" s="638"/>
      <c r="E275" s="162" t="str">
        <f>IF(Rent_Roll[[#This Row],[Floor-
plan]]="studio",0,LEFT(Rent_Roll[[#This Row],[Floor-
plan]],1))</f>
        <v/>
      </c>
      <c r="F275" s="162" t="str" cm="1">
        <f t="array" ref="F27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75" s="1349"/>
      <c r="H275" s="722"/>
      <c r="J275" s="1337" t="str" cm="1">
        <f t="array" ref="J27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75" s="1350"/>
      <c r="L275" s="150"/>
      <c r="M275" s="1339" t="str" cm="1">
        <f t="array" ref="M275">_xlfn.IFS(Rent_Roll[[#This Row],[Lease
Exp]]="","",Rent_Roll[[#This Row],[MTM
Lease]]="MTM Lease","--",Rent_Roll[[#This Row],[Lease
Exp]]&gt;0,(DATEDIF(Rent_Roll[[#This Row],[Lease
Start]],Rent_Roll[[#This Row],[Lease
Exp]],"m")+1))</f>
        <v/>
      </c>
      <c r="N275" s="1337" t="str">
        <f>IF(OR(Rent_Roll[[#This Row],[MTM Fee]]="",Rent_Roll[[#This Row],[MTM Fee]]=0),"","MTM Lease")</f>
        <v/>
      </c>
      <c r="O275" s="1340" t="str">
        <f>IFERROR(IF(Rent_Roll[[#This Row],[Lease
Exp]]="","",DATEDIF($F$3,Rent_Roll[[#This Row],[Lease
Exp]],"m")+1),0)</f>
        <v/>
      </c>
      <c r="P275" s="155"/>
      <c r="Q275" s="1342" t="str" cm="1">
        <f t="array" ref="Q27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75" s="1351"/>
      <c r="S275" s="550"/>
      <c r="T275" s="550"/>
      <c r="U275" s="550">
        <f>Rent_Roll[[#This Row],[Lease
Rent]]+Rent_Roll[[#This Row],[Corp
Rent]]</f>
        <v>0</v>
      </c>
      <c r="V275" s="1344">
        <f>IF(Rent_Roll[[#This Row],[Total In-Place
Rent]]=0,0,Rent_Roll[[#This Row],[Total In-Place
Rent]]-Rent_Roll[[#This Row],[Market
Rent]])</f>
        <v>0</v>
      </c>
      <c r="W275" s="1351"/>
      <c r="X275" s="723"/>
      <c r="Y275" s="723"/>
      <c r="Z275" s="723"/>
      <c r="AA275" s="1345"/>
      <c r="AB275" s="723"/>
      <c r="AC275" s="723"/>
      <c r="AD275" s="723"/>
      <c r="AE275" s="723"/>
      <c r="AF275" s="723"/>
      <c r="AG275" s="147"/>
      <c r="AH275" s="147"/>
      <c r="AI275" s="1348" t="str">
        <f>IF(Rent_Roll[[#This Row],[Future
Lease Start]]="","",DATEDIF(Rent_Roll[[#This Row],[Future
Lease Start]],Rent_Roll[[#This Row],[Future
Lease Exp]],"m")+1)</f>
        <v/>
      </c>
      <c r="AJ275" s="1347"/>
    </row>
    <row r="276" spans="2:36" hidden="1" x14ac:dyDescent="0.2">
      <c r="B276" s="638"/>
      <c r="C276" s="638"/>
      <c r="D276" s="638"/>
      <c r="E276" s="162" t="str">
        <f>IF(Rent_Roll[[#This Row],[Floor-
plan]]="studio",0,LEFT(Rent_Roll[[#This Row],[Floor-
plan]],1))</f>
        <v/>
      </c>
      <c r="F276" s="162" t="str" cm="1">
        <f t="array" ref="F27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76" s="1349"/>
      <c r="H276" s="722"/>
      <c r="J276" s="1337" t="str" cm="1">
        <f t="array" ref="J27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76" s="1350"/>
      <c r="L276" s="150"/>
      <c r="M276" s="1339" t="str" cm="1">
        <f t="array" ref="M276">_xlfn.IFS(Rent_Roll[[#This Row],[Lease
Exp]]="","",Rent_Roll[[#This Row],[MTM
Lease]]="MTM Lease","--",Rent_Roll[[#This Row],[Lease
Exp]]&gt;0,(DATEDIF(Rent_Roll[[#This Row],[Lease
Start]],Rent_Roll[[#This Row],[Lease
Exp]],"m")+1))</f>
        <v/>
      </c>
      <c r="N276" s="1337" t="str">
        <f>IF(OR(Rent_Roll[[#This Row],[MTM Fee]]="",Rent_Roll[[#This Row],[MTM Fee]]=0),"","MTM Lease")</f>
        <v/>
      </c>
      <c r="O276" s="1340" t="str">
        <f>IFERROR(IF(Rent_Roll[[#This Row],[Lease
Exp]]="","",DATEDIF($F$3,Rent_Roll[[#This Row],[Lease
Exp]],"m")+1),0)</f>
        <v/>
      </c>
      <c r="P276" s="155"/>
      <c r="Q276" s="1342" t="str" cm="1">
        <f t="array" ref="Q27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76" s="1351"/>
      <c r="S276" s="550"/>
      <c r="T276" s="550"/>
      <c r="U276" s="550">
        <f>Rent_Roll[[#This Row],[Lease
Rent]]+Rent_Roll[[#This Row],[Corp
Rent]]</f>
        <v>0</v>
      </c>
      <c r="V276" s="1344">
        <f>IF(Rent_Roll[[#This Row],[Total In-Place
Rent]]=0,0,Rent_Roll[[#This Row],[Total In-Place
Rent]]-Rent_Roll[[#This Row],[Market
Rent]])</f>
        <v>0</v>
      </c>
      <c r="W276" s="1351"/>
      <c r="X276" s="723"/>
      <c r="Y276" s="723"/>
      <c r="Z276" s="723"/>
      <c r="AA276" s="1345"/>
      <c r="AB276" s="723"/>
      <c r="AC276" s="723"/>
      <c r="AD276" s="723"/>
      <c r="AE276" s="723"/>
      <c r="AF276" s="723"/>
      <c r="AG276" s="147"/>
      <c r="AH276" s="147"/>
      <c r="AI276" s="1348" t="str">
        <f>IF(Rent_Roll[[#This Row],[Future
Lease Start]]="","",DATEDIF(Rent_Roll[[#This Row],[Future
Lease Start]],Rent_Roll[[#This Row],[Future
Lease Exp]],"m")+1)</f>
        <v/>
      </c>
      <c r="AJ276" s="1347"/>
    </row>
    <row r="277" spans="2:36" hidden="1" x14ac:dyDescent="0.2">
      <c r="B277" s="638"/>
      <c r="C277" s="638"/>
      <c r="D277" s="638"/>
      <c r="E277" s="162" t="str">
        <f>IF(Rent_Roll[[#This Row],[Floor-
plan]]="studio",0,LEFT(Rent_Roll[[#This Row],[Floor-
plan]],1))</f>
        <v/>
      </c>
      <c r="F277" s="162" t="str" cm="1">
        <f t="array" ref="F27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77" s="1349"/>
      <c r="H277" s="722"/>
      <c r="J277" s="1337" t="str" cm="1">
        <f t="array" ref="J27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77" s="1350"/>
      <c r="L277" s="150"/>
      <c r="M277" s="1339" t="str" cm="1">
        <f t="array" ref="M277">_xlfn.IFS(Rent_Roll[[#This Row],[Lease
Exp]]="","",Rent_Roll[[#This Row],[MTM
Lease]]="MTM Lease","--",Rent_Roll[[#This Row],[Lease
Exp]]&gt;0,(DATEDIF(Rent_Roll[[#This Row],[Lease
Start]],Rent_Roll[[#This Row],[Lease
Exp]],"m")+1))</f>
        <v/>
      </c>
      <c r="N277" s="1337" t="str">
        <f>IF(OR(Rent_Roll[[#This Row],[MTM Fee]]="",Rent_Roll[[#This Row],[MTM Fee]]=0),"","MTM Lease")</f>
        <v/>
      </c>
      <c r="O277" s="1340" t="str">
        <f>IFERROR(IF(Rent_Roll[[#This Row],[Lease
Exp]]="","",DATEDIF($F$3,Rent_Roll[[#This Row],[Lease
Exp]],"m")+1),0)</f>
        <v/>
      </c>
      <c r="P277" s="155"/>
      <c r="Q277" s="1342" t="str" cm="1">
        <f t="array" ref="Q27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77" s="1351"/>
      <c r="S277" s="550"/>
      <c r="T277" s="550"/>
      <c r="U277" s="550">
        <f>Rent_Roll[[#This Row],[Lease
Rent]]+Rent_Roll[[#This Row],[Corp
Rent]]</f>
        <v>0</v>
      </c>
      <c r="V277" s="1344">
        <f>IF(Rent_Roll[[#This Row],[Total In-Place
Rent]]=0,0,Rent_Roll[[#This Row],[Total In-Place
Rent]]-Rent_Roll[[#This Row],[Market
Rent]])</f>
        <v>0</v>
      </c>
      <c r="W277" s="1351"/>
      <c r="X277" s="723"/>
      <c r="Y277" s="723"/>
      <c r="Z277" s="723"/>
      <c r="AA277" s="1345"/>
      <c r="AB277" s="723"/>
      <c r="AC277" s="723"/>
      <c r="AD277" s="723"/>
      <c r="AE277" s="723"/>
      <c r="AF277" s="723"/>
      <c r="AG277" s="147"/>
      <c r="AH277" s="147"/>
      <c r="AI277" s="1348" t="str">
        <f>IF(Rent_Roll[[#This Row],[Future
Lease Start]]="","",DATEDIF(Rent_Roll[[#This Row],[Future
Lease Start]],Rent_Roll[[#This Row],[Future
Lease Exp]],"m")+1)</f>
        <v/>
      </c>
      <c r="AJ277" s="1347"/>
    </row>
    <row r="278" spans="2:36" hidden="1" x14ac:dyDescent="0.2">
      <c r="B278" s="638"/>
      <c r="C278" s="638"/>
      <c r="D278" s="638"/>
      <c r="E278" s="162" t="str">
        <f>IF(Rent_Roll[[#This Row],[Floor-
plan]]="studio",0,LEFT(Rent_Roll[[#This Row],[Floor-
plan]],1))</f>
        <v/>
      </c>
      <c r="F278" s="162" t="str" cm="1">
        <f t="array" ref="F27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78" s="1349"/>
      <c r="H278" s="722"/>
      <c r="J278" s="1337" t="str" cm="1">
        <f t="array" ref="J27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78" s="1350"/>
      <c r="L278" s="150"/>
      <c r="M278" s="1339" t="str" cm="1">
        <f t="array" ref="M278">_xlfn.IFS(Rent_Roll[[#This Row],[Lease
Exp]]="","",Rent_Roll[[#This Row],[MTM
Lease]]="MTM Lease","--",Rent_Roll[[#This Row],[Lease
Exp]]&gt;0,(DATEDIF(Rent_Roll[[#This Row],[Lease
Start]],Rent_Roll[[#This Row],[Lease
Exp]],"m")+1))</f>
        <v/>
      </c>
      <c r="N278" s="1337" t="str">
        <f>IF(OR(Rent_Roll[[#This Row],[MTM Fee]]="",Rent_Roll[[#This Row],[MTM Fee]]=0),"","MTM Lease")</f>
        <v/>
      </c>
      <c r="O278" s="1340" t="str">
        <f>IFERROR(IF(Rent_Roll[[#This Row],[Lease
Exp]]="","",DATEDIF($F$3,Rent_Roll[[#This Row],[Lease
Exp]],"m")+1),0)</f>
        <v/>
      </c>
      <c r="P278" s="155"/>
      <c r="Q278" s="1342" t="str" cm="1">
        <f t="array" ref="Q27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78" s="1351"/>
      <c r="S278" s="550"/>
      <c r="T278" s="550"/>
      <c r="U278" s="550">
        <f>Rent_Roll[[#This Row],[Lease
Rent]]+Rent_Roll[[#This Row],[Corp
Rent]]</f>
        <v>0</v>
      </c>
      <c r="V278" s="1344">
        <f>IF(Rent_Roll[[#This Row],[Total In-Place
Rent]]=0,0,Rent_Roll[[#This Row],[Total In-Place
Rent]]-Rent_Roll[[#This Row],[Market
Rent]])</f>
        <v>0</v>
      </c>
      <c r="W278" s="1351"/>
      <c r="X278" s="723"/>
      <c r="Y278" s="723"/>
      <c r="Z278" s="723"/>
      <c r="AA278" s="1345"/>
      <c r="AB278" s="723"/>
      <c r="AC278" s="723"/>
      <c r="AD278" s="723"/>
      <c r="AE278" s="723"/>
      <c r="AF278" s="723"/>
      <c r="AG278" s="147"/>
      <c r="AH278" s="147"/>
      <c r="AI278" s="1348" t="str">
        <f>IF(Rent_Roll[[#This Row],[Future
Lease Start]]="","",DATEDIF(Rent_Roll[[#This Row],[Future
Lease Start]],Rent_Roll[[#This Row],[Future
Lease Exp]],"m")+1)</f>
        <v/>
      </c>
      <c r="AJ278" s="1347"/>
    </row>
    <row r="279" spans="2:36" hidden="1" x14ac:dyDescent="0.2">
      <c r="B279" s="638"/>
      <c r="C279" s="638"/>
      <c r="D279" s="638"/>
      <c r="E279" s="162" t="str">
        <f>IF(Rent_Roll[[#This Row],[Floor-
plan]]="studio",0,LEFT(Rent_Roll[[#This Row],[Floor-
plan]],1))</f>
        <v/>
      </c>
      <c r="F279" s="162" t="str" cm="1">
        <f t="array" ref="F27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79" s="1349"/>
      <c r="H279" s="722"/>
      <c r="J279" s="1337" t="str" cm="1">
        <f t="array" ref="J27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79" s="1350"/>
      <c r="L279" s="150"/>
      <c r="M279" s="1339" t="str" cm="1">
        <f t="array" ref="M279">_xlfn.IFS(Rent_Roll[[#This Row],[Lease
Exp]]="","",Rent_Roll[[#This Row],[MTM
Lease]]="MTM Lease","--",Rent_Roll[[#This Row],[Lease
Exp]]&gt;0,(DATEDIF(Rent_Roll[[#This Row],[Lease
Start]],Rent_Roll[[#This Row],[Lease
Exp]],"m")+1))</f>
        <v/>
      </c>
      <c r="N279" s="1337" t="str">
        <f>IF(OR(Rent_Roll[[#This Row],[MTM Fee]]="",Rent_Roll[[#This Row],[MTM Fee]]=0),"","MTM Lease")</f>
        <v/>
      </c>
      <c r="O279" s="1340" t="str">
        <f>IFERROR(IF(Rent_Roll[[#This Row],[Lease
Exp]]="","",DATEDIF($F$3,Rent_Roll[[#This Row],[Lease
Exp]],"m")+1),0)</f>
        <v/>
      </c>
      <c r="P279" s="155"/>
      <c r="Q279" s="1342" t="str" cm="1">
        <f t="array" ref="Q27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79" s="1351"/>
      <c r="S279" s="550"/>
      <c r="T279" s="550"/>
      <c r="U279" s="550">
        <f>Rent_Roll[[#This Row],[Lease
Rent]]+Rent_Roll[[#This Row],[Corp
Rent]]</f>
        <v>0</v>
      </c>
      <c r="V279" s="1344">
        <f>IF(Rent_Roll[[#This Row],[Total In-Place
Rent]]=0,0,Rent_Roll[[#This Row],[Total In-Place
Rent]]-Rent_Roll[[#This Row],[Market
Rent]])</f>
        <v>0</v>
      </c>
      <c r="W279" s="1351"/>
      <c r="X279" s="723"/>
      <c r="Y279" s="723"/>
      <c r="Z279" s="723"/>
      <c r="AA279" s="1345"/>
      <c r="AB279" s="723"/>
      <c r="AC279" s="723"/>
      <c r="AD279" s="723"/>
      <c r="AE279" s="723"/>
      <c r="AF279" s="723"/>
      <c r="AG279" s="147"/>
      <c r="AH279" s="147"/>
      <c r="AI279" s="1348" t="str">
        <f>IF(Rent_Roll[[#This Row],[Future
Lease Start]]="","",DATEDIF(Rent_Roll[[#This Row],[Future
Lease Start]],Rent_Roll[[#This Row],[Future
Lease Exp]],"m")+1)</f>
        <v/>
      </c>
      <c r="AJ279" s="1347"/>
    </row>
    <row r="280" spans="2:36" hidden="1" x14ac:dyDescent="0.2">
      <c r="B280" s="638"/>
      <c r="C280" s="638"/>
      <c r="D280" s="638"/>
      <c r="E280" s="162" t="str">
        <f>IF(Rent_Roll[[#This Row],[Floor-
plan]]="studio",0,LEFT(Rent_Roll[[#This Row],[Floor-
plan]],1))</f>
        <v/>
      </c>
      <c r="F280" s="162" t="str" cm="1">
        <f t="array" ref="F28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80" s="1349"/>
      <c r="H280" s="722"/>
      <c r="J280" s="1337" t="str" cm="1">
        <f t="array" ref="J28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80" s="1350"/>
      <c r="L280" s="150"/>
      <c r="M280" s="1339" t="str" cm="1">
        <f t="array" ref="M280">_xlfn.IFS(Rent_Roll[[#This Row],[Lease
Exp]]="","",Rent_Roll[[#This Row],[MTM
Lease]]="MTM Lease","--",Rent_Roll[[#This Row],[Lease
Exp]]&gt;0,(DATEDIF(Rent_Roll[[#This Row],[Lease
Start]],Rent_Roll[[#This Row],[Lease
Exp]],"m")+1))</f>
        <v/>
      </c>
      <c r="N280" s="1337" t="str">
        <f>IF(OR(Rent_Roll[[#This Row],[MTM Fee]]="",Rent_Roll[[#This Row],[MTM Fee]]=0),"","MTM Lease")</f>
        <v/>
      </c>
      <c r="O280" s="1340" t="str">
        <f>IFERROR(IF(Rent_Roll[[#This Row],[Lease
Exp]]="","",DATEDIF($F$3,Rent_Roll[[#This Row],[Lease
Exp]],"m")+1),0)</f>
        <v/>
      </c>
      <c r="P280" s="155"/>
      <c r="Q280" s="1342" t="str" cm="1">
        <f t="array" ref="Q28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80" s="1351"/>
      <c r="S280" s="550"/>
      <c r="T280" s="550"/>
      <c r="U280" s="550">
        <f>Rent_Roll[[#This Row],[Lease
Rent]]+Rent_Roll[[#This Row],[Corp
Rent]]</f>
        <v>0</v>
      </c>
      <c r="V280" s="1344">
        <f>IF(Rent_Roll[[#This Row],[Total In-Place
Rent]]=0,0,Rent_Roll[[#This Row],[Total In-Place
Rent]]-Rent_Roll[[#This Row],[Market
Rent]])</f>
        <v>0</v>
      </c>
      <c r="W280" s="1351"/>
      <c r="X280" s="723"/>
      <c r="Y280" s="723"/>
      <c r="Z280" s="723"/>
      <c r="AA280" s="1345"/>
      <c r="AB280" s="723"/>
      <c r="AC280" s="723"/>
      <c r="AD280" s="723"/>
      <c r="AE280" s="723"/>
      <c r="AF280" s="723"/>
      <c r="AG280" s="147"/>
      <c r="AH280" s="147"/>
      <c r="AI280" s="1348" t="str">
        <f>IF(Rent_Roll[[#This Row],[Future
Lease Start]]="","",DATEDIF(Rent_Roll[[#This Row],[Future
Lease Start]],Rent_Roll[[#This Row],[Future
Lease Exp]],"m")+1)</f>
        <v/>
      </c>
      <c r="AJ280" s="1347"/>
    </row>
    <row r="281" spans="2:36" hidden="1" x14ac:dyDescent="0.2">
      <c r="B281" s="638"/>
      <c r="C281" s="638"/>
      <c r="D281" s="638"/>
      <c r="E281" s="162" t="str">
        <f>IF(Rent_Roll[[#This Row],[Floor-
plan]]="studio",0,LEFT(Rent_Roll[[#This Row],[Floor-
plan]],1))</f>
        <v/>
      </c>
      <c r="F281" s="162" t="str" cm="1">
        <f t="array" ref="F28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81" s="1349"/>
      <c r="H281" s="722"/>
      <c r="J281" s="1337" t="str" cm="1">
        <f t="array" ref="J28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81" s="1350"/>
      <c r="L281" s="150"/>
      <c r="M281" s="1339" t="str" cm="1">
        <f t="array" ref="M281">_xlfn.IFS(Rent_Roll[[#This Row],[Lease
Exp]]="","",Rent_Roll[[#This Row],[MTM
Lease]]="MTM Lease","--",Rent_Roll[[#This Row],[Lease
Exp]]&gt;0,(DATEDIF(Rent_Roll[[#This Row],[Lease
Start]],Rent_Roll[[#This Row],[Lease
Exp]],"m")+1))</f>
        <v/>
      </c>
      <c r="N281" s="1337" t="str">
        <f>IF(OR(Rent_Roll[[#This Row],[MTM Fee]]="",Rent_Roll[[#This Row],[MTM Fee]]=0),"","MTM Lease")</f>
        <v/>
      </c>
      <c r="O281" s="1340" t="str">
        <f>IFERROR(IF(Rent_Roll[[#This Row],[Lease
Exp]]="","",DATEDIF($F$3,Rent_Roll[[#This Row],[Lease
Exp]],"m")+1),0)</f>
        <v/>
      </c>
      <c r="P281" s="155"/>
      <c r="Q281" s="1342" t="str" cm="1">
        <f t="array" ref="Q28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81" s="1351"/>
      <c r="S281" s="550"/>
      <c r="T281" s="550"/>
      <c r="U281" s="550">
        <f>Rent_Roll[[#This Row],[Lease
Rent]]+Rent_Roll[[#This Row],[Corp
Rent]]</f>
        <v>0</v>
      </c>
      <c r="V281" s="1344">
        <f>IF(Rent_Roll[[#This Row],[Total In-Place
Rent]]=0,0,Rent_Roll[[#This Row],[Total In-Place
Rent]]-Rent_Roll[[#This Row],[Market
Rent]])</f>
        <v>0</v>
      </c>
      <c r="W281" s="1351"/>
      <c r="X281" s="723"/>
      <c r="Y281" s="723"/>
      <c r="Z281" s="723"/>
      <c r="AA281" s="1345"/>
      <c r="AB281" s="723"/>
      <c r="AC281" s="723"/>
      <c r="AD281" s="723"/>
      <c r="AE281" s="723"/>
      <c r="AF281" s="723"/>
      <c r="AG281" s="147"/>
      <c r="AH281" s="147"/>
      <c r="AI281" s="1348" t="str">
        <f>IF(Rent_Roll[[#This Row],[Future
Lease Start]]="","",DATEDIF(Rent_Roll[[#This Row],[Future
Lease Start]],Rent_Roll[[#This Row],[Future
Lease Exp]],"m")+1)</f>
        <v/>
      </c>
      <c r="AJ281" s="1347"/>
    </row>
    <row r="282" spans="2:36" hidden="1" x14ac:dyDescent="0.2">
      <c r="B282" s="638"/>
      <c r="C282" s="638"/>
      <c r="D282" s="638"/>
      <c r="E282" s="162" t="str">
        <f>IF(Rent_Roll[[#This Row],[Floor-
plan]]="studio",0,LEFT(Rent_Roll[[#This Row],[Floor-
plan]],1))</f>
        <v/>
      </c>
      <c r="F282" s="162" t="str" cm="1">
        <f t="array" ref="F28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82" s="1349"/>
      <c r="H282" s="722"/>
      <c r="J282" s="1337" t="str" cm="1">
        <f t="array" ref="J28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82" s="1350"/>
      <c r="L282" s="150"/>
      <c r="M282" s="1339" t="str" cm="1">
        <f t="array" ref="M282">_xlfn.IFS(Rent_Roll[[#This Row],[Lease
Exp]]="","",Rent_Roll[[#This Row],[MTM
Lease]]="MTM Lease","--",Rent_Roll[[#This Row],[Lease
Exp]]&gt;0,(DATEDIF(Rent_Roll[[#This Row],[Lease
Start]],Rent_Roll[[#This Row],[Lease
Exp]],"m")+1))</f>
        <v/>
      </c>
      <c r="N282" s="1337" t="str">
        <f>IF(OR(Rent_Roll[[#This Row],[MTM Fee]]="",Rent_Roll[[#This Row],[MTM Fee]]=0),"","MTM Lease")</f>
        <v/>
      </c>
      <c r="O282" s="1340" t="str">
        <f>IFERROR(IF(Rent_Roll[[#This Row],[Lease
Exp]]="","",DATEDIF($F$3,Rent_Roll[[#This Row],[Lease
Exp]],"m")+1),0)</f>
        <v/>
      </c>
      <c r="P282" s="155"/>
      <c r="Q282" s="1342" t="str" cm="1">
        <f t="array" ref="Q28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82" s="1351"/>
      <c r="S282" s="550"/>
      <c r="T282" s="550"/>
      <c r="U282" s="550">
        <f>Rent_Roll[[#This Row],[Lease
Rent]]+Rent_Roll[[#This Row],[Corp
Rent]]</f>
        <v>0</v>
      </c>
      <c r="V282" s="1344">
        <f>IF(Rent_Roll[[#This Row],[Total In-Place
Rent]]=0,0,Rent_Roll[[#This Row],[Total In-Place
Rent]]-Rent_Roll[[#This Row],[Market
Rent]])</f>
        <v>0</v>
      </c>
      <c r="W282" s="1351"/>
      <c r="X282" s="723"/>
      <c r="Y282" s="723"/>
      <c r="Z282" s="723"/>
      <c r="AA282" s="1345"/>
      <c r="AB282" s="723"/>
      <c r="AC282" s="723"/>
      <c r="AD282" s="723"/>
      <c r="AE282" s="723"/>
      <c r="AF282" s="723"/>
      <c r="AG282" s="147"/>
      <c r="AH282" s="147"/>
      <c r="AI282" s="1348" t="str">
        <f>IF(Rent_Roll[[#This Row],[Future
Lease Start]]="","",DATEDIF(Rent_Roll[[#This Row],[Future
Lease Start]],Rent_Roll[[#This Row],[Future
Lease Exp]],"m")+1)</f>
        <v/>
      </c>
      <c r="AJ282" s="1347"/>
    </row>
    <row r="283" spans="2:36" hidden="1" x14ac:dyDescent="0.2">
      <c r="B283" s="638"/>
      <c r="C283" s="638"/>
      <c r="D283" s="638"/>
      <c r="E283" s="162" t="str">
        <f>IF(Rent_Roll[[#This Row],[Floor-
plan]]="studio",0,LEFT(Rent_Roll[[#This Row],[Floor-
plan]],1))</f>
        <v/>
      </c>
      <c r="F283" s="162" t="str" cm="1">
        <f t="array" ref="F28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83" s="1349"/>
      <c r="H283" s="722"/>
      <c r="J283" s="1337" t="str" cm="1">
        <f t="array" ref="J28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83" s="1350"/>
      <c r="L283" s="150"/>
      <c r="M283" s="1339" t="str" cm="1">
        <f t="array" ref="M283">_xlfn.IFS(Rent_Roll[[#This Row],[Lease
Exp]]="","",Rent_Roll[[#This Row],[MTM
Lease]]="MTM Lease","--",Rent_Roll[[#This Row],[Lease
Exp]]&gt;0,(DATEDIF(Rent_Roll[[#This Row],[Lease
Start]],Rent_Roll[[#This Row],[Lease
Exp]],"m")+1))</f>
        <v/>
      </c>
      <c r="N283" s="1337" t="str">
        <f>IF(OR(Rent_Roll[[#This Row],[MTM Fee]]="",Rent_Roll[[#This Row],[MTM Fee]]=0),"","MTM Lease")</f>
        <v/>
      </c>
      <c r="O283" s="1340" t="str">
        <f>IFERROR(IF(Rent_Roll[[#This Row],[Lease
Exp]]="","",DATEDIF($F$3,Rent_Roll[[#This Row],[Lease
Exp]],"m")+1),0)</f>
        <v/>
      </c>
      <c r="P283" s="155"/>
      <c r="Q283" s="1342" t="str" cm="1">
        <f t="array" ref="Q28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83" s="1351"/>
      <c r="S283" s="550"/>
      <c r="T283" s="550"/>
      <c r="U283" s="550">
        <f>Rent_Roll[[#This Row],[Lease
Rent]]+Rent_Roll[[#This Row],[Corp
Rent]]</f>
        <v>0</v>
      </c>
      <c r="V283" s="1344">
        <f>IF(Rent_Roll[[#This Row],[Total In-Place
Rent]]=0,0,Rent_Roll[[#This Row],[Total In-Place
Rent]]-Rent_Roll[[#This Row],[Market
Rent]])</f>
        <v>0</v>
      </c>
      <c r="W283" s="1351"/>
      <c r="X283" s="723"/>
      <c r="Y283" s="723"/>
      <c r="Z283" s="723"/>
      <c r="AA283" s="1345"/>
      <c r="AB283" s="723"/>
      <c r="AC283" s="723"/>
      <c r="AD283" s="723"/>
      <c r="AE283" s="723"/>
      <c r="AF283" s="723"/>
      <c r="AG283" s="147"/>
      <c r="AH283" s="147"/>
      <c r="AI283" s="1348" t="str">
        <f>IF(Rent_Roll[[#This Row],[Future
Lease Start]]="","",DATEDIF(Rent_Roll[[#This Row],[Future
Lease Start]],Rent_Roll[[#This Row],[Future
Lease Exp]],"m")+1)</f>
        <v/>
      </c>
      <c r="AJ283" s="1347"/>
    </row>
    <row r="284" spans="2:36" hidden="1" x14ac:dyDescent="0.2">
      <c r="B284" s="638"/>
      <c r="C284" s="638"/>
      <c r="D284" s="638"/>
      <c r="E284" s="162" t="str">
        <f>IF(Rent_Roll[[#This Row],[Floor-
plan]]="studio",0,LEFT(Rent_Roll[[#This Row],[Floor-
plan]],1))</f>
        <v/>
      </c>
      <c r="F284" s="162" t="str" cm="1">
        <f t="array" ref="F28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84" s="1349"/>
      <c r="H284" s="722"/>
      <c r="J284" s="1337" t="str" cm="1">
        <f t="array" ref="J28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84" s="1350"/>
      <c r="L284" s="150"/>
      <c r="M284" s="1339" t="str" cm="1">
        <f t="array" ref="M284">_xlfn.IFS(Rent_Roll[[#This Row],[Lease
Exp]]="","",Rent_Roll[[#This Row],[MTM
Lease]]="MTM Lease","--",Rent_Roll[[#This Row],[Lease
Exp]]&gt;0,(DATEDIF(Rent_Roll[[#This Row],[Lease
Start]],Rent_Roll[[#This Row],[Lease
Exp]],"m")+1))</f>
        <v/>
      </c>
      <c r="N284" s="1337" t="str">
        <f>IF(OR(Rent_Roll[[#This Row],[MTM Fee]]="",Rent_Roll[[#This Row],[MTM Fee]]=0),"","MTM Lease")</f>
        <v/>
      </c>
      <c r="O284" s="1340" t="str">
        <f>IFERROR(IF(Rent_Roll[[#This Row],[Lease
Exp]]="","",DATEDIF($F$3,Rent_Roll[[#This Row],[Lease
Exp]],"m")+1),0)</f>
        <v/>
      </c>
      <c r="P284" s="155"/>
      <c r="Q284" s="1342" t="str" cm="1">
        <f t="array" ref="Q28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84" s="1351"/>
      <c r="S284" s="550"/>
      <c r="T284" s="550"/>
      <c r="U284" s="550">
        <f>Rent_Roll[[#This Row],[Lease
Rent]]+Rent_Roll[[#This Row],[Corp
Rent]]</f>
        <v>0</v>
      </c>
      <c r="V284" s="1344">
        <f>IF(Rent_Roll[[#This Row],[Total In-Place
Rent]]=0,0,Rent_Roll[[#This Row],[Total In-Place
Rent]]-Rent_Roll[[#This Row],[Market
Rent]])</f>
        <v>0</v>
      </c>
      <c r="W284" s="1351"/>
      <c r="X284" s="723"/>
      <c r="Y284" s="723"/>
      <c r="Z284" s="723"/>
      <c r="AA284" s="1345"/>
      <c r="AB284" s="723"/>
      <c r="AC284" s="723"/>
      <c r="AD284" s="723"/>
      <c r="AE284" s="723"/>
      <c r="AF284" s="723"/>
      <c r="AG284" s="147"/>
      <c r="AH284" s="147"/>
      <c r="AI284" s="1348" t="str">
        <f>IF(Rent_Roll[[#This Row],[Future
Lease Start]]="","",DATEDIF(Rent_Roll[[#This Row],[Future
Lease Start]],Rent_Roll[[#This Row],[Future
Lease Exp]],"m")+1)</f>
        <v/>
      </c>
      <c r="AJ284" s="1347"/>
    </row>
    <row r="285" spans="2:36" hidden="1" x14ac:dyDescent="0.2">
      <c r="B285" s="638"/>
      <c r="C285" s="638"/>
      <c r="D285" s="638"/>
      <c r="E285" s="162" t="str">
        <f>IF(Rent_Roll[[#This Row],[Floor-
plan]]="studio",0,LEFT(Rent_Roll[[#This Row],[Floor-
plan]],1))</f>
        <v/>
      </c>
      <c r="F285" s="162" t="str" cm="1">
        <f t="array" ref="F28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85" s="1349"/>
      <c r="H285" s="722"/>
      <c r="J285" s="1337" t="str" cm="1">
        <f t="array" ref="J28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85" s="1350"/>
      <c r="L285" s="150"/>
      <c r="M285" s="1339" t="str" cm="1">
        <f t="array" ref="M285">_xlfn.IFS(Rent_Roll[[#This Row],[Lease
Exp]]="","",Rent_Roll[[#This Row],[MTM
Lease]]="MTM Lease","--",Rent_Roll[[#This Row],[Lease
Exp]]&gt;0,(DATEDIF(Rent_Roll[[#This Row],[Lease
Start]],Rent_Roll[[#This Row],[Lease
Exp]],"m")+1))</f>
        <v/>
      </c>
      <c r="N285" s="1337" t="str">
        <f>IF(OR(Rent_Roll[[#This Row],[MTM Fee]]="",Rent_Roll[[#This Row],[MTM Fee]]=0),"","MTM Lease")</f>
        <v/>
      </c>
      <c r="O285" s="1340" t="str">
        <f>IFERROR(IF(Rent_Roll[[#This Row],[Lease
Exp]]="","",DATEDIF($F$3,Rent_Roll[[#This Row],[Lease
Exp]],"m")+1),0)</f>
        <v/>
      </c>
      <c r="P285" s="155"/>
      <c r="Q285" s="1342" t="str" cm="1">
        <f t="array" ref="Q28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85" s="1351"/>
      <c r="S285" s="550"/>
      <c r="T285" s="550"/>
      <c r="U285" s="550">
        <f>Rent_Roll[[#This Row],[Lease
Rent]]+Rent_Roll[[#This Row],[Corp
Rent]]</f>
        <v>0</v>
      </c>
      <c r="V285" s="1344">
        <f>IF(Rent_Roll[[#This Row],[Total In-Place
Rent]]=0,0,Rent_Roll[[#This Row],[Total In-Place
Rent]]-Rent_Roll[[#This Row],[Market
Rent]])</f>
        <v>0</v>
      </c>
      <c r="W285" s="1351"/>
      <c r="X285" s="723"/>
      <c r="Y285" s="723"/>
      <c r="Z285" s="723"/>
      <c r="AA285" s="1345"/>
      <c r="AB285" s="723"/>
      <c r="AC285" s="723"/>
      <c r="AD285" s="723"/>
      <c r="AE285" s="723"/>
      <c r="AF285" s="723"/>
      <c r="AG285" s="147"/>
      <c r="AH285" s="147"/>
      <c r="AI285" s="1348" t="str">
        <f>IF(Rent_Roll[[#This Row],[Future
Lease Start]]="","",DATEDIF(Rent_Roll[[#This Row],[Future
Lease Start]],Rent_Roll[[#This Row],[Future
Lease Exp]],"m")+1)</f>
        <v/>
      </c>
      <c r="AJ285" s="1347"/>
    </row>
    <row r="286" spans="2:36" hidden="1" x14ac:dyDescent="0.2">
      <c r="B286" s="638"/>
      <c r="C286" s="638"/>
      <c r="D286" s="638"/>
      <c r="E286" s="162" t="str">
        <f>IF(Rent_Roll[[#This Row],[Floor-
plan]]="studio",0,LEFT(Rent_Roll[[#This Row],[Floor-
plan]],1))</f>
        <v/>
      </c>
      <c r="F286" s="162" t="str" cm="1">
        <f t="array" ref="F28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86" s="1349"/>
      <c r="H286" s="722"/>
      <c r="J286" s="1337" t="str" cm="1">
        <f t="array" ref="J28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86" s="1350"/>
      <c r="L286" s="150"/>
      <c r="M286" s="1339" t="str" cm="1">
        <f t="array" ref="M286">_xlfn.IFS(Rent_Roll[[#This Row],[Lease
Exp]]="","",Rent_Roll[[#This Row],[MTM
Lease]]="MTM Lease","--",Rent_Roll[[#This Row],[Lease
Exp]]&gt;0,(DATEDIF(Rent_Roll[[#This Row],[Lease
Start]],Rent_Roll[[#This Row],[Lease
Exp]],"m")+1))</f>
        <v/>
      </c>
      <c r="N286" s="1337" t="str">
        <f>IF(OR(Rent_Roll[[#This Row],[MTM Fee]]="",Rent_Roll[[#This Row],[MTM Fee]]=0),"","MTM Lease")</f>
        <v/>
      </c>
      <c r="O286" s="1340" t="str">
        <f>IFERROR(IF(Rent_Roll[[#This Row],[Lease
Exp]]="","",DATEDIF($F$3,Rent_Roll[[#This Row],[Lease
Exp]],"m")+1),0)</f>
        <v/>
      </c>
      <c r="P286" s="155"/>
      <c r="Q286" s="1342" t="str" cm="1">
        <f t="array" ref="Q28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86" s="1351"/>
      <c r="S286" s="550"/>
      <c r="T286" s="550"/>
      <c r="U286" s="550">
        <f>Rent_Roll[[#This Row],[Lease
Rent]]+Rent_Roll[[#This Row],[Corp
Rent]]</f>
        <v>0</v>
      </c>
      <c r="V286" s="1344">
        <f>IF(Rent_Roll[[#This Row],[Total In-Place
Rent]]=0,0,Rent_Roll[[#This Row],[Total In-Place
Rent]]-Rent_Roll[[#This Row],[Market
Rent]])</f>
        <v>0</v>
      </c>
      <c r="W286" s="1351"/>
      <c r="X286" s="723"/>
      <c r="Y286" s="723"/>
      <c r="Z286" s="723"/>
      <c r="AA286" s="1345"/>
      <c r="AB286" s="723"/>
      <c r="AC286" s="723"/>
      <c r="AD286" s="723"/>
      <c r="AE286" s="723"/>
      <c r="AF286" s="723"/>
      <c r="AG286" s="147"/>
      <c r="AH286" s="147"/>
      <c r="AI286" s="1348" t="str">
        <f>IF(Rent_Roll[[#This Row],[Future
Lease Start]]="","",DATEDIF(Rent_Roll[[#This Row],[Future
Lease Start]],Rent_Roll[[#This Row],[Future
Lease Exp]],"m")+1)</f>
        <v/>
      </c>
      <c r="AJ286" s="1347"/>
    </row>
    <row r="287" spans="2:36" hidden="1" x14ac:dyDescent="0.2">
      <c r="B287" s="638"/>
      <c r="C287" s="638"/>
      <c r="D287" s="638"/>
      <c r="E287" s="162" t="str">
        <f>IF(Rent_Roll[[#This Row],[Floor-
plan]]="studio",0,LEFT(Rent_Roll[[#This Row],[Floor-
plan]],1))</f>
        <v/>
      </c>
      <c r="F287" s="162" t="str" cm="1">
        <f t="array" ref="F28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87" s="1349"/>
      <c r="H287" s="722"/>
      <c r="J287" s="1337" t="str" cm="1">
        <f t="array" ref="J28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87" s="1350"/>
      <c r="L287" s="150"/>
      <c r="M287" s="1339" t="str" cm="1">
        <f t="array" ref="M287">_xlfn.IFS(Rent_Roll[[#This Row],[Lease
Exp]]="","",Rent_Roll[[#This Row],[MTM
Lease]]="MTM Lease","--",Rent_Roll[[#This Row],[Lease
Exp]]&gt;0,(DATEDIF(Rent_Roll[[#This Row],[Lease
Start]],Rent_Roll[[#This Row],[Lease
Exp]],"m")+1))</f>
        <v/>
      </c>
      <c r="N287" s="1337" t="str">
        <f>IF(OR(Rent_Roll[[#This Row],[MTM Fee]]="",Rent_Roll[[#This Row],[MTM Fee]]=0),"","MTM Lease")</f>
        <v/>
      </c>
      <c r="O287" s="1340" t="str">
        <f>IFERROR(IF(Rent_Roll[[#This Row],[Lease
Exp]]="","",DATEDIF($F$3,Rent_Roll[[#This Row],[Lease
Exp]],"m")+1),0)</f>
        <v/>
      </c>
      <c r="P287" s="155"/>
      <c r="Q287" s="1342" t="str" cm="1">
        <f t="array" ref="Q28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87" s="1351"/>
      <c r="S287" s="550"/>
      <c r="T287" s="550"/>
      <c r="U287" s="550">
        <f>Rent_Roll[[#This Row],[Lease
Rent]]+Rent_Roll[[#This Row],[Corp
Rent]]</f>
        <v>0</v>
      </c>
      <c r="V287" s="1344">
        <f>IF(Rent_Roll[[#This Row],[Total In-Place
Rent]]=0,0,Rent_Roll[[#This Row],[Total In-Place
Rent]]-Rent_Roll[[#This Row],[Market
Rent]])</f>
        <v>0</v>
      </c>
      <c r="W287" s="1351"/>
      <c r="X287" s="723"/>
      <c r="Y287" s="723"/>
      <c r="Z287" s="723"/>
      <c r="AA287" s="1345"/>
      <c r="AB287" s="723"/>
      <c r="AC287" s="723"/>
      <c r="AD287" s="723"/>
      <c r="AE287" s="723"/>
      <c r="AF287" s="723"/>
      <c r="AG287" s="147"/>
      <c r="AH287" s="147"/>
      <c r="AI287" s="1348" t="str">
        <f>IF(Rent_Roll[[#This Row],[Future
Lease Start]]="","",DATEDIF(Rent_Roll[[#This Row],[Future
Lease Start]],Rent_Roll[[#This Row],[Future
Lease Exp]],"m")+1)</f>
        <v/>
      </c>
      <c r="AJ287" s="1347"/>
    </row>
    <row r="288" spans="2:36" hidden="1" x14ac:dyDescent="0.2">
      <c r="B288" s="638"/>
      <c r="C288" s="638"/>
      <c r="D288" s="638"/>
      <c r="E288" s="162" t="str">
        <f>IF(Rent_Roll[[#This Row],[Floor-
plan]]="studio",0,LEFT(Rent_Roll[[#This Row],[Floor-
plan]],1))</f>
        <v/>
      </c>
      <c r="F288" s="162" t="str" cm="1">
        <f t="array" ref="F28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88" s="1349"/>
      <c r="H288" s="722"/>
      <c r="J288" s="1337" t="str" cm="1">
        <f t="array" ref="J28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88" s="1350"/>
      <c r="L288" s="150"/>
      <c r="M288" s="1339" t="str" cm="1">
        <f t="array" ref="M288">_xlfn.IFS(Rent_Roll[[#This Row],[Lease
Exp]]="","",Rent_Roll[[#This Row],[MTM
Lease]]="MTM Lease","--",Rent_Roll[[#This Row],[Lease
Exp]]&gt;0,(DATEDIF(Rent_Roll[[#This Row],[Lease
Start]],Rent_Roll[[#This Row],[Lease
Exp]],"m")+1))</f>
        <v/>
      </c>
      <c r="N288" s="1337" t="str">
        <f>IF(OR(Rent_Roll[[#This Row],[MTM Fee]]="",Rent_Roll[[#This Row],[MTM Fee]]=0),"","MTM Lease")</f>
        <v/>
      </c>
      <c r="O288" s="1340" t="str">
        <f>IFERROR(IF(Rent_Roll[[#This Row],[Lease
Exp]]="","",DATEDIF($F$3,Rent_Roll[[#This Row],[Lease
Exp]],"m")+1),0)</f>
        <v/>
      </c>
      <c r="P288" s="155"/>
      <c r="Q288" s="1342" t="str" cm="1">
        <f t="array" ref="Q28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88" s="1351"/>
      <c r="S288" s="550"/>
      <c r="T288" s="550"/>
      <c r="U288" s="550">
        <f>Rent_Roll[[#This Row],[Lease
Rent]]+Rent_Roll[[#This Row],[Corp
Rent]]</f>
        <v>0</v>
      </c>
      <c r="V288" s="1344">
        <f>IF(Rent_Roll[[#This Row],[Total In-Place
Rent]]=0,0,Rent_Roll[[#This Row],[Total In-Place
Rent]]-Rent_Roll[[#This Row],[Market
Rent]])</f>
        <v>0</v>
      </c>
      <c r="W288" s="1351"/>
      <c r="X288" s="723"/>
      <c r="Y288" s="723"/>
      <c r="Z288" s="723"/>
      <c r="AA288" s="1345"/>
      <c r="AB288" s="723"/>
      <c r="AC288" s="723"/>
      <c r="AD288" s="723"/>
      <c r="AE288" s="723"/>
      <c r="AF288" s="723"/>
      <c r="AG288" s="147"/>
      <c r="AH288" s="147"/>
      <c r="AI288" s="1348" t="str">
        <f>IF(Rent_Roll[[#This Row],[Future
Lease Start]]="","",DATEDIF(Rent_Roll[[#This Row],[Future
Lease Start]],Rent_Roll[[#This Row],[Future
Lease Exp]],"m")+1)</f>
        <v/>
      </c>
      <c r="AJ288" s="1347"/>
    </row>
    <row r="289" spans="2:36" hidden="1" x14ac:dyDescent="0.2">
      <c r="B289" s="638"/>
      <c r="C289" s="638"/>
      <c r="D289" s="638"/>
      <c r="E289" s="162" t="str">
        <f>IF(Rent_Roll[[#This Row],[Floor-
plan]]="studio",0,LEFT(Rent_Roll[[#This Row],[Floor-
plan]],1))</f>
        <v/>
      </c>
      <c r="F289" s="162" t="str" cm="1">
        <f t="array" ref="F28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89" s="1349"/>
      <c r="H289" s="722"/>
      <c r="J289" s="1337" t="str" cm="1">
        <f t="array" ref="J28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89" s="1350"/>
      <c r="L289" s="150"/>
      <c r="M289" s="1339" t="str" cm="1">
        <f t="array" ref="M289">_xlfn.IFS(Rent_Roll[[#This Row],[Lease
Exp]]="","",Rent_Roll[[#This Row],[MTM
Lease]]="MTM Lease","--",Rent_Roll[[#This Row],[Lease
Exp]]&gt;0,(DATEDIF(Rent_Roll[[#This Row],[Lease
Start]],Rent_Roll[[#This Row],[Lease
Exp]],"m")+1))</f>
        <v/>
      </c>
      <c r="N289" s="1337" t="str">
        <f>IF(OR(Rent_Roll[[#This Row],[MTM Fee]]="",Rent_Roll[[#This Row],[MTM Fee]]=0),"","MTM Lease")</f>
        <v/>
      </c>
      <c r="O289" s="1340" t="str">
        <f>IFERROR(IF(Rent_Roll[[#This Row],[Lease
Exp]]="","",DATEDIF($F$3,Rent_Roll[[#This Row],[Lease
Exp]],"m")+1),0)</f>
        <v/>
      </c>
      <c r="P289" s="155"/>
      <c r="Q289" s="1342" t="str" cm="1">
        <f t="array" ref="Q28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89" s="1351"/>
      <c r="S289" s="550"/>
      <c r="T289" s="550"/>
      <c r="U289" s="550">
        <f>Rent_Roll[[#This Row],[Lease
Rent]]+Rent_Roll[[#This Row],[Corp
Rent]]</f>
        <v>0</v>
      </c>
      <c r="V289" s="1344">
        <f>IF(Rent_Roll[[#This Row],[Total In-Place
Rent]]=0,0,Rent_Roll[[#This Row],[Total In-Place
Rent]]-Rent_Roll[[#This Row],[Market
Rent]])</f>
        <v>0</v>
      </c>
      <c r="W289" s="1351"/>
      <c r="X289" s="723"/>
      <c r="Y289" s="723"/>
      <c r="Z289" s="723"/>
      <c r="AA289" s="1345"/>
      <c r="AB289" s="723"/>
      <c r="AC289" s="723"/>
      <c r="AD289" s="723"/>
      <c r="AE289" s="723"/>
      <c r="AF289" s="723"/>
      <c r="AG289" s="147"/>
      <c r="AH289" s="147"/>
      <c r="AI289" s="1348" t="str">
        <f>IF(Rent_Roll[[#This Row],[Future
Lease Start]]="","",DATEDIF(Rent_Roll[[#This Row],[Future
Lease Start]],Rent_Roll[[#This Row],[Future
Lease Exp]],"m")+1)</f>
        <v/>
      </c>
      <c r="AJ289" s="1347"/>
    </row>
    <row r="290" spans="2:36" hidden="1" x14ac:dyDescent="0.2">
      <c r="B290" s="638"/>
      <c r="C290" s="638"/>
      <c r="D290" s="638"/>
      <c r="E290" s="162" t="str">
        <f>IF(Rent_Roll[[#This Row],[Floor-
plan]]="studio",0,LEFT(Rent_Roll[[#This Row],[Floor-
plan]],1))</f>
        <v/>
      </c>
      <c r="F290" s="162" t="str" cm="1">
        <f t="array" ref="F29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90" s="1349"/>
      <c r="H290" s="722"/>
      <c r="J290" s="1337" t="str" cm="1">
        <f t="array" ref="J29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90" s="1350"/>
      <c r="L290" s="150"/>
      <c r="M290" s="1339" t="str" cm="1">
        <f t="array" ref="M290">_xlfn.IFS(Rent_Roll[[#This Row],[Lease
Exp]]="","",Rent_Roll[[#This Row],[MTM
Lease]]="MTM Lease","--",Rent_Roll[[#This Row],[Lease
Exp]]&gt;0,(DATEDIF(Rent_Roll[[#This Row],[Lease
Start]],Rent_Roll[[#This Row],[Lease
Exp]],"m")+1))</f>
        <v/>
      </c>
      <c r="N290" s="1337" t="str">
        <f>IF(OR(Rent_Roll[[#This Row],[MTM Fee]]="",Rent_Roll[[#This Row],[MTM Fee]]=0),"","MTM Lease")</f>
        <v/>
      </c>
      <c r="O290" s="1340" t="str">
        <f>IFERROR(IF(Rent_Roll[[#This Row],[Lease
Exp]]="","",DATEDIF($F$3,Rent_Roll[[#This Row],[Lease
Exp]],"m")+1),0)</f>
        <v/>
      </c>
      <c r="P290" s="155"/>
      <c r="Q290" s="1342" t="str" cm="1">
        <f t="array" ref="Q29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90" s="1351"/>
      <c r="S290" s="550"/>
      <c r="T290" s="550"/>
      <c r="U290" s="550">
        <f>Rent_Roll[[#This Row],[Lease
Rent]]+Rent_Roll[[#This Row],[Corp
Rent]]</f>
        <v>0</v>
      </c>
      <c r="V290" s="1344">
        <f>IF(Rent_Roll[[#This Row],[Total In-Place
Rent]]=0,0,Rent_Roll[[#This Row],[Total In-Place
Rent]]-Rent_Roll[[#This Row],[Market
Rent]])</f>
        <v>0</v>
      </c>
      <c r="W290" s="1351"/>
      <c r="X290" s="723"/>
      <c r="Y290" s="723"/>
      <c r="Z290" s="723"/>
      <c r="AA290" s="1345"/>
      <c r="AB290" s="723"/>
      <c r="AC290" s="723"/>
      <c r="AD290" s="723"/>
      <c r="AE290" s="723"/>
      <c r="AF290" s="723"/>
      <c r="AG290" s="147"/>
      <c r="AH290" s="147"/>
      <c r="AI290" s="1348" t="str">
        <f>IF(Rent_Roll[[#This Row],[Future
Lease Start]]="","",DATEDIF(Rent_Roll[[#This Row],[Future
Lease Start]],Rent_Roll[[#This Row],[Future
Lease Exp]],"m")+1)</f>
        <v/>
      </c>
      <c r="AJ290" s="1347"/>
    </row>
    <row r="291" spans="2:36" hidden="1" x14ac:dyDescent="0.2">
      <c r="B291" s="638"/>
      <c r="C291" s="638"/>
      <c r="D291" s="638"/>
      <c r="E291" s="162" t="str">
        <f>IF(Rent_Roll[[#This Row],[Floor-
plan]]="studio",0,LEFT(Rent_Roll[[#This Row],[Floor-
plan]],1))</f>
        <v/>
      </c>
      <c r="F291" s="162" t="str" cm="1">
        <f t="array" ref="F29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91" s="1349"/>
      <c r="H291" s="722"/>
      <c r="J291" s="1337" t="str" cm="1">
        <f t="array" ref="J29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91" s="1350"/>
      <c r="L291" s="150"/>
      <c r="M291" s="1339" t="str" cm="1">
        <f t="array" ref="M291">_xlfn.IFS(Rent_Roll[[#This Row],[Lease
Exp]]="","",Rent_Roll[[#This Row],[MTM
Lease]]="MTM Lease","--",Rent_Roll[[#This Row],[Lease
Exp]]&gt;0,(DATEDIF(Rent_Roll[[#This Row],[Lease
Start]],Rent_Roll[[#This Row],[Lease
Exp]],"m")+1))</f>
        <v/>
      </c>
      <c r="N291" s="1337" t="str">
        <f>IF(OR(Rent_Roll[[#This Row],[MTM Fee]]="",Rent_Roll[[#This Row],[MTM Fee]]=0),"","MTM Lease")</f>
        <v/>
      </c>
      <c r="O291" s="1340" t="str">
        <f>IFERROR(IF(Rent_Roll[[#This Row],[Lease
Exp]]="","",DATEDIF($F$3,Rent_Roll[[#This Row],[Lease
Exp]],"m")+1),0)</f>
        <v/>
      </c>
      <c r="P291" s="155"/>
      <c r="Q291" s="1342" t="str" cm="1">
        <f t="array" ref="Q29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91" s="1351"/>
      <c r="S291" s="550"/>
      <c r="T291" s="550"/>
      <c r="U291" s="550">
        <f>Rent_Roll[[#This Row],[Lease
Rent]]+Rent_Roll[[#This Row],[Corp
Rent]]</f>
        <v>0</v>
      </c>
      <c r="V291" s="1344">
        <f>IF(Rent_Roll[[#This Row],[Total In-Place
Rent]]=0,0,Rent_Roll[[#This Row],[Total In-Place
Rent]]-Rent_Roll[[#This Row],[Market
Rent]])</f>
        <v>0</v>
      </c>
      <c r="W291" s="1351"/>
      <c r="X291" s="723"/>
      <c r="Y291" s="723"/>
      <c r="Z291" s="723"/>
      <c r="AA291" s="1345"/>
      <c r="AB291" s="723"/>
      <c r="AC291" s="723"/>
      <c r="AD291" s="723"/>
      <c r="AE291" s="723"/>
      <c r="AF291" s="723"/>
      <c r="AG291" s="147"/>
      <c r="AH291" s="147"/>
      <c r="AI291" s="1348" t="str">
        <f>IF(Rent_Roll[[#This Row],[Future
Lease Start]]="","",DATEDIF(Rent_Roll[[#This Row],[Future
Lease Start]],Rent_Roll[[#This Row],[Future
Lease Exp]],"m")+1)</f>
        <v/>
      </c>
      <c r="AJ291" s="1347"/>
    </row>
    <row r="292" spans="2:36" hidden="1" x14ac:dyDescent="0.2">
      <c r="B292" s="638"/>
      <c r="C292" s="638"/>
      <c r="D292" s="638"/>
      <c r="E292" s="162" t="str">
        <f>IF(Rent_Roll[[#This Row],[Floor-
plan]]="studio",0,LEFT(Rent_Roll[[#This Row],[Floor-
plan]],1))</f>
        <v/>
      </c>
      <c r="F292" s="162" t="str" cm="1">
        <f t="array" ref="F29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92" s="1349"/>
      <c r="H292" s="722"/>
      <c r="J292" s="1337" t="str" cm="1">
        <f t="array" ref="J29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92" s="1350"/>
      <c r="L292" s="150"/>
      <c r="M292" s="1339" t="str" cm="1">
        <f t="array" ref="M292">_xlfn.IFS(Rent_Roll[[#This Row],[Lease
Exp]]="","",Rent_Roll[[#This Row],[MTM
Lease]]="MTM Lease","--",Rent_Roll[[#This Row],[Lease
Exp]]&gt;0,(DATEDIF(Rent_Roll[[#This Row],[Lease
Start]],Rent_Roll[[#This Row],[Lease
Exp]],"m")+1))</f>
        <v/>
      </c>
      <c r="N292" s="1337" t="str">
        <f>IF(OR(Rent_Roll[[#This Row],[MTM Fee]]="",Rent_Roll[[#This Row],[MTM Fee]]=0),"","MTM Lease")</f>
        <v/>
      </c>
      <c r="O292" s="1340" t="str">
        <f>IFERROR(IF(Rent_Roll[[#This Row],[Lease
Exp]]="","",DATEDIF($F$3,Rent_Roll[[#This Row],[Lease
Exp]],"m")+1),0)</f>
        <v/>
      </c>
      <c r="P292" s="155"/>
      <c r="Q292" s="1342" t="str" cm="1">
        <f t="array" ref="Q29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92" s="1351"/>
      <c r="S292" s="550"/>
      <c r="T292" s="550"/>
      <c r="U292" s="550">
        <f>Rent_Roll[[#This Row],[Lease
Rent]]+Rent_Roll[[#This Row],[Corp
Rent]]</f>
        <v>0</v>
      </c>
      <c r="V292" s="1344">
        <f>IF(Rent_Roll[[#This Row],[Total In-Place
Rent]]=0,0,Rent_Roll[[#This Row],[Total In-Place
Rent]]-Rent_Roll[[#This Row],[Market
Rent]])</f>
        <v>0</v>
      </c>
      <c r="W292" s="1351"/>
      <c r="X292" s="723"/>
      <c r="Y292" s="723"/>
      <c r="Z292" s="723"/>
      <c r="AA292" s="1345"/>
      <c r="AB292" s="723"/>
      <c r="AC292" s="723"/>
      <c r="AD292" s="723"/>
      <c r="AE292" s="723"/>
      <c r="AF292" s="723"/>
      <c r="AG292" s="147"/>
      <c r="AH292" s="147"/>
      <c r="AI292" s="1348" t="str">
        <f>IF(Rent_Roll[[#This Row],[Future
Lease Start]]="","",DATEDIF(Rent_Roll[[#This Row],[Future
Lease Start]],Rent_Roll[[#This Row],[Future
Lease Exp]],"m")+1)</f>
        <v/>
      </c>
      <c r="AJ292" s="1347"/>
    </row>
    <row r="293" spans="2:36" hidden="1" x14ac:dyDescent="0.2">
      <c r="B293" s="638"/>
      <c r="C293" s="638"/>
      <c r="D293" s="638"/>
      <c r="E293" s="162" t="str">
        <f>IF(Rent_Roll[[#This Row],[Floor-
plan]]="studio",0,LEFT(Rent_Roll[[#This Row],[Floor-
plan]],1))</f>
        <v/>
      </c>
      <c r="F293" s="162" t="str" cm="1">
        <f t="array" ref="F29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93" s="1349"/>
      <c r="H293" s="722"/>
      <c r="J293" s="1337" t="str" cm="1">
        <f t="array" ref="J29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93" s="1350"/>
      <c r="L293" s="150"/>
      <c r="M293" s="1339" t="str" cm="1">
        <f t="array" ref="M293">_xlfn.IFS(Rent_Roll[[#This Row],[Lease
Exp]]="","",Rent_Roll[[#This Row],[MTM
Lease]]="MTM Lease","--",Rent_Roll[[#This Row],[Lease
Exp]]&gt;0,(DATEDIF(Rent_Roll[[#This Row],[Lease
Start]],Rent_Roll[[#This Row],[Lease
Exp]],"m")+1))</f>
        <v/>
      </c>
      <c r="N293" s="1337" t="str">
        <f>IF(OR(Rent_Roll[[#This Row],[MTM Fee]]="",Rent_Roll[[#This Row],[MTM Fee]]=0),"","MTM Lease")</f>
        <v/>
      </c>
      <c r="O293" s="1340" t="str">
        <f>IFERROR(IF(Rent_Roll[[#This Row],[Lease
Exp]]="","",DATEDIF($F$3,Rent_Roll[[#This Row],[Lease
Exp]],"m")+1),0)</f>
        <v/>
      </c>
      <c r="P293" s="155"/>
      <c r="Q293" s="1342" t="str" cm="1">
        <f t="array" ref="Q29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93" s="1351"/>
      <c r="S293" s="550"/>
      <c r="T293" s="550"/>
      <c r="U293" s="550">
        <f>Rent_Roll[[#This Row],[Lease
Rent]]+Rent_Roll[[#This Row],[Corp
Rent]]</f>
        <v>0</v>
      </c>
      <c r="V293" s="1344">
        <f>IF(Rent_Roll[[#This Row],[Total In-Place
Rent]]=0,0,Rent_Roll[[#This Row],[Total In-Place
Rent]]-Rent_Roll[[#This Row],[Market
Rent]])</f>
        <v>0</v>
      </c>
      <c r="W293" s="1351"/>
      <c r="X293" s="723"/>
      <c r="Y293" s="723"/>
      <c r="Z293" s="723"/>
      <c r="AA293" s="1345"/>
      <c r="AB293" s="723"/>
      <c r="AC293" s="723"/>
      <c r="AD293" s="723"/>
      <c r="AE293" s="723"/>
      <c r="AF293" s="723"/>
      <c r="AG293" s="147"/>
      <c r="AH293" s="147"/>
      <c r="AI293" s="1348" t="str">
        <f>IF(Rent_Roll[[#This Row],[Future
Lease Start]]="","",DATEDIF(Rent_Roll[[#This Row],[Future
Lease Start]],Rent_Roll[[#This Row],[Future
Lease Exp]],"m")+1)</f>
        <v/>
      </c>
      <c r="AJ293" s="1347"/>
    </row>
    <row r="294" spans="2:36" hidden="1" x14ac:dyDescent="0.2">
      <c r="B294" s="638"/>
      <c r="C294" s="638"/>
      <c r="D294" s="638"/>
      <c r="E294" s="162" t="str">
        <f>IF(Rent_Roll[[#This Row],[Floor-
plan]]="studio",0,LEFT(Rent_Roll[[#This Row],[Floor-
plan]],1))</f>
        <v/>
      </c>
      <c r="F294" s="162" t="str" cm="1">
        <f t="array" ref="F29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94" s="1349"/>
      <c r="H294" s="722"/>
      <c r="J294" s="1337" t="str" cm="1">
        <f t="array" ref="J29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94" s="1350"/>
      <c r="L294" s="150"/>
      <c r="M294" s="1339" t="str" cm="1">
        <f t="array" ref="M294">_xlfn.IFS(Rent_Roll[[#This Row],[Lease
Exp]]="","",Rent_Roll[[#This Row],[MTM
Lease]]="MTM Lease","--",Rent_Roll[[#This Row],[Lease
Exp]]&gt;0,(DATEDIF(Rent_Roll[[#This Row],[Lease
Start]],Rent_Roll[[#This Row],[Lease
Exp]],"m")+1))</f>
        <v/>
      </c>
      <c r="N294" s="1337" t="str">
        <f>IF(OR(Rent_Roll[[#This Row],[MTM Fee]]="",Rent_Roll[[#This Row],[MTM Fee]]=0),"","MTM Lease")</f>
        <v/>
      </c>
      <c r="O294" s="1340" t="str">
        <f>IFERROR(IF(Rent_Roll[[#This Row],[Lease
Exp]]="","",DATEDIF($F$3,Rent_Roll[[#This Row],[Lease
Exp]],"m")+1),0)</f>
        <v/>
      </c>
      <c r="P294" s="155"/>
      <c r="Q294" s="1342" t="str" cm="1">
        <f t="array" ref="Q29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94" s="1351"/>
      <c r="S294" s="550"/>
      <c r="T294" s="550"/>
      <c r="U294" s="550">
        <f>Rent_Roll[[#This Row],[Lease
Rent]]+Rent_Roll[[#This Row],[Corp
Rent]]</f>
        <v>0</v>
      </c>
      <c r="V294" s="1344">
        <f>IF(Rent_Roll[[#This Row],[Total In-Place
Rent]]=0,0,Rent_Roll[[#This Row],[Total In-Place
Rent]]-Rent_Roll[[#This Row],[Market
Rent]])</f>
        <v>0</v>
      </c>
      <c r="W294" s="1351"/>
      <c r="X294" s="723"/>
      <c r="Y294" s="723"/>
      <c r="Z294" s="723"/>
      <c r="AA294" s="1345"/>
      <c r="AB294" s="723"/>
      <c r="AC294" s="723"/>
      <c r="AD294" s="723"/>
      <c r="AE294" s="723"/>
      <c r="AF294" s="723"/>
      <c r="AG294" s="147"/>
      <c r="AH294" s="147"/>
      <c r="AI294" s="1348" t="str">
        <f>IF(Rent_Roll[[#This Row],[Future
Lease Start]]="","",DATEDIF(Rent_Roll[[#This Row],[Future
Lease Start]],Rent_Roll[[#This Row],[Future
Lease Exp]],"m")+1)</f>
        <v/>
      </c>
      <c r="AJ294" s="1347"/>
    </row>
    <row r="295" spans="2:36" hidden="1" x14ac:dyDescent="0.2">
      <c r="B295" s="638"/>
      <c r="C295" s="638"/>
      <c r="D295" s="638"/>
      <c r="E295" s="162" t="str">
        <f>IF(Rent_Roll[[#This Row],[Floor-
plan]]="studio",0,LEFT(Rent_Roll[[#This Row],[Floor-
plan]],1))</f>
        <v/>
      </c>
      <c r="F295" s="162" t="str" cm="1">
        <f t="array" ref="F29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95" s="1349"/>
      <c r="H295" s="722"/>
      <c r="J295" s="1337" t="str" cm="1">
        <f t="array" ref="J29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95" s="1350"/>
      <c r="L295" s="150"/>
      <c r="M295" s="1339" t="str" cm="1">
        <f t="array" ref="M295">_xlfn.IFS(Rent_Roll[[#This Row],[Lease
Exp]]="","",Rent_Roll[[#This Row],[MTM
Lease]]="MTM Lease","--",Rent_Roll[[#This Row],[Lease
Exp]]&gt;0,(DATEDIF(Rent_Roll[[#This Row],[Lease
Start]],Rent_Roll[[#This Row],[Lease
Exp]],"m")+1))</f>
        <v/>
      </c>
      <c r="N295" s="1337" t="str">
        <f>IF(OR(Rent_Roll[[#This Row],[MTM Fee]]="",Rent_Roll[[#This Row],[MTM Fee]]=0),"","MTM Lease")</f>
        <v/>
      </c>
      <c r="O295" s="1340" t="str">
        <f>IFERROR(IF(Rent_Roll[[#This Row],[Lease
Exp]]="","",DATEDIF($F$3,Rent_Roll[[#This Row],[Lease
Exp]],"m")+1),0)</f>
        <v/>
      </c>
      <c r="P295" s="155"/>
      <c r="Q295" s="1342" t="str" cm="1">
        <f t="array" ref="Q29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95" s="1351"/>
      <c r="S295" s="550"/>
      <c r="T295" s="550"/>
      <c r="U295" s="550">
        <f>Rent_Roll[[#This Row],[Lease
Rent]]+Rent_Roll[[#This Row],[Corp
Rent]]</f>
        <v>0</v>
      </c>
      <c r="V295" s="1344">
        <f>IF(Rent_Roll[[#This Row],[Total In-Place
Rent]]=0,0,Rent_Roll[[#This Row],[Total In-Place
Rent]]-Rent_Roll[[#This Row],[Market
Rent]])</f>
        <v>0</v>
      </c>
      <c r="W295" s="1351"/>
      <c r="X295" s="723"/>
      <c r="Y295" s="723"/>
      <c r="Z295" s="723"/>
      <c r="AA295" s="1345"/>
      <c r="AB295" s="723"/>
      <c r="AC295" s="723"/>
      <c r="AD295" s="723"/>
      <c r="AE295" s="723"/>
      <c r="AF295" s="723"/>
      <c r="AG295" s="147"/>
      <c r="AH295" s="147"/>
      <c r="AI295" s="1348" t="str">
        <f>IF(Rent_Roll[[#This Row],[Future
Lease Start]]="","",DATEDIF(Rent_Roll[[#This Row],[Future
Lease Start]],Rent_Roll[[#This Row],[Future
Lease Exp]],"m")+1)</f>
        <v/>
      </c>
      <c r="AJ295" s="1347"/>
    </row>
    <row r="296" spans="2:36" hidden="1" x14ac:dyDescent="0.2">
      <c r="B296" s="638"/>
      <c r="C296" s="638"/>
      <c r="D296" s="638"/>
      <c r="E296" s="162" t="str">
        <f>IF(Rent_Roll[[#This Row],[Floor-
plan]]="studio",0,LEFT(Rent_Roll[[#This Row],[Floor-
plan]],1))</f>
        <v/>
      </c>
      <c r="F296" s="162" t="str" cm="1">
        <f t="array" ref="F29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96" s="1349"/>
      <c r="H296" s="722"/>
      <c r="J296" s="1337" t="str" cm="1">
        <f t="array" ref="J29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96" s="1350"/>
      <c r="L296" s="150"/>
      <c r="M296" s="1339" t="str" cm="1">
        <f t="array" ref="M296">_xlfn.IFS(Rent_Roll[[#This Row],[Lease
Exp]]="","",Rent_Roll[[#This Row],[MTM
Lease]]="MTM Lease","--",Rent_Roll[[#This Row],[Lease
Exp]]&gt;0,(DATEDIF(Rent_Roll[[#This Row],[Lease
Start]],Rent_Roll[[#This Row],[Lease
Exp]],"m")+1))</f>
        <v/>
      </c>
      <c r="N296" s="1337" t="str">
        <f>IF(OR(Rent_Roll[[#This Row],[MTM Fee]]="",Rent_Roll[[#This Row],[MTM Fee]]=0),"","MTM Lease")</f>
        <v/>
      </c>
      <c r="O296" s="1340" t="str">
        <f>IFERROR(IF(Rent_Roll[[#This Row],[Lease
Exp]]="","",DATEDIF($F$3,Rent_Roll[[#This Row],[Lease
Exp]],"m")+1),0)</f>
        <v/>
      </c>
      <c r="P296" s="155"/>
      <c r="Q296" s="1342" t="str" cm="1">
        <f t="array" ref="Q29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96" s="1351"/>
      <c r="S296" s="550"/>
      <c r="T296" s="550"/>
      <c r="U296" s="550">
        <f>Rent_Roll[[#This Row],[Lease
Rent]]+Rent_Roll[[#This Row],[Corp
Rent]]</f>
        <v>0</v>
      </c>
      <c r="V296" s="1344">
        <f>IF(Rent_Roll[[#This Row],[Total In-Place
Rent]]=0,0,Rent_Roll[[#This Row],[Total In-Place
Rent]]-Rent_Roll[[#This Row],[Market
Rent]])</f>
        <v>0</v>
      </c>
      <c r="W296" s="1351"/>
      <c r="X296" s="723"/>
      <c r="Y296" s="723"/>
      <c r="Z296" s="723"/>
      <c r="AA296" s="1345"/>
      <c r="AB296" s="723"/>
      <c r="AC296" s="723"/>
      <c r="AD296" s="723"/>
      <c r="AE296" s="723"/>
      <c r="AF296" s="723"/>
      <c r="AG296" s="147"/>
      <c r="AH296" s="147"/>
      <c r="AI296" s="1348" t="str">
        <f>IF(Rent_Roll[[#This Row],[Future
Lease Start]]="","",DATEDIF(Rent_Roll[[#This Row],[Future
Lease Start]],Rent_Roll[[#This Row],[Future
Lease Exp]],"m")+1)</f>
        <v/>
      </c>
      <c r="AJ296" s="1347"/>
    </row>
    <row r="297" spans="2:36" hidden="1" x14ac:dyDescent="0.2">
      <c r="B297" s="638"/>
      <c r="C297" s="638"/>
      <c r="D297" s="638"/>
      <c r="E297" s="162" t="str">
        <f>IF(Rent_Roll[[#This Row],[Floor-
plan]]="studio",0,LEFT(Rent_Roll[[#This Row],[Floor-
plan]],1))</f>
        <v/>
      </c>
      <c r="F297" s="162" t="str" cm="1">
        <f t="array" ref="F29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97" s="1349"/>
      <c r="H297" s="722"/>
      <c r="J297" s="1337" t="str" cm="1">
        <f t="array" ref="J29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97" s="1350"/>
      <c r="L297" s="150"/>
      <c r="M297" s="1339" t="str" cm="1">
        <f t="array" ref="M297">_xlfn.IFS(Rent_Roll[[#This Row],[Lease
Exp]]="","",Rent_Roll[[#This Row],[MTM
Lease]]="MTM Lease","--",Rent_Roll[[#This Row],[Lease
Exp]]&gt;0,(DATEDIF(Rent_Roll[[#This Row],[Lease
Start]],Rent_Roll[[#This Row],[Lease
Exp]],"m")+1))</f>
        <v/>
      </c>
      <c r="N297" s="1337" t="str">
        <f>IF(OR(Rent_Roll[[#This Row],[MTM Fee]]="",Rent_Roll[[#This Row],[MTM Fee]]=0),"","MTM Lease")</f>
        <v/>
      </c>
      <c r="O297" s="1340" t="str">
        <f>IFERROR(IF(Rent_Roll[[#This Row],[Lease
Exp]]="","",DATEDIF($F$3,Rent_Roll[[#This Row],[Lease
Exp]],"m")+1),0)</f>
        <v/>
      </c>
      <c r="P297" s="155"/>
      <c r="Q297" s="1342" t="str" cm="1">
        <f t="array" ref="Q29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97" s="1351"/>
      <c r="S297" s="550"/>
      <c r="T297" s="550"/>
      <c r="U297" s="550">
        <f>Rent_Roll[[#This Row],[Lease
Rent]]+Rent_Roll[[#This Row],[Corp
Rent]]</f>
        <v>0</v>
      </c>
      <c r="V297" s="1344">
        <f>IF(Rent_Roll[[#This Row],[Total In-Place
Rent]]=0,0,Rent_Roll[[#This Row],[Total In-Place
Rent]]-Rent_Roll[[#This Row],[Market
Rent]])</f>
        <v>0</v>
      </c>
      <c r="W297" s="1351"/>
      <c r="X297" s="723"/>
      <c r="Y297" s="723"/>
      <c r="Z297" s="723"/>
      <c r="AA297" s="1345"/>
      <c r="AB297" s="723"/>
      <c r="AC297" s="723"/>
      <c r="AD297" s="723"/>
      <c r="AE297" s="723"/>
      <c r="AF297" s="723"/>
      <c r="AG297" s="147"/>
      <c r="AH297" s="147"/>
      <c r="AI297" s="1348" t="str">
        <f>IF(Rent_Roll[[#This Row],[Future
Lease Start]]="","",DATEDIF(Rent_Roll[[#This Row],[Future
Lease Start]],Rent_Roll[[#This Row],[Future
Lease Exp]],"m")+1)</f>
        <v/>
      </c>
      <c r="AJ297" s="1347"/>
    </row>
    <row r="298" spans="2:36" hidden="1" x14ac:dyDescent="0.2">
      <c r="B298" s="638"/>
      <c r="C298" s="638"/>
      <c r="D298" s="638"/>
      <c r="E298" s="162" t="str">
        <f>IF(Rent_Roll[[#This Row],[Floor-
plan]]="studio",0,LEFT(Rent_Roll[[#This Row],[Floor-
plan]],1))</f>
        <v/>
      </c>
      <c r="F298" s="162" t="str" cm="1">
        <f t="array" ref="F29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98" s="1349"/>
      <c r="H298" s="722"/>
      <c r="J298" s="1337" t="str" cm="1">
        <f t="array" ref="J29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98" s="1350"/>
      <c r="L298" s="150"/>
      <c r="M298" s="1339" t="str" cm="1">
        <f t="array" ref="M298">_xlfn.IFS(Rent_Roll[[#This Row],[Lease
Exp]]="","",Rent_Roll[[#This Row],[MTM
Lease]]="MTM Lease","--",Rent_Roll[[#This Row],[Lease
Exp]]&gt;0,(DATEDIF(Rent_Roll[[#This Row],[Lease
Start]],Rent_Roll[[#This Row],[Lease
Exp]],"m")+1))</f>
        <v/>
      </c>
      <c r="N298" s="1337" t="str">
        <f>IF(OR(Rent_Roll[[#This Row],[MTM Fee]]="",Rent_Roll[[#This Row],[MTM Fee]]=0),"","MTM Lease")</f>
        <v/>
      </c>
      <c r="O298" s="1340" t="str">
        <f>IFERROR(IF(Rent_Roll[[#This Row],[Lease
Exp]]="","",DATEDIF($F$3,Rent_Roll[[#This Row],[Lease
Exp]],"m")+1),0)</f>
        <v/>
      </c>
      <c r="P298" s="155"/>
      <c r="Q298" s="1342" t="str" cm="1">
        <f t="array" ref="Q29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98" s="1351"/>
      <c r="S298" s="550"/>
      <c r="T298" s="550"/>
      <c r="U298" s="550">
        <f>Rent_Roll[[#This Row],[Lease
Rent]]+Rent_Roll[[#This Row],[Corp
Rent]]</f>
        <v>0</v>
      </c>
      <c r="V298" s="1344">
        <f>IF(Rent_Roll[[#This Row],[Total In-Place
Rent]]=0,0,Rent_Roll[[#This Row],[Total In-Place
Rent]]-Rent_Roll[[#This Row],[Market
Rent]])</f>
        <v>0</v>
      </c>
      <c r="W298" s="1351"/>
      <c r="X298" s="723"/>
      <c r="Y298" s="723"/>
      <c r="Z298" s="723"/>
      <c r="AA298" s="1345"/>
      <c r="AB298" s="723"/>
      <c r="AC298" s="723"/>
      <c r="AD298" s="723"/>
      <c r="AE298" s="723"/>
      <c r="AF298" s="723"/>
      <c r="AG298" s="147"/>
      <c r="AH298" s="147"/>
      <c r="AI298" s="1348" t="str">
        <f>IF(Rent_Roll[[#This Row],[Future
Lease Start]]="","",DATEDIF(Rent_Roll[[#This Row],[Future
Lease Start]],Rent_Roll[[#This Row],[Future
Lease Exp]],"m")+1)</f>
        <v/>
      </c>
      <c r="AJ298" s="1347"/>
    </row>
    <row r="299" spans="2:36" hidden="1" x14ac:dyDescent="0.2">
      <c r="B299" s="638"/>
      <c r="C299" s="638"/>
      <c r="D299" s="638"/>
      <c r="E299" s="162" t="str">
        <f>IF(Rent_Roll[[#This Row],[Floor-
plan]]="studio",0,LEFT(Rent_Roll[[#This Row],[Floor-
plan]],1))</f>
        <v/>
      </c>
      <c r="F299" s="162" t="str" cm="1">
        <f t="array" ref="F29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299" s="1349"/>
      <c r="H299" s="722"/>
      <c r="J299" s="1337" t="str" cm="1">
        <f t="array" ref="J29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299" s="1350"/>
      <c r="L299" s="150"/>
      <c r="M299" s="1339" t="str" cm="1">
        <f t="array" ref="M299">_xlfn.IFS(Rent_Roll[[#This Row],[Lease
Exp]]="","",Rent_Roll[[#This Row],[MTM
Lease]]="MTM Lease","--",Rent_Roll[[#This Row],[Lease
Exp]]&gt;0,(DATEDIF(Rent_Roll[[#This Row],[Lease
Start]],Rent_Roll[[#This Row],[Lease
Exp]],"m")+1))</f>
        <v/>
      </c>
      <c r="N299" s="1337" t="str">
        <f>IF(OR(Rent_Roll[[#This Row],[MTM Fee]]="",Rent_Roll[[#This Row],[MTM Fee]]=0),"","MTM Lease")</f>
        <v/>
      </c>
      <c r="O299" s="1340" t="str">
        <f>IFERROR(IF(Rent_Roll[[#This Row],[Lease
Exp]]="","",DATEDIF($F$3,Rent_Roll[[#This Row],[Lease
Exp]],"m")+1),0)</f>
        <v/>
      </c>
      <c r="P299" s="155"/>
      <c r="Q299" s="1342" t="str" cm="1">
        <f t="array" ref="Q29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299" s="1351"/>
      <c r="S299" s="550"/>
      <c r="T299" s="550"/>
      <c r="U299" s="550">
        <f>Rent_Roll[[#This Row],[Lease
Rent]]+Rent_Roll[[#This Row],[Corp
Rent]]</f>
        <v>0</v>
      </c>
      <c r="V299" s="1344">
        <f>IF(Rent_Roll[[#This Row],[Total In-Place
Rent]]=0,0,Rent_Roll[[#This Row],[Total In-Place
Rent]]-Rent_Roll[[#This Row],[Market
Rent]])</f>
        <v>0</v>
      </c>
      <c r="W299" s="1351"/>
      <c r="X299" s="723"/>
      <c r="Y299" s="723"/>
      <c r="Z299" s="723"/>
      <c r="AA299" s="1345"/>
      <c r="AB299" s="723"/>
      <c r="AC299" s="723"/>
      <c r="AD299" s="723"/>
      <c r="AE299" s="723"/>
      <c r="AF299" s="723"/>
      <c r="AG299" s="147"/>
      <c r="AH299" s="147"/>
      <c r="AI299" s="1348" t="str">
        <f>IF(Rent_Roll[[#This Row],[Future
Lease Start]]="","",DATEDIF(Rent_Roll[[#This Row],[Future
Lease Start]],Rent_Roll[[#This Row],[Future
Lease Exp]],"m")+1)</f>
        <v/>
      </c>
      <c r="AJ299" s="1347"/>
    </row>
    <row r="300" spans="2:36" hidden="1" x14ac:dyDescent="0.2">
      <c r="B300" s="638"/>
      <c r="C300" s="638"/>
      <c r="D300" s="638"/>
      <c r="E300" s="162" t="str">
        <f>IF(Rent_Roll[[#This Row],[Floor-
plan]]="studio",0,LEFT(Rent_Roll[[#This Row],[Floor-
plan]],1))</f>
        <v/>
      </c>
      <c r="F300" s="162" t="str" cm="1">
        <f t="array" ref="F30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00" s="1349"/>
      <c r="H300" s="722"/>
      <c r="J300" s="1337" t="str" cm="1">
        <f t="array" ref="J30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00" s="1350"/>
      <c r="L300" s="150"/>
      <c r="M300" s="1339" t="str" cm="1">
        <f t="array" ref="M300">_xlfn.IFS(Rent_Roll[[#This Row],[Lease
Exp]]="","",Rent_Roll[[#This Row],[MTM
Lease]]="MTM Lease","--",Rent_Roll[[#This Row],[Lease
Exp]]&gt;0,(DATEDIF(Rent_Roll[[#This Row],[Lease
Start]],Rent_Roll[[#This Row],[Lease
Exp]],"m")+1))</f>
        <v/>
      </c>
      <c r="N300" s="1337" t="str">
        <f>IF(OR(Rent_Roll[[#This Row],[MTM Fee]]="",Rent_Roll[[#This Row],[MTM Fee]]=0),"","MTM Lease")</f>
        <v/>
      </c>
      <c r="O300" s="1340" t="str">
        <f>IFERROR(IF(Rent_Roll[[#This Row],[Lease
Exp]]="","",DATEDIF($F$3,Rent_Roll[[#This Row],[Lease
Exp]],"m")+1),0)</f>
        <v/>
      </c>
      <c r="P300" s="155"/>
      <c r="Q300" s="1342" t="str" cm="1">
        <f t="array" ref="Q30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00" s="1351"/>
      <c r="S300" s="550"/>
      <c r="T300" s="550"/>
      <c r="U300" s="550">
        <f>Rent_Roll[[#This Row],[Lease
Rent]]+Rent_Roll[[#This Row],[Corp
Rent]]</f>
        <v>0</v>
      </c>
      <c r="V300" s="1344">
        <f>IF(Rent_Roll[[#This Row],[Total In-Place
Rent]]=0,0,Rent_Roll[[#This Row],[Total In-Place
Rent]]-Rent_Roll[[#This Row],[Market
Rent]])</f>
        <v>0</v>
      </c>
      <c r="W300" s="1351"/>
      <c r="X300" s="723"/>
      <c r="Y300" s="723"/>
      <c r="Z300" s="723"/>
      <c r="AA300" s="1345"/>
      <c r="AB300" s="723"/>
      <c r="AC300" s="723"/>
      <c r="AD300" s="723"/>
      <c r="AE300" s="723"/>
      <c r="AF300" s="723"/>
      <c r="AG300" s="147"/>
      <c r="AH300" s="147"/>
      <c r="AI300" s="1348" t="str">
        <f>IF(Rent_Roll[[#This Row],[Future
Lease Start]]="","",DATEDIF(Rent_Roll[[#This Row],[Future
Lease Start]],Rent_Roll[[#This Row],[Future
Lease Exp]],"m")+1)</f>
        <v/>
      </c>
      <c r="AJ300" s="1347"/>
    </row>
    <row r="301" spans="2:36" hidden="1" x14ac:dyDescent="0.2">
      <c r="B301" s="638"/>
      <c r="C301" s="638"/>
      <c r="D301" s="638"/>
      <c r="E301" s="162" t="str">
        <f>IF(Rent_Roll[[#This Row],[Floor-
plan]]="studio",0,LEFT(Rent_Roll[[#This Row],[Floor-
plan]],1))</f>
        <v/>
      </c>
      <c r="F301" s="162" t="str" cm="1">
        <f t="array" ref="F30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01" s="1349"/>
      <c r="H301" s="722"/>
      <c r="J301" s="1337" t="str" cm="1">
        <f t="array" ref="J30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01" s="1350"/>
      <c r="L301" s="150"/>
      <c r="M301" s="1339" t="str" cm="1">
        <f t="array" ref="M301">_xlfn.IFS(Rent_Roll[[#This Row],[Lease
Exp]]="","",Rent_Roll[[#This Row],[MTM
Lease]]="MTM Lease","--",Rent_Roll[[#This Row],[Lease
Exp]]&gt;0,(DATEDIF(Rent_Roll[[#This Row],[Lease
Start]],Rent_Roll[[#This Row],[Lease
Exp]],"m")+1))</f>
        <v/>
      </c>
      <c r="N301" s="1337" t="str">
        <f>IF(OR(Rent_Roll[[#This Row],[MTM Fee]]="",Rent_Roll[[#This Row],[MTM Fee]]=0),"","MTM Lease")</f>
        <v/>
      </c>
      <c r="O301" s="1340" t="str">
        <f>IFERROR(IF(Rent_Roll[[#This Row],[Lease
Exp]]="","",DATEDIF($F$3,Rent_Roll[[#This Row],[Lease
Exp]],"m")+1),0)</f>
        <v/>
      </c>
      <c r="P301" s="155"/>
      <c r="Q301" s="1342" t="str" cm="1">
        <f t="array" ref="Q30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01" s="1351"/>
      <c r="S301" s="550"/>
      <c r="T301" s="550"/>
      <c r="U301" s="550">
        <f>Rent_Roll[[#This Row],[Lease
Rent]]+Rent_Roll[[#This Row],[Corp
Rent]]</f>
        <v>0</v>
      </c>
      <c r="V301" s="1344">
        <f>IF(Rent_Roll[[#This Row],[Total In-Place
Rent]]=0,0,Rent_Roll[[#This Row],[Total In-Place
Rent]]-Rent_Roll[[#This Row],[Market
Rent]])</f>
        <v>0</v>
      </c>
      <c r="W301" s="1351"/>
      <c r="X301" s="723"/>
      <c r="Y301" s="723"/>
      <c r="Z301" s="723"/>
      <c r="AA301" s="1345"/>
      <c r="AB301" s="723"/>
      <c r="AC301" s="723"/>
      <c r="AD301" s="723"/>
      <c r="AE301" s="723"/>
      <c r="AF301" s="723"/>
      <c r="AG301" s="147"/>
      <c r="AH301" s="147"/>
      <c r="AI301" s="1348" t="str">
        <f>IF(Rent_Roll[[#This Row],[Future
Lease Start]]="","",DATEDIF(Rent_Roll[[#This Row],[Future
Lease Start]],Rent_Roll[[#This Row],[Future
Lease Exp]],"m")+1)</f>
        <v/>
      </c>
      <c r="AJ301" s="1347"/>
    </row>
    <row r="302" spans="2:36" hidden="1" x14ac:dyDescent="0.2">
      <c r="B302" s="638"/>
      <c r="C302" s="638"/>
      <c r="D302" s="638"/>
      <c r="E302" s="162" t="str">
        <f>IF(Rent_Roll[[#This Row],[Floor-
plan]]="studio",0,LEFT(Rent_Roll[[#This Row],[Floor-
plan]],1))</f>
        <v/>
      </c>
      <c r="F302" s="162" t="str" cm="1">
        <f t="array" ref="F30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02" s="1349"/>
      <c r="H302" s="722"/>
      <c r="J302" s="1337" t="str" cm="1">
        <f t="array" ref="J30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02" s="1350"/>
      <c r="L302" s="150"/>
      <c r="M302" s="1339" t="str" cm="1">
        <f t="array" ref="M302">_xlfn.IFS(Rent_Roll[[#This Row],[Lease
Exp]]="","",Rent_Roll[[#This Row],[MTM
Lease]]="MTM Lease","--",Rent_Roll[[#This Row],[Lease
Exp]]&gt;0,(DATEDIF(Rent_Roll[[#This Row],[Lease
Start]],Rent_Roll[[#This Row],[Lease
Exp]],"m")+1))</f>
        <v/>
      </c>
      <c r="N302" s="1337" t="str">
        <f>IF(OR(Rent_Roll[[#This Row],[MTM Fee]]="",Rent_Roll[[#This Row],[MTM Fee]]=0),"","MTM Lease")</f>
        <v/>
      </c>
      <c r="O302" s="1340" t="str">
        <f>IFERROR(IF(Rent_Roll[[#This Row],[Lease
Exp]]="","",DATEDIF($F$3,Rent_Roll[[#This Row],[Lease
Exp]],"m")+1),0)</f>
        <v/>
      </c>
      <c r="P302" s="155"/>
      <c r="Q302" s="1342" t="str" cm="1">
        <f t="array" ref="Q30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02" s="1351"/>
      <c r="S302" s="550"/>
      <c r="T302" s="550"/>
      <c r="U302" s="550">
        <f>Rent_Roll[[#This Row],[Lease
Rent]]+Rent_Roll[[#This Row],[Corp
Rent]]</f>
        <v>0</v>
      </c>
      <c r="V302" s="1344">
        <f>IF(Rent_Roll[[#This Row],[Total In-Place
Rent]]=0,0,Rent_Roll[[#This Row],[Total In-Place
Rent]]-Rent_Roll[[#This Row],[Market
Rent]])</f>
        <v>0</v>
      </c>
      <c r="W302" s="1351"/>
      <c r="X302" s="723"/>
      <c r="Y302" s="723"/>
      <c r="Z302" s="723"/>
      <c r="AA302" s="1345"/>
      <c r="AB302" s="723"/>
      <c r="AC302" s="723"/>
      <c r="AD302" s="723"/>
      <c r="AE302" s="723"/>
      <c r="AF302" s="723"/>
      <c r="AG302" s="147"/>
      <c r="AH302" s="147"/>
      <c r="AI302" s="1348" t="str">
        <f>IF(Rent_Roll[[#This Row],[Future
Lease Start]]="","",DATEDIF(Rent_Roll[[#This Row],[Future
Lease Start]],Rent_Roll[[#This Row],[Future
Lease Exp]],"m")+1)</f>
        <v/>
      </c>
      <c r="AJ302" s="1347"/>
    </row>
    <row r="303" spans="2:36" hidden="1" x14ac:dyDescent="0.2">
      <c r="B303" s="638"/>
      <c r="C303" s="638"/>
      <c r="D303" s="638"/>
      <c r="E303" s="162" t="str">
        <f>IF(Rent_Roll[[#This Row],[Floor-
plan]]="studio",0,LEFT(Rent_Roll[[#This Row],[Floor-
plan]],1))</f>
        <v/>
      </c>
      <c r="F303" s="162" t="str" cm="1">
        <f t="array" ref="F30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03" s="1349"/>
      <c r="H303" s="722"/>
      <c r="J303" s="1337" t="str" cm="1">
        <f t="array" ref="J30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03" s="1350"/>
      <c r="L303" s="150"/>
      <c r="M303" s="1339" t="str" cm="1">
        <f t="array" ref="M303">_xlfn.IFS(Rent_Roll[[#This Row],[Lease
Exp]]="","",Rent_Roll[[#This Row],[MTM
Lease]]="MTM Lease","--",Rent_Roll[[#This Row],[Lease
Exp]]&gt;0,(DATEDIF(Rent_Roll[[#This Row],[Lease
Start]],Rent_Roll[[#This Row],[Lease
Exp]],"m")+1))</f>
        <v/>
      </c>
      <c r="N303" s="1337" t="str">
        <f>IF(OR(Rent_Roll[[#This Row],[MTM Fee]]="",Rent_Roll[[#This Row],[MTM Fee]]=0),"","MTM Lease")</f>
        <v/>
      </c>
      <c r="O303" s="1340" t="str">
        <f>IFERROR(IF(Rent_Roll[[#This Row],[Lease
Exp]]="","",DATEDIF($F$3,Rent_Roll[[#This Row],[Lease
Exp]],"m")+1),0)</f>
        <v/>
      </c>
      <c r="P303" s="155"/>
      <c r="Q303" s="1342" t="str" cm="1">
        <f t="array" ref="Q30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03" s="1351"/>
      <c r="S303" s="550"/>
      <c r="T303" s="550"/>
      <c r="U303" s="550">
        <f>Rent_Roll[[#This Row],[Lease
Rent]]+Rent_Roll[[#This Row],[Corp
Rent]]</f>
        <v>0</v>
      </c>
      <c r="V303" s="1344">
        <f>IF(Rent_Roll[[#This Row],[Total In-Place
Rent]]=0,0,Rent_Roll[[#This Row],[Total In-Place
Rent]]-Rent_Roll[[#This Row],[Market
Rent]])</f>
        <v>0</v>
      </c>
      <c r="W303" s="1351"/>
      <c r="X303" s="723"/>
      <c r="Y303" s="723"/>
      <c r="Z303" s="723"/>
      <c r="AA303" s="1345"/>
      <c r="AB303" s="723"/>
      <c r="AC303" s="723"/>
      <c r="AD303" s="723"/>
      <c r="AE303" s="723"/>
      <c r="AF303" s="723"/>
      <c r="AG303" s="147"/>
      <c r="AH303" s="147"/>
      <c r="AI303" s="1348" t="str">
        <f>IF(Rent_Roll[[#This Row],[Future
Lease Start]]="","",DATEDIF(Rent_Roll[[#This Row],[Future
Lease Start]],Rent_Roll[[#This Row],[Future
Lease Exp]],"m")+1)</f>
        <v/>
      </c>
      <c r="AJ303" s="1347"/>
    </row>
    <row r="304" spans="2:36" hidden="1" x14ac:dyDescent="0.2">
      <c r="B304" s="638"/>
      <c r="C304" s="638"/>
      <c r="D304" s="638"/>
      <c r="E304" s="162" t="str">
        <f>IF(Rent_Roll[[#This Row],[Floor-
plan]]="studio",0,LEFT(Rent_Roll[[#This Row],[Floor-
plan]],1))</f>
        <v/>
      </c>
      <c r="F304" s="162" t="str" cm="1">
        <f t="array" ref="F30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04" s="1349"/>
      <c r="H304" s="722"/>
      <c r="J304" s="1337" t="str" cm="1">
        <f t="array" ref="J30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04" s="1350"/>
      <c r="L304" s="150"/>
      <c r="M304" s="1339" t="str" cm="1">
        <f t="array" ref="M304">_xlfn.IFS(Rent_Roll[[#This Row],[Lease
Exp]]="","",Rent_Roll[[#This Row],[MTM
Lease]]="MTM Lease","--",Rent_Roll[[#This Row],[Lease
Exp]]&gt;0,(DATEDIF(Rent_Roll[[#This Row],[Lease
Start]],Rent_Roll[[#This Row],[Lease
Exp]],"m")+1))</f>
        <v/>
      </c>
      <c r="N304" s="1337" t="str">
        <f>IF(OR(Rent_Roll[[#This Row],[MTM Fee]]="",Rent_Roll[[#This Row],[MTM Fee]]=0),"","MTM Lease")</f>
        <v/>
      </c>
      <c r="O304" s="1340" t="str">
        <f>IFERROR(IF(Rent_Roll[[#This Row],[Lease
Exp]]="","",DATEDIF($F$3,Rent_Roll[[#This Row],[Lease
Exp]],"m")+1),0)</f>
        <v/>
      </c>
      <c r="P304" s="155"/>
      <c r="Q304" s="1342" t="str" cm="1">
        <f t="array" ref="Q30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04" s="1351"/>
      <c r="S304" s="550"/>
      <c r="T304" s="550"/>
      <c r="U304" s="550">
        <f>Rent_Roll[[#This Row],[Lease
Rent]]+Rent_Roll[[#This Row],[Corp
Rent]]</f>
        <v>0</v>
      </c>
      <c r="V304" s="1344">
        <f>IF(Rent_Roll[[#This Row],[Total In-Place
Rent]]=0,0,Rent_Roll[[#This Row],[Total In-Place
Rent]]-Rent_Roll[[#This Row],[Market
Rent]])</f>
        <v>0</v>
      </c>
      <c r="W304" s="1351"/>
      <c r="X304" s="723"/>
      <c r="Y304" s="723"/>
      <c r="Z304" s="723"/>
      <c r="AA304" s="1345"/>
      <c r="AB304" s="723"/>
      <c r="AC304" s="723"/>
      <c r="AD304" s="723"/>
      <c r="AE304" s="723"/>
      <c r="AF304" s="723"/>
      <c r="AG304" s="147"/>
      <c r="AH304" s="147"/>
      <c r="AI304" s="1348" t="str">
        <f>IF(Rent_Roll[[#This Row],[Future
Lease Start]]="","",DATEDIF(Rent_Roll[[#This Row],[Future
Lease Start]],Rent_Roll[[#This Row],[Future
Lease Exp]],"m")+1)</f>
        <v/>
      </c>
      <c r="AJ304" s="1347"/>
    </row>
    <row r="305" spans="2:36" hidden="1" x14ac:dyDescent="0.2">
      <c r="B305" s="638"/>
      <c r="C305" s="638"/>
      <c r="D305" s="638"/>
      <c r="E305" s="162" t="str">
        <f>IF(Rent_Roll[[#This Row],[Floor-
plan]]="studio",0,LEFT(Rent_Roll[[#This Row],[Floor-
plan]],1))</f>
        <v/>
      </c>
      <c r="F305" s="162" t="str" cm="1">
        <f t="array" ref="F30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05" s="1349"/>
      <c r="H305" s="722"/>
      <c r="J305" s="1337" t="str" cm="1">
        <f t="array" ref="J30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05" s="1350"/>
      <c r="L305" s="150"/>
      <c r="M305" s="1339" t="str" cm="1">
        <f t="array" ref="M305">_xlfn.IFS(Rent_Roll[[#This Row],[Lease
Exp]]="","",Rent_Roll[[#This Row],[MTM
Lease]]="MTM Lease","--",Rent_Roll[[#This Row],[Lease
Exp]]&gt;0,(DATEDIF(Rent_Roll[[#This Row],[Lease
Start]],Rent_Roll[[#This Row],[Lease
Exp]],"m")+1))</f>
        <v/>
      </c>
      <c r="N305" s="1337" t="str">
        <f>IF(OR(Rent_Roll[[#This Row],[MTM Fee]]="",Rent_Roll[[#This Row],[MTM Fee]]=0),"","MTM Lease")</f>
        <v/>
      </c>
      <c r="O305" s="1340" t="str">
        <f>IFERROR(IF(Rent_Roll[[#This Row],[Lease
Exp]]="","",DATEDIF($F$3,Rent_Roll[[#This Row],[Lease
Exp]],"m")+1),0)</f>
        <v/>
      </c>
      <c r="P305" s="155"/>
      <c r="Q305" s="1342" t="str" cm="1">
        <f t="array" ref="Q30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05" s="1351"/>
      <c r="S305" s="550"/>
      <c r="T305" s="550"/>
      <c r="U305" s="550">
        <f>Rent_Roll[[#This Row],[Lease
Rent]]+Rent_Roll[[#This Row],[Corp
Rent]]</f>
        <v>0</v>
      </c>
      <c r="V305" s="1344">
        <f>IF(Rent_Roll[[#This Row],[Total In-Place
Rent]]=0,0,Rent_Roll[[#This Row],[Total In-Place
Rent]]-Rent_Roll[[#This Row],[Market
Rent]])</f>
        <v>0</v>
      </c>
      <c r="W305" s="1351"/>
      <c r="X305" s="723"/>
      <c r="Y305" s="723"/>
      <c r="Z305" s="723"/>
      <c r="AA305" s="1345"/>
      <c r="AB305" s="723"/>
      <c r="AC305" s="723"/>
      <c r="AD305" s="723"/>
      <c r="AE305" s="723"/>
      <c r="AF305" s="723"/>
      <c r="AG305" s="147"/>
      <c r="AH305" s="147"/>
      <c r="AI305" s="1348" t="str">
        <f>IF(Rent_Roll[[#This Row],[Future
Lease Start]]="","",DATEDIF(Rent_Roll[[#This Row],[Future
Lease Start]],Rent_Roll[[#This Row],[Future
Lease Exp]],"m")+1)</f>
        <v/>
      </c>
      <c r="AJ305" s="1347"/>
    </row>
    <row r="306" spans="2:36" hidden="1" x14ac:dyDescent="0.2">
      <c r="B306" s="638"/>
      <c r="C306" s="638"/>
      <c r="D306" s="638"/>
      <c r="E306" s="162" t="str">
        <f>IF(Rent_Roll[[#This Row],[Floor-
plan]]="studio",0,LEFT(Rent_Roll[[#This Row],[Floor-
plan]],1))</f>
        <v/>
      </c>
      <c r="F306" s="162" t="str" cm="1">
        <f t="array" ref="F30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06" s="1349"/>
      <c r="H306" s="722"/>
      <c r="J306" s="1337" t="str" cm="1">
        <f t="array" ref="J30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06" s="1350"/>
      <c r="L306" s="150"/>
      <c r="M306" s="1339" t="str" cm="1">
        <f t="array" ref="M306">_xlfn.IFS(Rent_Roll[[#This Row],[Lease
Exp]]="","",Rent_Roll[[#This Row],[MTM
Lease]]="MTM Lease","--",Rent_Roll[[#This Row],[Lease
Exp]]&gt;0,(DATEDIF(Rent_Roll[[#This Row],[Lease
Start]],Rent_Roll[[#This Row],[Lease
Exp]],"m")+1))</f>
        <v/>
      </c>
      <c r="N306" s="1337" t="str">
        <f>IF(OR(Rent_Roll[[#This Row],[MTM Fee]]="",Rent_Roll[[#This Row],[MTM Fee]]=0),"","MTM Lease")</f>
        <v/>
      </c>
      <c r="O306" s="1340" t="str">
        <f>IFERROR(IF(Rent_Roll[[#This Row],[Lease
Exp]]="","",DATEDIF($F$3,Rent_Roll[[#This Row],[Lease
Exp]],"m")+1),0)</f>
        <v/>
      </c>
      <c r="P306" s="155"/>
      <c r="Q306" s="1342" t="str" cm="1">
        <f t="array" ref="Q30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06" s="1351"/>
      <c r="S306" s="550"/>
      <c r="T306" s="550"/>
      <c r="U306" s="550">
        <f>Rent_Roll[[#This Row],[Lease
Rent]]+Rent_Roll[[#This Row],[Corp
Rent]]</f>
        <v>0</v>
      </c>
      <c r="V306" s="1344">
        <f>IF(Rent_Roll[[#This Row],[Total In-Place
Rent]]=0,0,Rent_Roll[[#This Row],[Total In-Place
Rent]]-Rent_Roll[[#This Row],[Market
Rent]])</f>
        <v>0</v>
      </c>
      <c r="W306" s="1351"/>
      <c r="X306" s="723"/>
      <c r="Y306" s="723"/>
      <c r="Z306" s="723"/>
      <c r="AA306" s="1345"/>
      <c r="AB306" s="723"/>
      <c r="AC306" s="723"/>
      <c r="AD306" s="723"/>
      <c r="AE306" s="723"/>
      <c r="AF306" s="723"/>
      <c r="AG306" s="147"/>
      <c r="AH306" s="147"/>
      <c r="AI306" s="1348" t="str">
        <f>IF(Rent_Roll[[#This Row],[Future
Lease Start]]="","",DATEDIF(Rent_Roll[[#This Row],[Future
Lease Start]],Rent_Roll[[#This Row],[Future
Lease Exp]],"m")+1)</f>
        <v/>
      </c>
      <c r="AJ306" s="1347"/>
    </row>
    <row r="307" spans="2:36" hidden="1" x14ac:dyDescent="0.2">
      <c r="B307" s="638"/>
      <c r="C307" s="638"/>
      <c r="D307" s="638"/>
      <c r="E307" s="162" t="str">
        <f>IF(Rent_Roll[[#This Row],[Floor-
plan]]="studio",0,LEFT(Rent_Roll[[#This Row],[Floor-
plan]],1))</f>
        <v/>
      </c>
      <c r="F307" s="162" t="str" cm="1">
        <f t="array" ref="F30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07" s="1349"/>
      <c r="H307" s="722"/>
      <c r="J307" s="1337" t="str" cm="1">
        <f t="array" ref="J30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07" s="1350"/>
      <c r="L307" s="150"/>
      <c r="M307" s="1339" t="str" cm="1">
        <f t="array" ref="M307">_xlfn.IFS(Rent_Roll[[#This Row],[Lease
Exp]]="","",Rent_Roll[[#This Row],[MTM
Lease]]="MTM Lease","--",Rent_Roll[[#This Row],[Lease
Exp]]&gt;0,(DATEDIF(Rent_Roll[[#This Row],[Lease
Start]],Rent_Roll[[#This Row],[Lease
Exp]],"m")+1))</f>
        <v/>
      </c>
      <c r="N307" s="1337" t="str">
        <f>IF(OR(Rent_Roll[[#This Row],[MTM Fee]]="",Rent_Roll[[#This Row],[MTM Fee]]=0),"","MTM Lease")</f>
        <v/>
      </c>
      <c r="O307" s="1340" t="str">
        <f>IFERROR(IF(Rent_Roll[[#This Row],[Lease
Exp]]="","",DATEDIF($F$3,Rent_Roll[[#This Row],[Lease
Exp]],"m")+1),0)</f>
        <v/>
      </c>
      <c r="P307" s="155"/>
      <c r="Q307" s="1342" t="str" cm="1">
        <f t="array" ref="Q30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07" s="1351"/>
      <c r="S307" s="550"/>
      <c r="T307" s="550"/>
      <c r="U307" s="550">
        <f>Rent_Roll[[#This Row],[Lease
Rent]]+Rent_Roll[[#This Row],[Corp
Rent]]</f>
        <v>0</v>
      </c>
      <c r="V307" s="1344">
        <f>IF(Rent_Roll[[#This Row],[Total In-Place
Rent]]=0,0,Rent_Roll[[#This Row],[Total In-Place
Rent]]-Rent_Roll[[#This Row],[Market
Rent]])</f>
        <v>0</v>
      </c>
      <c r="W307" s="1351"/>
      <c r="X307" s="723"/>
      <c r="Y307" s="723"/>
      <c r="Z307" s="723"/>
      <c r="AA307" s="1345"/>
      <c r="AB307" s="723"/>
      <c r="AC307" s="723"/>
      <c r="AD307" s="723"/>
      <c r="AE307" s="723"/>
      <c r="AF307" s="723"/>
      <c r="AG307" s="147"/>
      <c r="AH307" s="147"/>
      <c r="AI307" s="1348" t="str">
        <f>IF(Rent_Roll[[#This Row],[Future
Lease Start]]="","",DATEDIF(Rent_Roll[[#This Row],[Future
Lease Start]],Rent_Roll[[#This Row],[Future
Lease Exp]],"m")+1)</f>
        <v/>
      </c>
      <c r="AJ307" s="1347"/>
    </row>
    <row r="308" spans="2:36" hidden="1" x14ac:dyDescent="0.2">
      <c r="B308" s="638"/>
      <c r="C308" s="638"/>
      <c r="D308" s="638"/>
      <c r="E308" s="162" t="str">
        <f>IF(Rent_Roll[[#This Row],[Floor-
plan]]="studio",0,LEFT(Rent_Roll[[#This Row],[Floor-
plan]],1))</f>
        <v/>
      </c>
      <c r="F308" s="162" t="str" cm="1">
        <f t="array" ref="F30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08" s="1349"/>
      <c r="H308" s="722"/>
      <c r="J308" s="1337" t="str" cm="1">
        <f t="array" ref="J30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08" s="1350"/>
      <c r="L308" s="150"/>
      <c r="M308" s="1339" t="str" cm="1">
        <f t="array" ref="M308">_xlfn.IFS(Rent_Roll[[#This Row],[Lease
Exp]]="","",Rent_Roll[[#This Row],[MTM
Lease]]="MTM Lease","--",Rent_Roll[[#This Row],[Lease
Exp]]&gt;0,(DATEDIF(Rent_Roll[[#This Row],[Lease
Start]],Rent_Roll[[#This Row],[Lease
Exp]],"m")+1))</f>
        <v/>
      </c>
      <c r="N308" s="1337" t="str">
        <f>IF(OR(Rent_Roll[[#This Row],[MTM Fee]]="",Rent_Roll[[#This Row],[MTM Fee]]=0),"","MTM Lease")</f>
        <v/>
      </c>
      <c r="O308" s="1340" t="str">
        <f>IFERROR(IF(Rent_Roll[[#This Row],[Lease
Exp]]="","",DATEDIF($F$3,Rent_Roll[[#This Row],[Lease
Exp]],"m")+1),0)</f>
        <v/>
      </c>
      <c r="P308" s="155"/>
      <c r="Q308" s="1342" t="str" cm="1">
        <f t="array" ref="Q30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08" s="1351"/>
      <c r="S308" s="550"/>
      <c r="T308" s="550"/>
      <c r="U308" s="550">
        <f>Rent_Roll[[#This Row],[Lease
Rent]]+Rent_Roll[[#This Row],[Corp
Rent]]</f>
        <v>0</v>
      </c>
      <c r="V308" s="1344">
        <f>IF(Rent_Roll[[#This Row],[Total In-Place
Rent]]=0,0,Rent_Roll[[#This Row],[Total In-Place
Rent]]-Rent_Roll[[#This Row],[Market
Rent]])</f>
        <v>0</v>
      </c>
      <c r="W308" s="1351"/>
      <c r="X308" s="723"/>
      <c r="Y308" s="723"/>
      <c r="Z308" s="723"/>
      <c r="AA308" s="1345"/>
      <c r="AB308" s="723"/>
      <c r="AC308" s="723"/>
      <c r="AD308" s="723"/>
      <c r="AE308" s="723"/>
      <c r="AF308" s="723"/>
      <c r="AG308" s="147"/>
      <c r="AH308" s="147"/>
      <c r="AI308" s="1348" t="str">
        <f>IF(Rent_Roll[[#This Row],[Future
Lease Start]]="","",DATEDIF(Rent_Roll[[#This Row],[Future
Lease Start]],Rent_Roll[[#This Row],[Future
Lease Exp]],"m")+1)</f>
        <v/>
      </c>
      <c r="AJ308" s="1347"/>
    </row>
    <row r="309" spans="2:36" hidden="1" x14ac:dyDescent="0.2">
      <c r="B309" s="638"/>
      <c r="C309" s="638"/>
      <c r="D309" s="638"/>
      <c r="E309" s="162" t="str">
        <f>IF(Rent_Roll[[#This Row],[Floor-
plan]]="studio",0,LEFT(Rent_Roll[[#This Row],[Floor-
plan]],1))</f>
        <v/>
      </c>
      <c r="F309" s="162" t="str" cm="1">
        <f t="array" ref="F30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09" s="1349"/>
      <c r="H309" s="722"/>
      <c r="J309" s="1337" t="str" cm="1">
        <f t="array" ref="J30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09" s="1350"/>
      <c r="L309" s="150"/>
      <c r="M309" s="1339" t="str" cm="1">
        <f t="array" ref="M309">_xlfn.IFS(Rent_Roll[[#This Row],[Lease
Exp]]="","",Rent_Roll[[#This Row],[MTM
Lease]]="MTM Lease","--",Rent_Roll[[#This Row],[Lease
Exp]]&gt;0,(DATEDIF(Rent_Roll[[#This Row],[Lease
Start]],Rent_Roll[[#This Row],[Lease
Exp]],"m")+1))</f>
        <v/>
      </c>
      <c r="N309" s="1337" t="str">
        <f>IF(OR(Rent_Roll[[#This Row],[MTM Fee]]="",Rent_Roll[[#This Row],[MTM Fee]]=0),"","MTM Lease")</f>
        <v/>
      </c>
      <c r="O309" s="1340" t="str">
        <f>IFERROR(IF(Rent_Roll[[#This Row],[Lease
Exp]]="","",DATEDIF($F$3,Rent_Roll[[#This Row],[Lease
Exp]],"m")+1),0)</f>
        <v/>
      </c>
      <c r="P309" s="155"/>
      <c r="Q309" s="1342" t="str" cm="1">
        <f t="array" ref="Q30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09" s="1351"/>
      <c r="S309" s="550"/>
      <c r="T309" s="550"/>
      <c r="U309" s="550">
        <f>Rent_Roll[[#This Row],[Lease
Rent]]+Rent_Roll[[#This Row],[Corp
Rent]]</f>
        <v>0</v>
      </c>
      <c r="V309" s="1344">
        <f>IF(Rent_Roll[[#This Row],[Total In-Place
Rent]]=0,0,Rent_Roll[[#This Row],[Total In-Place
Rent]]-Rent_Roll[[#This Row],[Market
Rent]])</f>
        <v>0</v>
      </c>
      <c r="W309" s="1351"/>
      <c r="X309" s="723"/>
      <c r="Y309" s="723"/>
      <c r="Z309" s="723"/>
      <c r="AA309" s="1345"/>
      <c r="AB309" s="723"/>
      <c r="AC309" s="723"/>
      <c r="AD309" s="723"/>
      <c r="AE309" s="723"/>
      <c r="AF309" s="723"/>
      <c r="AG309" s="147"/>
      <c r="AH309" s="147"/>
      <c r="AI309" s="1348" t="str">
        <f>IF(Rent_Roll[[#This Row],[Future
Lease Start]]="","",DATEDIF(Rent_Roll[[#This Row],[Future
Lease Start]],Rent_Roll[[#This Row],[Future
Lease Exp]],"m")+1)</f>
        <v/>
      </c>
      <c r="AJ309" s="1347"/>
    </row>
    <row r="310" spans="2:36" hidden="1" x14ac:dyDescent="0.2">
      <c r="B310" s="638"/>
      <c r="C310" s="638"/>
      <c r="D310" s="638"/>
      <c r="E310" s="162" t="str">
        <f>IF(Rent_Roll[[#This Row],[Floor-
plan]]="studio",0,LEFT(Rent_Roll[[#This Row],[Floor-
plan]],1))</f>
        <v/>
      </c>
      <c r="F310" s="162" t="str" cm="1">
        <f t="array" ref="F31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10" s="1349"/>
      <c r="H310" s="722"/>
      <c r="J310" s="1337" t="str" cm="1">
        <f t="array" ref="J31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10" s="1350"/>
      <c r="L310" s="150"/>
      <c r="M310" s="1339" t="str" cm="1">
        <f t="array" ref="M310">_xlfn.IFS(Rent_Roll[[#This Row],[Lease
Exp]]="","",Rent_Roll[[#This Row],[MTM
Lease]]="MTM Lease","--",Rent_Roll[[#This Row],[Lease
Exp]]&gt;0,(DATEDIF(Rent_Roll[[#This Row],[Lease
Start]],Rent_Roll[[#This Row],[Lease
Exp]],"m")+1))</f>
        <v/>
      </c>
      <c r="N310" s="1337" t="str">
        <f>IF(OR(Rent_Roll[[#This Row],[MTM Fee]]="",Rent_Roll[[#This Row],[MTM Fee]]=0),"","MTM Lease")</f>
        <v/>
      </c>
      <c r="O310" s="1340" t="str">
        <f>IFERROR(IF(Rent_Roll[[#This Row],[Lease
Exp]]="","",DATEDIF($F$3,Rent_Roll[[#This Row],[Lease
Exp]],"m")+1),0)</f>
        <v/>
      </c>
      <c r="P310" s="155"/>
      <c r="Q310" s="1342" t="str" cm="1">
        <f t="array" ref="Q31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10" s="1351"/>
      <c r="S310" s="550"/>
      <c r="T310" s="550"/>
      <c r="U310" s="550">
        <f>Rent_Roll[[#This Row],[Lease
Rent]]+Rent_Roll[[#This Row],[Corp
Rent]]</f>
        <v>0</v>
      </c>
      <c r="V310" s="1344">
        <f>IF(Rent_Roll[[#This Row],[Total In-Place
Rent]]=0,0,Rent_Roll[[#This Row],[Total In-Place
Rent]]-Rent_Roll[[#This Row],[Market
Rent]])</f>
        <v>0</v>
      </c>
      <c r="W310" s="1351"/>
      <c r="X310" s="723"/>
      <c r="Y310" s="723"/>
      <c r="Z310" s="723"/>
      <c r="AA310" s="1345"/>
      <c r="AB310" s="723"/>
      <c r="AC310" s="723"/>
      <c r="AD310" s="723"/>
      <c r="AE310" s="723"/>
      <c r="AF310" s="723"/>
      <c r="AG310" s="147"/>
      <c r="AH310" s="147"/>
      <c r="AI310" s="1348" t="str">
        <f>IF(Rent_Roll[[#This Row],[Future
Lease Start]]="","",DATEDIF(Rent_Roll[[#This Row],[Future
Lease Start]],Rent_Roll[[#This Row],[Future
Lease Exp]],"m")+1)</f>
        <v/>
      </c>
      <c r="AJ310" s="1347"/>
    </row>
    <row r="311" spans="2:36" hidden="1" x14ac:dyDescent="0.2">
      <c r="B311" s="638"/>
      <c r="C311" s="638"/>
      <c r="D311" s="638"/>
      <c r="E311" s="162" t="str">
        <f>IF(Rent_Roll[[#This Row],[Floor-
plan]]="studio",0,LEFT(Rent_Roll[[#This Row],[Floor-
plan]],1))</f>
        <v/>
      </c>
      <c r="F311" s="162" t="str" cm="1">
        <f t="array" ref="F31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11" s="1349"/>
      <c r="H311" s="722"/>
      <c r="J311" s="1337" t="str" cm="1">
        <f t="array" ref="J31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11" s="1350"/>
      <c r="L311" s="150"/>
      <c r="M311" s="1339" t="str" cm="1">
        <f t="array" ref="M311">_xlfn.IFS(Rent_Roll[[#This Row],[Lease
Exp]]="","",Rent_Roll[[#This Row],[MTM
Lease]]="MTM Lease","--",Rent_Roll[[#This Row],[Lease
Exp]]&gt;0,(DATEDIF(Rent_Roll[[#This Row],[Lease
Start]],Rent_Roll[[#This Row],[Lease
Exp]],"m")+1))</f>
        <v/>
      </c>
      <c r="N311" s="1337" t="str">
        <f>IF(OR(Rent_Roll[[#This Row],[MTM Fee]]="",Rent_Roll[[#This Row],[MTM Fee]]=0),"","MTM Lease")</f>
        <v/>
      </c>
      <c r="O311" s="1340" t="str">
        <f>IFERROR(IF(Rent_Roll[[#This Row],[Lease
Exp]]="","",DATEDIF($F$3,Rent_Roll[[#This Row],[Lease
Exp]],"m")+1),0)</f>
        <v/>
      </c>
      <c r="P311" s="155"/>
      <c r="Q311" s="1342" t="str" cm="1">
        <f t="array" ref="Q31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11" s="1351"/>
      <c r="S311" s="550"/>
      <c r="T311" s="550"/>
      <c r="U311" s="550">
        <f>Rent_Roll[[#This Row],[Lease
Rent]]+Rent_Roll[[#This Row],[Corp
Rent]]</f>
        <v>0</v>
      </c>
      <c r="V311" s="1344">
        <f>IF(Rent_Roll[[#This Row],[Total In-Place
Rent]]=0,0,Rent_Roll[[#This Row],[Total In-Place
Rent]]-Rent_Roll[[#This Row],[Market
Rent]])</f>
        <v>0</v>
      </c>
      <c r="W311" s="1351"/>
      <c r="X311" s="723"/>
      <c r="Y311" s="723"/>
      <c r="Z311" s="723"/>
      <c r="AA311" s="1345"/>
      <c r="AB311" s="723"/>
      <c r="AC311" s="723"/>
      <c r="AD311" s="723"/>
      <c r="AE311" s="723"/>
      <c r="AF311" s="723"/>
      <c r="AG311" s="147"/>
      <c r="AH311" s="147"/>
      <c r="AI311" s="1348" t="str">
        <f>IF(Rent_Roll[[#This Row],[Future
Lease Start]]="","",DATEDIF(Rent_Roll[[#This Row],[Future
Lease Start]],Rent_Roll[[#This Row],[Future
Lease Exp]],"m")+1)</f>
        <v/>
      </c>
      <c r="AJ311" s="1347"/>
    </row>
    <row r="312" spans="2:36" hidden="1" x14ac:dyDescent="0.2">
      <c r="B312" s="638"/>
      <c r="C312" s="638"/>
      <c r="D312" s="638"/>
      <c r="E312" s="162" t="str">
        <f>IF(Rent_Roll[[#This Row],[Floor-
plan]]="studio",0,LEFT(Rent_Roll[[#This Row],[Floor-
plan]],1))</f>
        <v/>
      </c>
      <c r="F312" s="162" t="str" cm="1">
        <f t="array" ref="F31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12" s="1349"/>
      <c r="H312" s="722"/>
      <c r="J312" s="1337" t="str" cm="1">
        <f t="array" ref="J31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12" s="1350"/>
      <c r="L312" s="150"/>
      <c r="M312" s="1339" t="str" cm="1">
        <f t="array" ref="M312">_xlfn.IFS(Rent_Roll[[#This Row],[Lease
Exp]]="","",Rent_Roll[[#This Row],[MTM
Lease]]="MTM Lease","--",Rent_Roll[[#This Row],[Lease
Exp]]&gt;0,(DATEDIF(Rent_Roll[[#This Row],[Lease
Start]],Rent_Roll[[#This Row],[Lease
Exp]],"m")+1))</f>
        <v/>
      </c>
      <c r="N312" s="1337" t="str">
        <f>IF(OR(Rent_Roll[[#This Row],[MTM Fee]]="",Rent_Roll[[#This Row],[MTM Fee]]=0),"","MTM Lease")</f>
        <v/>
      </c>
      <c r="O312" s="1340" t="str">
        <f>IFERROR(IF(Rent_Roll[[#This Row],[Lease
Exp]]="","",DATEDIF($F$3,Rent_Roll[[#This Row],[Lease
Exp]],"m")+1),0)</f>
        <v/>
      </c>
      <c r="P312" s="155"/>
      <c r="Q312" s="1342" t="str" cm="1">
        <f t="array" ref="Q31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12" s="1351"/>
      <c r="S312" s="550"/>
      <c r="T312" s="550"/>
      <c r="U312" s="550">
        <f>Rent_Roll[[#This Row],[Lease
Rent]]+Rent_Roll[[#This Row],[Corp
Rent]]</f>
        <v>0</v>
      </c>
      <c r="V312" s="1344">
        <f>IF(Rent_Roll[[#This Row],[Total In-Place
Rent]]=0,0,Rent_Roll[[#This Row],[Total In-Place
Rent]]-Rent_Roll[[#This Row],[Market
Rent]])</f>
        <v>0</v>
      </c>
      <c r="W312" s="1351"/>
      <c r="X312" s="723"/>
      <c r="Y312" s="723"/>
      <c r="Z312" s="723"/>
      <c r="AA312" s="1345"/>
      <c r="AB312" s="723"/>
      <c r="AC312" s="723"/>
      <c r="AD312" s="723"/>
      <c r="AE312" s="723"/>
      <c r="AF312" s="723"/>
      <c r="AG312" s="147"/>
      <c r="AH312" s="147"/>
      <c r="AI312" s="1348" t="str">
        <f>IF(Rent_Roll[[#This Row],[Future
Lease Start]]="","",DATEDIF(Rent_Roll[[#This Row],[Future
Lease Start]],Rent_Roll[[#This Row],[Future
Lease Exp]],"m")+1)</f>
        <v/>
      </c>
      <c r="AJ312" s="1347"/>
    </row>
    <row r="313" spans="2:36" hidden="1" x14ac:dyDescent="0.2">
      <c r="B313" s="638"/>
      <c r="C313" s="638"/>
      <c r="D313" s="638"/>
      <c r="E313" s="162" t="str">
        <f>IF(Rent_Roll[[#This Row],[Floor-
plan]]="studio",0,LEFT(Rent_Roll[[#This Row],[Floor-
plan]],1))</f>
        <v/>
      </c>
      <c r="F313" s="162" t="str" cm="1">
        <f t="array" ref="F31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13" s="1349"/>
      <c r="H313" s="722"/>
      <c r="J313" s="1337" t="str" cm="1">
        <f t="array" ref="J31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13" s="1350"/>
      <c r="L313" s="150"/>
      <c r="M313" s="1339" t="str" cm="1">
        <f t="array" ref="M313">_xlfn.IFS(Rent_Roll[[#This Row],[Lease
Exp]]="","",Rent_Roll[[#This Row],[MTM
Lease]]="MTM Lease","--",Rent_Roll[[#This Row],[Lease
Exp]]&gt;0,(DATEDIF(Rent_Roll[[#This Row],[Lease
Start]],Rent_Roll[[#This Row],[Lease
Exp]],"m")+1))</f>
        <v/>
      </c>
      <c r="N313" s="1337" t="str">
        <f>IF(OR(Rent_Roll[[#This Row],[MTM Fee]]="",Rent_Roll[[#This Row],[MTM Fee]]=0),"","MTM Lease")</f>
        <v/>
      </c>
      <c r="O313" s="1340" t="str">
        <f>IFERROR(IF(Rent_Roll[[#This Row],[Lease
Exp]]="","",DATEDIF($F$3,Rent_Roll[[#This Row],[Lease
Exp]],"m")+1),0)</f>
        <v/>
      </c>
      <c r="P313" s="155"/>
      <c r="Q313" s="1342" t="str" cm="1">
        <f t="array" ref="Q31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13" s="1351"/>
      <c r="S313" s="550"/>
      <c r="T313" s="550"/>
      <c r="U313" s="550">
        <f>Rent_Roll[[#This Row],[Lease
Rent]]+Rent_Roll[[#This Row],[Corp
Rent]]</f>
        <v>0</v>
      </c>
      <c r="V313" s="1344">
        <f>IF(Rent_Roll[[#This Row],[Total In-Place
Rent]]=0,0,Rent_Roll[[#This Row],[Total In-Place
Rent]]-Rent_Roll[[#This Row],[Market
Rent]])</f>
        <v>0</v>
      </c>
      <c r="W313" s="1351"/>
      <c r="X313" s="723"/>
      <c r="Y313" s="723"/>
      <c r="Z313" s="723"/>
      <c r="AA313" s="1345"/>
      <c r="AB313" s="723"/>
      <c r="AC313" s="723"/>
      <c r="AD313" s="723"/>
      <c r="AE313" s="723"/>
      <c r="AF313" s="723"/>
      <c r="AG313" s="147"/>
      <c r="AH313" s="147"/>
      <c r="AI313" s="1348" t="str">
        <f>IF(Rent_Roll[[#This Row],[Future
Lease Start]]="","",DATEDIF(Rent_Roll[[#This Row],[Future
Lease Start]],Rent_Roll[[#This Row],[Future
Lease Exp]],"m")+1)</f>
        <v/>
      </c>
      <c r="AJ313" s="1347"/>
    </row>
    <row r="314" spans="2:36" hidden="1" x14ac:dyDescent="0.2">
      <c r="B314" s="638"/>
      <c r="C314" s="638"/>
      <c r="D314" s="638"/>
      <c r="E314" s="162" t="str">
        <f>IF(Rent_Roll[[#This Row],[Floor-
plan]]="studio",0,LEFT(Rent_Roll[[#This Row],[Floor-
plan]],1))</f>
        <v/>
      </c>
      <c r="F314" s="162" t="str" cm="1">
        <f t="array" ref="F31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14" s="1349"/>
      <c r="H314" s="722"/>
      <c r="J314" s="1337" t="str" cm="1">
        <f t="array" ref="J31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14" s="1350"/>
      <c r="L314" s="150"/>
      <c r="M314" s="1339" t="str" cm="1">
        <f t="array" ref="M314">_xlfn.IFS(Rent_Roll[[#This Row],[Lease
Exp]]="","",Rent_Roll[[#This Row],[MTM
Lease]]="MTM Lease","--",Rent_Roll[[#This Row],[Lease
Exp]]&gt;0,(DATEDIF(Rent_Roll[[#This Row],[Lease
Start]],Rent_Roll[[#This Row],[Lease
Exp]],"m")+1))</f>
        <v/>
      </c>
      <c r="N314" s="1337" t="str">
        <f>IF(OR(Rent_Roll[[#This Row],[MTM Fee]]="",Rent_Roll[[#This Row],[MTM Fee]]=0),"","MTM Lease")</f>
        <v/>
      </c>
      <c r="O314" s="1340" t="str">
        <f>IFERROR(IF(Rent_Roll[[#This Row],[Lease
Exp]]="","",DATEDIF($F$3,Rent_Roll[[#This Row],[Lease
Exp]],"m")+1),0)</f>
        <v/>
      </c>
      <c r="P314" s="155"/>
      <c r="Q314" s="1342" t="str" cm="1">
        <f t="array" ref="Q31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14" s="1351"/>
      <c r="S314" s="550"/>
      <c r="T314" s="550"/>
      <c r="U314" s="550">
        <f>Rent_Roll[[#This Row],[Lease
Rent]]+Rent_Roll[[#This Row],[Corp
Rent]]</f>
        <v>0</v>
      </c>
      <c r="V314" s="1344">
        <f>IF(Rent_Roll[[#This Row],[Total In-Place
Rent]]=0,0,Rent_Roll[[#This Row],[Total In-Place
Rent]]-Rent_Roll[[#This Row],[Market
Rent]])</f>
        <v>0</v>
      </c>
      <c r="W314" s="1351"/>
      <c r="X314" s="723"/>
      <c r="Y314" s="723"/>
      <c r="Z314" s="723"/>
      <c r="AA314" s="1345"/>
      <c r="AB314" s="723"/>
      <c r="AC314" s="723"/>
      <c r="AD314" s="723"/>
      <c r="AE314" s="723"/>
      <c r="AF314" s="723"/>
      <c r="AG314" s="147"/>
      <c r="AH314" s="147"/>
      <c r="AI314" s="1348" t="str">
        <f>IF(Rent_Roll[[#This Row],[Future
Lease Start]]="","",DATEDIF(Rent_Roll[[#This Row],[Future
Lease Start]],Rent_Roll[[#This Row],[Future
Lease Exp]],"m")+1)</f>
        <v/>
      </c>
      <c r="AJ314" s="1347"/>
    </row>
    <row r="315" spans="2:36" hidden="1" x14ac:dyDescent="0.2">
      <c r="B315" s="638"/>
      <c r="C315" s="638"/>
      <c r="D315" s="638"/>
      <c r="E315" s="162" t="str">
        <f>IF(Rent_Roll[[#This Row],[Floor-
plan]]="studio",0,LEFT(Rent_Roll[[#This Row],[Floor-
plan]],1))</f>
        <v/>
      </c>
      <c r="F315" s="162" t="str" cm="1">
        <f t="array" ref="F31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15" s="1349"/>
      <c r="H315" s="722"/>
      <c r="J315" s="1337" t="str" cm="1">
        <f t="array" ref="J31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15" s="1350"/>
      <c r="L315" s="150"/>
      <c r="M315" s="1339" t="str" cm="1">
        <f t="array" ref="M315">_xlfn.IFS(Rent_Roll[[#This Row],[Lease
Exp]]="","",Rent_Roll[[#This Row],[MTM
Lease]]="MTM Lease","--",Rent_Roll[[#This Row],[Lease
Exp]]&gt;0,(DATEDIF(Rent_Roll[[#This Row],[Lease
Start]],Rent_Roll[[#This Row],[Lease
Exp]],"m")+1))</f>
        <v/>
      </c>
      <c r="N315" s="1337" t="str">
        <f>IF(OR(Rent_Roll[[#This Row],[MTM Fee]]="",Rent_Roll[[#This Row],[MTM Fee]]=0),"","MTM Lease")</f>
        <v/>
      </c>
      <c r="O315" s="1340" t="str">
        <f>IFERROR(IF(Rent_Roll[[#This Row],[Lease
Exp]]="","",DATEDIF($F$3,Rent_Roll[[#This Row],[Lease
Exp]],"m")+1),0)</f>
        <v/>
      </c>
      <c r="P315" s="155"/>
      <c r="Q315" s="1342" t="str" cm="1">
        <f t="array" ref="Q31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15" s="1351"/>
      <c r="S315" s="550"/>
      <c r="T315" s="550"/>
      <c r="U315" s="550">
        <f>Rent_Roll[[#This Row],[Lease
Rent]]+Rent_Roll[[#This Row],[Corp
Rent]]</f>
        <v>0</v>
      </c>
      <c r="V315" s="1344">
        <f>IF(Rent_Roll[[#This Row],[Total In-Place
Rent]]=0,0,Rent_Roll[[#This Row],[Total In-Place
Rent]]-Rent_Roll[[#This Row],[Market
Rent]])</f>
        <v>0</v>
      </c>
      <c r="W315" s="1351"/>
      <c r="X315" s="723"/>
      <c r="Y315" s="723"/>
      <c r="Z315" s="723"/>
      <c r="AA315" s="1345"/>
      <c r="AB315" s="723"/>
      <c r="AC315" s="723"/>
      <c r="AD315" s="723"/>
      <c r="AE315" s="723"/>
      <c r="AF315" s="723"/>
      <c r="AG315" s="147"/>
      <c r="AH315" s="147"/>
      <c r="AI315" s="1348" t="str">
        <f>IF(Rent_Roll[[#This Row],[Future
Lease Start]]="","",DATEDIF(Rent_Roll[[#This Row],[Future
Lease Start]],Rent_Roll[[#This Row],[Future
Lease Exp]],"m")+1)</f>
        <v/>
      </c>
      <c r="AJ315" s="1347"/>
    </row>
    <row r="316" spans="2:36" hidden="1" x14ac:dyDescent="0.2">
      <c r="B316" s="638"/>
      <c r="C316" s="638"/>
      <c r="D316" s="638"/>
      <c r="E316" s="162" t="str">
        <f>IF(Rent_Roll[[#This Row],[Floor-
plan]]="studio",0,LEFT(Rent_Roll[[#This Row],[Floor-
plan]],1))</f>
        <v/>
      </c>
      <c r="F316" s="162" t="str" cm="1">
        <f t="array" ref="F31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16" s="1349"/>
      <c r="H316" s="722"/>
      <c r="J316" s="1337" t="str" cm="1">
        <f t="array" ref="J31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16" s="1350"/>
      <c r="L316" s="150"/>
      <c r="M316" s="1339" t="str" cm="1">
        <f t="array" ref="M316">_xlfn.IFS(Rent_Roll[[#This Row],[Lease
Exp]]="","",Rent_Roll[[#This Row],[MTM
Lease]]="MTM Lease","--",Rent_Roll[[#This Row],[Lease
Exp]]&gt;0,(DATEDIF(Rent_Roll[[#This Row],[Lease
Start]],Rent_Roll[[#This Row],[Lease
Exp]],"m")+1))</f>
        <v/>
      </c>
      <c r="N316" s="1337" t="str">
        <f>IF(OR(Rent_Roll[[#This Row],[MTM Fee]]="",Rent_Roll[[#This Row],[MTM Fee]]=0),"","MTM Lease")</f>
        <v/>
      </c>
      <c r="O316" s="1340" t="str">
        <f>IFERROR(IF(Rent_Roll[[#This Row],[Lease
Exp]]="","",DATEDIF($F$3,Rent_Roll[[#This Row],[Lease
Exp]],"m")+1),0)</f>
        <v/>
      </c>
      <c r="P316" s="155"/>
      <c r="Q316" s="1342" t="str" cm="1">
        <f t="array" ref="Q31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16" s="1351"/>
      <c r="S316" s="550"/>
      <c r="T316" s="550"/>
      <c r="U316" s="550">
        <f>Rent_Roll[[#This Row],[Lease
Rent]]+Rent_Roll[[#This Row],[Corp
Rent]]</f>
        <v>0</v>
      </c>
      <c r="V316" s="1344">
        <f>IF(Rent_Roll[[#This Row],[Total In-Place
Rent]]=0,0,Rent_Roll[[#This Row],[Total In-Place
Rent]]-Rent_Roll[[#This Row],[Market
Rent]])</f>
        <v>0</v>
      </c>
      <c r="W316" s="1351"/>
      <c r="X316" s="723"/>
      <c r="Y316" s="723"/>
      <c r="Z316" s="723"/>
      <c r="AA316" s="1345"/>
      <c r="AB316" s="723"/>
      <c r="AC316" s="723"/>
      <c r="AD316" s="723"/>
      <c r="AE316" s="723"/>
      <c r="AF316" s="723"/>
      <c r="AG316" s="147"/>
      <c r="AH316" s="147"/>
      <c r="AI316" s="1348" t="str">
        <f>IF(Rent_Roll[[#This Row],[Future
Lease Start]]="","",DATEDIF(Rent_Roll[[#This Row],[Future
Lease Start]],Rent_Roll[[#This Row],[Future
Lease Exp]],"m")+1)</f>
        <v/>
      </c>
      <c r="AJ316" s="1347"/>
    </row>
    <row r="317" spans="2:36" hidden="1" x14ac:dyDescent="0.2">
      <c r="B317" s="638"/>
      <c r="C317" s="638"/>
      <c r="D317" s="638"/>
      <c r="E317" s="162" t="str">
        <f>IF(Rent_Roll[[#This Row],[Floor-
plan]]="studio",0,LEFT(Rent_Roll[[#This Row],[Floor-
plan]],1))</f>
        <v/>
      </c>
      <c r="F317" s="162" t="str" cm="1">
        <f t="array" ref="F31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17" s="1349"/>
      <c r="H317" s="722"/>
      <c r="J317" s="1337" t="str" cm="1">
        <f t="array" ref="J31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17" s="1350"/>
      <c r="L317" s="150"/>
      <c r="M317" s="1339" t="str" cm="1">
        <f t="array" ref="M317">_xlfn.IFS(Rent_Roll[[#This Row],[Lease
Exp]]="","",Rent_Roll[[#This Row],[MTM
Lease]]="MTM Lease","--",Rent_Roll[[#This Row],[Lease
Exp]]&gt;0,(DATEDIF(Rent_Roll[[#This Row],[Lease
Start]],Rent_Roll[[#This Row],[Lease
Exp]],"m")+1))</f>
        <v/>
      </c>
      <c r="N317" s="1337" t="str">
        <f>IF(OR(Rent_Roll[[#This Row],[MTM Fee]]="",Rent_Roll[[#This Row],[MTM Fee]]=0),"","MTM Lease")</f>
        <v/>
      </c>
      <c r="O317" s="1340" t="str">
        <f>IFERROR(IF(Rent_Roll[[#This Row],[Lease
Exp]]="","",DATEDIF($F$3,Rent_Roll[[#This Row],[Lease
Exp]],"m")+1),0)</f>
        <v/>
      </c>
      <c r="P317" s="155"/>
      <c r="Q317" s="1342" t="str" cm="1">
        <f t="array" ref="Q31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17" s="1351"/>
      <c r="S317" s="550"/>
      <c r="T317" s="550"/>
      <c r="U317" s="550">
        <f>Rent_Roll[[#This Row],[Lease
Rent]]+Rent_Roll[[#This Row],[Corp
Rent]]</f>
        <v>0</v>
      </c>
      <c r="V317" s="1344">
        <f>IF(Rent_Roll[[#This Row],[Total In-Place
Rent]]=0,0,Rent_Roll[[#This Row],[Total In-Place
Rent]]-Rent_Roll[[#This Row],[Market
Rent]])</f>
        <v>0</v>
      </c>
      <c r="W317" s="1351"/>
      <c r="X317" s="723"/>
      <c r="Y317" s="723"/>
      <c r="Z317" s="723"/>
      <c r="AA317" s="1345"/>
      <c r="AB317" s="723"/>
      <c r="AC317" s="723"/>
      <c r="AD317" s="723"/>
      <c r="AE317" s="723"/>
      <c r="AF317" s="723"/>
      <c r="AG317" s="147"/>
      <c r="AH317" s="147"/>
      <c r="AI317" s="1348" t="str">
        <f>IF(Rent_Roll[[#This Row],[Future
Lease Start]]="","",DATEDIF(Rent_Roll[[#This Row],[Future
Lease Start]],Rent_Roll[[#This Row],[Future
Lease Exp]],"m")+1)</f>
        <v/>
      </c>
      <c r="AJ317" s="1347"/>
    </row>
    <row r="318" spans="2:36" hidden="1" x14ac:dyDescent="0.2">
      <c r="B318" s="638"/>
      <c r="C318" s="638"/>
      <c r="D318" s="638"/>
      <c r="E318" s="162" t="str">
        <f>IF(Rent_Roll[[#This Row],[Floor-
plan]]="studio",0,LEFT(Rent_Roll[[#This Row],[Floor-
plan]],1))</f>
        <v/>
      </c>
      <c r="F318" s="162" t="str" cm="1">
        <f t="array" ref="F31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18" s="1349"/>
      <c r="H318" s="722"/>
      <c r="J318" s="1337" t="str" cm="1">
        <f t="array" ref="J31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18" s="1350"/>
      <c r="L318" s="150"/>
      <c r="M318" s="1339" t="str" cm="1">
        <f t="array" ref="M318">_xlfn.IFS(Rent_Roll[[#This Row],[Lease
Exp]]="","",Rent_Roll[[#This Row],[MTM
Lease]]="MTM Lease","--",Rent_Roll[[#This Row],[Lease
Exp]]&gt;0,(DATEDIF(Rent_Roll[[#This Row],[Lease
Start]],Rent_Roll[[#This Row],[Lease
Exp]],"m")+1))</f>
        <v/>
      </c>
      <c r="N318" s="1337" t="str">
        <f>IF(OR(Rent_Roll[[#This Row],[MTM Fee]]="",Rent_Roll[[#This Row],[MTM Fee]]=0),"","MTM Lease")</f>
        <v/>
      </c>
      <c r="O318" s="1340" t="str">
        <f>IFERROR(IF(Rent_Roll[[#This Row],[Lease
Exp]]="","",DATEDIF($F$3,Rent_Roll[[#This Row],[Lease
Exp]],"m")+1),0)</f>
        <v/>
      </c>
      <c r="P318" s="155"/>
      <c r="Q318" s="1342" t="str" cm="1">
        <f t="array" ref="Q31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18" s="1351"/>
      <c r="S318" s="550"/>
      <c r="T318" s="550"/>
      <c r="U318" s="550">
        <f>Rent_Roll[[#This Row],[Lease
Rent]]+Rent_Roll[[#This Row],[Corp
Rent]]</f>
        <v>0</v>
      </c>
      <c r="V318" s="1344">
        <f>IF(Rent_Roll[[#This Row],[Total In-Place
Rent]]=0,0,Rent_Roll[[#This Row],[Total In-Place
Rent]]-Rent_Roll[[#This Row],[Market
Rent]])</f>
        <v>0</v>
      </c>
      <c r="W318" s="1351"/>
      <c r="X318" s="723"/>
      <c r="Y318" s="723"/>
      <c r="Z318" s="723"/>
      <c r="AA318" s="1345"/>
      <c r="AB318" s="723"/>
      <c r="AC318" s="723"/>
      <c r="AD318" s="723"/>
      <c r="AE318" s="723"/>
      <c r="AF318" s="723"/>
      <c r="AG318" s="147"/>
      <c r="AH318" s="147"/>
      <c r="AI318" s="1348" t="str">
        <f>IF(Rent_Roll[[#This Row],[Future
Lease Start]]="","",DATEDIF(Rent_Roll[[#This Row],[Future
Lease Start]],Rent_Roll[[#This Row],[Future
Lease Exp]],"m")+1)</f>
        <v/>
      </c>
      <c r="AJ318" s="1347"/>
    </row>
    <row r="319" spans="2:36" hidden="1" x14ac:dyDescent="0.2">
      <c r="B319" s="638"/>
      <c r="C319" s="638"/>
      <c r="D319" s="638"/>
      <c r="E319" s="162" t="str">
        <f>IF(Rent_Roll[[#This Row],[Floor-
plan]]="studio",0,LEFT(Rent_Roll[[#This Row],[Floor-
plan]],1))</f>
        <v/>
      </c>
      <c r="F319" s="162" t="str" cm="1">
        <f t="array" ref="F31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19" s="1349"/>
      <c r="H319" s="722"/>
      <c r="J319" s="1337" t="str" cm="1">
        <f t="array" ref="J31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19" s="1350"/>
      <c r="L319" s="150"/>
      <c r="M319" s="1339" t="str" cm="1">
        <f t="array" ref="M319">_xlfn.IFS(Rent_Roll[[#This Row],[Lease
Exp]]="","",Rent_Roll[[#This Row],[MTM
Lease]]="MTM Lease","--",Rent_Roll[[#This Row],[Lease
Exp]]&gt;0,(DATEDIF(Rent_Roll[[#This Row],[Lease
Start]],Rent_Roll[[#This Row],[Lease
Exp]],"m")+1))</f>
        <v/>
      </c>
      <c r="N319" s="1337" t="str">
        <f>IF(OR(Rent_Roll[[#This Row],[MTM Fee]]="",Rent_Roll[[#This Row],[MTM Fee]]=0),"","MTM Lease")</f>
        <v/>
      </c>
      <c r="O319" s="1340" t="str">
        <f>IFERROR(IF(Rent_Roll[[#This Row],[Lease
Exp]]="","",DATEDIF($F$3,Rent_Roll[[#This Row],[Lease
Exp]],"m")+1),0)</f>
        <v/>
      </c>
      <c r="P319" s="155"/>
      <c r="Q319" s="1342" t="str" cm="1">
        <f t="array" ref="Q31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19" s="1351"/>
      <c r="S319" s="550"/>
      <c r="T319" s="550"/>
      <c r="U319" s="550">
        <f>Rent_Roll[[#This Row],[Lease
Rent]]+Rent_Roll[[#This Row],[Corp
Rent]]</f>
        <v>0</v>
      </c>
      <c r="V319" s="1344">
        <f>IF(Rent_Roll[[#This Row],[Total In-Place
Rent]]=0,0,Rent_Roll[[#This Row],[Total In-Place
Rent]]-Rent_Roll[[#This Row],[Market
Rent]])</f>
        <v>0</v>
      </c>
      <c r="W319" s="1351"/>
      <c r="X319" s="723"/>
      <c r="Y319" s="723"/>
      <c r="Z319" s="723"/>
      <c r="AA319" s="1345"/>
      <c r="AB319" s="723"/>
      <c r="AC319" s="723"/>
      <c r="AD319" s="723"/>
      <c r="AE319" s="723"/>
      <c r="AF319" s="723"/>
      <c r="AG319" s="147"/>
      <c r="AH319" s="147"/>
      <c r="AI319" s="1348" t="str">
        <f>IF(Rent_Roll[[#This Row],[Future
Lease Start]]="","",DATEDIF(Rent_Roll[[#This Row],[Future
Lease Start]],Rent_Roll[[#This Row],[Future
Lease Exp]],"m")+1)</f>
        <v/>
      </c>
      <c r="AJ319" s="1347"/>
    </row>
    <row r="320" spans="2:36" hidden="1" x14ac:dyDescent="0.2">
      <c r="B320" s="638"/>
      <c r="C320" s="638"/>
      <c r="D320" s="638"/>
      <c r="E320" s="162" t="str">
        <f>IF(Rent_Roll[[#This Row],[Floor-
plan]]="studio",0,LEFT(Rent_Roll[[#This Row],[Floor-
plan]],1))</f>
        <v/>
      </c>
      <c r="F320" s="162" t="str" cm="1">
        <f t="array" ref="F32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20" s="1349"/>
      <c r="H320" s="722"/>
      <c r="J320" s="1337" t="str" cm="1">
        <f t="array" ref="J32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20" s="1350"/>
      <c r="L320" s="150"/>
      <c r="M320" s="1339" t="str" cm="1">
        <f t="array" ref="M320">_xlfn.IFS(Rent_Roll[[#This Row],[Lease
Exp]]="","",Rent_Roll[[#This Row],[MTM
Lease]]="MTM Lease","--",Rent_Roll[[#This Row],[Lease
Exp]]&gt;0,(DATEDIF(Rent_Roll[[#This Row],[Lease
Start]],Rent_Roll[[#This Row],[Lease
Exp]],"m")+1))</f>
        <v/>
      </c>
      <c r="N320" s="1337" t="str">
        <f>IF(OR(Rent_Roll[[#This Row],[MTM Fee]]="",Rent_Roll[[#This Row],[MTM Fee]]=0),"","MTM Lease")</f>
        <v/>
      </c>
      <c r="O320" s="1340" t="str">
        <f>IFERROR(IF(Rent_Roll[[#This Row],[Lease
Exp]]="","",DATEDIF($F$3,Rent_Roll[[#This Row],[Lease
Exp]],"m")+1),0)</f>
        <v/>
      </c>
      <c r="P320" s="155"/>
      <c r="Q320" s="1342" t="str" cm="1">
        <f t="array" ref="Q32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20" s="1351"/>
      <c r="S320" s="550"/>
      <c r="T320" s="550"/>
      <c r="U320" s="550">
        <f>Rent_Roll[[#This Row],[Lease
Rent]]+Rent_Roll[[#This Row],[Corp
Rent]]</f>
        <v>0</v>
      </c>
      <c r="V320" s="1344">
        <f>IF(Rent_Roll[[#This Row],[Total In-Place
Rent]]=0,0,Rent_Roll[[#This Row],[Total In-Place
Rent]]-Rent_Roll[[#This Row],[Market
Rent]])</f>
        <v>0</v>
      </c>
      <c r="W320" s="1351"/>
      <c r="X320" s="723"/>
      <c r="Y320" s="723"/>
      <c r="Z320" s="723"/>
      <c r="AA320" s="1345"/>
      <c r="AB320" s="723"/>
      <c r="AC320" s="723"/>
      <c r="AD320" s="723"/>
      <c r="AE320" s="723"/>
      <c r="AF320" s="723"/>
      <c r="AG320" s="147"/>
      <c r="AH320" s="147"/>
      <c r="AI320" s="1348" t="str">
        <f>IF(Rent_Roll[[#This Row],[Future
Lease Start]]="","",DATEDIF(Rent_Roll[[#This Row],[Future
Lease Start]],Rent_Roll[[#This Row],[Future
Lease Exp]],"m")+1)</f>
        <v/>
      </c>
      <c r="AJ320" s="1347"/>
    </row>
    <row r="321" spans="2:36" hidden="1" x14ac:dyDescent="0.2">
      <c r="B321" s="638"/>
      <c r="C321" s="638"/>
      <c r="D321" s="638"/>
      <c r="E321" s="162" t="str">
        <f>IF(Rent_Roll[[#This Row],[Floor-
plan]]="studio",0,LEFT(Rent_Roll[[#This Row],[Floor-
plan]],1))</f>
        <v/>
      </c>
      <c r="F321" s="162" t="str" cm="1">
        <f t="array" ref="F32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21" s="1349"/>
      <c r="H321" s="722"/>
      <c r="J321" s="1337" t="str" cm="1">
        <f t="array" ref="J32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21" s="1350"/>
      <c r="L321" s="150"/>
      <c r="M321" s="1339" t="str" cm="1">
        <f t="array" ref="M321">_xlfn.IFS(Rent_Roll[[#This Row],[Lease
Exp]]="","",Rent_Roll[[#This Row],[MTM
Lease]]="MTM Lease","--",Rent_Roll[[#This Row],[Lease
Exp]]&gt;0,(DATEDIF(Rent_Roll[[#This Row],[Lease
Start]],Rent_Roll[[#This Row],[Lease
Exp]],"m")+1))</f>
        <v/>
      </c>
      <c r="N321" s="1337" t="str">
        <f>IF(OR(Rent_Roll[[#This Row],[MTM Fee]]="",Rent_Roll[[#This Row],[MTM Fee]]=0),"","MTM Lease")</f>
        <v/>
      </c>
      <c r="O321" s="1340" t="str">
        <f>IFERROR(IF(Rent_Roll[[#This Row],[Lease
Exp]]="","",DATEDIF($F$3,Rent_Roll[[#This Row],[Lease
Exp]],"m")+1),0)</f>
        <v/>
      </c>
      <c r="P321" s="155"/>
      <c r="Q321" s="1342" t="str" cm="1">
        <f t="array" ref="Q32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21" s="1351"/>
      <c r="S321" s="550"/>
      <c r="T321" s="550"/>
      <c r="U321" s="550">
        <f>Rent_Roll[[#This Row],[Lease
Rent]]+Rent_Roll[[#This Row],[Corp
Rent]]</f>
        <v>0</v>
      </c>
      <c r="V321" s="1344">
        <f>IF(Rent_Roll[[#This Row],[Total In-Place
Rent]]=0,0,Rent_Roll[[#This Row],[Total In-Place
Rent]]-Rent_Roll[[#This Row],[Market
Rent]])</f>
        <v>0</v>
      </c>
      <c r="W321" s="1351"/>
      <c r="X321" s="723"/>
      <c r="Y321" s="723"/>
      <c r="Z321" s="723"/>
      <c r="AA321" s="1345"/>
      <c r="AB321" s="723"/>
      <c r="AC321" s="723"/>
      <c r="AD321" s="723"/>
      <c r="AE321" s="723"/>
      <c r="AF321" s="723"/>
      <c r="AG321" s="147"/>
      <c r="AH321" s="147"/>
      <c r="AI321" s="1348" t="str">
        <f>IF(Rent_Roll[[#This Row],[Future
Lease Start]]="","",DATEDIF(Rent_Roll[[#This Row],[Future
Lease Start]],Rent_Roll[[#This Row],[Future
Lease Exp]],"m")+1)</f>
        <v/>
      </c>
      <c r="AJ321" s="1347"/>
    </row>
    <row r="322" spans="2:36" hidden="1" x14ac:dyDescent="0.2">
      <c r="B322" s="638"/>
      <c r="C322" s="638"/>
      <c r="D322" s="638"/>
      <c r="E322" s="162" t="str">
        <f>IF(Rent_Roll[[#This Row],[Floor-
plan]]="studio",0,LEFT(Rent_Roll[[#This Row],[Floor-
plan]],1))</f>
        <v/>
      </c>
      <c r="F322" s="162" t="str" cm="1">
        <f t="array" ref="F32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22" s="1349"/>
      <c r="H322" s="722"/>
      <c r="J322" s="1337" t="str" cm="1">
        <f t="array" ref="J32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22" s="1350"/>
      <c r="L322" s="150"/>
      <c r="M322" s="1339" t="str" cm="1">
        <f t="array" ref="M322">_xlfn.IFS(Rent_Roll[[#This Row],[Lease
Exp]]="","",Rent_Roll[[#This Row],[MTM
Lease]]="MTM Lease","--",Rent_Roll[[#This Row],[Lease
Exp]]&gt;0,(DATEDIF(Rent_Roll[[#This Row],[Lease
Start]],Rent_Roll[[#This Row],[Lease
Exp]],"m")+1))</f>
        <v/>
      </c>
      <c r="N322" s="1337" t="str">
        <f>IF(OR(Rent_Roll[[#This Row],[MTM Fee]]="",Rent_Roll[[#This Row],[MTM Fee]]=0),"","MTM Lease")</f>
        <v/>
      </c>
      <c r="O322" s="1340" t="str">
        <f>IFERROR(IF(Rent_Roll[[#This Row],[Lease
Exp]]="","",DATEDIF($F$3,Rent_Roll[[#This Row],[Lease
Exp]],"m")+1),0)</f>
        <v/>
      </c>
      <c r="P322" s="155"/>
      <c r="Q322" s="1342" t="str" cm="1">
        <f t="array" ref="Q32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22" s="1351"/>
      <c r="S322" s="550"/>
      <c r="T322" s="550"/>
      <c r="U322" s="550">
        <f>Rent_Roll[[#This Row],[Lease
Rent]]+Rent_Roll[[#This Row],[Corp
Rent]]</f>
        <v>0</v>
      </c>
      <c r="V322" s="1344">
        <f>IF(Rent_Roll[[#This Row],[Total In-Place
Rent]]=0,0,Rent_Roll[[#This Row],[Total In-Place
Rent]]-Rent_Roll[[#This Row],[Market
Rent]])</f>
        <v>0</v>
      </c>
      <c r="W322" s="1351"/>
      <c r="X322" s="723"/>
      <c r="Y322" s="723"/>
      <c r="Z322" s="723"/>
      <c r="AA322" s="1345"/>
      <c r="AB322" s="723"/>
      <c r="AC322" s="723"/>
      <c r="AD322" s="723"/>
      <c r="AE322" s="723"/>
      <c r="AF322" s="723"/>
      <c r="AG322" s="147"/>
      <c r="AH322" s="147"/>
      <c r="AI322" s="1348" t="str">
        <f>IF(Rent_Roll[[#This Row],[Future
Lease Start]]="","",DATEDIF(Rent_Roll[[#This Row],[Future
Lease Start]],Rent_Roll[[#This Row],[Future
Lease Exp]],"m")+1)</f>
        <v/>
      </c>
      <c r="AJ322" s="1347"/>
    </row>
    <row r="323" spans="2:36" hidden="1" x14ac:dyDescent="0.2">
      <c r="B323" s="638"/>
      <c r="C323" s="638"/>
      <c r="D323" s="638"/>
      <c r="E323" s="162" t="str">
        <f>IF(Rent_Roll[[#This Row],[Floor-
plan]]="studio",0,LEFT(Rent_Roll[[#This Row],[Floor-
plan]],1))</f>
        <v/>
      </c>
      <c r="F323" s="162" t="str" cm="1">
        <f t="array" ref="F32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23" s="1349"/>
      <c r="H323" s="722"/>
      <c r="J323" s="1337" t="str" cm="1">
        <f t="array" ref="J32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23" s="1350"/>
      <c r="L323" s="150"/>
      <c r="M323" s="1339" t="str" cm="1">
        <f t="array" ref="M323">_xlfn.IFS(Rent_Roll[[#This Row],[Lease
Exp]]="","",Rent_Roll[[#This Row],[MTM
Lease]]="MTM Lease","--",Rent_Roll[[#This Row],[Lease
Exp]]&gt;0,(DATEDIF(Rent_Roll[[#This Row],[Lease
Start]],Rent_Roll[[#This Row],[Lease
Exp]],"m")+1))</f>
        <v/>
      </c>
      <c r="N323" s="1337" t="str">
        <f>IF(OR(Rent_Roll[[#This Row],[MTM Fee]]="",Rent_Roll[[#This Row],[MTM Fee]]=0),"","MTM Lease")</f>
        <v/>
      </c>
      <c r="O323" s="1340" t="str">
        <f>IFERROR(IF(Rent_Roll[[#This Row],[Lease
Exp]]="","",DATEDIF($F$3,Rent_Roll[[#This Row],[Lease
Exp]],"m")+1),0)</f>
        <v/>
      </c>
      <c r="P323" s="155"/>
      <c r="Q323" s="1342" t="str" cm="1">
        <f t="array" ref="Q32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23" s="1351"/>
      <c r="S323" s="550"/>
      <c r="T323" s="550"/>
      <c r="U323" s="550">
        <f>Rent_Roll[[#This Row],[Lease
Rent]]+Rent_Roll[[#This Row],[Corp
Rent]]</f>
        <v>0</v>
      </c>
      <c r="V323" s="1344">
        <f>IF(Rent_Roll[[#This Row],[Total In-Place
Rent]]=0,0,Rent_Roll[[#This Row],[Total In-Place
Rent]]-Rent_Roll[[#This Row],[Market
Rent]])</f>
        <v>0</v>
      </c>
      <c r="W323" s="1351"/>
      <c r="X323" s="723"/>
      <c r="Y323" s="723"/>
      <c r="Z323" s="723"/>
      <c r="AA323" s="1345"/>
      <c r="AB323" s="723"/>
      <c r="AC323" s="723"/>
      <c r="AD323" s="723"/>
      <c r="AE323" s="723"/>
      <c r="AF323" s="723"/>
      <c r="AG323" s="147"/>
      <c r="AH323" s="147"/>
      <c r="AI323" s="1348" t="str">
        <f>IF(Rent_Roll[[#This Row],[Future
Lease Start]]="","",DATEDIF(Rent_Roll[[#This Row],[Future
Lease Start]],Rent_Roll[[#This Row],[Future
Lease Exp]],"m")+1)</f>
        <v/>
      </c>
      <c r="AJ323" s="1347"/>
    </row>
    <row r="324" spans="2:36" hidden="1" x14ac:dyDescent="0.2">
      <c r="B324" s="638"/>
      <c r="C324" s="638"/>
      <c r="D324" s="638"/>
      <c r="E324" s="162" t="str">
        <f>IF(Rent_Roll[[#This Row],[Floor-
plan]]="studio",0,LEFT(Rent_Roll[[#This Row],[Floor-
plan]],1))</f>
        <v/>
      </c>
      <c r="F324" s="162" t="str" cm="1">
        <f t="array" ref="F32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24" s="1349"/>
      <c r="H324" s="722"/>
      <c r="J324" s="1337" t="str" cm="1">
        <f t="array" ref="J32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24" s="1350"/>
      <c r="L324" s="150"/>
      <c r="M324" s="1339" t="str" cm="1">
        <f t="array" ref="M324">_xlfn.IFS(Rent_Roll[[#This Row],[Lease
Exp]]="","",Rent_Roll[[#This Row],[MTM
Lease]]="MTM Lease","--",Rent_Roll[[#This Row],[Lease
Exp]]&gt;0,(DATEDIF(Rent_Roll[[#This Row],[Lease
Start]],Rent_Roll[[#This Row],[Lease
Exp]],"m")+1))</f>
        <v/>
      </c>
      <c r="N324" s="1337" t="str">
        <f>IF(OR(Rent_Roll[[#This Row],[MTM Fee]]="",Rent_Roll[[#This Row],[MTM Fee]]=0),"","MTM Lease")</f>
        <v/>
      </c>
      <c r="O324" s="1340" t="str">
        <f>IFERROR(IF(Rent_Roll[[#This Row],[Lease
Exp]]="","",DATEDIF($F$3,Rent_Roll[[#This Row],[Lease
Exp]],"m")+1),0)</f>
        <v/>
      </c>
      <c r="P324" s="155"/>
      <c r="Q324" s="1342" t="str" cm="1">
        <f t="array" ref="Q32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24" s="1351"/>
      <c r="S324" s="550"/>
      <c r="T324" s="550"/>
      <c r="U324" s="550">
        <f>Rent_Roll[[#This Row],[Lease
Rent]]+Rent_Roll[[#This Row],[Corp
Rent]]</f>
        <v>0</v>
      </c>
      <c r="V324" s="1344">
        <f>IF(Rent_Roll[[#This Row],[Total In-Place
Rent]]=0,0,Rent_Roll[[#This Row],[Total In-Place
Rent]]-Rent_Roll[[#This Row],[Market
Rent]])</f>
        <v>0</v>
      </c>
      <c r="W324" s="1351"/>
      <c r="X324" s="723"/>
      <c r="Y324" s="723"/>
      <c r="Z324" s="723"/>
      <c r="AA324" s="1345"/>
      <c r="AB324" s="723"/>
      <c r="AC324" s="723"/>
      <c r="AD324" s="723"/>
      <c r="AE324" s="723"/>
      <c r="AF324" s="723"/>
      <c r="AG324" s="147"/>
      <c r="AH324" s="147"/>
      <c r="AI324" s="1348" t="str">
        <f>IF(Rent_Roll[[#This Row],[Future
Lease Start]]="","",DATEDIF(Rent_Roll[[#This Row],[Future
Lease Start]],Rent_Roll[[#This Row],[Future
Lease Exp]],"m")+1)</f>
        <v/>
      </c>
      <c r="AJ324" s="1347"/>
    </row>
    <row r="325" spans="2:36" hidden="1" x14ac:dyDescent="0.2">
      <c r="B325" s="638"/>
      <c r="C325" s="638"/>
      <c r="D325" s="638"/>
      <c r="E325" s="162" t="str">
        <f>IF(Rent_Roll[[#This Row],[Floor-
plan]]="studio",0,LEFT(Rent_Roll[[#This Row],[Floor-
plan]],1))</f>
        <v/>
      </c>
      <c r="F325" s="162" t="str" cm="1">
        <f t="array" ref="F32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25" s="1349"/>
      <c r="H325" s="722"/>
      <c r="J325" s="1337" t="str" cm="1">
        <f t="array" ref="J32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25" s="1350"/>
      <c r="L325" s="150"/>
      <c r="M325" s="1339" t="str" cm="1">
        <f t="array" ref="M325">_xlfn.IFS(Rent_Roll[[#This Row],[Lease
Exp]]="","",Rent_Roll[[#This Row],[MTM
Lease]]="MTM Lease","--",Rent_Roll[[#This Row],[Lease
Exp]]&gt;0,(DATEDIF(Rent_Roll[[#This Row],[Lease
Start]],Rent_Roll[[#This Row],[Lease
Exp]],"m")+1))</f>
        <v/>
      </c>
      <c r="N325" s="1337" t="str">
        <f>IF(OR(Rent_Roll[[#This Row],[MTM Fee]]="",Rent_Roll[[#This Row],[MTM Fee]]=0),"","MTM Lease")</f>
        <v/>
      </c>
      <c r="O325" s="1340" t="str">
        <f>IFERROR(IF(Rent_Roll[[#This Row],[Lease
Exp]]="","",DATEDIF($F$3,Rent_Roll[[#This Row],[Lease
Exp]],"m")+1),0)</f>
        <v/>
      </c>
      <c r="P325" s="155"/>
      <c r="Q325" s="1342" t="str" cm="1">
        <f t="array" ref="Q32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25" s="1351"/>
      <c r="S325" s="550"/>
      <c r="T325" s="550"/>
      <c r="U325" s="550">
        <f>Rent_Roll[[#This Row],[Lease
Rent]]+Rent_Roll[[#This Row],[Corp
Rent]]</f>
        <v>0</v>
      </c>
      <c r="V325" s="1344">
        <f>IF(Rent_Roll[[#This Row],[Total In-Place
Rent]]=0,0,Rent_Roll[[#This Row],[Total In-Place
Rent]]-Rent_Roll[[#This Row],[Market
Rent]])</f>
        <v>0</v>
      </c>
      <c r="W325" s="1351"/>
      <c r="X325" s="723"/>
      <c r="Y325" s="723"/>
      <c r="Z325" s="723"/>
      <c r="AA325" s="1345"/>
      <c r="AB325" s="723"/>
      <c r="AC325" s="723"/>
      <c r="AD325" s="723"/>
      <c r="AE325" s="723"/>
      <c r="AF325" s="723"/>
      <c r="AG325" s="147"/>
      <c r="AH325" s="147"/>
      <c r="AI325" s="1348" t="str">
        <f>IF(Rent_Roll[[#This Row],[Future
Lease Start]]="","",DATEDIF(Rent_Roll[[#This Row],[Future
Lease Start]],Rent_Roll[[#This Row],[Future
Lease Exp]],"m")+1)</f>
        <v/>
      </c>
      <c r="AJ325" s="1347"/>
    </row>
    <row r="326" spans="2:36" hidden="1" x14ac:dyDescent="0.2">
      <c r="B326" s="638"/>
      <c r="C326" s="638"/>
      <c r="D326" s="638"/>
      <c r="E326" s="162" t="str">
        <f>IF(Rent_Roll[[#This Row],[Floor-
plan]]="studio",0,LEFT(Rent_Roll[[#This Row],[Floor-
plan]],1))</f>
        <v/>
      </c>
      <c r="F326" s="162" t="str" cm="1">
        <f t="array" ref="F32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26" s="1349"/>
      <c r="H326" s="722"/>
      <c r="J326" s="1337" t="str" cm="1">
        <f t="array" ref="J32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26" s="1350"/>
      <c r="L326" s="150"/>
      <c r="M326" s="1339" t="str" cm="1">
        <f t="array" ref="M326">_xlfn.IFS(Rent_Roll[[#This Row],[Lease
Exp]]="","",Rent_Roll[[#This Row],[MTM
Lease]]="MTM Lease","--",Rent_Roll[[#This Row],[Lease
Exp]]&gt;0,(DATEDIF(Rent_Roll[[#This Row],[Lease
Start]],Rent_Roll[[#This Row],[Lease
Exp]],"m")+1))</f>
        <v/>
      </c>
      <c r="N326" s="1337" t="str">
        <f>IF(OR(Rent_Roll[[#This Row],[MTM Fee]]="",Rent_Roll[[#This Row],[MTM Fee]]=0),"","MTM Lease")</f>
        <v/>
      </c>
      <c r="O326" s="1340" t="str">
        <f>IFERROR(IF(Rent_Roll[[#This Row],[Lease
Exp]]="","",DATEDIF($F$3,Rent_Roll[[#This Row],[Lease
Exp]],"m")+1),0)</f>
        <v/>
      </c>
      <c r="P326" s="155"/>
      <c r="Q326" s="1342" t="str" cm="1">
        <f t="array" ref="Q32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26" s="1351"/>
      <c r="S326" s="550"/>
      <c r="T326" s="550"/>
      <c r="U326" s="550">
        <f>Rent_Roll[[#This Row],[Lease
Rent]]+Rent_Roll[[#This Row],[Corp
Rent]]</f>
        <v>0</v>
      </c>
      <c r="V326" s="1344">
        <f>IF(Rent_Roll[[#This Row],[Total In-Place
Rent]]=0,0,Rent_Roll[[#This Row],[Total In-Place
Rent]]-Rent_Roll[[#This Row],[Market
Rent]])</f>
        <v>0</v>
      </c>
      <c r="W326" s="1351"/>
      <c r="X326" s="723"/>
      <c r="Y326" s="723"/>
      <c r="Z326" s="723"/>
      <c r="AA326" s="1345"/>
      <c r="AB326" s="723"/>
      <c r="AC326" s="723"/>
      <c r="AD326" s="723"/>
      <c r="AE326" s="723"/>
      <c r="AF326" s="723"/>
      <c r="AG326" s="147"/>
      <c r="AH326" s="147"/>
      <c r="AI326" s="1348" t="str">
        <f>IF(Rent_Roll[[#This Row],[Future
Lease Start]]="","",DATEDIF(Rent_Roll[[#This Row],[Future
Lease Start]],Rent_Roll[[#This Row],[Future
Lease Exp]],"m")+1)</f>
        <v/>
      </c>
      <c r="AJ326" s="1347"/>
    </row>
    <row r="327" spans="2:36" hidden="1" x14ac:dyDescent="0.2">
      <c r="B327" s="638"/>
      <c r="C327" s="638"/>
      <c r="D327" s="638"/>
      <c r="E327" s="162" t="str">
        <f>IF(Rent_Roll[[#This Row],[Floor-
plan]]="studio",0,LEFT(Rent_Roll[[#This Row],[Floor-
plan]],1))</f>
        <v/>
      </c>
      <c r="F327" s="162" t="str" cm="1">
        <f t="array" ref="F32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27" s="1349"/>
      <c r="H327" s="722"/>
      <c r="J327" s="1337" t="str" cm="1">
        <f t="array" ref="J32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27" s="1350"/>
      <c r="L327" s="150"/>
      <c r="M327" s="1339" t="str" cm="1">
        <f t="array" ref="M327">_xlfn.IFS(Rent_Roll[[#This Row],[Lease
Exp]]="","",Rent_Roll[[#This Row],[MTM
Lease]]="MTM Lease","--",Rent_Roll[[#This Row],[Lease
Exp]]&gt;0,(DATEDIF(Rent_Roll[[#This Row],[Lease
Start]],Rent_Roll[[#This Row],[Lease
Exp]],"m")+1))</f>
        <v/>
      </c>
      <c r="N327" s="1337" t="str">
        <f>IF(OR(Rent_Roll[[#This Row],[MTM Fee]]="",Rent_Roll[[#This Row],[MTM Fee]]=0),"","MTM Lease")</f>
        <v/>
      </c>
      <c r="O327" s="1340" t="str">
        <f>IFERROR(IF(Rent_Roll[[#This Row],[Lease
Exp]]="","",DATEDIF($F$3,Rent_Roll[[#This Row],[Lease
Exp]],"m")+1),0)</f>
        <v/>
      </c>
      <c r="P327" s="155"/>
      <c r="Q327" s="1342" t="str" cm="1">
        <f t="array" ref="Q32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27" s="1351"/>
      <c r="S327" s="550"/>
      <c r="T327" s="550"/>
      <c r="U327" s="550">
        <f>Rent_Roll[[#This Row],[Lease
Rent]]+Rent_Roll[[#This Row],[Corp
Rent]]</f>
        <v>0</v>
      </c>
      <c r="V327" s="1344">
        <f>IF(Rent_Roll[[#This Row],[Total In-Place
Rent]]=0,0,Rent_Roll[[#This Row],[Total In-Place
Rent]]-Rent_Roll[[#This Row],[Market
Rent]])</f>
        <v>0</v>
      </c>
      <c r="W327" s="1351"/>
      <c r="X327" s="723"/>
      <c r="Y327" s="723"/>
      <c r="Z327" s="723"/>
      <c r="AA327" s="1345"/>
      <c r="AB327" s="723"/>
      <c r="AC327" s="723"/>
      <c r="AD327" s="723"/>
      <c r="AE327" s="723"/>
      <c r="AF327" s="723"/>
      <c r="AG327" s="147"/>
      <c r="AH327" s="147"/>
      <c r="AI327" s="1348" t="str">
        <f>IF(Rent_Roll[[#This Row],[Future
Lease Start]]="","",DATEDIF(Rent_Roll[[#This Row],[Future
Lease Start]],Rent_Roll[[#This Row],[Future
Lease Exp]],"m")+1)</f>
        <v/>
      </c>
      <c r="AJ327" s="1347"/>
    </row>
    <row r="328" spans="2:36" hidden="1" x14ac:dyDescent="0.2">
      <c r="B328" s="638"/>
      <c r="C328" s="638"/>
      <c r="D328" s="638"/>
      <c r="E328" s="162" t="str">
        <f>IF(Rent_Roll[[#This Row],[Floor-
plan]]="studio",0,LEFT(Rent_Roll[[#This Row],[Floor-
plan]],1))</f>
        <v/>
      </c>
      <c r="F328" s="162" t="str" cm="1">
        <f t="array" ref="F32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28" s="1349"/>
      <c r="H328" s="722"/>
      <c r="J328" s="1337" t="str" cm="1">
        <f t="array" ref="J32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28" s="1350"/>
      <c r="L328" s="150"/>
      <c r="M328" s="1339" t="str" cm="1">
        <f t="array" ref="M328">_xlfn.IFS(Rent_Roll[[#This Row],[Lease
Exp]]="","",Rent_Roll[[#This Row],[MTM
Lease]]="MTM Lease","--",Rent_Roll[[#This Row],[Lease
Exp]]&gt;0,(DATEDIF(Rent_Roll[[#This Row],[Lease
Start]],Rent_Roll[[#This Row],[Lease
Exp]],"m")+1))</f>
        <v/>
      </c>
      <c r="N328" s="1337" t="str">
        <f>IF(OR(Rent_Roll[[#This Row],[MTM Fee]]="",Rent_Roll[[#This Row],[MTM Fee]]=0),"","MTM Lease")</f>
        <v/>
      </c>
      <c r="O328" s="1340" t="str">
        <f>IFERROR(IF(Rent_Roll[[#This Row],[Lease
Exp]]="","",DATEDIF($F$3,Rent_Roll[[#This Row],[Lease
Exp]],"m")+1),0)</f>
        <v/>
      </c>
      <c r="P328" s="155"/>
      <c r="Q328" s="1342" t="str" cm="1">
        <f t="array" ref="Q32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28" s="1351"/>
      <c r="S328" s="550"/>
      <c r="T328" s="550"/>
      <c r="U328" s="550">
        <f>Rent_Roll[[#This Row],[Lease
Rent]]+Rent_Roll[[#This Row],[Corp
Rent]]</f>
        <v>0</v>
      </c>
      <c r="V328" s="1344">
        <f>IF(Rent_Roll[[#This Row],[Total In-Place
Rent]]=0,0,Rent_Roll[[#This Row],[Total In-Place
Rent]]-Rent_Roll[[#This Row],[Market
Rent]])</f>
        <v>0</v>
      </c>
      <c r="W328" s="1351"/>
      <c r="X328" s="723"/>
      <c r="Y328" s="723"/>
      <c r="Z328" s="723"/>
      <c r="AA328" s="1345"/>
      <c r="AB328" s="723"/>
      <c r="AC328" s="723"/>
      <c r="AD328" s="723"/>
      <c r="AE328" s="723"/>
      <c r="AF328" s="723"/>
      <c r="AG328" s="147"/>
      <c r="AH328" s="147"/>
      <c r="AI328" s="1348" t="str">
        <f>IF(Rent_Roll[[#This Row],[Future
Lease Start]]="","",DATEDIF(Rent_Roll[[#This Row],[Future
Lease Start]],Rent_Roll[[#This Row],[Future
Lease Exp]],"m")+1)</f>
        <v/>
      </c>
      <c r="AJ328" s="1347"/>
    </row>
    <row r="329" spans="2:36" hidden="1" x14ac:dyDescent="0.2">
      <c r="B329" s="638"/>
      <c r="C329" s="638"/>
      <c r="D329" s="638"/>
      <c r="E329" s="162" t="str">
        <f>IF(Rent_Roll[[#This Row],[Floor-
plan]]="studio",0,LEFT(Rent_Roll[[#This Row],[Floor-
plan]],1))</f>
        <v/>
      </c>
      <c r="F329" s="162" t="str" cm="1">
        <f t="array" ref="F32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29" s="1349"/>
      <c r="H329" s="722"/>
      <c r="J329" s="1337" t="str" cm="1">
        <f t="array" ref="J32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29" s="1350"/>
      <c r="L329" s="150"/>
      <c r="M329" s="1339" t="str" cm="1">
        <f t="array" ref="M329">_xlfn.IFS(Rent_Roll[[#This Row],[Lease
Exp]]="","",Rent_Roll[[#This Row],[MTM
Lease]]="MTM Lease","--",Rent_Roll[[#This Row],[Lease
Exp]]&gt;0,(DATEDIF(Rent_Roll[[#This Row],[Lease
Start]],Rent_Roll[[#This Row],[Lease
Exp]],"m")+1))</f>
        <v/>
      </c>
      <c r="N329" s="1337" t="str">
        <f>IF(OR(Rent_Roll[[#This Row],[MTM Fee]]="",Rent_Roll[[#This Row],[MTM Fee]]=0),"","MTM Lease")</f>
        <v/>
      </c>
      <c r="O329" s="1340" t="str">
        <f>IFERROR(IF(Rent_Roll[[#This Row],[Lease
Exp]]="","",DATEDIF($F$3,Rent_Roll[[#This Row],[Lease
Exp]],"m")+1),0)</f>
        <v/>
      </c>
      <c r="P329" s="155"/>
      <c r="Q329" s="1342" t="str" cm="1">
        <f t="array" ref="Q32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29" s="1351"/>
      <c r="S329" s="550"/>
      <c r="T329" s="550"/>
      <c r="U329" s="550">
        <f>Rent_Roll[[#This Row],[Lease
Rent]]+Rent_Roll[[#This Row],[Corp
Rent]]</f>
        <v>0</v>
      </c>
      <c r="V329" s="1344">
        <f>IF(Rent_Roll[[#This Row],[Total In-Place
Rent]]=0,0,Rent_Roll[[#This Row],[Total In-Place
Rent]]-Rent_Roll[[#This Row],[Market
Rent]])</f>
        <v>0</v>
      </c>
      <c r="W329" s="1351"/>
      <c r="X329" s="723"/>
      <c r="Y329" s="723"/>
      <c r="Z329" s="723"/>
      <c r="AA329" s="1345"/>
      <c r="AB329" s="723"/>
      <c r="AC329" s="723"/>
      <c r="AD329" s="723"/>
      <c r="AE329" s="723"/>
      <c r="AF329" s="723"/>
      <c r="AG329" s="147"/>
      <c r="AH329" s="147"/>
      <c r="AI329" s="1348" t="str">
        <f>IF(Rent_Roll[[#This Row],[Future
Lease Start]]="","",DATEDIF(Rent_Roll[[#This Row],[Future
Lease Start]],Rent_Roll[[#This Row],[Future
Lease Exp]],"m")+1)</f>
        <v/>
      </c>
      <c r="AJ329" s="1347"/>
    </row>
    <row r="330" spans="2:36" hidden="1" x14ac:dyDescent="0.2">
      <c r="B330" s="638"/>
      <c r="C330" s="638"/>
      <c r="D330" s="638"/>
      <c r="E330" s="162" t="str">
        <f>IF(Rent_Roll[[#This Row],[Floor-
plan]]="studio",0,LEFT(Rent_Roll[[#This Row],[Floor-
plan]],1))</f>
        <v/>
      </c>
      <c r="F330" s="162" t="str" cm="1">
        <f t="array" ref="F33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30" s="1349"/>
      <c r="H330" s="722"/>
      <c r="J330" s="1337" t="str" cm="1">
        <f t="array" ref="J33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30" s="1350"/>
      <c r="L330" s="150"/>
      <c r="M330" s="1339" t="str" cm="1">
        <f t="array" ref="M330">_xlfn.IFS(Rent_Roll[[#This Row],[Lease
Exp]]="","",Rent_Roll[[#This Row],[MTM
Lease]]="MTM Lease","--",Rent_Roll[[#This Row],[Lease
Exp]]&gt;0,(DATEDIF(Rent_Roll[[#This Row],[Lease
Start]],Rent_Roll[[#This Row],[Lease
Exp]],"m")+1))</f>
        <v/>
      </c>
      <c r="N330" s="1337" t="str">
        <f>IF(OR(Rent_Roll[[#This Row],[MTM Fee]]="",Rent_Roll[[#This Row],[MTM Fee]]=0),"","MTM Lease")</f>
        <v/>
      </c>
      <c r="O330" s="1340" t="str">
        <f>IFERROR(IF(Rent_Roll[[#This Row],[Lease
Exp]]="","",DATEDIF($F$3,Rent_Roll[[#This Row],[Lease
Exp]],"m")+1),0)</f>
        <v/>
      </c>
      <c r="P330" s="155"/>
      <c r="Q330" s="1342" t="str" cm="1">
        <f t="array" ref="Q33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30" s="1351"/>
      <c r="S330" s="550"/>
      <c r="T330" s="550"/>
      <c r="U330" s="550">
        <f>Rent_Roll[[#This Row],[Lease
Rent]]+Rent_Roll[[#This Row],[Corp
Rent]]</f>
        <v>0</v>
      </c>
      <c r="V330" s="1344">
        <f>IF(Rent_Roll[[#This Row],[Total In-Place
Rent]]=0,0,Rent_Roll[[#This Row],[Total In-Place
Rent]]-Rent_Roll[[#This Row],[Market
Rent]])</f>
        <v>0</v>
      </c>
      <c r="W330" s="1351"/>
      <c r="X330" s="723"/>
      <c r="Y330" s="723"/>
      <c r="Z330" s="723"/>
      <c r="AA330" s="1345"/>
      <c r="AB330" s="723"/>
      <c r="AC330" s="723"/>
      <c r="AD330" s="723"/>
      <c r="AE330" s="723"/>
      <c r="AF330" s="723"/>
      <c r="AG330" s="147"/>
      <c r="AH330" s="147"/>
      <c r="AI330" s="1348" t="str">
        <f>IF(Rent_Roll[[#This Row],[Future
Lease Start]]="","",DATEDIF(Rent_Roll[[#This Row],[Future
Lease Start]],Rent_Roll[[#This Row],[Future
Lease Exp]],"m")+1)</f>
        <v/>
      </c>
      <c r="AJ330" s="1347"/>
    </row>
    <row r="331" spans="2:36" hidden="1" x14ac:dyDescent="0.2">
      <c r="B331" s="638"/>
      <c r="C331" s="638"/>
      <c r="D331" s="638"/>
      <c r="E331" s="162" t="str">
        <f>IF(Rent_Roll[[#This Row],[Floor-
plan]]="studio",0,LEFT(Rent_Roll[[#This Row],[Floor-
plan]],1))</f>
        <v/>
      </c>
      <c r="F331" s="162" t="str" cm="1">
        <f t="array" ref="F33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31" s="1349"/>
      <c r="H331" s="722"/>
      <c r="J331" s="1337" t="str" cm="1">
        <f t="array" ref="J33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31" s="1350"/>
      <c r="L331" s="150"/>
      <c r="M331" s="1339" t="str" cm="1">
        <f t="array" ref="M331">_xlfn.IFS(Rent_Roll[[#This Row],[Lease
Exp]]="","",Rent_Roll[[#This Row],[MTM
Lease]]="MTM Lease","--",Rent_Roll[[#This Row],[Lease
Exp]]&gt;0,(DATEDIF(Rent_Roll[[#This Row],[Lease
Start]],Rent_Roll[[#This Row],[Lease
Exp]],"m")+1))</f>
        <v/>
      </c>
      <c r="N331" s="1337" t="str">
        <f>IF(OR(Rent_Roll[[#This Row],[MTM Fee]]="",Rent_Roll[[#This Row],[MTM Fee]]=0),"","MTM Lease")</f>
        <v/>
      </c>
      <c r="O331" s="1340" t="str">
        <f>IFERROR(IF(Rent_Roll[[#This Row],[Lease
Exp]]="","",DATEDIF($F$3,Rent_Roll[[#This Row],[Lease
Exp]],"m")+1),0)</f>
        <v/>
      </c>
      <c r="P331" s="155"/>
      <c r="Q331" s="1342" t="str" cm="1">
        <f t="array" ref="Q33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31" s="1351"/>
      <c r="S331" s="550"/>
      <c r="T331" s="550"/>
      <c r="U331" s="550">
        <f>Rent_Roll[[#This Row],[Lease
Rent]]+Rent_Roll[[#This Row],[Corp
Rent]]</f>
        <v>0</v>
      </c>
      <c r="V331" s="1344">
        <f>IF(Rent_Roll[[#This Row],[Total In-Place
Rent]]=0,0,Rent_Roll[[#This Row],[Total In-Place
Rent]]-Rent_Roll[[#This Row],[Market
Rent]])</f>
        <v>0</v>
      </c>
      <c r="W331" s="1351"/>
      <c r="X331" s="723"/>
      <c r="Y331" s="723"/>
      <c r="Z331" s="723"/>
      <c r="AA331" s="1345"/>
      <c r="AB331" s="723"/>
      <c r="AC331" s="723"/>
      <c r="AD331" s="723"/>
      <c r="AE331" s="723"/>
      <c r="AF331" s="723"/>
      <c r="AG331" s="147"/>
      <c r="AH331" s="147"/>
      <c r="AI331" s="1348" t="str">
        <f>IF(Rent_Roll[[#This Row],[Future
Lease Start]]="","",DATEDIF(Rent_Roll[[#This Row],[Future
Lease Start]],Rent_Roll[[#This Row],[Future
Lease Exp]],"m")+1)</f>
        <v/>
      </c>
      <c r="AJ331" s="1347"/>
    </row>
    <row r="332" spans="2:36" hidden="1" x14ac:dyDescent="0.2">
      <c r="B332" s="638"/>
      <c r="C332" s="638"/>
      <c r="D332" s="638"/>
      <c r="E332" s="162" t="str">
        <f>IF(Rent_Roll[[#This Row],[Floor-
plan]]="studio",0,LEFT(Rent_Roll[[#This Row],[Floor-
plan]],1))</f>
        <v/>
      </c>
      <c r="F332" s="162" t="str" cm="1">
        <f t="array" ref="F33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32" s="1349"/>
      <c r="H332" s="722"/>
      <c r="J332" s="1337" t="str" cm="1">
        <f t="array" ref="J33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32" s="1350"/>
      <c r="L332" s="150"/>
      <c r="M332" s="1339" t="str" cm="1">
        <f t="array" ref="M332">_xlfn.IFS(Rent_Roll[[#This Row],[Lease
Exp]]="","",Rent_Roll[[#This Row],[MTM
Lease]]="MTM Lease","--",Rent_Roll[[#This Row],[Lease
Exp]]&gt;0,(DATEDIF(Rent_Roll[[#This Row],[Lease
Start]],Rent_Roll[[#This Row],[Lease
Exp]],"m")+1))</f>
        <v/>
      </c>
      <c r="N332" s="1337" t="str">
        <f>IF(OR(Rent_Roll[[#This Row],[MTM Fee]]="",Rent_Roll[[#This Row],[MTM Fee]]=0),"","MTM Lease")</f>
        <v/>
      </c>
      <c r="O332" s="1340" t="str">
        <f>IFERROR(IF(Rent_Roll[[#This Row],[Lease
Exp]]="","",DATEDIF($F$3,Rent_Roll[[#This Row],[Lease
Exp]],"m")+1),0)</f>
        <v/>
      </c>
      <c r="P332" s="155"/>
      <c r="Q332" s="1342" t="str" cm="1">
        <f t="array" ref="Q33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32" s="1351"/>
      <c r="S332" s="550"/>
      <c r="T332" s="550"/>
      <c r="U332" s="550">
        <f>Rent_Roll[[#This Row],[Lease
Rent]]+Rent_Roll[[#This Row],[Corp
Rent]]</f>
        <v>0</v>
      </c>
      <c r="V332" s="1344">
        <f>IF(Rent_Roll[[#This Row],[Total In-Place
Rent]]=0,0,Rent_Roll[[#This Row],[Total In-Place
Rent]]-Rent_Roll[[#This Row],[Market
Rent]])</f>
        <v>0</v>
      </c>
      <c r="W332" s="1351"/>
      <c r="X332" s="723"/>
      <c r="Y332" s="723"/>
      <c r="Z332" s="723"/>
      <c r="AA332" s="1345"/>
      <c r="AB332" s="723"/>
      <c r="AC332" s="723"/>
      <c r="AD332" s="723"/>
      <c r="AE332" s="723"/>
      <c r="AF332" s="723"/>
      <c r="AG332" s="147"/>
      <c r="AH332" s="147"/>
      <c r="AI332" s="1348" t="str">
        <f>IF(Rent_Roll[[#This Row],[Future
Lease Start]]="","",DATEDIF(Rent_Roll[[#This Row],[Future
Lease Start]],Rent_Roll[[#This Row],[Future
Lease Exp]],"m")+1)</f>
        <v/>
      </c>
      <c r="AJ332" s="1347"/>
    </row>
    <row r="333" spans="2:36" hidden="1" x14ac:dyDescent="0.2">
      <c r="B333" s="638"/>
      <c r="C333" s="638"/>
      <c r="D333" s="638"/>
      <c r="E333" s="162" t="str">
        <f>IF(Rent_Roll[[#This Row],[Floor-
plan]]="studio",0,LEFT(Rent_Roll[[#This Row],[Floor-
plan]],1))</f>
        <v/>
      </c>
      <c r="F333" s="162" t="str" cm="1">
        <f t="array" ref="F33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33" s="1349"/>
      <c r="H333" s="722"/>
      <c r="J333" s="1337" t="str" cm="1">
        <f t="array" ref="J33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33" s="1350"/>
      <c r="L333" s="150"/>
      <c r="M333" s="1339" t="str" cm="1">
        <f t="array" ref="M333">_xlfn.IFS(Rent_Roll[[#This Row],[Lease
Exp]]="","",Rent_Roll[[#This Row],[MTM
Lease]]="MTM Lease","--",Rent_Roll[[#This Row],[Lease
Exp]]&gt;0,(DATEDIF(Rent_Roll[[#This Row],[Lease
Start]],Rent_Roll[[#This Row],[Lease
Exp]],"m")+1))</f>
        <v/>
      </c>
      <c r="N333" s="1337" t="str">
        <f>IF(OR(Rent_Roll[[#This Row],[MTM Fee]]="",Rent_Roll[[#This Row],[MTM Fee]]=0),"","MTM Lease")</f>
        <v/>
      </c>
      <c r="O333" s="1340" t="str">
        <f>IFERROR(IF(Rent_Roll[[#This Row],[Lease
Exp]]="","",DATEDIF($F$3,Rent_Roll[[#This Row],[Lease
Exp]],"m")+1),0)</f>
        <v/>
      </c>
      <c r="P333" s="155"/>
      <c r="Q333" s="1342" t="str" cm="1">
        <f t="array" ref="Q33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33" s="1351"/>
      <c r="S333" s="550"/>
      <c r="T333" s="550"/>
      <c r="U333" s="550">
        <f>Rent_Roll[[#This Row],[Lease
Rent]]+Rent_Roll[[#This Row],[Corp
Rent]]</f>
        <v>0</v>
      </c>
      <c r="V333" s="1344">
        <f>IF(Rent_Roll[[#This Row],[Total In-Place
Rent]]=0,0,Rent_Roll[[#This Row],[Total In-Place
Rent]]-Rent_Roll[[#This Row],[Market
Rent]])</f>
        <v>0</v>
      </c>
      <c r="W333" s="1351"/>
      <c r="X333" s="723"/>
      <c r="Y333" s="723"/>
      <c r="Z333" s="723"/>
      <c r="AA333" s="1345"/>
      <c r="AB333" s="723"/>
      <c r="AC333" s="723"/>
      <c r="AD333" s="723"/>
      <c r="AE333" s="723"/>
      <c r="AF333" s="723"/>
      <c r="AG333" s="147"/>
      <c r="AH333" s="147"/>
      <c r="AI333" s="1348" t="str">
        <f>IF(Rent_Roll[[#This Row],[Future
Lease Start]]="","",DATEDIF(Rent_Roll[[#This Row],[Future
Lease Start]],Rent_Roll[[#This Row],[Future
Lease Exp]],"m")+1)</f>
        <v/>
      </c>
      <c r="AJ333" s="1347"/>
    </row>
    <row r="334" spans="2:36" hidden="1" x14ac:dyDescent="0.2">
      <c r="B334" s="638"/>
      <c r="C334" s="638"/>
      <c r="D334" s="638"/>
      <c r="E334" s="162" t="str">
        <f>IF(Rent_Roll[[#This Row],[Floor-
plan]]="studio",0,LEFT(Rent_Roll[[#This Row],[Floor-
plan]],1))</f>
        <v/>
      </c>
      <c r="F334" s="162" t="str" cm="1">
        <f t="array" ref="F33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34" s="1349"/>
      <c r="H334" s="722"/>
      <c r="J334" s="1337" t="str" cm="1">
        <f t="array" ref="J33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34" s="1350"/>
      <c r="L334" s="150"/>
      <c r="M334" s="1339" t="str" cm="1">
        <f t="array" ref="M334">_xlfn.IFS(Rent_Roll[[#This Row],[Lease
Exp]]="","",Rent_Roll[[#This Row],[MTM
Lease]]="MTM Lease","--",Rent_Roll[[#This Row],[Lease
Exp]]&gt;0,(DATEDIF(Rent_Roll[[#This Row],[Lease
Start]],Rent_Roll[[#This Row],[Lease
Exp]],"m")+1))</f>
        <v/>
      </c>
      <c r="N334" s="1337" t="str">
        <f>IF(OR(Rent_Roll[[#This Row],[MTM Fee]]="",Rent_Roll[[#This Row],[MTM Fee]]=0),"","MTM Lease")</f>
        <v/>
      </c>
      <c r="O334" s="1340" t="str">
        <f>IFERROR(IF(Rent_Roll[[#This Row],[Lease
Exp]]="","",DATEDIF($F$3,Rent_Roll[[#This Row],[Lease
Exp]],"m")+1),0)</f>
        <v/>
      </c>
      <c r="P334" s="155"/>
      <c r="Q334" s="1342" t="str" cm="1">
        <f t="array" ref="Q33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34" s="1351"/>
      <c r="S334" s="550"/>
      <c r="T334" s="550"/>
      <c r="U334" s="550">
        <f>Rent_Roll[[#This Row],[Lease
Rent]]+Rent_Roll[[#This Row],[Corp
Rent]]</f>
        <v>0</v>
      </c>
      <c r="V334" s="1344">
        <f>IF(Rent_Roll[[#This Row],[Total In-Place
Rent]]=0,0,Rent_Roll[[#This Row],[Total In-Place
Rent]]-Rent_Roll[[#This Row],[Market
Rent]])</f>
        <v>0</v>
      </c>
      <c r="W334" s="1351"/>
      <c r="X334" s="723"/>
      <c r="Y334" s="723"/>
      <c r="Z334" s="723"/>
      <c r="AA334" s="1345"/>
      <c r="AB334" s="723"/>
      <c r="AC334" s="723"/>
      <c r="AD334" s="723"/>
      <c r="AE334" s="723"/>
      <c r="AF334" s="723"/>
      <c r="AG334" s="147"/>
      <c r="AH334" s="147"/>
      <c r="AI334" s="1348" t="str">
        <f>IF(Rent_Roll[[#This Row],[Future
Lease Start]]="","",DATEDIF(Rent_Roll[[#This Row],[Future
Lease Start]],Rent_Roll[[#This Row],[Future
Lease Exp]],"m")+1)</f>
        <v/>
      </c>
      <c r="AJ334" s="1347"/>
    </row>
    <row r="335" spans="2:36" hidden="1" x14ac:dyDescent="0.2">
      <c r="B335" s="638"/>
      <c r="C335" s="638"/>
      <c r="D335" s="638"/>
      <c r="E335" s="162" t="str">
        <f>IF(Rent_Roll[[#This Row],[Floor-
plan]]="studio",0,LEFT(Rent_Roll[[#This Row],[Floor-
plan]],1))</f>
        <v/>
      </c>
      <c r="F335" s="162" t="str" cm="1">
        <f t="array" ref="F33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35" s="1349"/>
      <c r="H335" s="722"/>
      <c r="J335" s="1337" t="str" cm="1">
        <f t="array" ref="J33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35" s="1350"/>
      <c r="L335" s="150"/>
      <c r="M335" s="1339" t="str" cm="1">
        <f t="array" ref="M335">_xlfn.IFS(Rent_Roll[[#This Row],[Lease
Exp]]="","",Rent_Roll[[#This Row],[MTM
Lease]]="MTM Lease","--",Rent_Roll[[#This Row],[Lease
Exp]]&gt;0,(DATEDIF(Rent_Roll[[#This Row],[Lease
Start]],Rent_Roll[[#This Row],[Lease
Exp]],"m")+1))</f>
        <v/>
      </c>
      <c r="N335" s="1337" t="str">
        <f>IF(OR(Rent_Roll[[#This Row],[MTM Fee]]="",Rent_Roll[[#This Row],[MTM Fee]]=0),"","MTM Lease")</f>
        <v/>
      </c>
      <c r="O335" s="1340" t="str">
        <f>IFERROR(IF(Rent_Roll[[#This Row],[Lease
Exp]]="","",DATEDIF($F$3,Rent_Roll[[#This Row],[Lease
Exp]],"m")+1),0)</f>
        <v/>
      </c>
      <c r="P335" s="155"/>
      <c r="Q335" s="1342" t="str" cm="1">
        <f t="array" ref="Q33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35" s="1351"/>
      <c r="S335" s="550"/>
      <c r="T335" s="550"/>
      <c r="U335" s="550">
        <f>Rent_Roll[[#This Row],[Lease
Rent]]+Rent_Roll[[#This Row],[Corp
Rent]]</f>
        <v>0</v>
      </c>
      <c r="V335" s="1344">
        <f>IF(Rent_Roll[[#This Row],[Total In-Place
Rent]]=0,0,Rent_Roll[[#This Row],[Total In-Place
Rent]]-Rent_Roll[[#This Row],[Market
Rent]])</f>
        <v>0</v>
      </c>
      <c r="W335" s="1351"/>
      <c r="X335" s="723"/>
      <c r="Y335" s="723"/>
      <c r="Z335" s="723"/>
      <c r="AA335" s="1345"/>
      <c r="AB335" s="723"/>
      <c r="AC335" s="723"/>
      <c r="AD335" s="723"/>
      <c r="AE335" s="723"/>
      <c r="AF335" s="723"/>
      <c r="AG335" s="147"/>
      <c r="AH335" s="147"/>
      <c r="AI335" s="1348" t="str">
        <f>IF(Rent_Roll[[#This Row],[Future
Lease Start]]="","",DATEDIF(Rent_Roll[[#This Row],[Future
Lease Start]],Rent_Roll[[#This Row],[Future
Lease Exp]],"m")+1)</f>
        <v/>
      </c>
      <c r="AJ335" s="1347"/>
    </row>
    <row r="336" spans="2:36" hidden="1" x14ac:dyDescent="0.2">
      <c r="B336" s="638"/>
      <c r="C336" s="638"/>
      <c r="D336" s="638"/>
      <c r="E336" s="162" t="str">
        <f>IF(Rent_Roll[[#This Row],[Floor-
plan]]="studio",0,LEFT(Rent_Roll[[#This Row],[Floor-
plan]],1))</f>
        <v/>
      </c>
      <c r="F336" s="162" t="str" cm="1">
        <f t="array" ref="F33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36" s="1349"/>
      <c r="H336" s="722"/>
      <c r="J336" s="1337" t="str" cm="1">
        <f t="array" ref="J33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36" s="1350"/>
      <c r="L336" s="150"/>
      <c r="M336" s="1339" t="str" cm="1">
        <f t="array" ref="M336">_xlfn.IFS(Rent_Roll[[#This Row],[Lease
Exp]]="","",Rent_Roll[[#This Row],[MTM
Lease]]="MTM Lease","--",Rent_Roll[[#This Row],[Lease
Exp]]&gt;0,(DATEDIF(Rent_Roll[[#This Row],[Lease
Start]],Rent_Roll[[#This Row],[Lease
Exp]],"m")+1))</f>
        <v/>
      </c>
      <c r="N336" s="1337" t="str">
        <f>IF(OR(Rent_Roll[[#This Row],[MTM Fee]]="",Rent_Roll[[#This Row],[MTM Fee]]=0),"","MTM Lease")</f>
        <v/>
      </c>
      <c r="O336" s="1340" t="str">
        <f>IFERROR(IF(Rent_Roll[[#This Row],[Lease
Exp]]="","",DATEDIF($F$3,Rent_Roll[[#This Row],[Lease
Exp]],"m")+1),0)</f>
        <v/>
      </c>
      <c r="P336" s="155"/>
      <c r="Q336" s="1342" t="str" cm="1">
        <f t="array" ref="Q33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36" s="1351"/>
      <c r="S336" s="550"/>
      <c r="T336" s="550"/>
      <c r="U336" s="550">
        <f>Rent_Roll[[#This Row],[Lease
Rent]]+Rent_Roll[[#This Row],[Corp
Rent]]</f>
        <v>0</v>
      </c>
      <c r="V336" s="1344">
        <f>IF(Rent_Roll[[#This Row],[Total In-Place
Rent]]=0,0,Rent_Roll[[#This Row],[Total In-Place
Rent]]-Rent_Roll[[#This Row],[Market
Rent]])</f>
        <v>0</v>
      </c>
      <c r="W336" s="1351"/>
      <c r="X336" s="723"/>
      <c r="Y336" s="723"/>
      <c r="Z336" s="723"/>
      <c r="AA336" s="1345"/>
      <c r="AB336" s="723"/>
      <c r="AC336" s="723"/>
      <c r="AD336" s="723"/>
      <c r="AE336" s="723"/>
      <c r="AF336" s="723"/>
      <c r="AG336" s="147"/>
      <c r="AH336" s="147"/>
      <c r="AI336" s="1348" t="str">
        <f>IF(Rent_Roll[[#This Row],[Future
Lease Start]]="","",DATEDIF(Rent_Roll[[#This Row],[Future
Lease Start]],Rent_Roll[[#This Row],[Future
Lease Exp]],"m")+1)</f>
        <v/>
      </c>
      <c r="AJ336" s="1347"/>
    </row>
    <row r="337" spans="2:36" x14ac:dyDescent="0.2">
      <c r="B337" s="638"/>
      <c r="C337" s="638"/>
      <c r="D337" s="638"/>
      <c r="E337" s="162" t="str">
        <f>IF(Rent_Roll[[#This Row],[Floor-
plan]]="studio",0,LEFT(Rent_Roll[[#This Row],[Floor-
plan]],1))</f>
        <v/>
      </c>
      <c r="F337" s="162" t="str" cm="1">
        <f t="array" ref="F33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37" s="1349"/>
      <c r="H337" s="722"/>
      <c r="J337" s="1337" t="str" cm="1">
        <f t="array" ref="J33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37" s="1350"/>
      <c r="L337" s="150"/>
      <c r="M337" s="1339" t="str" cm="1">
        <f t="array" ref="M337">_xlfn.IFS(Rent_Roll[[#This Row],[Lease
Exp]]="","",Rent_Roll[[#This Row],[MTM
Lease]]="MTM Lease","--",Rent_Roll[[#This Row],[Lease
Exp]]&gt;0,(DATEDIF(Rent_Roll[[#This Row],[Lease
Start]],Rent_Roll[[#This Row],[Lease
Exp]],"m")+1))</f>
        <v/>
      </c>
      <c r="N337" s="1337" t="str">
        <f>IF(OR(Rent_Roll[[#This Row],[MTM Fee]]="",Rent_Roll[[#This Row],[MTM Fee]]=0),"","MTM Lease")</f>
        <v/>
      </c>
      <c r="O337" s="1340" t="str">
        <f>IFERROR(IF(Rent_Roll[[#This Row],[Lease
Exp]]="","",DATEDIF($F$3,Rent_Roll[[#This Row],[Lease
Exp]],"m")+1),0)</f>
        <v/>
      </c>
      <c r="P337" s="155"/>
      <c r="Q337" s="1342" t="str" cm="1">
        <f t="array" ref="Q33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37" s="1351"/>
      <c r="S337" s="550"/>
      <c r="T337" s="550"/>
      <c r="U337" s="550">
        <f>Rent_Roll[[#This Row],[Lease
Rent]]+Rent_Roll[[#This Row],[Corp
Rent]]</f>
        <v>0</v>
      </c>
      <c r="V337" s="1344">
        <f>IF(Rent_Roll[[#This Row],[Total In-Place
Rent]]=0,0,Rent_Roll[[#This Row],[Total In-Place
Rent]]-Rent_Roll[[#This Row],[Market
Rent]])</f>
        <v>0</v>
      </c>
      <c r="W337" s="1351"/>
      <c r="X337" s="723"/>
      <c r="Y337" s="723"/>
      <c r="Z337" s="723"/>
      <c r="AA337" s="1345"/>
      <c r="AB337" s="723"/>
      <c r="AC337" s="723"/>
      <c r="AD337" s="723"/>
      <c r="AE337" s="723"/>
      <c r="AF337" s="723"/>
      <c r="AG337" s="147"/>
      <c r="AH337" s="147"/>
      <c r="AI337" s="1348" t="str">
        <f>IF(Rent_Roll[[#This Row],[Future
Lease Start]]="","",DATEDIF(Rent_Roll[[#This Row],[Future
Lease Start]],Rent_Roll[[#This Row],[Future
Lease Exp]],"m")+1)</f>
        <v/>
      </c>
      <c r="AJ337" s="1347"/>
    </row>
    <row r="338" spans="2:36" x14ac:dyDescent="0.2">
      <c r="B338" s="638"/>
      <c r="C338" s="638"/>
      <c r="D338" s="638"/>
      <c r="E338" s="162" t="str">
        <f>IF(Rent_Roll[[#This Row],[Floor-
plan]]="studio",0,LEFT(Rent_Roll[[#This Row],[Floor-
plan]],1))</f>
        <v/>
      </c>
      <c r="F338" s="162" t="str" cm="1">
        <f t="array" ref="F33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38" s="1349"/>
      <c r="H338" s="722"/>
      <c r="J338" s="1337" t="str" cm="1">
        <f t="array" ref="J33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38" s="1350"/>
      <c r="L338" s="150"/>
      <c r="M338" s="1339" t="str" cm="1">
        <f t="array" ref="M338">_xlfn.IFS(Rent_Roll[[#This Row],[Lease
Exp]]="","",Rent_Roll[[#This Row],[MTM
Lease]]="MTM Lease","--",Rent_Roll[[#This Row],[Lease
Exp]]&gt;0,(DATEDIF(Rent_Roll[[#This Row],[Lease
Start]],Rent_Roll[[#This Row],[Lease
Exp]],"m")+1))</f>
        <v/>
      </c>
      <c r="N338" s="1337" t="str">
        <f>IF(OR(Rent_Roll[[#This Row],[MTM Fee]]="",Rent_Roll[[#This Row],[MTM Fee]]=0),"","MTM Lease")</f>
        <v/>
      </c>
      <c r="O338" s="1340" t="str">
        <f>IFERROR(IF(Rent_Roll[[#This Row],[Lease
Exp]]="","",DATEDIF($F$3,Rent_Roll[[#This Row],[Lease
Exp]],"m")+1),0)</f>
        <v/>
      </c>
      <c r="P338" s="155"/>
      <c r="Q338" s="1342" t="str" cm="1">
        <f t="array" ref="Q33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38" s="1351"/>
      <c r="S338" s="550"/>
      <c r="T338" s="550"/>
      <c r="U338" s="550">
        <f>Rent_Roll[[#This Row],[Lease
Rent]]+Rent_Roll[[#This Row],[Corp
Rent]]</f>
        <v>0</v>
      </c>
      <c r="V338" s="1344">
        <f>IF(Rent_Roll[[#This Row],[Total In-Place
Rent]]=0,0,Rent_Roll[[#This Row],[Total In-Place
Rent]]-Rent_Roll[[#This Row],[Market
Rent]])</f>
        <v>0</v>
      </c>
      <c r="W338" s="1351"/>
      <c r="X338" s="723"/>
      <c r="Y338" s="723"/>
      <c r="Z338" s="723"/>
      <c r="AA338" s="1345"/>
      <c r="AB338" s="723"/>
      <c r="AC338" s="723"/>
      <c r="AD338" s="723"/>
      <c r="AE338" s="723"/>
      <c r="AF338" s="723"/>
      <c r="AG338" s="147"/>
      <c r="AH338" s="147"/>
      <c r="AI338" s="1348" t="str">
        <f>IF(Rent_Roll[[#This Row],[Future
Lease Start]]="","",DATEDIF(Rent_Roll[[#This Row],[Future
Lease Start]],Rent_Roll[[#This Row],[Future
Lease Exp]],"m")+1)</f>
        <v/>
      </c>
      <c r="AJ338" s="1347"/>
    </row>
    <row r="339" spans="2:36" x14ac:dyDescent="0.2">
      <c r="B339" s="638"/>
      <c r="C339" s="638"/>
      <c r="D339" s="638"/>
      <c r="E339" s="162" t="str">
        <f>IF(Rent_Roll[[#This Row],[Floor-
plan]]="studio",0,LEFT(Rent_Roll[[#This Row],[Floor-
plan]],1))</f>
        <v/>
      </c>
      <c r="F339" s="162" t="str" cm="1">
        <f t="array" ref="F33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39" s="1349"/>
      <c r="H339" s="722"/>
      <c r="J339" s="1337" t="str" cm="1">
        <f t="array" ref="J33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39" s="1350"/>
      <c r="L339" s="150"/>
      <c r="M339" s="1339" t="str" cm="1">
        <f t="array" ref="M339">_xlfn.IFS(Rent_Roll[[#This Row],[Lease
Exp]]="","",Rent_Roll[[#This Row],[MTM
Lease]]="MTM Lease","--",Rent_Roll[[#This Row],[Lease
Exp]]&gt;0,(DATEDIF(Rent_Roll[[#This Row],[Lease
Start]],Rent_Roll[[#This Row],[Lease
Exp]],"m")+1))</f>
        <v/>
      </c>
      <c r="N339" s="1337" t="str">
        <f>IF(OR(Rent_Roll[[#This Row],[MTM Fee]]="",Rent_Roll[[#This Row],[MTM Fee]]=0),"","MTM Lease")</f>
        <v/>
      </c>
      <c r="O339" s="1340" t="str">
        <f>IFERROR(IF(Rent_Roll[[#This Row],[Lease
Exp]]="","",DATEDIF($F$3,Rent_Roll[[#This Row],[Lease
Exp]],"m")+1),0)</f>
        <v/>
      </c>
      <c r="P339" s="155"/>
      <c r="Q339" s="1342" t="str" cm="1">
        <f t="array" ref="Q33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39" s="1351"/>
      <c r="S339" s="550"/>
      <c r="T339" s="550"/>
      <c r="U339" s="550">
        <f>Rent_Roll[[#This Row],[Lease
Rent]]+Rent_Roll[[#This Row],[Corp
Rent]]</f>
        <v>0</v>
      </c>
      <c r="V339" s="1344">
        <f>IF(Rent_Roll[[#This Row],[Total In-Place
Rent]]=0,0,Rent_Roll[[#This Row],[Total In-Place
Rent]]-Rent_Roll[[#This Row],[Market
Rent]])</f>
        <v>0</v>
      </c>
      <c r="W339" s="1351"/>
      <c r="X339" s="723"/>
      <c r="Y339" s="723"/>
      <c r="Z339" s="723"/>
      <c r="AA339" s="1345"/>
      <c r="AB339" s="723"/>
      <c r="AC339" s="723"/>
      <c r="AD339" s="723"/>
      <c r="AE339" s="723"/>
      <c r="AF339" s="723"/>
      <c r="AG339" s="147"/>
      <c r="AH339" s="147"/>
      <c r="AI339" s="1348" t="str">
        <f>IF(Rent_Roll[[#This Row],[Future
Lease Start]]="","",DATEDIF(Rent_Roll[[#This Row],[Future
Lease Start]],Rent_Roll[[#This Row],[Future
Lease Exp]],"m")+1)</f>
        <v/>
      </c>
      <c r="AJ339" s="1347"/>
    </row>
    <row r="340" spans="2:36" x14ac:dyDescent="0.2">
      <c r="B340" s="638"/>
      <c r="C340" s="638"/>
      <c r="D340" s="638"/>
      <c r="E340" s="162" t="str">
        <f>IF(Rent_Roll[[#This Row],[Floor-
plan]]="studio",0,LEFT(Rent_Roll[[#This Row],[Floor-
plan]],1))</f>
        <v/>
      </c>
      <c r="F340" s="162" t="str" cm="1">
        <f t="array" ref="F34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40" s="1349"/>
      <c r="H340" s="722"/>
      <c r="J340" s="1337" t="str" cm="1">
        <f t="array" ref="J34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40" s="1350"/>
      <c r="L340" s="150"/>
      <c r="M340" s="1339" t="str" cm="1">
        <f t="array" ref="M340">_xlfn.IFS(Rent_Roll[[#This Row],[Lease
Exp]]="","",Rent_Roll[[#This Row],[MTM
Lease]]="MTM Lease","--",Rent_Roll[[#This Row],[Lease
Exp]]&gt;0,(DATEDIF(Rent_Roll[[#This Row],[Lease
Start]],Rent_Roll[[#This Row],[Lease
Exp]],"m")+1))</f>
        <v/>
      </c>
      <c r="N340" s="1337" t="str">
        <f>IF(OR(Rent_Roll[[#This Row],[MTM Fee]]="",Rent_Roll[[#This Row],[MTM Fee]]=0),"","MTM Lease")</f>
        <v/>
      </c>
      <c r="O340" s="1340" t="str">
        <f>IFERROR(IF(Rent_Roll[[#This Row],[Lease
Exp]]="","",DATEDIF($F$3,Rent_Roll[[#This Row],[Lease
Exp]],"m")+1),0)</f>
        <v/>
      </c>
      <c r="P340" s="155"/>
      <c r="Q340" s="1342" t="str" cm="1">
        <f t="array" ref="Q34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40" s="1351"/>
      <c r="S340" s="550"/>
      <c r="T340" s="550"/>
      <c r="U340" s="550">
        <f>Rent_Roll[[#This Row],[Lease
Rent]]+Rent_Roll[[#This Row],[Corp
Rent]]</f>
        <v>0</v>
      </c>
      <c r="V340" s="1344">
        <f>IF(Rent_Roll[[#This Row],[Total In-Place
Rent]]=0,0,Rent_Roll[[#This Row],[Total In-Place
Rent]]-Rent_Roll[[#This Row],[Market
Rent]])</f>
        <v>0</v>
      </c>
      <c r="W340" s="1351"/>
      <c r="X340" s="723"/>
      <c r="Y340" s="723"/>
      <c r="Z340" s="723"/>
      <c r="AA340" s="1345"/>
      <c r="AB340" s="723"/>
      <c r="AC340" s="723"/>
      <c r="AD340" s="723"/>
      <c r="AE340" s="723"/>
      <c r="AF340" s="723"/>
      <c r="AG340" s="147"/>
      <c r="AH340" s="147"/>
      <c r="AI340" s="1348" t="str">
        <f>IF(Rent_Roll[[#This Row],[Future
Lease Start]]="","",DATEDIF(Rent_Roll[[#This Row],[Future
Lease Start]],Rent_Roll[[#This Row],[Future
Lease Exp]],"m")+1)</f>
        <v/>
      </c>
      <c r="AJ340" s="1347"/>
    </row>
    <row r="341" spans="2:36" hidden="1" outlineLevel="1" x14ac:dyDescent="0.2">
      <c r="B341" s="638"/>
      <c r="C341" s="638"/>
      <c r="D341" s="638"/>
      <c r="E341" s="162" t="str">
        <f>IF(Rent_Roll[[#This Row],[Floor-
plan]]="studio",0,LEFT(Rent_Roll[[#This Row],[Floor-
plan]],1))</f>
        <v/>
      </c>
      <c r="F341" s="162" t="str" cm="1">
        <f t="array" ref="F34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41" s="1349"/>
      <c r="H341" s="722"/>
      <c r="J341" s="1337" t="str" cm="1">
        <f t="array" ref="J34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41" s="1350"/>
      <c r="L341" s="150"/>
      <c r="M341" s="1339" t="str" cm="1">
        <f t="array" ref="M341">_xlfn.IFS(Rent_Roll[[#This Row],[Lease
Exp]]="","",Rent_Roll[[#This Row],[MTM
Lease]]="MTM Lease","--",Rent_Roll[[#This Row],[Lease
Exp]]&gt;0,(DATEDIF(Rent_Roll[[#This Row],[Lease
Start]],Rent_Roll[[#This Row],[Lease
Exp]],"m")+1))</f>
        <v/>
      </c>
      <c r="N341" s="1337" t="str">
        <f>IF(OR(Rent_Roll[[#This Row],[MTM Fee]]="",Rent_Roll[[#This Row],[MTM Fee]]=0),"","MTM Lease")</f>
        <v/>
      </c>
      <c r="O341" s="1340" t="str">
        <f>IFERROR(IF(Rent_Roll[[#This Row],[Lease
Exp]]="","",DATEDIF($F$3,Rent_Roll[[#This Row],[Lease
Exp]],"m")+1),0)</f>
        <v/>
      </c>
      <c r="P341" s="155"/>
      <c r="Q341" s="1342" t="str" cm="1">
        <f t="array" ref="Q34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41" s="1351"/>
      <c r="S341" s="550"/>
      <c r="T341" s="550"/>
      <c r="U341" s="550">
        <f>Rent_Roll[[#This Row],[Lease
Rent]]+Rent_Roll[[#This Row],[Corp
Rent]]</f>
        <v>0</v>
      </c>
      <c r="V341" s="1344">
        <f>IF(Rent_Roll[[#This Row],[Total In-Place
Rent]]=0,0,Rent_Roll[[#This Row],[Total In-Place
Rent]]-Rent_Roll[[#This Row],[Market
Rent]])</f>
        <v>0</v>
      </c>
      <c r="W341" s="1351"/>
      <c r="X341" s="723"/>
      <c r="Y341" s="723"/>
      <c r="Z341" s="723"/>
      <c r="AA341" s="1345"/>
      <c r="AB341" s="723"/>
      <c r="AC341" s="723"/>
      <c r="AD341" s="723"/>
      <c r="AE341" s="723"/>
      <c r="AF341" s="723"/>
      <c r="AG341" s="147"/>
      <c r="AH341" s="147"/>
      <c r="AI341" s="1348" t="str">
        <f>IF(Rent_Roll[[#This Row],[Future
Lease Start]]="","",DATEDIF(Rent_Roll[[#This Row],[Future
Lease Start]],Rent_Roll[[#This Row],[Future
Lease Exp]],"m")+1)</f>
        <v/>
      </c>
      <c r="AJ341" s="1347"/>
    </row>
    <row r="342" spans="2:36" hidden="1" outlineLevel="1" x14ac:dyDescent="0.2">
      <c r="B342" s="638"/>
      <c r="C342" s="638"/>
      <c r="D342" s="638"/>
      <c r="E342" s="162" t="str">
        <f>IF(Rent_Roll[[#This Row],[Floor-
plan]]="studio",0,LEFT(Rent_Roll[[#This Row],[Floor-
plan]],1))</f>
        <v/>
      </c>
      <c r="F342" s="162" t="str" cm="1">
        <f t="array" ref="F34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42" s="1349"/>
      <c r="H342" s="722"/>
      <c r="J342" s="1337" t="str" cm="1">
        <f t="array" ref="J34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42" s="1350"/>
      <c r="L342" s="150"/>
      <c r="M342" s="1339" t="str" cm="1">
        <f t="array" ref="M342">_xlfn.IFS(Rent_Roll[[#This Row],[Lease
Exp]]="","",Rent_Roll[[#This Row],[MTM
Lease]]="MTM Lease","--",Rent_Roll[[#This Row],[Lease
Exp]]&gt;0,(DATEDIF(Rent_Roll[[#This Row],[Lease
Start]],Rent_Roll[[#This Row],[Lease
Exp]],"m")+1))</f>
        <v/>
      </c>
      <c r="N342" s="1337" t="str">
        <f>IF(OR(Rent_Roll[[#This Row],[MTM Fee]]="",Rent_Roll[[#This Row],[MTM Fee]]=0),"","MTM Lease")</f>
        <v/>
      </c>
      <c r="O342" s="1340" t="str">
        <f>IFERROR(IF(Rent_Roll[[#This Row],[Lease
Exp]]="","",DATEDIF($F$3,Rent_Roll[[#This Row],[Lease
Exp]],"m")+1),0)</f>
        <v/>
      </c>
      <c r="P342" s="155"/>
      <c r="Q342" s="1342" t="str" cm="1">
        <f t="array" ref="Q34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42" s="1351"/>
      <c r="S342" s="550"/>
      <c r="T342" s="550"/>
      <c r="U342" s="550">
        <f>Rent_Roll[[#This Row],[Lease
Rent]]+Rent_Roll[[#This Row],[Corp
Rent]]</f>
        <v>0</v>
      </c>
      <c r="V342" s="1344">
        <f>IF(Rent_Roll[[#This Row],[Total In-Place
Rent]]=0,0,Rent_Roll[[#This Row],[Total In-Place
Rent]]-Rent_Roll[[#This Row],[Market
Rent]])</f>
        <v>0</v>
      </c>
      <c r="W342" s="1351"/>
      <c r="X342" s="723"/>
      <c r="Y342" s="723"/>
      <c r="Z342" s="723"/>
      <c r="AA342" s="1345"/>
      <c r="AB342" s="723"/>
      <c r="AC342" s="723"/>
      <c r="AD342" s="723"/>
      <c r="AE342" s="723"/>
      <c r="AF342" s="723"/>
      <c r="AG342" s="147"/>
      <c r="AH342" s="147"/>
      <c r="AI342" s="1348" t="str">
        <f>IF(Rent_Roll[[#This Row],[Future
Lease Start]]="","",DATEDIF(Rent_Roll[[#This Row],[Future
Lease Start]],Rent_Roll[[#This Row],[Future
Lease Exp]],"m")+1)</f>
        <v/>
      </c>
      <c r="AJ342" s="1347"/>
    </row>
    <row r="343" spans="2:36" hidden="1" outlineLevel="1" x14ac:dyDescent="0.2">
      <c r="B343" s="638"/>
      <c r="C343" s="638"/>
      <c r="D343" s="638"/>
      <c r="E343" s="162" t="str">
        <f>IF(Rent_Roll[[#This Row],[Floor-
plan]]="studio",0,LEFT(Rent_Roll[[#This Row],[Floor-
plan]],1))</f>
        <v/>
      </c>
      <c r="F343" s="162" t="str" cm="1">
        <f t="array" ref="F34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43" s="1349"/>
      <c r="H343" s="722"/>
      <c r="J343" s="1337" t="str" cm="1">
        <f t="array" ref="J34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43" s="1350"/>
      <c r="L343" s="150"/>
      <c r="M343" s="1339" t="str" cm="1">
        <f t="array" ref="M343">_xlfn.IFS(Rent_Roll[[#This Row],[Lease
Exp]]="","",Rent_Roll[[#This Row],[MTM
Lease]]="MTM Lease","--",Rent_Roll[[#This Row],[Lease
Exp]]&gt;0,(DATEDIF(Rent_Roll[[#This Row],[Lease
Start]],Rent_Roll[[#This Row],[Lease
Exp]],"m")+1))</f>
        <v/>
      </c>
      <c r="N343" s="1337" t="str">
        <f>IF(OR(Rent_Roll[[#This Row],[MTM Fee]]="",Rent_Roll[[#This Row],[MTM Fee]]=0),"","MTM Lease")</f>
        <v/>
      </c>
      <c r="O343" s="1340" t="str">
        <f>IFERROR(IF(Rent_Roll[[#This Row],[Lease
Exp]]="","",DATEDIF($F$3,Rent_Roll[[#This Row],[Lease
Exp]],"m")+1),0)</f>
        <v/>
      </c>
      <c r="P343" s="155"/>
      <c r="Q343" s="1342" t="str" cm="1">
        <f t="array" ref="Q34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43" s="1351"/>
      <c r="S343" s="550"/>
      <c r="T343" s="550"/>
      <c r="U343" s="550">
        <f>Rent_Roll[[#This Row],[Lease
Rent]]+Rent_Roll[[#This Row],[Corp
Rent]]</f>
        <v>0</v>
      </c>
      <c r="V343" s="1344">
        <f>IF(Rent_Roll[[#This Row],[Total In-Place
Rent]]=0,0,Rent_Roll[[#This Row],[Total In-Place
Rent]]-Rent_Roll[[#This Row],[Market
Rent]])</f>
        <v>0</v>
      </c>
      <c r="W343" s="1351"/>
      <c r="X343" s="723"/>
      <c r="Y343" s="723"/>
      <c r="Z343" s="723"/>
      <c r="AA343" s="1345"/>
      <c r="AB343" s="723"/>
      <c r="AC343" s="723"/>
      <c r="AD343" s="723"/>
      <c r="AE343" s="723"/>
      <c r="AF343" s="723"/>
      <c r="AG343" s="147"/>
      <c r="AH343" s="147"/>
      <c r="AI343" s="1348" t="str">
        <f>IF(Rent_Roll[[#This Row],[Future
Lease Start]]="","",DATEDIF(Rent_Roll[[#This Row],[Future
Lease Start]],Rent_Roll[[#This Row],[Future
Lease Exp]],"m")+1)</f>
        <v/>
      </c>
      <c r="AJ343" s="1347"/>
    </row>
    <row r="344" spans="2:36" hidden="1" outlineLevel="1" x14ac:dyDescent="0.2">
      <c r="B344" s="638"/>
      <c r="C344" s="638"/>
      <c r="D344" s="638"/>
      <c r="E344" s="162" t="str">
        <f>IF(Rent_Roll[[#This Row],[Floor-
plan]]="studio",0,LEFT(Rent_Roll[[#This Row],[Floor-
plan]],1))</f>
        <v/>
      </c>
      <c r="F344" s="162" t="str" cm="1">
        <f t="array" ref="F34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44" s="1349"/>
      <c r="H344" s="722"/>
      <c r="J344" s="1337" t="str" cm="1">
        <f t="array" ref="J34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44" s="1350"/>
      <c r="L344" s="150"/>
      <c r="M344" s="1339" t="str" cm="1">
        <f t="array" ref="M344">_xlfn.IFS(Rent_Roll[[#This Row],[Lease
Exp]]="","",Rent_Roll[[#This Row],[MTM
Lease]]="MTM Lease","--",Rent_Roll[[#This Row],[Lease
Exp]]&gt;0,(DATEDIF(Rent_Roll[[#This Row],[Lease
Start]],Rent_Roll[[#This Row],[Lease
Exp]],"m")+1))</f>
        <v/>
      </c>
      <c r="N344" s="1337" t="str">
        <f>IF(OR(Rent_Roll[[#This Row],[MTM Fee]]="",Rent_Roll[[#This Row],[MTM Fee]]=0),"","MTM Lease")</f>
        <v/>
      </c>
      <c r="O344" s="1340" t="str">
        <f>IFERROR(IF(Rent_Roll[[#This Row],[Lease
Exp]]="","",DATEDIF($F$3,Rent_Roll[[#This Row],[Lease
Exp]],"m")+1),0)</f>
        <v/>
      </c>
      <c r="P344" s="155"/>
      <c r="Q344" s="1342" t="str" cm="1">
        <f t="array" ref="Q34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44" s="1351"/>
      <c r="S344" s="550"/>
      <c r="T344" s="550"/>
      <c r="U344" s="550">
        <f>Rent_Roll[[#This Row],[Lease
Rent]]+Rent_Roll[[#This Row],[Corp
Rent]]</f>
        <v>0</v>
      </c>
      <c r="V344" s="1344">
        <f>IF(Rent_Roll[[#This Row],[Total In-Place
Rent]]=0,0,Rent_Roll[[#This Row],[Total In-Place
Rent]]-Rent_Roll[[#This Row],[Market
Rent]])</f>
        <v>0</v>
      </c>
      <c r="W344" s="1351"/>
      <c r="X344" s="723"/>
      <c r="Y344" s="723"/>
      <c r="Z344" s="723"/>
      <c r="AA344" s="1345"/>
      <c r="AB344" s="723"/>
      <c r="AC344" s="723"/>
      <c r="AD344" s="723"/>
      <c r="AE344" s="723"/>
      <c r="AF344" s="723"/>
      <c r="AG344" s="147"/>
      <c r="AH344" s="147"/>
      <c r="AI344" s="1348" t="str">
        <f>IF(Rent_Roll[[#This Row],[Future
Lease Start]]="","",DATEDIF(Rent_Roll[[#This Row],[Future
Lease Start]],Rent_Roll[[#This Row],[Future
Lease Exp]],"m")+1)</f>
        <v/>
      </c>
      <c r="AJ344" s="1347"/>
    </row>
    <row r="345" spans="2:36" hidden="1" outlineLevel="1" x14ac:dyDescent="0.2">
      <c r="B345" s="638"/>
      <c r="C345" s="638"/>
      <c r="D345" s="638"/>
      <c r="E345" s="162" t="str">
        <f>IF(Rent_Roll[[#This Row],[Floor-
plan]]="studio",0,LEFT(Rent_Roll[[#This Row],[Floor-
plan]],1))</f>
        <v/>
      </c>
      <c r="F345" s="162" t="str" cm="1">
        <f t="array" ref="F34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45" s="1349"/>
      <c r="H345" s="722"/>
      <c r="J345" s="1337" t="str" cm="1">
        <f t="array" ref="J34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45" s="1350"/>
      <c r="L345" s="150"/>
      <c r="M345" s="1339" t="str" cm="1">
        <f t="array" ref="M345">_xlfn.IFS(Rent_Roll[[#This Row],[Lease
Exp]]="","",Rent_Roll[[#This Row],[MTM
Lease]]="MTM Lease","--",Rent_Roll[[#This Row],[Lease
Exp]]&gt;0,(DATEDIF(Rent_Roll[[#This Row],[Lease
Start]],Rent_Roll[[#This Row],[Lease
Exp]],"m")+1))</f>
        <v/>
      </c>
      <c r="N345" s="1337" t="str">
        <f>IF(OR(Rent_Roll[[#This Row],[MTM Fee]]="",Rent_Roll[[#This Row],[MTM Fee]]=0),"","MTM Lease")</f>
        <v/>
      </c>
      <c r="O345" s="1340" t="str">
        <f>IFERROR(IF(Rent_Roll[[#This Row],[Lease
Exp]]="","",DATEDIF($F$3,Rent_Roll[[#This Row],[Lease
Exp]],"m")+1),0)</f>
        <v/>
      </c>
      <c r="P345" s="155"/>
      <c r="Q345" s="1342" t="str" cm="1">
        <f t="array" ref="Q34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45" s="1351"/>
      <c r="S345" s="550"/>
      <c r="T345" s="550"/>
      <c r="U345" s="550">
        <f>Rent_Roll[[#This Row],[Lease
Rent]]+Rent_Roll[[#This Row],[Corp
Rent]]</f>
        <v>0</v>
      </c>
      <c r="V345" s="1344">
        <f>IF(Rent_Roll[[#This Row],[Total In-Place
Rent]]=0,0,Rent_Roll[[#This Row],[Total In-Place
Rent]]-Rent_Roll[[#This Row],[Market
Rent]])</f>
        <v>0</v>
      </c>
      <c r="W345" s="1351"/>
      <c r="X345" s="723"/>
      <c r="Y345" s="723"/>
      <c r="Z345" s="723"/>
      <c r="AA345" s="1345"/>
      <c r="AB345" s="723"/>
      <c r="AC345" s="723"/>
      <c r="AD345" s="723"/>
      <c r="AE345" s="723"/>
      <c r="AF345" s="723"/>
      <c r="AG345" s="147"/>
      <c r="AH345" s="147"/>
      <c r="AI345" s="1348" t="str">
        <f>IF(Rent_Roll[[#This Row],[Future
Lease Start]]="","",DATEDIF(Rent_Roll[[#This Row],[Future
Lease Start]],Rent_Roll[[#This Row],[Future
Lease Exp]],"m")+1)</f>
        <v/>
      </c>
      <c r="AJ345" s="1347"/>
    </row>
    <row r="346" spans="2:36" hidden="1" outlineLevel="1" x14ac:dyDescent="0.2">
      <c r="B346" s="638"/>
      <c r="C346" s="638"/>
      <c r="D346" s="638"/>
      <c r="E346" s="162" t="str">
        <f>IF(Rent_Roll[[#This Row],[Floor-
plan]]="studio",0,LEFT(Rent_Roll[[#This Row],[Floor-
plan]],1))</f>
        <v/>
      </c>
      <c r="F346" s="162" t="str" cm="1">
        <f t="array" ref="F34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46" s="1349"/>
      <c r="H346" s="722"/>
      <c r="J346" s="1337" t="str" cm="1">
        <f t="array" ref="J34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46" s="1350"/>
      <c r="L346" s="150"/>
      <c r="M346" s="1339" t="str" cm="1">
        <f t="array" ref="M346">_xlfn.IFS(Rent_Roll[[#This Row],[Lease
Exp]]="","",Rent_Roll[[#This Row],[MTM
Lease]]="MTM Lease","--",Rent_Roll[[#This Row],[Lease
Exp]]&gt;0,(DATEDIF(Rent_Roll[[#This Row],[Lease
Start]],Rent_Roll[[#This Row],[Lease
Exp]],"m")+1))</f>
        <v/>
      </c>
      <c r="N346" s="1337" t="str">
        <f>IF(OR(Rent_Roll[[#This Row],[MTM Fee]]="",Rent_Roll[[#This Row],[MTM Fee]]=0),"","MTM Lease")</f>
        <v/>
      </c>
      <c r="O346" s="1340" t="str">
        <f>IFERROR(IF(Rent_Roll[[#This Row],[Lease
Exp]]="","",DATEDIF($F$3,Rent_Roll[[#This Row],[Lease
Exp]],"m")+1),0)</f>
        <v/>
      </c>
      <c r="P346" s="155"/>
      <c r="Q346" s="1342" t="str" cm="1">
        <f t="array" ref="Q34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46" s="1351"/>
      <c r="S346" s="550"/>
      <c r="T346" s="550"/>
      <c r="U346" s="550">
        <f>Rent_Roll[[#This Row],[Lease
Rent]]+Rent_Roll[[#This Row],[Corp
Rent]]</f>
        <v>0</v>
      </c>
      <c r="V346" s="1344">
        <f>IF(Rent_Roll[[#This Row],[Total In-Place
Rent]]=0,0,Rent_Roll[[#This Row],[Total In-Place
Rent]]-Rent_Roll[[#This Row],[Market
Rent]])</f>
        <v>0</v>
      </c>
      <c r="W346" s="1351"/>
      <c r="X346" s="723"/>
      <c r="Y346" s="723"/>
      <c r="Z346" s="723"/>
      <c r="AA346" s="1345"/>
      <c r="AB346" s="723"/>
      <c r="AC346" s="723"/>
      <c r="AD346" s="723"/>
      <c r="AE346" s="723"/>
      <c r="AF346" s="723"/>
      <c r="AG346" s="147"/>
      <c r="AH346" s="147"/>
      <c r="AI346" s="1348" t="str">
        <f>IF(Rent_Roll[[#This Row],[Future
Lease Start]]="","",DATEDIF(Rent_Roll[[#This Row],[Future
Lease Start]],Rent_Roll[[#This Row],[Future
Lease Exp]],"m")+1)</f>
        <v/>
      </c>
      <c r="AJ346" s="1347"/>
    </row>
    <row r="347" spans="2:36" hidden="1" outlineLevel="1" x14ac:dyDescent="0.2">
      <c r="B347" s="638"/>
      <c r="C347" s="638"/>
      <c r="D347" s="638"/>
      <c r="E347" s="162" t="str">
        <f>IF(Rent_Roll[[#This Row],[Floor-
plan]]="studio",0,LEFT(Rent_Roll[[#This Row],[Floor-
plan]],1))</f>
        <v/>
      </c>
      <c r="F347" s="162" t="str" cm="1">
        <f t="array" ref="F34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47" s="1349"/>
      <c r="H347" s="722"/>
      <c r="J347" s="1337" t="str" cm="1">
        <f t="array" ref="J34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47" s="1350"/>
      <c r="L347" s="150"/>
      <c r="M347" s="1339" t="str" cm="1">
        <f t="array" ref="M347">_xlfn.IFS(Rent_Roll[[#This Row],[Lease
Exp]]="","",Rent_Roll[[#This Row],[MTM
Lease]]="MTM Lease","--",Rent_Roll[[#This Row],[Lease
Exp]]&gt;0,(DATEDIF(Rent_Roll[[#This Row],[Lease
Start]],Rent_Roll[[#This Row],[Lease
Exp]],"m")+1))</f>
        <v/>
      </c>
      <c r="N347" s="1337" t="str">
        <f>IF(OR(Rent_Roll[[#This Row],[MTM Fee]]="",Rent_Roll[[#This Row],[MTM Fee]]=0),"","MTM Lease")</f>
        <v/>
      </c>
      <c r="O347" s="1340" t="str">
        <f>IFERROR(IF(Rent_Roll[[#This Row],[Lease
Exp]]="","",DATEDIF($F$3,Rent_Roll[[#This Row],[Lease
Exp]],"m")+1),0)</f>
        <v/>
      </c>
      <c r="P347" s="155"/>
      <c r="Q347" s="1342" t="str" cm="1">
        <f t="array" ref="Q34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47" s="1351"/>
      <c r="S347" s="550"/>
      <c r="T347" s="550"/>
      <c r="U347" s="550">
        <f>Rent_Roll[[#This Row],[Lease
Rent]]+Rent_Roll[[#This Row],[Corp
Rent]]</f>
        <v>0</v>
      </c>
      <c r="V347" s="1344">
        <f>IF(Rent_Roll[[#This Row],[Total In-Place
Rent]]=0,0,Rent_Roll[[#This Row],[Total In-Place
Rent]]-Rent_Roll[[#This Row],[Market
Rent]])</f>
        <v>0</v>
      </c>
      <c r="W347" s="1351"/>
      <c r="X347" s="723"/>
      <c r="Y347" s="723"/>
      <c r="Z347" s="723"/>
      <c r="AA347" s="1345"/>
      <c r="AB347" s="723"/>
      <c r="AC347" s="723"/>
      <c r="AD347" s="723"/>
      <c r="AE347" s="723"/>
      <c r="AF347" s="723"/>
      <c r="AG347" s="147"/>
      <c r="AH347" s="147"/>
      <c r="AI347" s="1348" t="str">
        <f>IF(Rent_Roll[[#This Row],[Future
Lease Start]]="","",DATEDIF(Rent_Roll[[#This Row],[Future
Lease Start]],Rent_Roll[[#This Row],[Future
Lease Exp]],"m")+1)</f>
        <v/>
      </c>
      <c r="AJ347" s="1347"/>
    </row>
    <row r="348" spans="2:36" hidden="1" outlineLevel="1" x14ac:dyDescent="0.2">
      <c r="B348" s="638"/>
      <c r="C348" s="638"/>
      <c r="D348" s="638"/>
      <c r="E348" s="162" t="str">
        <f>IF(Rent_Roll[[#This Row],[Floor-
plan]]="studio",0,LEFT(Rent_Roll[[#This Row],[Floor-
plan]],1))</f>
        <v/>
      </c>
      <c r="F348" s="162" t="str" cm="1">
        <f t="array" ref="F34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48" s="1349"/>
      <c r="H348" s="722"/>
      <c r="J348" s="1337" t="str" cm="1">
        <f t="array" ref="J34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48" s="1350"/>
      <c r="L348" s="150"/>
      <c r="M348" s="1339" t="str" cm="1">
        <f t="array" ref="M348">_xlfn.IFS(Rent_Roll[[#This Row],[Lease
Exp]]="","",Rent_Roll[[#This Row],[MTM
Lease]]="MTM Lease","--",Rent_Roll[[#This Row],[Lease
Exp]]&gt;0,(DATEDIF(Rent_Roll[[#This Row],[Lease
Start]],Rent_Roll[[#This Row],[Lease
Exp]],"m")+1))</f>
        <v/>
      </c>
      <c r="N348" s="1337" t="str">
        <f>IF(OR(Rent_Roll[[#This Row],[MTM Fee]]="",Rent_Roll[[#This Row],[MTM Fee]]=0),"","MTM Lease")</f>
        <v/>
      </c>
      <c r="O348" s="1340" t="str">
        <f>IFERROR(IF(Rent_Roll[[#This Row],[Lease
Exp]]="","",DATEDIF($F$3,Rent_Roll[[#This Row],[Lease
Exp]],"m")+1),0)</f>
        <v/>
      </c>
      <c r="P348" s="155"/>
      <c r="Q348" s="1342" t="str" cm="1">
        <f t="array" ref="Q34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48" s="1351"/>
      <c r="S348" s="550"/>
      <c r="T348" s="550"/>
      <c r="U348" s="550">
        <f>Rent_Roll[[#This Row],[Lease
Rent]]+Rent_Roll[[#This Row],[Corp
Rent]]</f>
        <v>0</v>
      </c>
      <c r="V348" s="1344">
        <f>IF(Rent_Roll[[#This Row],[Total In-Place
Rent]]=0,0,Rent_Roll[[#This Row],[Total In-Place
Rent]]-Rent_Roll[[#This Row],[Market
Rent]])</f>
        <v>0</v>
      </c>
      <c r="W348" s="1351"/>
      <c r="X348" s="723"/>
      <c r="Y348" s="723"/>
      <c r="Z348" s="723"/>
      <c r="AA348" s="1345"/>
      <c r="AB348" s="723"/>
      <c r="AC348" s="723"/>
      <c r="AD348" s="723"/>
      <c r="AE348" s="723"/>
      <c r="AF348" s="723"/>
      <c r="AG348" s="147"/>
      <c r="AH348" s="147"/>
      <c r="AI348" s="1348" t="str">
        <f>IF(Rent_Roll[[#This Row],[Future
Lease Start]]="","",DATEDIF(Rent_Roll[[#This Row],[Future
Lease Start]],Rent_Roll[[#This Row],[Future
Lease Exp]],"m")+1)</f>
        <v/>
      </c>
      <c r="AJ348" s="1347"/>
    </row>
    <row r="349" spans="2:36" hidden="1" outlineLevel="1" x14ac:dyDescent="0.2">
      <c r="B349" s="638"/>
      <c r="C349" s="638"/>
      <c r="D349" s="638"/>
      <c r="E349" s="162" t="str">
        <f>IF(Rent_Roll[[#This Row],[Floor-
plan]]="studio",0,LEFT(Rent_Roll[[#This Row],[Floor-
plan]],1))</f>
        <v/>
      </c>
      <c r="F349" s="162" t="str" cm="1">
        <f t="array" ref="F34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49" s="1349"/>
      <c r="H349" s="722"/>
      <c r="J349" s="1337" t="str" cm="1">
        <f t="array" ref="J34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49" s="1350"/>
      <c r="L349" s="150"/>
      <c r="M349" s="1339" t="str" cm="1">
        <f t="array" ref="M349">_xlfn.IFS(Rent_Roll[[#This Row],[Lease
Exp]]="","",Rent_Roll[[#This Row],[MTM
Lease]]="MTM Lease","--",Rent_Roll[[#This Row],[Lease
Exp]]&gt;0,(DATEDIF(Rent_Roll[[#This Row],[Lease
Start]],Rent_Roll[[#This Row],[Lease
Exp]],"m")+1))</f>
        <v/>
      </c>
      <c r="N349" s="1337" t="str">
        <f>IF(OR(Rent_Roll[[#This Row],[MTM Fee]]="",Rent_Roll[[#This Row],[MTM Fee]]=0),"","MTM Lease")</f>
        <v/>
      </c>
      <c r="O349" s="1340" t="str">
        <f>IFERROR(IF(Rent_Roll[[#This Row],[Lease
Exp]]="","",DATEDIF($F$3,Rent_Roll[[#This Row],[Lease
Exp]],"m")+1),0)</f>
        <v/>
      </c>
      <c r="P349" s="155"/>
      <c r="Q349" s="1342" t="str" cm="1">
        <f t="array" ref="Q34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49" s="1351"/>
      <c r="S349" s="550"/>
      <c r="T349" s="550"/>
      <c r="U349" s="550">
        <f>Rent_Roll[[#This Row],[Lease
Rent]]+Rent_Roll[[#This Row],[Corp
Rent]]</f>
        <v>0</v>
      </c>
      <c r="V349" s="1344">
        <f>IF(Rent_Roll[[#This Row],[Total In-Place
Rent]]=0,0,Rent_Roll[[#This Row],[Total In-Place
Rent]]-Rent_Roll[[#This Row],[Market
Rent]])</f>
        <v>0</v>
      </c>
      <c r="W349" s="1351"/>
      <c r="X349" s="723"/>
      <c r="Y349" s="723"/>
      <c r="Z349" s="723"/>
      <c r="AA349" s="1345"/>
      <c r="AB349" s="723"/>
      <c r="AC349" s="723"/>
      <c r="AD349" s="723"/>
      <c r="AE349" s="723"/>
      <c r="AF349" s="723"/>
      <c r="AG349" s="147"/>
      <c r="AH349" s="147"/>
      <c r="AI349" s="1348" t="str">
        <f>IF(Rent_Roll[[#This Row],[Future
Lease Start]]="","",DATEDIF(Rent_Roll[[#This Row],[Future
Lease Start]],Rent_Roll[[#This Row],[Future
Lease Exp]],"m")+1)</f>
        <v/>
      </c>
      <c r="AJ349" s="1347"/>
    </row>
    <row r="350" spans="2:36" hidden="1" outlineLevel="1" x14ac:dyDescent="0.2">
      <c r="B350" s="638"/>
      <c r="C350" s="638"/>
      <c r="D350" s="638"/>
      <c r="E350" s="162" t="str">
        <f>IF(Rent_Roll[[#This Row],[Floor-
plan]]="studio",0,LEFT(Rent_Roll[[#This Row],[Floor-
plan]],1))</f>
        <v/>
      </c>
      <c r="F350" s="162" t="str" cm="1">
        <f t="array" ref="F35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50" s="1349"/>
      <c r="H350" s="722"/>
      <c r="J350" s="1337" t="str" cm="1">
        <f t="array" ref="J35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50" s="1350"/>
      <c r="L350" s="150"/>
      <c r="M350" s="1339" t="str" cm="1">
        <f t="array" ref="M350">_xlfn.IFS(Rent_Roll[[#This Row],[Lease
Exp]]="","",Rent_Roll[[#This Row],[MTM
Lease]]="MTM Lease","--",Rent_Roll[[#This Row],[Lease
Exp]]&gt;0,(DATEDIF(Rent_Roll[[#This Row],[Lease
Start]],Rent_Roll[[#This Row],[Lease
Exp]],"m")+1))</f>
        <v/>
      </c>
      <c r="N350" s="1337" t="str">
        <f>IF(OR(Rent_Roll[[#This Row],[MTM Fee]]="",Rent_Roll[[#This Row],[MTM Fee]]=0),"","MTM Lease")</f>
        <v/>
      </c>
      <c r="O350" s="1340" t="str">
        <f>IFERROR(IF(Rent_Roll[[#This Row],[Lease
Exp]]="","",DATEDIF($F$3,Rent_Roll[[#This Row],[Lease
Exp]],"m")+1),0)</f>
        <v/>
      </c>
      <c r="P350" s="155"/>
      <c r="Q350" s="1342" t="str" cm="1">
        <f t="array" ref="Q35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50" s="1351"/>
      <c r="S350" s="550"/>
      <c r="T350" s="550"/>
      <c r="U350" s="550">
        <f>Rent_Roll[[#This Row],[Lease
Rent]]+Rent_Roll[[#This Row],[Corp
Rent]]</f>
        <v>0</v>
      </c>
      <c r="V350" s="1344">
        <f>IF(Rent_Roll[[#This Row],[Total In-Place
Rent]]=0,0,Rent_Roll[[#This Row],[Total In-Place
Rent]]-Rent_Roll[[#This Row],[Market
Rent]])</f>
        <v>0</v>
      </c>
      <c r="W350" s="1351"/>
      <c r="X350" s="723"/>
      <c r="Y350" s="723"/>
      <c r="Z350" s="723"/>
      <c r="AA350" s="1345"/>
      <c r="AB350" s="723"/>
      <c r="AC350" s="723"/>
      <c r="AD350" s="723"/>
      <c r="AE350" s="723"/>
      <c r="AF350" s="723"/>
      <c r="AG350" s="147"/>
      <c r="AH350" s="147"/>
      <c r="AI350" s="1348" t="str">
        <f>IF(Rent_Roll[[#This Row],[Future
Lease Start]]="","",DATEDIF(Rent_Roll[[#This Row],[Future
Lease Start]],Rent_Roll[[#This Row],[Future
Lease Exp]],"m")+1)</f>
        <v/>
      </c>
      <c r="AJ350" s="1347"/>
    </row>
    <row r="351" spans="2:36" hidden="1" outlineLevel="1" x14ac:dyDescent="0.2">
      <c r="B351" s="638"/>
      <c r="C351" s="638"/>
      <c r="D351" s="638"/>
      <c r="E351" s="162" t="str">
        <f>IF(Rent_Roll[[#This Row],[Floor-
plan]]="studio",0,LEFT(Rent_Roll[[#This Row],[Floor-
plan]],1))</f>
        <v/>
      </c>
      <c r="F351" s="162" t="str" cm="1">
        <f t="array" ref="F35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51" s="1349"/>
      <c r="H351" s="722"/>
      <c r="J351" s="1337" t="str" cm="1">
        <f t="array" ref="J35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51" s="1350"/>
      <c r="L351" s="150"/>
      <c r="M351" s="1339" t="str" cm="1">
        <f t="array" ref="M351">_xlfn.IFS(Rent_Roll[[#This Row],[Lease
Exp]]="","",Rent_Roll[[#This Row],[MTM
Lease]]="MTM Lease","--",Rent_Roll[[#This Row],[Lease
Exp]]&gt;0,(DATEDIF(Rent_Roll[[#This Row],[Lease
Start]],Rent_Roll[[#This Row],[Lease
Exp]],"m")+1))</f>
        <v/>
      </c>
      <c r="N351" s="1337" t="str">
        <f>IF(OR(Rent_Roll[[#This Row],[MTM Fee]]="",Rent_Roll[[#This Row],[MTM Fee]]=0),"","MTM Lease")</f>
        <v/>
      </c>
      <c r="O351" s="1340" t="str">
        <f>IFERROR(IF(Rent_Roll[[#This Row],[Lease
Exp]]="","",DATEDIF($F$3,Rent_Roll[[#This Row],[Lease
Exp]],"m")+1),0)</f>
        <v/>
      </c>
      <c r="P351" s="155"/>
      <c r="Q351" s="1342" t="str" cm="1">
        <f t="array" ref="Q35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51" s="1351"/>
      <c r="S351" s="550"/>
      <c r="T351" s="550"/>
      <c r="U351" s="550">
        <f>Rent_Roll[[#This Row],[Lease
Rent]]+Rent_Roll[[#This Row],[Corp
Rent]]</f>
        <v>0</v>
      </c>
      <c r="V351" s="1344">
        <f>IF(Rent_Roll[[#This Row],[Total In-Place
Rent]]=0,0,Rent_Roll[[#This Row],[Total In-Place
Rent]]-Rent_Roll[[#This Row],[Market
Rent]])</f>
        <v>0</v>
      </c>
      <c r="W351" s="1351"/>
      <c r="X351" s="723"/>
      <c r="Y351" s="723"/>
      <c r="Z351" s="723"/>
      <c r="AA351" s="1345"/>
      <c r="AB351" s="723"/>
      <c r="AC351" s="723"/>
      <c r="AD351" s="723"/>
      <c r="AE351" s="723"/>
      <c r="AF351" s="723"/>
      <c r="AG351" s="147"/>
      <c r="AH351" s="147"/>
      <c r="AI351" s="1348" t="str">
        <f>IF(Rent_Roll[[#This Row],[Future
Lease Start]]="","",DATEDIF(Rent_Roll[[#This Row],[Future
Lease Start]],Rent_Roll[[#This Row],[Future
Lease Exp]],"m")+1)</f>
        <v/>
      </c>
      <c r="AJ351" s="1347"/>
    </row>
    <row r="352" spans="2:36" hidden="1" outlineLevel="1" x14ac:dyDescent="0.2">
      <c r="B352" s="638"/>
      <c r="C352" s="638"/>
      <c r="D352" s="638"/>
      <c r="E352" s="162" t="str">
        <f>IF(Rent_Roll[[#This Row],[Floor-
plan]]="studio",0,LEFT(Rent_Roll[[#This Row],[Floor-
plan]],1))</f>
        <v/>
      </c>
      <c r="F352" s="162" t="str" cm="1">
        <f t="array" ref="F35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52" s="1349"/>
      <c r="H352" s="722"/>
      <c r="J352" s="1337" t="str" cm="1">
        <f t="array" ref="J35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52" s="1350"/>
      <c r="L352" s="150"/>
      <c r="M352" s="1339" t="str" cm="1">
        <f t="array" ref="M352">_xlfn.IFS(Rent_Roll[[#This Row],[Lease
Exp]]="","",Rent_Roll[[#This Row],[MTM
Lease]]="MTM Lease","--",Rent_Roll[[#This Row],[Lease
Exp]]&gt;0,(DATEDIF(Rent_Roll[[#This Row],[Lease
Start]],Rent_Roll[[#This Row],[Lease
Exp]],"m")+1))</f>
        <v/>
      </c>
      <c r="N352" s="1337" t="str">
        <f>IF(OR(Rent_Roll[[#This Row],[MTM Fee]]="",Rent_Roll[[#This Row],[MTM Fee]]=0),"","MTM Lease")</f>
        <v/>
      </c>
      <c r="O352" s="1340" t="str">
        <f>IFERROR(IF(Rent_Roll[[#This Row],[Lease
Exp]]="","",DATEDIF($F$3,Rent_Roll[[#This Row],[Lease
Exp]],"m")+1),0)</f>
        <v/>
      </c>
      <c r="P352" s="155"/>
      <c r="Q352" s="1342" t="str" cm="1">
        <f t="array" ref="Q35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52" s="1351"/>
      <c r="S352" s="550"/>
      <c r="T352" s="550"/>
      <c r="U352" s="550">
        <f>Rent_Roll[[#This Row],[Lease
Rent]]+Rent_Roll[[#This Row],[Corp
Rent]]</f>
        <v>0</v>
      </c>
      <c r="V352" s="1344">
        <f>IF(Rent_Roll[[#This Row],[Total In-Place
Rent]]=0,0,Rent_Roll[[#This Row],[Total In-Place
Rent]]-Rent_Roll[[#This Row],[Market
Rent]])</f>
        <v>0</v>
      </c>
      <c r="W352" s="1351"/>
      <c r="X352" s="723"/>
      <c r="Y352" s="723"/>
      <c r="Z352" s="723"/>
      <c r="AA352" s="1345"/>
      <c r="AB352" s="723"/>
      <c r="AC352" s="723"/>
      <c r="AD352" s="723"/>
      <c r="AE352" s="723"/>
      <c r="AF352" s="723"/>
      <c r="AG352" s="147"/>
      <c r="AH352" s="147"/>
      <c r="AI352" s="1348" t="str">
        <f>IF(Rent_Roll[[#This Row],[Future
Lease Start]]="","",DATEDIF(Rent_Roll[[#This Row],[Future
Lease Start]],Rent_Roll[[#This Row],[Future
Lease Exp]],"m")+1)</f>
        <v/>
      </c>
      <c r="AJ352" s="1347"/>
    </row>
    <row r="353" spans="2:36" hidden="1" outlineLevel="1" x14ac:dyDescent="0.2">
      <c r="B353" s="638"/>
      <c r="C353" s="638"/>
      <c r="D353" s="638"/>
      <c r="E353" s="162" t="str">
        <f>IF(Rent_Roll[[#This Row],[Floor-
plan]]="studio",0,LEFT(Rent_Roll[[#This Row],[Floor-
plan]],1))</f>
        <v/>
      </c>
      <c r="F353" s="162" t="str" cm="1">
        <f t="array" ref="F35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53" s="1349"/>
      <c r="H353" s="722"/>
      <c r="J353" s="1337" t="str" cm="1">
        <f t="array" ref="J35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53" s="1350"/>
      <c r="L353" s="150"/>
      <c r="M353" s="1339" t="str" cm="1">
        <f t="array" ref="M353">_xlfn.IFS(Rent_Roll[[#This Row],[Lease
Exp]]="","",Rent_Roll[[#This Row],[MTM
Lease]]="MTM Lease","--",Rent_Roll[[#This Row],[Lease
Exp]]&gt;0,(DATEDIF(Rent_Roll[[#This Row],[Lease
Start]],Rent_Roll[[#This Row],[Lease
Exp]],"m")+1))</f>
        <v/>
      </c>
      <c r="N353" s="1337" t="str">
        <f>IF(OR(Rent_Roll[[#This Row],[MTM Fee]]="",Rent_Roll[[#This Row],[MTM Fee]]=0),"","MTM Lease")</f>
        <v/>
      </c>
      <c r="O353" s="1340" t="str">
        <f>IFERROR(IF(Rent_Roll[[#This Row],[Lease
Exp]]="","",DATEDIF($F$3,Rent_Roll[[#This Row],[Lease
Exp]],"m")+1),0)</f>
        <v/>
      </c>
      <c r="P353" s="155"/>
      <c r="Q353" s="1342" t="str" cm="1">
        <f t="array" ref="Q35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53" s="1351"/>
      <c r="S353" s="550"/>
      <c r="T353" s="550"/>
      <c r="U353" s="550">
        <f>Rent_Roll[[#This Row],[Lease
Rent]]+Rent_Roll[[#This Row],[Corp
Rent]]</f>
        <v>0</v>
      </c>
      <c r="V353" s="1344">
        <f>IF(Rent_Roll[[#This Row],[Total In-Place
Rent]]=0,0,Rent_Roll[[#This Row],[Total In-Place
Rent]]-Rent_Roll[[#This Row],[Market
Rent]])</f>
        <v>0</v>
      </c>
      <c r="W353" s="1351"/>
      <c r="X353" s="723"/>
      <c r="Y353" s="723"/>
      <c r="Z353" s="723"/>
      <c r="AA353" s="1345"/>
      <c r="AB353" s="723"/>
      <c r="AC353" s="723"/>
      <c r="AD353" s="723"/>
      <c r="AE353" s="723"/>
      <c r="AF353" s="723"/>
      <c r="AG353" s="147"/>
      <c r="AH353" s="147"/>
      <c r="AI353" s="1348" t="str">
        <f>IF(Rent_Roll[[#This Row],[Future
Lease Start]]="","",DATEDIF(Rent_Roll[[#This Row],[Future
Lease Start]],Rent_Roll[[#This Row],[Future
Lease Exp]],"m")+1)</f>
        <v/>
      </c>
      <c r="AJ353" s="1347"/>
    </row>
    <row r="354" spans="2:36" hidden="1" outlineLevel="1" x14ac:dyDescent="0.2">
      <c r="B354" s="638"/>
      <c r="C354" s="638"/>
      <c r="D354" s="638"/>
      <c r="E354" s="162" t="str">
        <f>IF(Rent_Roll[[#This Row],[Floor-
plan]]="studio",0,LEFT(Rent_Roll[[#This Row],[Floor-
plan]],1))</f>
        <v/>
      </c>
      <c r="F354" s="162" t="str" cm="1">
        <f t="array" ref="F35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54" s="1349"/>
      <c r="H354" s="722"/>
      <c r="J354" s="1337" t="str" cm="1">
        <f t="array" ref="J35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54" s="1350"/>
      <c r="L354" s="150"/>
      <c r="M354" s="1339" t="str" cm="1">
        <f t="array" ref="M354">_xlfn.IFS(Rent_Roll[[#This Row],[Lease
Exp]]="","",Rent_Roll[[#This Row],[MTM
Lease]]="MTM Lease","--",Rent_Roll[[#This Row],[Lease
Exp]]&gt;0,(DATEDIF(Rent_Roll[[#This Row],[Lease
Start]],Rent_Roll[[#This Row],[Lease
Exp]],"m")+1))</f>
        <v/>
      </c>
      <c r="N354" s="1337" t="str">
        <f>IF(OR(Rent_Roll[[#This Row],[MTM Fee]]="",Rent_Roll[[#This Row],[MTM Fee]]=0),"","MTM Lease")</f>
        <v/>
      </c>
      <c r="O354" s="1340" t="str">
        <f>IFERROR(IF(Rent_Roll[[#This Row],[Lease
Exp]]="","",DATEDIF($F$3,Rent_Roll[[#This Row],[Lease
Exp]],"m")+1),0)</f>
        <v/>
      </c>
      <c r="P354" s="155"/>
      <c r="Q354" s="1342" t="str" cm="1">
        <f t="array" ref="Q35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54" s="1351"/>
      <c r="S354" s="550"/>
      <c r="T354" s="550"/>
      <c r="U354" s="550">
        <f>Rent_Roll[[#This Row],[Lease
Rent]]+Rent_Roll[[#This Row],[Corp
Rent]]</f>
        <v>0</v>
      </c>
      <c r="V354" s="1344">
        <f>IF(Rent_Roll[[#This Row],[Total In-Place
Rent]]=0,0,Rent_Roll[[#This Row],[Total In-Place
Rent]]-Rent_Roll[[#This Row],[Market
Rent]])</f>
        <v>0</v>
      </c>
      <c r="W354" s="1351"/>
      <c r="X354" s="723"/>
      <c r="Y354" s="723"/>
      <c r="Z354" s="723"/>
      <c r="AA354" s="1345"/>
      <c r="AB354" s="723"/>
      <c r="AC354" s="723"/>
      <c r="AD354" s="723"/>
      <c r="AE354" s="723"/>
      <c r="AF354" s="723"/>
      <c r="AG354" s="147"/>
      <c r="AH354" s="147"/>
      <c r="AI354" s="1348" t="str">
        <f>IF(Rent_Roll[[#This Row],[Future
Lease Start]]="","",DATEDIF(Rent_Roll[[#This Row],[Future
Lease Start]],Rent_Roll[[#This Row],[Future
Lease Exp]],"m")+1)</f>
        <v/>
      </c>
      <c r="AJ354" s="1347"/>
    </row>
    <row r="355" spans="2:36" hidden="1" outlineLevel="1" x14ac:dyDescent="0.2">
      <c r="B355" s="638"/>
      <c r="C355" s="638"/>
      <c r="D355" s="638"/>
      <c r="E355" s="162" t="str">
        <f>IF(Rent_Roll[[#This Row],[Floor-
plan]]="studio",0,LEFT(Rent_Roll[[#This Row],[Floor-
plan]],1))</f>
        <v/>
      </c>
      <c r="F355" s="162" t="str" cm="1">
        <f t="array" ref="F35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55" s="1349"/>
      <c r="H355" s="722"/>
      <c r="J355" s="1337" t="str" cm="1">
        <f t="array" ref="J35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55" s="1350"/>
      <c r="L355" s="150"/>
      <c r="M355" s="1339" t="str" cm="1">
        <f t="array" ref="M355">_xlfn.IFS(Rent_Roll[[#This Row],[Lease
Exp]]="","",Rent_Roll[[#This Row],[MTM
Lease]]="MTM Lease","--",Rent_Roll[[#This Row],[Lease
Exp]]&gt;0,(DATEDIF(Rent_Roll[[#This Row],[Lease
Start]],Rent_Roll[[#This Row],[Lease
Exp]],"m")+1))</f>
        <v/>
      </c>
      <c r="N355" s="1337" t="str">
        <f>IF(OR(Rent_Roll[[#This Row],[MTM Fee]]="",Rent_Roll[[#This Row],[MTM Fee]]=0),"","MTM Lease")</f>
        <v/>
      </c>
      <c r="O355" s="1340" t="str">
        <f>IFERROR(IF(Rent_Roll[[#This Row],[Lease
Exp]]="","",DATEDIF($F$3,Rent_Roll[[#This Row],[Lease
Exp]],"m")+1),0)</f>
        <v/>
      </c>
      <c r="P355" s="155"/>
      <c r="Q355" s="1342" t="str" cm="1">
        <f t="array" ref="Q35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55" s="1351"/>
      <c r="S355" s="550"/>
      <c r="T355" s="550"/>
      <c r="U355" s="550">
        <f>Rent_Roll[[#This Row],[Lease
Rent]]+Rent_Roll[[#This Row],[Corp
Rent]]</f>
        <v>0</v>
      </c>
      <c r="V355" s="1344">
        <f>IF(Rent_Roll[[#This Row],[Total In-Place
Rent]]=0,0,Rent_Roll[[#This Row],[Total In-Place
Rent]]-Rent_Roll[[#This Row],[Market
Rent]])</f>
        <v>0</v>
      </c>
      <c r="W355" s="1351"/>
      <c r="X355" s="723"/>
      <c r="Y355" s="723"/>
      <c r="Z355" s="723"/>
      <c r="AA355" s="1345"/>
      <c r="AB355" s="723"/>
      <c r="AC355" s="723"/>
      <c r="AD355" s="723"/>
      <c r="AE355" s="723"/>
      <c r="AF355" s="723"/>
      <c r="AG355" s="147"/>
      <c r="AH355" s="147"/>
      <c r="AI355" s="1348" t="str">
        <f>IF(Rent_Roll[[#This Row],[Future
Lease Start]]="","",DATEDIF(Rent_Roll[[#This Row],[Future
Lease Start]],Rent_Roll[[#This Row],[Future
Lease Exp]],"m")+1)</f>
        <v/>
      </c>
      <c r="AJ355" s="1347"/>
    </row>
    <row r="356" spans="2:36" hidden="1" outlineLevel="1" x14ac:dyDescent="0.2">
      <c r="B356" s="638"/>
      <c r="C356" s="638"/>
      <c r="D356" s="638"/>
      <c r="E356" s="162" t="str">
        <f>IF(Rent_Roll[[#This Row],[Floor-
plan]]="studio",0,LEFT(Rent_Roll[[#This Row],[Floor-
plan]],1))</f>
        <v/>
      </c>
      <c r="F356" s="162" t="str" cm="1">
        <f t="array" ref="F35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56" s="1349"/>
      <c r="H356" s="722"/>
      <c r="J356" s="1337" t="str" cm="1">
        <f t="array" ref="J35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56" s="1350"/>
      <c r="L356" s="150"/>
      <c r="M356" s="1339" t="str" cm="1">
        <f t="array" ref="M356">_xlfn.IFS(Rent_Roll[[#This Row],[Lease
Exp]]="","",Rent_Roll[[#This Row],[MTM
Lease]]="MTM Lease","--",Rent_Roll[[#This Row],[Lease
Exp]]&gt;0,(DATEDIF(Rent_Roll[[#This Row],[Lease
Start]],Rent_Roll[[#This Row],[Lease
Exp]],"m")+1))</f>
        <v/>
      </c>
      <c r="N356" s="1337" t="str">
        <f>IF(OR(Rent_Roll[[#This Row],[MTM Fee]]="",Rent_Roll[[#This Row],[MTM Fee]]=0),"","MTM Lease")</f>
        <v/>
      </c>
      <c r="O356" s="1340" t="str">
        <f>IFERROR(IF(Rent_Roll[[#This Row],[Lease
Exp]]="","",DATEDIF($F$3,Rent_Roll[[#This Row],[Lease
Exp]],"m")+1),0)</f>
        <v/>
      </c>
      <c r="P356" s="155"/>
      <c r="Q356" s="1342" t="str" cm="1">
        <f t="array" ref="Q35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56" s="1351"/>
      <c r="S356" s="550"/>
      <c r="T356" s="550"/>
      <c r="U356" s="550">
        <f>Rent_Roll[[#This Row],[Lease
Rent]]+Rent_Roll[[#This Row],[Corp
Rent]]</f>
        <v>0</v>
      </c>
      <c r="V356" s="1344">
        <f>IF(Rent_Roll[[#This Row],[Total In-Place
Rent]]=0,0,Rent_Roll[[#This Row],[Total In-Place
Rent]]-Rent_Roll[[#This Row],[Market
Rent]])</f>
        <v>0</v>
      </c>
      <c r="W356" s="1351"/>
      <c r="X356" s="723"/>
      <c r="Y356" s="723"/>
      <c r="Z356" s="723"/>
      <c r="AA356" s="1345"/>
      <c r="AB356" s="723"/>
      <c r="AC356" s="723"/>
      <c r="AD356" s="723"/>
      <c r="AE356" s="723"/>
      <c r="AF356" s="723"/>
      <c r="AG356" s="147"/>
      <c r="AH356" s="147"/>
      <c r="AI356" s="1348" t="str">
        <f>IF(Rent_Roll[[#This Row],[Future
Lease Start]]="","",DATEDIF(Rent_Roll[[#This Row],[Future
Lease Start]],Rent_Roll[[#This Row],[Future
Lease Exp]],"m")+1)</f>
        <v/>
      </c>
      <c r="AJ356" s="1347"/>
    </row>
    <row r="357" spans="2:36" hidden="1" outlineLevel="1" x14ac:dyDescent="0.2">
      <c r="B357" s="638"/>
      <c r="C357" s="638"/>
      <c r="D357" s="638"/>
      <c r="E357" s="162" t="str">
        <f>IF(Rent_Roll[[#This Row],[Floor-
plan]]="studio",0,LEFT(Rent_Roll[[#This Row],[Floor-
plan]],1))</f>
        <v/>
      </c>
      <c r="F357" s="162" t="str" cm="1">
        <f t="array" ref="F35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57" s="1349"/>
      <c r="H357" s="722"/>
      <c r="J357" s="1337" t="str" cm="1">
        <f t="array" ref="J35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57" s="1350"/>
      <c r="L357" s="150"/>
      <c r="M357" s="1339" t="str" cm="1">
        <f t="array" ref="M357">_xlfn.IFS(Rent_Roll[[#This Row],[Lease
Exp]]="","",Rent_Roll[[#This Row],[MTM
Lease]]="MTM Lease","--",Rent_Roll[[#This Row],[Lease
Exp]]&gt;0,(DATEDIF(Rent_Roll[[#This Row],[Lease
Start]],Rent_Roll[[#This Row],[Lease
Exp]],"m")+1))</f>
        <v/>
      </c>
      <c r="N357" s="1337" t="str">
        <f>IF(OR(Rent_Roll[[#This Row],[MTM Fee]]="",Rent_Roll[[#This Row],[MTM Fee]]=0),"","MTM Lease")</f>
        <v/>
      </c>
      <c r="O357" s="1340" t="str">
        <f>IFERROR(IF(Rent_Roll[[#This Row],[Lease
Exp]]="","",DATEDIF($F$3,Rent_Roll[[#This Row],[Lease
Exp]],"m")+1),0)</f>
        <v/>
      </c>
      <c r="P357" s="155"/>
      <c r="Q357" s="1342" t="str" cm="1">
        <f t="array" ref="Q35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57" s="1351"/>
      <c r="S357" s="550"/>
      <c r="T357" s="550"/>
      <c r="U357" s="550">
        <f>Rent_Roll[[#This Row],[Lease
Rent]]+Rent_Roll[[#This Row],[Corp
Rent]]</f>
        <v>0</v>
      </c>
      <c r="V357" s="1344">
        <f>IF(Rent_Roll[[#This Row],[Total In-Place
Rent]]=0,0,Rent_Roll[[#This Row],[Total In-Place
Rent]]-Rent_Roll[[#This Row],[Market
Rent]])</f>
        <v>0</v>
      </c>
      <c r="W357" s="1351"/>
      <c r="X357" s="723"/>
      <c r="Y357" s="723"/>
      <c r="Z357" s="723"/>
      <c r="AA357" s="1345"/>
      <c r="AB357" s="723"/>
      <c r="AC357" s="723"/>
      <c r="AD357" s="723"/>
      <c r="AE357" s="723"/>
      <c r="AF357" s="723"/>
      <c r="AG357" s="147"/>
      <c r="AH357" s="147"/>
      <c r="AI357" s="1348" t="str">
        <f>IF(Rent_Roll[[#This Row],[Future
Lease Start]]="","",DATEDIF(Rent_Roll[[#This Row],[Future
Lease Start]],Rent_Roll[[#This Row],[Future
Lease Exp]],"m")+1)</f>
        <v/>
      </c>
      <c r="AJ357" s="1347"/>
    </row>
    <row r="358" spans="2:36" hidden="1" outlineLevel="1" x14ac:dyDescent="0.2">
      <c r="B358" s="638"/>
      <c r="C358" s="638"/>
      <c r="D358" s="638"/>
      <c r="E358" s="162" t="str">
        <f>IF(Rent_Roll[[#This Row],[Floor-
plan]]="studio",0,LEFT(Rent_Roll[[#This Row],[Floor-
plan]],1))</f>
        <v/>
      </c>
      <c r="F358" s="162" t="str" cm="1">
        <f t="array" ref="F35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58" s="1349"/>
      <c r="H358" s="722"/>
      <c r="J358" s="1337" t="str" cm="1">
        <f t="array" ref="J35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58" s="1350"/>
      <c r="L358" s="150"/>
      <c r="M358" s="1339" t="str" cm="1">
        <f t="array" ref="M358">_xlfn.IFS(Rent_Roll[[#This Row],[Lease
Exp]]="","",Rent_Roll[[#This Row],[MTM
Lease]]="MTM Lease","--",Rent_Roll[[#This Row],[Lease
Exp]]&gt;0,(DATEDIF(Rent_Roll[[#This Row],[Lease
Start]],Rent_Roll[[#This Row],[Lease
Exp]],"m")+1))</f>
        <v/>
      </c>
      <c r="N358" s="1337" t="str">
        <f>IF(OR(Rent_Roll[[#This Row],[MTM Fee]]="",Rent_Roll[[#This Row],[MTM Fee]]=0),"","MTM Lease")</f>
        <v/>
      </c>
      <c r="O358" s="1340" t="str">
        <f>IFERROR(IF(Rent_Roll[[#This Row],[Lease
Exp]]="","",DATEDIF($F$3,Rent_Roll[[#This Row],[Lease
Exp]],"m")+1),0)</f>
        <v/>
      </c>
      <c r="P358" s="155"/>
      <c r="Q358" s="1342" t="str" cm="1">
        <f t="array" ref="Q35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58" s="1351"/>
      <c r="S358" s="550"/>
      <c r="T358" s="550"/>
      <c r="U358" s="550">
        <f>Rent_Roll[[#This Row],[Lease
Rent]]+Rent_Roll[[#This Row],[Corp
Rent]]</f>
        <v>0</v>
      </c>
      <c r="V358" s="1344">
        <f>IF(Rent_Roll[[#This Row],[Total In-Place
Rent]]=0,0,Rent_Roll[[#This Row],[Total In-Place
Rent]]-Rent_Roll[[#This Row],[Market
Rent]])</f>
        <v>0</v>
      </c>
      <c r="W358" s="1351"/>
      <c r="X358" s="723"/>
      <c r="Y358" s="723"/>
      <c r="Z358" s="723"/>
      <c r="AA358" s="1345"/>
      <c r="AB358" s="723"/>
      <c r="AC358" s="723"/>
      <c r="AD358" s="723"/>
      <c r="AE358" s="723"/>
      <c r="AF358" s="723"/>
      <c r="AG358" s="147"/>
      <c r="AH358" s="147"/>
      <c r="AI358" s="1348" t="str">
        <f>IF(Rent_Roll[[#This Row],[Future
Lease Start]]="","",DATEDIF(Rent_Roll[[#This Row],[Future
Lease Start]],Rent_Roll[[#This Row],[Future
Lease Exp]],"m")+1)</f>
        <v/>
      </c>
      <c r="AJ358" s="1347"/>
    </row>
    <row r="359" spans="2:36" hidden="1" outlineLevel="1" x14ac:dyDescent="0.2">
      <c r="B359" s="638"/>
      <c r="C359" s="638"/>
      <c r="D359" s="638"/>
      <c r="E359" s="162" t="str">
        <f>IF(Rent_Roll[[#This Row],[Floor-
plan]]="studio",0,LEFT(Rent_Roll[[#This Row],[Floor-
plan]],1))</f>
        <v/>
      </c>
      <c r="F359" s="162" t="str" cm="1">
        <f t="array" ref="F35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59" s="1349"/>
      <c r="H359" s="722"/>
      <c r="J359" s="1337" t="str" cm="1">
        <f t="array" ref="J35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59" s="1350"/>
      <c r="L359" s="150"/>
      <c r="M359" s="1339" t="str" cm="1">
        <f t="array" ref="M359">_xlfn.IFS(Rent_Roll[[#This Row],[Lease
Exp]]="","",Rent_Roll[[#This Row],[MTM
Lease]]="MTM Lease","--",Rent_Roll[[#This Row],[Lease
Exp]]&gt;0,(DATEDIF(Rent_Roll[[#This Row],[Lease
Start]],Rent_Roll[[#This Row],[Lease
Exp]],"m")+1))</f>
        <v/>
      </c>
      <c r="N359" s="1337" t="str">
        <f>IF(OR(Rent_Roll[[#This Row],[MTM Fee]]="",Rent_Roll[[#This Row],[MTM Fee]]=0),"","MTM Lease")</f>
        <v/>
      </c>
      <c r="O359" s="1340" t="str">
        <f>IFERROR(IF(Rent_Roll[[#This Row],[Lease
Exp]]="","",DATEDIF($F$3,Rent_Roll[[#This Row],[Lease
Exp]],"m")+1),0)</f>
        <v/>
      </c>
      <c r="P359" s="155"/>
      <c r="Q359" s="1342" t="str" cm="1">
        <f t="array" ref="Q35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59" s="1351"/>
      <c r="S359" s="550"/>
      <c r="T359" s="550"/>
      <c r="U359" s="550">
        <f>Rent_Roll[[#This Row],[Lease
Rent]]+Rent_Roll[[#This Row],[Corp
Rent]]</f>
        <v>0</v>
      </c>
      <c r="V359" s="1344">
        <f>IF(Rent_Roll[[#This Row],[Total In-Place
Rent]]=0,0,Rent_Roll[[#This Row],[Total In-Place
Rent]]-Rent_Roll[[#This Row],[Market
Rent]])</f>
        <v>0</v>
      </c>
      <c r="W359" s="1351"/>
      <c r="X359" s="723"/>
      <c r="Y359" s="723"/>
      <c r="Z359" s="723"/>
      <c r="AA359" s="1345"/>
      <c r="AB359" s="723"/>
      <c r="AC359" s="723"/>
      <c r="AD359" s="723"/>
      <c r="AE359" s="723"/>
      <c r="AF359" s="723"/>
      <c r="AG359" s="147"/>
      <c r="AH359" s="147"/>
      <c r="AI359" s="1348" t="str">
        <f>IF(Rent_Roll[[#This Row],[Future
Lease Start]]="","",DATEDIF(Rent_Roll[[#This Row],[Future
Lease Start]],Rent_Roll[[#This Row],[Future
Lease Exp]],"m")+1)</f>
        <v/>
      </c>
      <c r="AJ359" s="1347"/>
    </row>
    <row r="360" spans="2:36" hidden="1" outlineLevel="1" x14ac:dyDescent="0.2">
      <c r="B360" s="638"/>
      <c r="C360" s="638"/>
      <c r="D360" s="638"/>
      <c r="E360" s="162" t="str">
        <f>IF(Rent_Roll[[#This Row],[Floor-
plan]]="studio",0,LEFT(Rent_Roll[[#This Row],[Floor-
plan]],1))</f>
        <v/>
      </c>
      <c r="F360" s="162" t="str" cm="1">
        <f t="array" ref="F36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60" s="1349"/>
      <c r="H360" s="722"/>
      <c r="J360" s="1337" t="str" cm="1">
        <f t="array" ref="J36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60" s="1350"/>
      <c r="L360" s="150"/>
      <c r="M360" s="1339" t="str" cm="1">
        <f t="array" ref="M360">_xlfn.IFS(Rent_Roll[[#This Row],[Lease
Exp]]="","",Rent_Roll[[#This Row],[MTM
Lease]]="MTM Lease","--",Rent_Roll[[#This Row],[Lease
Exp]]&gt;0,(DATEDIF(Rent_Roll[[#This Row],[Lease
Start]],Rent_Roll[[#This Row],[Lease
Exp]],"m")+1))</f>
        <v/>
      </c>
      <c r="N360" s="1337" t="str">
        <f>IF(OR(Rent_Roll[[#This Row],[MTM Fee]]="",Rent_Roll[[#This Row],[MTM Fee]]=0),"","MTM Lease")</f>
        <v/>
      </c>
      <c r="O360" s="1340" t="str">
        <f>IFERROR(IF(Rent_Roll[[#This Row],[Lease
Exp]]="","",DATEDIF($F$3,Rent_Roll[[#This Row],[Lease
Exp]],"m")+1),0)</f>
        <v/>
      </c>
      <c r="P360" s="155"/>
      <c r="Q360" s="1342" t="str" cm="1">
        <f t="array" ref="Q36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60" s="1351"/>
      <c r="S360" s="550"/>
      <c r="T360" s="550"/>
      <c r="U360" s="550">
        <f>Rent_Roll[[#This Row],[Lease
Rent]]+Rent_Roll[[#This Row],[Corp
Rent]]</f>
        <v>0</v>
      </c>
      <c r="V360" s="1344">
        <f>IF(Rent_Roll[[#This Row],[Total In-Place
Rent]]=0,0,Rent_Roll[[#This Row],[Total In-Place
Rent]]-Rent_Roll[[#This Row],[Market
Rent]])</f>
        <v>0</v>
      </c>
      <c r="W360" s="1351"/>
      <c r="X360" s="723"/>
      <c r="Y360" s="723"/>
      <c r="Z360" s="723"/>
      <c r="AA360" s="1345"/>
      <c r="AB360" s="723"/>
      <c r="AC360" s="723"/>
      <c r="AD360" s="723"/>
      <c r="AE360" s="723"/>
      <c r="AF360" s="723"/>
      <c r="AG360" s="147"/>
      <c r="AH360" s="147"/>
      <c r="AI360" s="1348" t="str">
        <f>IF(Rent_Roll[[#This Row],[Future
Lease Start]]="","",DATEDIF(Rent_Roll[[#This Row],[Future
Lease Start]],Rent_Roll[[#This Row],[Future
Lease Exp]],"m")+1)</f>
        <v/>
      </c>
      <c r="AJ360" s="1347"/>
    </row>
    <row r="361" spans="2:36" hidden="1" outlineLevel="1" x14ac:dyDescent="0.2">
      <c r="B361" s="638"/>
      <c r="C361" s="638"/>
      <c r="D361" s="638"/>
      <c r="E361" s="162" t="str">
        <f>IF(Rent_Roll[[#This Row],[Floor-
plan]]="studio",0,LEFT(Rent_Roll[[#This Row],[Floor-
plan]],1))</f>
        <v/>
      </c>
      <c r="F361" s="162" t="str" cm="1">
        <f t="array" ref="F36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61" s="1349"/>
      <c r="H361" s="722"/>
      <c r="J361" s="1337" t="str" cm="1">
        <f t="array" ref="J36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61" s="1350"/>
      <c r="L361" s="150"/>
      <c r="M361" s="1339" t="str" cm="1">
        <f t="array" ref="M361">_xlfn.IFS(Rent_Roll[[#This Row],[Lease
Exp]]="","",Rent_Roll[[#This Row],[MTM
Lease]]="MTM Lease","--",Rent_Roll[[#This Row],[Lease
Exp]]&gt;0,(DATEDIF(Rent_Roll[[#This Row],[Lease
Start]],Rent_Roll[[#This Row],[Lease
Exp]],"m")+1))</f>
        <v/>
      </c>
      <c r="N361" s="1337" t="str">
        <f>IF(OR(Rent_Roll[[#This Row],[MTM Fee]]="",Rent_Roll[[#This Row],[MTM Fee]]=0),"","MTM Lease")</f>
        <v/>
      </c>
      <c r="O361" s="1340" t="str">
        <f>IFERROR(IF(Rent_Roll[[#This Row],[Lease
Exp]]="","",DATEDIF($F$3,Rent_Roll[[#This Row],[Lease
Exp]],"m")+1),0)</f>
        <v/>
      </c>
      <c r="P361" s="155"/>
      <c r="Q361" s="1342" t="str" cm="1">
        <f t="array" ref="Q36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61" s="1351"/>
      <c r="S361" s="550"/>
      <c r="T361" s="550"/>
      <c r="U361" s="550">
        <f>Rent_Roll[[#This Row],[Lease
Rent]]+Rent_Roll[[#This Row],[Corp
Rent]]</f>
        <v>0</v>
      </c>
      <c r="V361" s="1344">
        <f>IF(Rent_Roll[[#This Row],[Total In-Place
Rent]]=0,0,Rent_Roll[[#This Row],[Total In-Place
Rent]]-Rent_Roll[[#This Row],[Market
Rent]])</f>
        <v>0</v>
      </c>
      <c r="W361" s="1351"/>
      <c r="X361" s="723"/>
      <c r="Y361" s="723"/>
      <c r="Z361" s="723"/>
      <c r="AA361" s="1345"/>
      <c r="AB361" s="723"/>
      <c r="AC361" s="723"/>
      <c r="AD361" s="723"/>
      <c r="AE361" s="723"/>
      <c r="AF361" s="723"/>
      <c r="AG361" s="147"/>
      <c r="AH361" s="147"/>
      <c r="AI361" s="1348" t="str">
        <f>IF(Rent_Roll[[#This Row],[Future
Lease Start]]="","",DATEDIF(Rent_Roll[[#This Row],[Future
Lease Start]],Rent_Roll[[#This Row],[Future
Lease Exp]],"m")+1)</f>
        <v/>
      </c>
      <c r="AJ361" s="1347"/>
    </row>
    <row r="362" spans="2:36" hidden="1" outlineLevel="1" x14ac:dyDescent="0.2">
      <c r="B362" s="638"/>
      <c r="C362" s="638"/>
      <c r="D362" s="638"/>
      <c r="E362" s="162" t="str">
        <f>IF(Rent_Roll[[#This Row],[Floor-
plan]]="studio",0,LEFT(Rent_Roll[[#This Row],[Floor-
plan]],1))</f>
        <v/>
      </c>
      <c r="F362" s="162" t="str" cm="1">
        <f t="array" ref="F36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62" s="1349"/>
      <c r="H362" s="722"/>
      <c r="J362" s="1337" t="str" cm="1">
        <f t="array" ref="J36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62" s="1350"/>
      <c r="L362" s="150"/>
      <c r="M362" s="1339" t="str" cm="1">
        <f t="array" ref="M362">_xlfn.IFS(Rent_Roll[[#This Row],[Lease
Exp]]="","",Rent_Roll[[#This Row],[MTM
Lease]]="MTM Lease","--",Rent_Roll[[#This Row],[Lease
Exp]]&gt;0,(DATEDIF(Rent_Roll[[#This Row],[Lease
Start]],Rent_Roll[[#This Row],[Lease
Exp]],"m")+1))</f>
        <v/>
      </c>
      <c r="N362" s="1337" t="str">
        <f>IF(OR(Rent_Roll[[#This Row],[MTM Fee]]="",Rent_Roll[[#This Row],[MTM Fee]]=0),"","MTM Lease")</f>
        <v/>
      </c>
      <c r="O362" s="1340" t="str">
        <f>IFERROR(IF(Rent_Roll[[#This Row],[Lease
Exp]]="","",DATEDIF($F$3,Rent_Roll[[#This Row],[Lease
Exp]],"m")+1),0)</f>
        <v/>
      </c>
      <c r="P362" s="155"/>
      <c r="Q362" s="1342" t="str" cm="1">
        <f t="array" ref="Q36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62" s="1351"/>
      <c r="S362" s="550"/>
      <c r="T362" s="550"/>
      <c r="U362" s="550">
        <f>Rent_Roll[[#This Row],[Lease
Rent]]+Rent_Roll[[#This Row],[Corp
Rent]]</f>
        <v>0</v>
      </c>
      <c r="V362" s="1344">
        <f>IF(Rent_Roll[[#This Row],[Total In-Place
Rent]]=0,0,Rent_Roll[[#This Row],[Total In-Place
Rent]]-Rent_Roll[[#This Row],[Market
Rent]])</f>
        <v>0</v>
      </c>
      <c r="W362" s="1351"/>
      <c r="X362" s="723"/>
      <c r="Y362" s="723"/>
      <c r="Z362" s="723"/>
      <c r="AA362" s="1345"/>
      <c r="AB362" s="723"/>
      <c r="AC362" s="723"/>
      <c r="AD362" s="723"/>
      <c r="AE362" s="723"/>
      <c r="AF362" s="723"/>
      <c r="AG362" s="147"/>
      <c r="AH362" s="147"/>
      <c r="AI362" s="1348" t="str">
        <f>IF(Rent_Roll[[#This Row],[Future
Lease Start]]="","",DATEDIF(Rent_Roll[[#This Row],[Future
Lease Start]],Rent_Roll[[#This Row],[Future
Lease Exp]],"m")+1)</f>
        <v/>
      </c>
      <c r="AJ362" s="1347"/>
    </row>
    <row r="363" spans="2:36" hidden="1" outlineLevel="1" x14ac:dyDescent="0.2">
      <c r="B363" s="638"/>
      <c r="C363" s="638"/>
      <c r="D363" s="638"/>
      <c r="E363" s="162" t="str">
        <f>IF(Rent_Roll[[#This Row],[Floor-
plan]]="studio",0,LEFT(Rent_Roll[[#This Row],[Floor-
plan]],1))</f>
        <v/>
      </c>
      <c r="F363" s="162" t="str" cm="1">
        <f t="array" ref="F36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63" s="1349"/>
      <c r="H363" s="722"/>
      <c r="J363" s="1337" t="str" cm="1">
        <f t="array" ref="J36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63" s="1350"/>
      <c r="L363" s="150"/>
      <c r="M363" s="1339" t="str" cm="1">
        <f t="array" ref="M363">_xlfn.IFS(Rent_Roll[[#This Row],[Lease
Exp]]="","",Rent_Roll[[#This Row],[MTM
Lease]]="MTM Lease","--",Rent_Roll[[#This Row],[Lease
Exp]]&gt;0,(DATEDIF(Rent_Roll[[#This Row],[Lease
Start]],Rent_Roll[[#This Row],[Lease
Exp]],"m")+1))</f>
        <v/>
      </c>
      <c r="N363" s="1337" t="str">
        <f>IF(OR(Rent_Roll[[#This Row],[MTM Fee]]="",Rent_Roll[[#This Row],[MTM Fee]]=0),"","MTM Lease")</f>
        <v/>
      </c>
      <c r="O363" s="1340" t="str">
        <f>IFERROR(IF(Rent_Roll[[#This Row],[Lease
Exp]]="","",DATEDIF($F$3,Rent_Roll[[#This Row],[Lease
Exp]],"m")+1),0)</f>
        <v/>
      </c>
      <c r="P363" s="155"/>
      <c r="Q363" s="1342" t="str" cm="1">
        <f t="array" ref="Q36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63" s="1351"/>
      <c r="S363" s="550"/>
      <c r="T363" s="550"/>
      <c r="U363" s="550">
        <f>Rent_Roll[[#This Row],[Lease
Rent]]+Rent_Roll[[#This Row],[Corp
Rent]]</f>
        <v>0</v>
      </c>
      <c r="V363" s="1344">
        <f>IF(Rent_Roll[[#This Row],[Total In-Place
Rent]]=0,0,Rent_Roll[[#This Row],[Total In-Place
Rent]]-Rent_Roll[[#This Row],[Market
Rent]])</f>
        <v>0</v>
      </c>
      <c r="W363" s="1351"/>
      <c r="X363" s="723"/>
      <c r="Y363" s="723"/>
      <c r="Z363" s="723"/>
      <c r="AA363" s="1345"/>
      <c r="AB363" s="723"/>
      <c r="AC363" s="723"/>
      <c r="AD363" s="723"/>
      <c r="AE363" s="723"/>
      <c r="AF363" s="723"/>
      <c r="AG363" s="147"/>
      <c r="AH363" s="147"/>
      <c r="AI363" s="1348" t="str">
        <f>IF(Rent_Roll[[#This Row],[Future
Lease Start]]="","",DATEDIF(Rent_Roll[[#This Row],[Future
Lease Start]],Rent_Roll[[#This Row],[Future
Lease Exp]],"m")+1)</f>
        <v/>
      </c>
      <c r="AJ363" s="1347"/>
    </row>
    <row r="364" spans="2:36" hidden="1" outlineLevel="1" x14ac:dyDescent="0.2">
      <c r="B364" s="638"/>
      <c r="C364" s="638"/>
      <c r="D364" s="638"/>
      <c r="E364" s="162" t="str">
        <f>IF(Rent_Roll[[#This Row],[Floor-
plan]]="studio",0,LEFT(Rent_Roll[[#This Row],[Floor-
plan]],1))</f>
        <v/>
      </c>
      <c r="F364" s="162" t="str" cm="1">
        <f t="array" ref="F36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64" s="1349"/>
      <c r="H364" s="722"/>
      <c r="J364" s="1337" t="str" cm="1">
        <f t="array" ref="J36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64" s="1350"/>
      <c r="L364" s="150"/>
      <c r="M364" s="1339" t="str" cm="1">
        <f t="array" ref="M364">_xlfn.IFS(Rent_Roll[[#This Row],[Lease
Exp]]="","",Rent_Roll[[#This Row],[MTM
Lease]]="MTM Lease","--",Rent_Roll[[#This Row],[Lease
Exp]]&gt;0,(DATEDIF(Rent_Roll[[#This Row],[Lease
Start]],Rent_Roll[[#This Row],[Lease
Exp]],"m")+1))</f>
        <v/>
      </c>
      <c r="N364" s="1337" t="str">
        <f>IF(OR(Rent_Roll[[#This Row],[MTM Fee]]="",Rent_Roll[[#This Row],[MTM Fee]]=0),"","MTM Lease")</f>
        <v/>
      </c>
      <c r="O364" s="1340" t="str">
        <f>IFERROR(IF(Rent_Roll[[#This Row],[Lease
Exp]]="","",DATEDIF($F$3,Rent_Roll[[#This Row],[Lease
Exp]],"m")+1),0)</f>
        <v/>
      </c>
      <c r="P364" s="155"/>
      <c r="Q364" s="1342" t="str" cm="1">
        <f t="array" ref="Q36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64" s="1351"/>
      <c r="S364" s="550"/>
      <c r="T364" s="550"/>
      <c r="U364" s="550">
        <f>Rent_Roll[[#This Row],[Lease
Rent]]+Rent_Roll[[#This Row],[Corp
Rent]]</f>
        <v>0</v>
      </c>
      <c r="V364" s="1344">
        <f>IF(Rent_Roll[[#This Row],[Total In-Place
Rent]]=0,0,Rent_Roll[[#This Row],[Total In-Place
Rent]]-Rent_Roll[[#This Row],[Market
Rent]])</f>
        <v>0</v>
      </c>
      <c r="W364" s="1351"/>
      <c r="X364" s="723"/>
      <c r="Y364" s="723"/>
      <c r="Z364" s="723"/>
      <c r="AA364" s="1345"/>
      <c r="AB364" s="723"/>
      <c r="AC364" s="723"/>
      <c r="AD364" s="723"/>
      <c r="AE364" s="723"/>
      <c r="AF364" s="723"/>
      <c r="AG364" s="147"/>
      <c r="AH364" s="147"/>
      <c r="AI364" s="1348" t="str">
        <f>IF(Rent_Roll[[#This Row],[Future
Lease Start]]="","",DATEDIF(Rent_Roll[[#This Row],[Future
Lease Start]],Rent_Roll[[#This Row],[Future
Lease Exp]],"m")+1)</f>
        <v/>
      </c>
      <c r="AJ364" s="1347"/>
    </row>
    <row r="365" spans="2:36" hidden="1" outlineLevel="1" x14ac:dyDescent="0.2">
      <c r="B365" s="638"/>
      <c r="C365" s="638"/>
      <c r="D365" s="638"/>
      <c r="E365" s="162" t="str">
        <f>IF(Rent_Roll[[#This Row],[Floor-
plan]]="studio",0,LEFT(Rent_Roll[[#This Row],[Floor-
plan]],1))</f>
        <v/>
      </c>
      <c r="F365" s="162" t="str" cm="1">
        <f t="array" ref="F36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65" s="1349"/>
      <c r="H365" s="722"/>
      <c r="J365" s="1337" t="str" cm="1">
        <f t="array" ref="J36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65" s="1350"/>
      <c r="L365" s="150"/>
      <c r="M365" s="1339" t="str" cm="1">
        <f t="array" ref="M365">_xlfn.IFS(Rent_Roll[[#This Row],[Lease
Exp]]="","",Rent_Roll[[#This Row],[MTM
Lease]]="MTM Lease","--",Rent_Roll[[#This Row],[Lease
Exp]]&gt;0,(DATEDIF(Rent_Roll[[#This Row],[Lease
Start]],Rent_Roll[[#This Row],[Lease
Exp]],"m")+1))</f>
        <v/>
      </c>
      <c r="N365" s="1337" t="str">
        <f>IF(OR(Rent_Roll[[#This Row],[MTM Fee]]="",Rent_Roll[[#This Row],[MTM Fee]]=0),"","MTM Lease")</f>
        <v/>
      </c>
      <c r="O365" s="1340" t="str">
        <f>IFERROR(IF(Rent_Roll[[#This Row],[Lease
Exp]]="","",DATEDIF($F$3,Rent_Roll[[#This Row],[Lease
Exp]],"m")+1),0)</f>
        <v/>
      </c>
      <c r="P365" s="155"/>
      <c r="Q365" s="1342" t="str" cm="1">
        <f t="array" ref="Q36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65" s="1351"/>
      <c r="S365" s="550"/>
      <c r="T365" s="550"/>
      <c r="U365" s="550">
        <f>Rent_Roll[[#This Row],[Lease
Rent]]+Rent_Roll[[#This Row],[Corp
Rent]]</f>
        <v>0</v>
      </c>
      <c r="V365" s="1344">
        <f>IF(Rent_Roll[[#This Row],[Total In-Place
Rent]]=0,0,Rent_Roll[[#This Row],[Total In-Place
Rent]]-Rent_Roll[[#This Row],[Market
Rent]])</f>
        <v>0</v>
      </c>
      <c r="W365" s="1351"/>
      <c r="X365" s="723"/>
      <c r="Y365" s="723"/>
      <c r="Z365" s="723"/>
      <c r="AA365" s="1345"/>
      <c r="AB365" s="723"/>
      <c r="AC365" s="723"/>
      <c r="AD365" s="723"/>
      <c r="AE365" s="723"/>
      <c r="AF365" s="723"/>
      <c r="AG365" s="147"/>
      <c r="AH365" s="147"/>
      <c r="AI365" s="1348" t="str">
        <f>IF(Rent_Roll[[#This Row],[Future
Lease Start]]="","",DATEDIF(Rent_Roll[[#This Row],[Future
Lease Start]],Rent_Roll[[#This Row],[Future
Lease Exp]],"m")+1)</f>
        <v/>
      </c>
      <c r="AJ365" s="1347"/>
    </row>
    <row r="366" spans="2:36" hidden="1" outlineLevel="1" x14ac:dyDescent="0.2">
      <c r="B366" s="638"/>
      <c r="C366" s="638"/>
      <c r="D366" s="638"/>
      <c r="E366" s="162" t="str">
        <f>IF(Rent_Roll[[#This Row],[Floor-
plan]]="studio",0,LEFT(Rent_Roll[[#This Row],[Floor-
plan]],1))</f>
        <v/>
      </c>
      <c r="F366" s="162" t="str" cm="1">
        <f t="array" ref="F36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66" s="1349"/>
      <c r="H366" s="722"/>
      <c r="J366" s="1337" t="str" cm="1">
        <f t="array" ref="J36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66" s="1350"/>
      <c r="L366" s="150"/>
      <c r="M366" s="1339" t="str" cm="1">
        <f t="array" ref="M366">_xlfn.IFS(Rent_Roll[[#This Row],[Lease
Exp]]="","",Rent_Roll[[#This Row],[MTM
Lease]]="MTM Lease","--",Rent_Roll[[#This Row],[Lease
Exp]]&gt;0,(DATEDIF(Rent_Roll[[#This Row],[Lease
Start]],Rent_Roll[[#This Row],[Lease
Exp]],"m")+1))</f>
        <v/>
      </c>
      <c r="N366" s="1337" t="str">
        <f>IF(OR(Rent_Roll[[#This Row],[MTM Fee]]="",Rent_Roll[[#This Row],[MTM Fee]]=0),"","MTM Lease")</f>
        <v/>
      </c>
      <c r="O366" s="1340" t="str">
        <f>IFERROR(IF(Rent_Roll[[#This Row],[Lease
Exp]]="","",DATEDIF($F$3,Rent_Roll[[#This Row],[Lease
Exp]],"m")+1),0)</f>
        <v/>
      </c>
      <c r="P366" s="155"/>
      <c r="Q366" s="1342" t="str" cm="1">
        <f t="array" ref="Q36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66" s="1351"/>
      <c r="S366" s="550"/>
      <c r="T366" s="550"/>
      <c r="U366" s="550">
        <f>Rent_Roll[[#This Row],[Lease
Rent]]+Rent_Roll[[#This Row],[Corp
Rent]]</f>
        <v>0</v>
      </c>
      <c r="V366" s="1344">
        <f>IF(Rent_Roll[[#This Row],[Total In-Place
Rent]]=0,0,Rent_Roll[[#This Row],[Total In-Place
Rent]]-Rent_Roll[[#This Row],[Market
Rent]])</f>
        <v>0</v>
      </c>
      <c r="W366" s="1351"/>
      <c r="X366" s="723"/>
      <c r="Y366" s="723"/>
      <c r="Z366" s="723"/>
      <c r="AA366" s="1345"/>
      <c r="AB366" s="723"/>
      <c r="AC366" s="723"/>
      <c r="AD366" s="723"/>
      <c r="AE366" s="723"/>
      <c r="AF366" s="723"/>
      <c r="AG366" s="147"/>
      <c r="AH366" s="147"/>
      <c r="AI366" s="1348" t="str">
        <f>IF(Rent_Roll[[#This Row],[Future
Lease Start]]="","",DATEDIF(Rent_Roll[[#This Row],[Future
Lease Start]],Rent_Roll[[#This Row],[Future
Lease Exp]],"m")+1)</f>
        <v/>
      </c>
      <c r="AJ366" s="1347"/>
    </row>
    <row r="367" spans="2:36" hidden="1" outlineLevel="1" x14ac:dyDescent="0.2">
      <c r="B367" s="638"/>
      <c r="C367" s="638"/>
      <c r="D367" s="638"/>
      <c r="E367" s="162" t="str">
        <f>IF(Rent_Roll[[#This Row],[Floor-
plan]]="studio",0,LEFT(Rent_Roll[[#This Row],[Floor-
plan]],1))</f>
        <v/>
      </c>
      <c r="F367" s="162" t="str" cm="1">
        <f t="array" ref="F36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67" s="1349"/>
      <c r="H367" s="722"/>
      <c r="J367" s="1337" t="str" cm="1">
        <f t="array" ref="J36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67" s="1350"/>
      <c r="L367" s="150"/>
      <c r="M367" s="1339" t="str" cm="1">
        <f t="array" ref="M367">_xlfn.IFS(Rent_Roll[[#This Row],[Lease
Exp]]="","",Rent_Roll[[#This Row],[MTM
Lease]]="MTM Lease","--",Rent_Roll[[#This Row],[Lease
Exp]]&gt;0,(DATEDIF(Rent_Roll[[#This Row],[Lease
Start]],Rent_Roll[[#This Row],[Lease
Exp]],"m")+1))</f>
        <v/>
      </c>
      <c r="N367" s="1337" t="str">
        <f>IF(OR(Rent_Roll[[#This Row],[MTM Fee]]="",Rent_Roll[[#This Row],[MTM Fee]]=0),"","MTM Lease")</f>
        <v/>
      </c>
      <c r="O367" s="1340" t="str">
        <f>IFERROR(IF(Rent_Roll[[#This Row],[Lease
Exp]]="","",DATEDIF($F$3,Rent_Roll[[#This Row],[Lease
Exp]],"m")+1),0)</f>
        <v/>
      </c>
      <c r="P367" s="155"/>
      <c r="Q367" s="1342" t="str" cm="1">
        <f t="array" ref="Q36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67" s="1351"/>
      <c r="S367" s="550"/>
      <c r="T367" s="550"/>
      <c r="U367" s="550">
        <f>Rent_Roll[[#This Row],[Lease
Rent]]+Rent_Roll[[#This Row],[Corp
Rent]]</f>
        <v>0</v>
      </c>
      <c r="V367" s="1344">
        <f>IF(Rent_Roll[[#This Row],[Total In-Place
Rent]]=0,0,Rent_Roll[[#This Row],[Total In-Place
Rent]]-Rent_Roll[[#This Row],[Market
Rent]])</f>
        <v>0</v>
      </c>
      <c r="W367" s="1351"/>
      <c r="X367" s="723"/>
      <c r="Y367" s="723"/>
      <c r="Z367" s="723"/>
      <c r="AA367" s="1345"/>
      <c r="AB367" s="723"/>
      <c r="AC367" s="723"/>
      <c r="AD367" s="723"/>
      <c r="AE367" s="723"/>
      <c r="AF367" s="723"/>
      <c r="AG367" s="147"/>
      <c r="AH367" s="147"/>
      <c r="AI367" s="1348" t="str">
        <f>IF(Rent_Roll[[#This Row],[Future
Lease Start]]="","",DATEDIF(Rent_Roll[[#This Row],[Future
Lease Start]],Rent_Roll[[#This Row],[Future
Lease Exp]],"m")+1)</f>
        <v/>
      </c>
      <c r="AJ367" s="1347"/>
    </row>
    <row r="368" spans="2:36" hidden="1" outlineLevel="1" x14ac:dyDescent="0.2">
      <c r="B368" s="638"/>
      <c r="C368" s="638"/>
      <c r="D368" s="638"/>
      <c r="E368" s="162" t="str">
        <f>IF(Rent_Roll[[#This Row],[Floor-
plan]]="studio",0,LEFT(Rent_Roll[[#This Row],[Floor-
plan]],1))</f>
        <v/>
      </c>
      <c r="F368" s="162" t="str" cm="1">
        <f t="array" ref="F36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68" s="1349"/>
      <c r="H368" s="722"/>
      <c r="J368" s="1337" t="str" cm="1">
        <f t="array" ref="J36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68" s="1350"/>
      <c r="L368" s="150"/>
      <c r="M368" s="1339" t="str" cm="1">
        <f t="array" ref="M368">_xlfn.IFS(Rent_Roll[[#This Row],[Lease
Exp]]="","",Rent_Roll[[#This Row],[MTM
Lease]]="MTM Lease","--",Rent_Roll[[#This Row],[Lease
Exp]]&gt;0,(DATEDIF(Rent_Roll[[#This Row],[Lease
Start]],Rent_Roll[[#This Row],[Lease
Exp]],"m")+1))</f>
        <v/>
      </c>
      <c r="N368" s="1337" t="str">
        <f>IF(OR(Rent_Roll[[#This Row],[MTM Fee]]="",Rent_Roll[[#This Row],[MTM Fee]]=0),"","MTM Lease")</f>
        <v/>
      </c>
      <c r="O368" s="1340" t="str">
        <f>IFERROR(IF(Rent_Roll[[#This Row],[Lease
Exp]]="","",DATEDIF($F$3,Rent_Roll[[#This Row],[Lease
Exp]],"m")+1),0)</f>
        <v/>
      </c>
      <c r="P368" s="155"/>
      <c r="Q368" s="1342" t="str" cm="1">
        <f t="array" ref="Q36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68" s="1351"/>
      <c r="S368" s="550"/>
      <c r="T368" s="550"/>
      <c r="U368" s="550">
        <f>Rent_Roll[[#This Row],[Lease
Rent]]+Rent_Roll[[#This Row],[Corp
Rent]]</f>
        <v>0</v>
      </c>
      <c r="V368" s="1344">
        <f>IF(Rent_Roll[[#This Row],[Total In-Place
Rent]]=0,0,Rent_Roll[[#This Row],[Total In-Place
Rent]]-Rent_Roll[[#This Row],[Market
Rent]])</f>
        <v>0</v>
      </c>
      <c r="W368" s="1351"/>
      <c r="X368" s="723"/>
      <c r="Y368" s="723"/>
      <c r="Z368" s="723"/>
      <c r="AA368" s="1345"/>
      <c r="AB368" s="723"/>
      <c r="AC368" s="723"/>
      <c r="AD368" s="723"/>
      <c r="AE368" s="723"/>
      <c r="AF368" s="723"/>
      <c r="AG368" s="147"/>
      <c r="AH368" s="147"/>
      <c r="AI368" s="1348" t="str">
        <f>IF(Rent_Roll[[#This Row],[Future
Lease Start]]="","",DATEDIF(Rent_Roll[[#This Row],[Future
Lease Start]],Rent_Roll[[#This Row],[Future
Lease Exp]],"m")+1)</f>
        <v/>
      </c>
      <c r="AJ368" s="1347"/>
    </row>
    <row r="369" spans="2:36" hidden="1" outlineLevel="1" x14ac:dyDescent="0.2">
      <c r="B369" s="638"/>
      <c r="C369" s="638"/>
      <c r="D369" s="638"/>
      <c r="E369" s="162" t="str">
        <f>IF(Rent_Roll[[#This Row],[Floor-
plan]]="studio",0,LEFT(Rent_Roll[[#This Row],[Floor-
plan]],1))</f>
        <v/>
      </c>
      <c r="F369" s="162" t="str" cm="1">
        <f t="array" ref="F36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69" s="1349"/>
      <c r="H369" s="722"/>
      <c r="J369" s="1337" t="str" cm="1">
        <f t="array" ref="J36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69" s="1350"/>
      <c r="L369" s="150"/>
      <c r="M369" s="1339" t="str" cm="1">
        <f t="array" ref="M369">_xlfn.IFS(Rent_Roll[[#This Row],[Lease
Exp]]="","",Rent_Roll[[#This Row],[MTM
Lease]]="MTM Lease","--",Rent_Roll[[#This Row],[Lease
Exp]]&gt;0,(DATEDIF(Rent_Roll[[#This Row],[Lease
Start]],Rent_Roll[[#This Row],[Lease
Exp]],"m")+1))</f>
        <v/>
      </c>
      <c r="N369" s="1337" t="str">
        <f>IF(OR(Rent_Roll[[#This Row],[MTM Fee]]="",Rent_Roll[[#This Row],[MTM Fee]]=0),"","MTM Lease")</f>
        <v/>
      </c>
      <c r="O369" s="1340" t="str">
        <f>IFERROR(IF(Rent_Roll[[#This Row],[Lease
Exp]]="","",DATEDIF($F$3,Rent_Roll[[#This Row],[Lease
Exp]],"m")+1),0)</f>
        <v/>
      </c>
      <c r="P369" s="155"/>
      <c r="Q369" s="1342" t="str" cm="1">
        <f t="array" ref="Q36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69" s="1351"/>
      <c r="S369" s="550"/>
      <c r="T369" s="550"/>
      <c r="U369" s="550">
        <f>Rent_Roll[[#This Row],[Lease
Rent]]+Rent_Roll[[#This Row],[Corp
Rent]]</f>
        <v>0</v>
      </c>
      <c r="V369" s="1344">
        <f>IF(Rent_Roll[[#This Row],[Total In-Place
Rent]]=0,0,Rent_Roll[[#This Row],[Total In-Place
Rent]]-Rent_Roll[[#This Row],[Market
Rent]])</f>
        <v>0</v>
      </c>
      <c r="W369" s="1351"/>
      <c r="X369" s="723"/>
      <c r="Y369" s="723"/>
      <c r="Z369" s="723"/>
      <c r="AA369" s="1345"/>
      <c r="AB369" s="723"/>
      <c r="AC369" s="723"/>
      <c r="AD369" s="723"/>
      <c r="AE369" s="723"/>
      <c r="AF369" s="723"/>
      <c r="AG369" s="147"/>
      <c r="AH369" s="147"/>
      <c r="AI369" s="1348" t="str">
        <f>IF(Rent_Roll[[#This Row],[Future
Lease Start]]="","",DATEDIF(Rent_Roll[[#This Row],[Future
Lease Start]],Rent_Roll[[#This Row],[Future
Lease Exp]],"m")+1)</f>
        <v/>
      </c>
      <c r="AJ369" s="1347"/>
    </row>
    <row r="370" spans="2:36" hidden="1" outlineLevel="1" x14ac:dyDescent="0.2">
      <c r="B370" s="638"/>
      <c r="C370" s="638"/>
      <c r="D370" s="638"/>
      <c r="E370" s="162" t="str">
        <f>IF(Rent_Roll[[#This Row],[Floor-
plan]]="studio",0,LEFT(Rent_Roll[[#This Row],[Floor-
plan]],1))</f>
        <v/>
      </c>
      <c r="F370" s="162" t="str" cm="1">
        <f t="array" ref="F37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70" s="1349"/>
      <c r="H370" s="722"/>
      <c r="J370" s="1337" t="str" cm="1">
        <f t="array" ref="J37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70" s="1350"/>
      <c r="L370" s="150"/>
      <c r="M370" s="1339" t="str" cm="1">
        <f t="array" ref="M370">_xlfn.IFS(Rent_Roll[[#This Row],[Lease
Exp]]="","",Rent_Roll[[#This Row],[MTM
Lease]]="MTM Lease","--",Rent_Roll[[#This Row],[Lease
Exp]]&gt;0,(DATEDIF(Rent_Roll[[#This Row],[Lease
Start]],Rent_Roll[[#This Row],[Lease
Exp]],"m")+1))</f>
        <v/>
      </c>
      <c r="N370" s="1337" t="str">
        <f>IF(OR(Rent_Roll[[#This Row],[MTM Fee]]="",Rent_Roll[[#This Row],[MTM Fee]]=0),"","MTM Lease")</f>
        <v/>
      </c>
      <c r="O370" s="1340" t="str">
        <f>IFERROR(IF(Rent_Roll[[#This Row],[Lease
Exp]]="","",DATEDIF($F$3,Rent_Roll[[#This Row],[Lease
Exp]],"m")+1),0)</f>
        <v/>
      </c>
      <c r="P370" s="155"/>
      <c r="Q370" s="1342" t="str" cm="1">
        <f t="array" ref="Q37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70" s="1351"/>
      <c r="S370" s="550"/>
      <c r="T370" s="550"/>
      <c r="U370" s="550">
        <f>Rent_Roll[[#This Row],[Lease
Rent]]+Rent_Roll[[#This Row],[Corp
Rent]]</f>
        <v>0</v>
      </c>
      <c r="V370" s="1344">
        <f>IF(Rent_Roll[[#This Row],[Total In-Place
Rent]]=0,0,Rent_Roll[[#This Row],[Total In-Place
Rent]]-Rent_Roll[[#This Row],[Market
Rent]])</f>
        <v>0</v>
      </c>
      <c r="W370" s="1351"/>
      <c r="X370" s="723"/>
      <c r="Y370" s="723"/>
      <c r="Z370" s="723"/>
      <c r="AA370" s="1345"/>
      <c r="AB370" s="723"/>
      <c r="AC370" s="723"/>
      <c r="AD370" s="723"/>
      <c r="AE370" s="723"/>
      <c r="AF370" s="723"/>
      <c r="AG370" s="147"/>
      <c r="AH370" s="147"/>
      <c r="AI370" s="1348" t="str">
        <f>IF(Rent_Roll[[#This Row],[Future
Lease Start]]="","",DATEDIF(Rent_Roll[[#This Row],[Future
Lease Start]],Rent_Roll[[#This Row],[Future
Lease Exp]],"m")+1)</f>
        <v/>
      </c>
      <c r="AJ370" s="1347"/>
    </row>
    <row r="371" spans="2:36" hidden="1" outlineLevel="1" x14ac:dyDescent="0.2">
      <c r="B371" s="638"/>
      <c r="C371" s="638"/>
      <c r="D371" s="638"/>
      <c r="E371" s="162" t="str">
        <f>IF(Rent_Roll[[#This Row],[Floor-
plan]]="studio",0,LEFT(Rent_Roll[[#This Row],[Floor-
plan]],1))</f>
        <v/>
      </c>
      <c r="F371" s="162" t="str" cm="1">
        <f t="array" ref="F37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71" s="1349"/>
      <c r="H371" s="722"/>
      <c r="J371" s="1337" t="str" cm="1">
        <f t="array" ref="J37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71" s="1350"/>
      <c r="L371" s="150"/>
      <c r="M371" s="1339" t="str" cm="1">
        <f t="array" ref="M371">_xlfn.IFS(Rent_Roll[[#This Row],[Lease
Exp]]="","",Rent_Roll[[#This Row],[MTM
Lease]]="MTM Lease","--",Rent_Roll[[#This Row],[Lease
Exp]]&gt;0,(DATEDIF(Rent_Roll[[#This Row],[Lease
Start]],Rent_Roll[[#This Row],[Lease
Exp]],"m")+1))</f>
        <v/>
      </c>
      <c r="N371" s="1337" t="str">
        <f>IF(OR(Rent_Roll[[#This Row],[MTM Fee]]="",Rent_Roll[[#This Row],[MTM Fee]]=0),"","MTM Lease")</f>
        <v/>
      </c>
      <c r="O371" s="1340" t="str">
        <f>IFERROR(IF(Rent_Roll[[#This Row],[Lease
Exp]]="","",DATEDIF($F$3,Rent_Roll[[#This Row],[Lease
Exp]],"m")+1),0)</f>
        <v/>
      </c>
      <c r="P371" s="155"/>
      <c r="Q371" s="1342" t="str" cm="1">
        <f t="array" ref="Q37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71" s="1351"/>
      <c r="S371" s="550"/>
      <c r="T371" s="550"/>
      <c r="U371" s="550">
        <f>Rent_Roll[[#This Row],[Lease
Rent]]+Rent_Roll[[#This Row],[Corp
Rent]]</f>
        <v>0</v>
      </c>
      <c r="V371" s="1344">
        <f>IF(Rent_Roll[[#This Row],[Total In-Place
Rent]]=0,0,Rent_Roll[[#This Row],[Total In-Place
Rent]]-Rent_Roll[[#This Row],[Market
Rent]])</f>
        <v>0</v>
      </c>
      <c r="W371" s="1351"/>
      <c r="X371" s="723"/>
      <c r="Y371" s="723"/>
      <c r="Z371" s="723"/>
      <c r="AA371" s="1345"/>
      <c r="AB371" s="723"/>
      <c r="AC371" s="723"/>
      <c r="AD371" s="723"/>
      <c r="AE371" s="723"/>
      <c r="AF371" s="723"/>
      <c r="AG371" s="147"/>
      <c r="AH371" s="147"/>
      <c r="AI371" s="1348" t="str">
        <f>IF(Rent_Roll[[#This Row],[Future
Lease Start]]="","",DATEDIF(Rent_Roll[[#This Row],[Future
Lease Start]],Rent_Roll[[#This Row],[Future
Lease Exp]],"m")+1)</f>
        <v/>
      </c>
      <c r="AJ371" s="1347"/>
    </row>
    <row r="372" spans="2:36" hidden="1" outlineLevel="1" x14ac:dyDescent="0.2">
      <c r="B372" s="638"/>
      <c r="C372" s="638"/>
      <c r="D372" s="638"/>
      <c r="E372" s="162" t="str">
        <f>IF(Rent_Roll[[#This Row],[Floor-
plan]]="studio",0,LEFT(Rent_Roll[[#This Row],[Floor-
plan]],1))</f>
        <v/>
      </c>
      <c r="F372" s="162" t="str" cm="1">
        <f t="array" ref="F37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72" s="1349"/>
      <c r="H372" s="722"/>
      <c r="J372" s="1337" t="str" cm="1">
        <f t="array" ref="J37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72" s="1350"/>
      <c r="L372" s="150"/>
      <c r="M372" s="1339" t="str" cm="1">
        <f t="array" ref="M372">_xlfn.IFS(Rent_Roll[[#This Row],[Lease
Exp]]="","",Rent_Roll[[#This Row],[MTM
Lease]]="MTM Lease","--",Rent_Roll[[#This Row],[Lease
Exp]]&gt;0,(DATEDIF(Rent_Roll[[#This Row],[Lease
Start]],Rent_Roll[[#This Row],[Lease
Exp]],"m")+1))</f>
        <v/>
      </c>
      <c r="N372" s="1337" t="str">
        <f>IF(OR(Rent_Roll[[#This Row],[MTM Fee]]="",Rent_Roll[[#This Row],[MTM Fee]]=0),"","MTM Lease")</f>
        <v/>
      </c>
      <c r="O372" s="1340" t="str">
        <f>IFERROR(IF(Rent_Roll[[#This Row],[Lease
Exp]]="","",DATEDIF($F$3,Rent_Roll[[#This Row],[Lease
Exp]],"m")+1),0)</f>
        <v/>
      </c>
      <c r="P372" s="155"/>
      <c r="Q372" s="1342" t="str" cm="1">
        <f t="array" ref="Q37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72" s="1351"/>
      <c r="S372" s="550"/>
      <c r="T372" s="550"/>
      <c r="U372" s="550">
        <f>Rent_Roll[[#This Row],[Lease
Rent]]+Rent_Roll[[#This Row],[Corp
Rent]]</f>
        <v>0</v>
      </c>
      <c r="V372" s="1344">
        <f>IF(Rent_Roll[[#This Row],[Total In-Place
Rent]]=0,0,Rent_Roll[[#This Row],[Total In-Place
Rent]]-Rent_Roll[[#This Row],[Market
Rent]])</f>
        <v>0</v>
      </c>
      <c r="W372" s="1351"/>
      <c r="X372" s="723"/>
      <c r="Y372" s="723"/>
      <c r="Z372" s="723"/>
      <c r="AA372" s="1345"/>
      <c r="AB372" s="723"/>
      <c r="AC372" s="723"/>
      <c r="AD372" s="723"/>
      <c r="AE372" s="723"/>
      <c r="AF372" s="723"/>
      <c r="AG372" s="147"/>
      <c r="AH372" s="147"/>
      <c r="AI372" s="1348" t="str">
        <f>IF(Rent_Roll[[#This Row],[Future
Lease Start]]="","",DATEDIF(Rent_Roll[[#This Row],[Future
Lease Start]],Rent_Roll[[#This Row],[Future
Lease Exp]],"m")+1)</f>
        <v/>
      </c>
      <c r="AJ372" s="1347"/>
    </row>
    <row r="373" spans="2:36" hidden="1" outlineLevel="1" x14ac:dyDescent="0.2">
      <c r="B373" s="638"/>
      <c r="C373" s="638"/>
      <c r="D373" s="638"/>
      <c r="E373" s="162" t="str">
        <f>IF(Rent_Roll[[#This Row],[Floor-
plan]]="studio",0,LEFT(Rent_Roll[[#This Row],[Floor-
plan]],1))</f>
        <v/>
      </c>
      <c r="F373" s="162" t="str" cm="1">
        <f t="array" ref="F37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73" s="1349"/>
      <c r="H373" s="722"/>
      <c r="J373" s="1337" t="str" cm="1">
        <f t="array" ref="J37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73" s="1350"/>
      <c r="L373" s="150"/>
      <c r="M373" s="1339" t="str" cm="1">
        <f t="array" ref="M373">_xlfn.IFS(Rent_Roll[[#This Row],[Lease
Exp]]="","",Rent_Roll[[#This Row],[MTM
Lease]]="MTM Lease","--",Rent_Roll[[#This Row],[Lease
Exp]]&gt;0,(DATEDIF(Rent_Roll[[#This Row],[Lease
Start]],Rent_Roll[[#This Row],[Lease
Exp]],"m")+1))</f>
        <v/>
      </c>
      <c r="N373" s="1337" t="str">
        <f>IF(OR(Rent_Roll[[#This Row],[MTM Fee]]="",Rent_Roll[[#This Row],[MTM Fee]]=0),"","MTM Lease")</f>
        <v/>
      </c>
      <c r="O373" s="1340" t="str">
        <f>IFERROR(IF(Rent_Roll[[#This Row],[Lease
Exp]]="","",DATEDIF($F$3,Rent_Roll[[#This Row],[Lease
Exp]],"m")+1),0)</f>
        <v/>
      </c>
      <c r="P373" s="155"/>
      <c r="Q373" s="1342" t="str" cm="1">
        <f t="array" ref="Q37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73" s="1351"/>
      <c r="S373" s="550"/>
      <c r="T373" s="550"/>
      <c r="U373" s="550">
        <f>Rent_Roll[[#This Row],[Lease
Rent]]+Rent_Roll[[#This Row],[Corp
Rent]]</f>
        <v>0</v>
      </c>
      <c r="V373" s="1344">
        <f>IF(Rent_Roll[[#This Row],[Total In-Place
Rent]]=0,0,Rent_Roll[[#This Row],[Total In-Place
Rent]]-Rent_Roll[[#This Row],[Market
Rent]])</f>
        <v>0</v>
      </c>
      <c r="W373" s="1351"/>
      <c r="X373" s="723"/>
      <c r="Y373" s="723"/>
      <c r="Z373" s="723"/>
      <c r="AA373" s="1345"/>
      <c r="AB373" s="723"/>
      <c r="AC373" s="723"/>
      <c r="AD373" s="723"/>
      <c r="AE373" s="723"/>
      <c r="AF373" s="723"/>
      <c r="AG373" s="147"/>
      <c r="AH373" s="147"/>
      <c r="AI373" s="1348" t="str">
        <f>IF(Rent_Roll[[#This Row],[Future
Lease Start]]="","",DATEDIF(Rent_Roll[[#This Row],[Future
Lease Start]],Rent_Roll[[#This Row],[Future
Lease Exp]],"m")+1)</f>
        <v/>
      </c>
      <c r="AJ373" s="1347"/>
    </row>
    <row r="374" spans="2:36" hidden="1" outlineLevel="1" x14ac:dyDescent="0.2">
      <c r="B374" s="638"/>
      <c r="C374" s="638"/>
      <c r="D374" s="638"/>
      <c r="E374" s="162" t="str">
        <f>IF(Rent_Roll[[#This Row],[Floor-
plan]]="studio",0,LEFT(Rent_Roll[[#This Row],[Floor-
plan]],1))</f>
        <v/>
      </c>
      <c r="F374" s="162" t="str" cm="1">
        <f t="array" ref="F37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74" s="1349"/>
      <c r="H374" s="722"/>
      <c r="J374" s="1337" t="str" cm="1">
        <f t="array" ref="J37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74" s="1350"/>
      <c r="L374" s="150"/>
      <c r="M374" s="1339" t="str" cm="1">
        <f t="array" ref="M374">_xlfn.IFS(Rent_Roll[[#This Row],[Lease
Exp]]="","",Rent_Roll[[#This Row],[MTM
Lease]]="MTM Lease","--",Rent_Roll[[#This Row],[Lease
Exp]]&gt;0,(DATEDIF(Rent_Roll[[#This Row],[Lease
Start]],Rent_Roll[[#This Row],[Lease
Exp]],"m")+1))</f>
        <v/>
      </c>
      <c r="N374" s="1337" t="str">
        <f>IF(OR(Rent_Roll[[#This Row],[MTM Fee]]="",Rent_Roll[[#This Row],[MTM Fee]]=0),"","MTM Lease")</f>
        <v/>
      </c>
      <c r="O374" s="1340" t="str">
        <f>IFERROR(IF(Rent_Roll[[#This Row],[Lease
Exp]]="","",DATEDIF($F$3,Rent_Roll[[#This Row],[Lease
Exp]],"m")+1),0)</f>
        <v/>
      </c>
      <c r="P374" s="155"/>
      <c r="Q374" s="1342" t="str" cm="1">
        <f t="array" ref="Q37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74" s="1351"/>
      <c r="S374" s="550"/>
      <c r="T374" s="550"/>
      <c r="U374" s="550">
        <f>Rent_Roll[[#This Row],[Lease
Rent]]+Rent_Roll[[#This Row],[Corp
Rent]]</f>
        <v>0</v>
      </c>
      <c r="V374" s="1344">
        <f>IF(Rent_Roll[[#This Row],[Total In-Place
Rent]]=0,0,Rent_Roll[[#This Row],[Total In-Place
Rent]]-Rent_Roll[[#This Row],[Market
Rent]])</f>
        <v>0</v>
      </c>
      <c r="W374" s="1351"/>
      <c r="X374" s="723"/>
      <c r="Y374" s="723"/>
      <c r="Z374" s="723"/>
      <c r="AA374" s="1345"/>
      <c r="AB374" s="723"/>
      <c r="AC374" s="723"/>
      <c r="AD374" s="723"/>
      <c r="AE374" s="723"/>
      <c r="AF374" s="723"/>
      <c r="AG374" s="147"/>
      <c r="AH374" s="147"/>
      <c r="AI374" s="1348" t="str">
        <f>IF(Rent_Roll[[#This Row],[Future
Lease Start]]="","",DATEDIF(Rent_Roll[[#This Row],[Future
Lease Start]],Rent_Roll[[#This Row],[Future
Lease Exp]],"m")+1)</f>
        <v/>
      </c>
      <c r="AJ374" s="1347"/>
    </row>
    <row r="375" spans="2:36" hidden="1" outlineLevel="1" x14ac:dyDescent="0.2">
      <c r="B375" s="638"/>
      <c r="C375" s="638"/>
      <c r="D375" s="638"/>
      <c r="E375" s="162" t="str">
        <f>IF(Rent_Roll[[#This Row],[Floor-
plan]]="studio",0,LEFT(Rent_Roll[[#This Row],[Floor-
plan]],1))</f>
        <v/>
      </c>
      <c r="F375" s="162" t="str" cm="1">
        <f t="array" ref="F37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75" s="1349"/>
      <c r="H375" s="722"/>
      <c r="J375" s="1337" t="str" cm="1">
        <f t="array" ref="J37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75" s="1350"/>
      <c r="L375" s="150"/>
      <c r="M375" s="1339" t="str" cm="1">
        <f t="array" ref="M375">_xlfn.IFS(Rent_Roll[[#This Row],[Lease
Exp]]="","",Rent_Roll[[#This Row],[MTM
Lease]]="MTM Lease","--",Rent_Roll[[#This Row],[Lease
Exp]]&gt;0,(DATEDIF(Rent_Roll[[#This Row],[Lease
Start]],Rent_Roll[[#This Row],[Lease
Exp]],"m")+1))</f>
        <v/>
      </c>
      <c r="N375" s="1337" t="str">
        <f>IF(OR(Rent_Roll[[#This Row],[MTM Fee]]="",Rent_Roll[[#This Row],[MTM Fee]]=0),"","MTM Lease")</f>
        <v/>
      </c>
      <c r="O375" s="1340" t="str">
        <f>IFERROR(IF(Rent_Roll[[#This Row],[Lease
Exp]]="","",DATEDIF($F$3,Rent_Roll[[#This Row],[Lease
Exp]],"m")+1),0)</f>
        <v/>
      </c>
      <c r="P375" s="155"/>
      <c r="Q375" s="1342" t="str" cm="1">
        <f t="array" ref="Q37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75" s="1351"/>
      <c r="S375" s="550"/>
      <c r="T375" s="550"/>
      <c r="U375" s="550">
        <f>Rent_Roll[[#This Row],[Lease
Rent]]+Rent_Roll[[#This Row],[Corp
Rent]]</f>
        <v>0</v>
      </c>
      <c r="V375" s="1344">
        <f>IF(Rent_Roll[[#This Row],[Total In-Place
Rent]]=0,0,Rent_Roll[[#This Row],[Total In-Place
Rent]]-Rent_Roll[[#This Row],[Market
Rent]])</f>
        <v>0</v>
      </c>
      <c r="W375" s="1351"/>
      <c r="X375" s="723"/>
      <c r="Y375" s="723"/>
      <c r="Z375" s="723"/>
      <c r="AA375" s="1345"/>
      <c r="AB375" s="723"/>
      <c r="AC375" s="723"/>
      <c r="AD375" s="723"/>
      <c r="AE375" s="723"/>
      <c r="AF375" s="723"/>
      <c r="AG375" s="147"/>
      <c r="AH375" s="147"/>
      <c r="AI375" s="1348" t="str">
        <f>IF(Rent_Roll[[#This Row],[Future
Lease Start]]="","",DATEDIF(Rent_Roll[[#This Row],[Future
Lease Start]],Rent_Roll[[#This Row],[Future
Lease Exp]],"m")+1)</f>
        <v/>
      </c>
      <c r="AJ375" s="1347"/>
    </row>
    <row r="376" spans="2:36" hidden="1" outlineLevel="1" x14ac:dyDescent="0.2">
      <c r="B376" s="638"/>
      <c r="C376" s="638"/>
      <c r="D376" s="638"/>
      <c r="E376" s="162" t="str">
        <f>IF(Rent_Roll[[#This Row],[Floor-
plan]]="studio",0,LEFT(Rent_Roll[[#This Row],[Floor-
plan]],1))</f>
        <v/>
      </c>
      <c r="F376" s="162" t="str" cm="1">
        <f t="array" ref="F37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76" s="1349"/>
      <c r="H376" s="722"/>
      <c r="J376" s="1337" t="str" cm="1">
        <f t="array" ref="J37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76" s="1350"/>
      <c r="L376" s="150"/>
      <c r="M376" s="1339" t="str" cm="1">
        <f t="array" ref="M376">_xlfn.IFS(Rent_Roll[[#This Row],[Lease
Exp]]="","",Rent_Roll[[#This Row],[MTM
Lease]]="MTM Lease","--",Rent_Roll[[#This Row],[Lease
Exp]]&gt;0,(DATEDIF(Rent_Roll[[#This Row],[Lease
Start]],Rent_Roll[[#This Row],[Lease
Exp]],"m")+1))</f>
        <v/>
      </c>
      <c r="N376" s="1337" t="str">
        <f>IF(OR(Rent_Roll[[#This Row],[MTM Fee]]="",Rent_Roll[[#This Row],[MTM Fee]]=0),"","MTM Lease")</f>
        <v/>
      </c>
      <c r="O376" s="1340" t="str">
        <f>IFERROR(IF(Rent_Roll[[#This Row],[Lease
Exp]]="","",DATEDIF($F$3,Rent_Roll[[#This Row],[Lease
Exp]],"m")+1),0)</f>
        <v/>
      </c>
      <c r="P376" s="155"/>
      <c r="Q376" s="1342" t="str" cm="1">
        <f t="array" ref="Q37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76" s="1351"/>
      <c r="S376" s="550"/>
      <c r="T376" s="550"/>
      <c r="U376" s="550">
        <f>Rent_Roll[[#This Row],[Lease
Rent]]+Rent_Roll[[#This Row],[Corp
Rent]]</f>
        <v>0</v>
      </c>
      <c r="V376" s="1344">
        <f>IF(Rent_Roll[[#This Row],[Total In-Place
Rent]]=0,0,Rent_Roll[[#This Row],[Total In-Place
Rent]]-Rent_Roll[[#This Row],[Market
Rent]])</f>
        <v>0</v>
      </c>
      <c r="W376" s="1351"/>
      <c r="X376" s="723"/>
      <c r="Y376" s="723"/>
      <c r="Z376" s="723"/>
      <c r="AA376" s="1345"/>
      <c r="AB376" s="723"/>
      <c r="AC376" s="723"/>
      <c r="AD376" s="723"/>
      <c r="AE376" s="723"/>
      <c r="AF376" s="723"/>
      <c r="AG376" s="147"/>
      <c r="AH376" s="147"/>
      <c r="AI376" s="1348" t="str">
        <f>IF(Rent_Roll[[#This Row],[Future
Lease Start]]="","",DATEDIF(Rent_Roll[[#This Row],[Future
Lease Start]],Rent_Roll[[#This Row],[Future
Lease Exp]],"m")+1)</f>
        <v/>
      </c>
      <c r="AJ376" s="1347"/>
    </row>
    <row r="377" spans="2:36" hidden="1" outlineLevel="1" x14ac:dyDescent="0.2">
      <c r="B377" s="638"/>
      <c r="C377" s="638"/>
      <c r="D377" s="638"/>
      <c r="E377" s="162" t="str">
        <f>IF(Rent_Roll[[#This Row],[Floor-
plan]]="studio",0,LEFT(Rent_Roll[[#This Row],[Floor-
plan]],1))</f>
        <v/>
      </c>
      <c r="F377" s="162" t="str" cm="1">
        <f t="array" ref="F37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77" s="1349"/>
      <c r="H377" s="722"/>
      <c r="J377" s="1337" t="str" cm="1">
        <f t="array" ref="J37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77" s="1350"/>
      <c r="L377" s="150"/>
      <c r="M377" s="1339" t="str" cm="1">
        <f t="array" ref="M377">_xlfn.IFS(Rent_Roll[[#This Row],[Lease
Exp]]="","",Rent_Roll[[#This Row],[MTM
Lease]]="MTM Lease","--",Rent_Roll[[#This Row],[Lease
Exp]]&gt;0,(DATEDIF(Rent_Roll[[#This Row],[Lease
Start]],Rent_Roll[[#This Row],[Lease
Exp]],"m")+1))</f>
        <v/>
      </c>
      <c r="N377" s="1337" t="str">
        <f>IF(OR(Rent_Roll[[#This Row],[MTM Fee]]="",Rent_Roll[[#This Row],[MTM Fee]]=0),"","MTM Lease")</f>
        <v/>
      </c>
      <c r="O377" s="1340" t="str">
        <f>IFERROR(IF(Rent_Roll[[#This Row],[Lease
Exp]]="","",DATEDIF($F$3,Rent_Roll[[#This Row],[Lease
Exp]],"m")+1),0)</f>
        <v/>
      </c>
      <c r="P377" s="155"/>
      <c r="Q377" s="1342" t="str" cm="1">
        <f t="array" ref="Q37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77" s="1351"/>
      <c r="S377" s="550"/>
      <c r="T377" s="550"/>
      <c r="U377" s="550">
        <f>Rent_Roll[[#This Row],[Lease
Rent]]+Rent_Roll[[#This Row],[Corp
Rent]]</f>
        <v>0</v>
      </c>
      <c r="V377" s="1344">
        <f>IF(Rent_Roll[[#This Row],[Total In-Place
Rent]]=0,0,Rent_Roll[[#This Row],[Total In-Place
Rent]]-Rent_Roll[[#This Row],[Market
Rent]])</f>
        <v>0</v>
      </c>
      <c r="W377" s="1351"/>
      <c r="X377" s="723"/>
      <c r="Y377" s="723"/>
      <c r="Z377" s="723"/>
      <c r="AA377" s="1345"/>
      <c r="AB377" s="723"/>
      <c r="AC377" s="723"/>
      <c r="AD377" s="723"/>
      <c r="AE377" s="723"/>
      <c r="AF377" s="723"/>
      <c r="AG377" s="147"/>
      <c r="AH377" s="147"/>
      <c r="AI377" s="1348" t="str">
        <f>IF(Rent_Roll[[#This Row],[Future
Lease Start]]="","",DATEDIF(Rent_Roll[[#This Row],[Future
Lease Start]],Rent_Roll[[#This Row],[Future
Lease Exp]],"m")+1)</f>
        <v/>
      </c>
      <c r="AJ377" s="1347"/>
    </row>
    <row r="378" spans="2:36" hidden="1" outlineLevel="1" x14ac:dyDescent="0.2">
      <c r="B378" s="638"/>
      <c r="C378" s="638"/>
      <c r="D378" s="638"/>
      <c r="E378" s="162" t="str">
        <f>IF(Rent_Roll[[#This Row],[Floor-
plan]]="studio",0,LEFT(Rent_Roll[[#This Row],[Floor-
plan]],1))</f>
        <v/>
      </c>
      <c r="F378" s="162" t="str" cm="1">
        <f t="array" ref="F37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78" s="1349"/>
      <c r="H378" s="722"/>
      <c r="J378" s="1337" t="str" cm="1">
        <f t="array" ref="J37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78" s="1350"/>
      <c r="L378" s="150"/>
      <c r="M378" s="1339" t="str" cm="1">
        <f t="array" ref="M378">_xlfn.IFS(Rent_Roll[[#This Row],[Lease
Exp]]="","",Rent_Roll[[#This Row],[MTM
Lease]]="MTM Lease","--",Rent_Roll[[#This Row],[Lease
Exp]]&gt;0,(DATEDIF(Rent_Roll[[#This Row],[Lease
Start]],Rent_Roll[[#This Row],[Lease
Exp]],"m")+1))</f>
        <v/>
      </c>
      <c r="N378" s="1337" t="str">
        <f>IF(OR(Rent_Roll[[#This Row],[MTM Fee]]="",Rent_Roll[[#This Row],[MTM Fee]]=0),"","MTM Lease")</f>
        <v/>
      </c>
      <c r="O378" s="1340" t="str">
        <f>IFERROR(IF(Rent_Roll[[#This Row],[Lease
Exp]]="","",DATEDIF($F$3,Rent_Roll[[#This Row],[Lease
Exp]],"m")+1),0)</f>
        <v/>
      </c>
      <c r="P378" s="155"/>
      <c r="Q378" s="1342" t="str" cm="1">
        <f t="array" ref="Q37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78" s="1351"/>
      <c r="S378" s="550"/>
      <c r="T378" s="550"/>
      <c r="U378" s="550">
        <f>Rent_Roll[[#This Row],[Lease
Rent]]+Rent_Roll[[#This Row],[Corp
Rent]]</f>
        <v>0</v>
      </c>
      <c r="V378" s="1344">
        <f>IF(Rent_Roll[[#This Row],[Total In-Place
Rent]]=0,0,Rent_Roll[[#This Row],[Total In-Place
Rent]]-Rent_Roll[[#This Row],[Market
Rent]])</f>
        <v>0</v>
      </c>
      <c r="W378" s="1351"/>
      <c r="X378" s="723"/>
      <c r="Y378" s="723"/>
      <c r="Z378" s="723"/>
      <c r="AA378" s="1345"/>
      <c r="AB378" s="723"/>
      <c r="AC378" s="723"/>
      <c r="AD378" s="723"/>
      <c r="AE378" s="723"/>
      <c r="AF378" s="723"/>
      <c r="AG378" s="147"/>
      <c r="AH378" s="147"/>
      <c r="AI378" s="1348" t="str">
        <f>IF(Rent_Roll[[#This Row],[Future
Lease Start]]="","",DATEDIF(Rent_Roll[[#This Row],[Future
Lease Start]],Rent_Roll[[#This Row],[Future
Lease Exp]],"m")+1)</f>
        <v/>
      </c>
      <c r="AJ378" s="1347"/>
    </row>
    <row r="379" spans="2:36" hidden="1" outlineLevel="1" x14ac:dyDescent="0.2">
      <c r="B379" s="638"/>
      <c r="C379" s="638"/>
      <c r="D379" s="638"/>
      <c r="E379" s="162" t="str">
        <f>IF(Rent_Roll[[#This Row],[Floor-
plan]]="studio",0,LEFT(Rent_Roll[[#This Row],[Floor-
plan]],1))</f>
        <v/>
      </c>
      <c r="F379" s="162" t="str" cm="1">
        <f t="array" ref="F37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79" s="1349"/>
      <c r="H379" s="722"/>
      <c r="J379" s="1337" t="str" cm="1">
        <f t="array" ref="J37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79" s="1350"/>
      <c r="L379" s="150"/>
      <c r="M379" s="1339" t="str" cm="1">
        <f t="array" ref="M379">_xlfn.IFS(Rent_Roll[[#This Row],[Lease
Exp]]="","",Rent_Roll[[#This Row],[MTM
Lease]]="MTM Lease","--",Rent_Roll[[#This Row],[Lease
Exp]]&gt;0,(DATEDIF(Rent_Roll[[#This Row],[Lease
Start]],Rent_Roll[[#This Row],[Lease
Exp]],"m")+1))</f>
        <v/>
      </c>
      <c r="N379" s="1337" t="str">
        <f>IF(OR(Rent_Roll[[#This Row],[MTM Fee]]="",Rent_Roll[[#This Row],[MTM Fee]]=0),"","MTM Lease")</f>
        <v/>
      </c>
      <c r="O379" s="1340" t="str">
        <f>IFERROR(IF(Rent_Roll[[#This Row],[Lease
Exp]]="","",DATEDIF($F$3,Rent_Roll[[#This Row],[Lease
Exp]],"m")+1),0)</f>
        <v/>
      </c>
      <c r="P379" s="155"/>
      <c r="Q379" s="1342" t="str" cm="1">
        <f t="array" ref="Q37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79" s="1351"/>
      <c r="S379" s="550"/>
      <c r="T379" s="550"/>
      <c r="U379" s="550">
        <f>Rent_Roll[[#This Row],[Lease
Rent]]+Rent_Roll[[#This Row],[Corp
Rent]]</f>
        <v>0</v>
      </c>
      <c r="V379" s="1344">
        <f>IF(Rent_Roll[[#This Row],[Total In-Place
Rent]]=0,0,Rent_Roll[[#This Row],[Total In-Place
Rent]]-Rent_Roll[[#This Row],[Market
Rent]])</f>
        <v>0</v>
      </c>
      <c r="W379" s="1351"/>
      <c r="X379" s="723"/>
      <c r="Y379" s="723"/>
      <c r="Z379" s="723"/>
      <c r="AA379" s="1345"/>
      <c r="AB379" s="723"/>
      <c r="AC379" s="723"/>
      <c r="AD379" s="723"/>
      <c r="AE379" s="723"/>
      <c r="AF379" s="723"/>
      <c r="AG379" s="147"/>
      <c r="AH379" s="147"/>
      <c r="AI379" s="1348" t="str">
        <f>IF(Rent_Roll[[#This Row],[Future
Lease Start]]="","",DATEDIF(Rent_Roll[[#This Row],[Future
Lease Start]],Rent_Roll[[#This Row],[Future
Lease Exp]],"m")+1)</f>
        <v/>
      </c>
      <c r="AJ379" s="1347"/>
    </row>
    <row r="380" spans="2:36" hidden="1" outlineLevel="1" x14ac:dyDescent="0.2">
      <c r="B380" s="638"/>
      <c r="C380" s="638"/>
      <c r="D380" s="638"/>
      <c r="E380" s="162" t="str">
        <f>IF(Rent_Roll[[#This Row],[Floor-
plan]]="studio",0,LEFT(Rent_Roll[[#This Row],[Floor-
plan]],1))</f>
        <v/>
      </c>
      <c r="F380" s="162" t="str" cm="1">
        <f t="array" ref="F38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80" s="1349"/>
      <c r="H380" s="722"/>
      <c r="J380" s="1337" t="str" cm="1">
        <f t="array" ref="J38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80" s="1350"/>
      <c r="L380" s="150"/>
      <c r="M380" s="1339" t="str" cm="1">
        <f t="array" ref="M380">_xlfn.IFS(Rent_Roll[[#This Row],[Lease
Exp]]="","",Rent_Roll[[#This Row],[MTM
Lease]]="MTM Lease","--",Rent_Roll[[#This Row],[Lease
Exp]]&gt;0,(DATEDIF(Rent_Roll[[#This Row],[Lease
Start]],Rent_Roll[[#This Row],[Lease
Exp]],"m")+1))</f>
        <v/>
      </c>
      <c r="N380" s="1337" t="str">
        <f>IF(OR(Rent_Roll[[#This Row],[MTM Fee]]="",Rent_Roll[[#This Row],[MTM Fee]]=0),"","MTM Lease")</f>
        <v/>
      </c>
      <c r="O380" s="1340" t="str">
        <f>IFERROR(IF(Rent_Roll[[#This Row],[Lease
Exp]]="","",DATEDIF($F$3,Rent_Roll[[#This Row],[Lease
Exp]],"m")+1),0)</f>
        <v/>
      </c>
      <c r="P380" s="155"/>
      <c r="Q380" s="1342" t="str" cm="1">
        <f t="array" ref="Q38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80" s="1351"/>
      <c r="S380" s="550"/>
      <c r="T380" s="550"/>
      <c r="U380" s="550">
        <f>Rent_Roll[[#This Row],[Lease
Rent]]+Rent_Roll[[#This Row],[Corp
Rent]]</f>
        <v>0</v>
      </c>
      <c r="V380" s="1344">
        <f>IF(Rent_Roll[[#This Row],[Total In-Place
Rent]]=0,0,Rent_Roll[[#This Row],[Total In-Place
Rent]]-Rent_Roll[[#This Row],[Market
Rent]])</f>
        <v>0</v>
      </c>
      <c r="W380" s="1351"/>
      <c r="X380" s="723"/>
      <c r="Y380" s="723"/>
      <c r="Z380" s="723"/>
      <c r="AA380" s="1345"/>
      <c r="AB380" s="723"/>
      <c r="AC380" s="723"/>
      <c r="AD380" s="723"/>
      <c r="AE380" s="723"/>
      <c r="AF380" s="723"/>
      <c r="AG380" s="147"/>
      <c r="AH380" s="147"/>
      <c r="AI380" s="1348" t="str">
        <f>IF(Rent_Roll[[#This Row],[Future
Lease Start]]="","",DATEDIF(Rent_Roll[[#This Row],[Future
Lease Start]],Rent_Roll[[#This Row],[Future
Lease Exp]],"m")+1)</f>
        <v/>
      </c>
      <c r="AJ380" s="1347"/>
    </row>
    <row r="381" spans="2:36" hidden="1" outlineLevel="1" x14ac:dyDescent="0.2">
      <c r="B381" s="638"/>
      <c r="C381" s="638"/>
      <c r="D381" s="638"/>
      <c r="E381" s="162" t="str">
        <f>IF(Rent_Roll[[#This Row],[Floor-
plan]]="studio",0,LEFT(Rent_Roll[[#This Row],[Floor-
plan]],1))</f>
        <v/>
      </c>
      <c r="F381" s="162" t="str" cm="1">
        <f t="array" ref="F38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81" s="1349"/>
      <c r="H381" s="722"/>
      <c r="J381" s="1337" t="str" cm="1">
        <f t="array" ref="J38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81" s="1350"/>
      <c r="L381" s="150"/>
      <c r="M381" s="1339" t="str" cm="1">
        <f t="array" ref="M381">_xlfn.IFS(Rent_Roll[[#This Row],[Lease
Exp]]="","",Rent_Roll[[#This Row],[MTM
Lease]]="MTM Lease","--",Rent_Roll[[#This Row],[Lease
Exp]]&gt;0,(DATEDIF(Rent_Roll[[#This Row],[Lease
Start]],Rent_Roll[[#This Row],[Lease
Exp]],"m")+1))</f>
        <v/>
      </c>
      <c r="N381" s="1337" t="str">
        <f>IF(OR(Rent_Roll[[#This Row],[MTM Fee]]="",Rent_Roll[[#This Row],[MTM Fee]]=0),"","MTM Lease")</f>
        <v/>
      </c>
      <c r="O381" s="1340" t="str">
        <f>IFERROR(IF(Rent_Roll[[#This Row],[Lease
Exp]]="","",DATEDIF($F$3,Rent_Roll[[#This Row],[Lease
Exp]],"m")+1),0)</f>
        <v/>
      </c>
      <c r="P381" s="155"/>
      <c r="Q381" s="1342" t="str" cm="1">
        <f t="array" ref="Q38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81" s="1351"/>
      <c r="S381" s="550"/>
      <c r="T381" s="550"/>
      <c r="U381" s="550">
        <f>Rent_Roll[[#This Row],[Lease
Rent]]+Rent_Roll[[#This Row],[Corp
Rent]]</f>
        <v>0</v>
      </c>
      <c r="V381" s="1344">
        <f>IF(Rent_Roll[[#This Row],[Total In-Place
Rent]]=0,0,Rent_Roll[[#This Row],[Total In-Place
Rent]]-Rent_Roll[[#This Row],[Market
Rent]])</f>
        <v>0</v>
      </c>
      <c r="W381" s="1351"/>
      <c r="X381" s="723"/>
      <c r="Y381" s="723"/>
      <c r="Z381" s="723"/>
      <c r="AA381" s="1345"/>
      <c r="AB381" s="723"/>
      <c r="AC381" s="723"/>
      <c r="AD381" s="723"/>
      <c r="AE381" s="723"/>
      <c r="AF381" s="723"/>
      <c r="AG381" s="147"/>
      <c r="AH381" s="147"/>
      <c r="AI381" s="1348" t="str">
        <f>IF(Rent_Roll[[#This Row],[Future
Lease Start]]="","",DATEDIF(Rent_Roll[[#This Row],[Future
Lease Start]],Rent_Roll[[#This Row],[Future
Lease Exp]],"m")+1)</f>
        <v/>
      </c>
      <c r="AJ381" s="1347"/>
    </row>
    <row r="382" spans="2:36" hidden="1" outlineLevel="1" x14ac:dyDescent="0.2">
      <c r="B382" s="638"/>
      <c r="C382" s="638"/>
      <c r="D382" s="638"/>
      <c r="E382" s="162" t="str">
        <f>IF(Rent_Roll[[#This Row],[Floor-
plan]]="studio",0,LEFT(Rent_Roll[[#This Row],[Floor-
plan]],1))</f>
        <v/>
      </c>
      <c r="F382" s="162" t="str" cm="1">
        <f t="array" ref="F38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82" s="1349"/>
      <c r="H382" s="722"/>
      <c r="J382" s="1337" t="str" cm="1">
        <f t="array" ref="J38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82" s="1350"/>
      <c r="L382" s="150"/>
      <c r="M382" s="1339" t="str" cm="1">
        <f t="array" ref="M382">_xlfn.IFS(Rent_Roll[[#This Row],[Lease
Exp]]="","",Rent_Roll[[#This Row],[MTM
Lease]]="MTM Lease","--",Rent_Roll[[#This Row],[Lease
Exp]]&gt;0,(DATEDIF(Rent_Roll[[#This Row],[Lease
Start]],Rent_Roll[[#This Row],[Lease
Exp]],"m")+1))</f>
        <v/>
      </c>
      <c r="N382" s="1337" t="str">
        <f>IF(OR(Rent_Roll[[#This Row],[MTM Fee]]="",Rent_Roll[[#This Row],[MTM Fee]]=0),"","MTM Lease")</f>
        <v/>
      </c>
      <c r="O382" s="1340" t="str">
        <f>IFERROR(IF(Rent_Roll[[#This Row],[Lease
Exp]]="","",DATEDIF($F$3,Rent_Roll[[#This Row],[Lease
Exp]],"m")+1),0)</f>
        <v/>
      </c>
      <c r="P382" s="155"/>
      <c r="Q382" s="1342" t="str" cm="1">
        <f t="array" ref="Q38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82" s="1351"/>
      <c r="S382" s="550"/>
      <c r="T382" s="550"/>
      <c r="U382" s="550">
        <f>Rent_Roll[[#This Row],[Lease
Rent]]+Rent_Roll[[#This Row],[Corp
Rent]]</f>
        <v>0</v>
      </c>
      <c r="V382" s="1344">
        <f>IF(Rent_Roll[[#This Row],[Total In-Place
Rent]]=0,0,Rent_Roll[[#This Row],[Total In-Place
Rent]]-Rent_Roll[[#This Row],[Market
Rent]])</f>
        <v>0</v>
      </c>
      <c r="W382" s="1351"/>
      <c r="X382" s="723"/>
      <c r="Y382" s="723"/>
      <c r="Z382" s="723"/>
      <c r="AA382" s="1345"/>
      <c r="AB382" s="723"/>
      <c r="AC382" s="723"/>
      <c r="AD382" s="723"/>
      <c r="AE382" s="723"/>
      <c r="AF382" s="723"/>
      <c r="AG382" s="147"/>
      <c r="AH382" s="147"/>
      <c r="AI382" s="1348" t="str">
        <f>IF(Rent_Roll[[#This Row],[Future
Lease Start]]="","",DATEDIF(Rent_Roll[[#This Row],[Future
Lease Start]],Rent_Roll[[#This Row],[Future
Lease Exp]],"m")+1)</f>
        <v/>
      </c>
      <c r="AJ382" s="1347"/>
    </row>
    <row r="383" spans="2:36" hidden="1" outlineLevel="1" x14ac:dyDescent="0.2">
      <c r="B383" s="638"/>
      <c r="C383" s="638"/>
      <c r="D383" s="638"/>
      <c r="E383" s="162" t="str">
        <f>IF(Rent_Roll[[#This Row],[Floor-
plan]]="studio",0,LEFT(Rent_Roll[[#This Row],[Floor-
plan]],1))</f>
        <v/>
      </c>
      <c r="F383" s="162" t="str" cm="1">
        <f t="array" ref="F38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83" s="1349"/>
      <c r="H383" s="722"/>
      <c r="J383" s="1337" t="str" cm="1">
        <f t="array" ref="J38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83" s="1350"/>
      <c r="L383" s="150"/>
      <c r="M383" s="1339" t="str" cm="1">
        <f t="array" ref="M383">_xlfn.IFS(Rent_Roll[[#This Row],[Lease
Exp]]="","",Rent_Roll[[#This Row],[MTM
Lease]]="MTM Lease","--",Rent_Roll[[#This Row],[Lease
Exp]]&gt;0,(DATEDIF(Rent_Roll[[#This Row],[Lease
Start]],Rent_Roll[[#This Row],[Lease
Exp]],"m")+1))</f>
        <v/>
      </c>
      <c r="N383" s="1337" t="str">
        <f>IF(OR(Rent_Roll[[#This Row],[MTM Fee]]="",Rent_Roll[[#This Row],[MTM Fee]]=0),"","MTM Lease")</f>
        <v/>
      </c>
      <c r="O383" s="1340" t="str">
        <f>IFERROR(IF(Rent_Roll[[#This Row],[Lease
Exp]]="","",DATEDIF($F$3,Rent_Roll[[#This Row],[Lease
Exp]],"m")+1),0)</f>
        <v/>
      </c>
      <c r="P383" s="155"/>
      <c r="Q383" s="1342" t="str" cm="1">
        <f t="array" ref="Q38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83" s="1351"/>
      <c r="S383" s="550"/>
      <c r="T383" s="550"/>
      <c r="U383" s="550">
        <f>Rent_Roll[[#This Row],[Lease
Rent]]+Rent_Roll[[#This Row],[Corp
Rent]]</f>
        <v>0</v>
      </c>
      <c r="V383" s="1344">
        <f>IF(Rent_Roll[[#This Row],[Total In-Place
Rent]]=0,0,Rent_Roll[[#This Row],[Total In-Place
Rent]]-Rent_Roll[[#This Row],[Market
Rent]])</f>
        <v>0</v>
      </c>
      <c r="W383" s="1351"/>
      <c r="X383" s="723"/>
      <c r="Y383" s="723"/>
      <c r="Z383" s="723"/>
      <c r="AA383" s="1345"/>
      <c r="AB383" s="723"/>
      <c r="AC383" s="723"/>
      <c r="AD383" s="723"/>
      <c r="AE383" s="723"/>
      <c r="AF383" s="723"/>
      <c r="AG383" s="147"/>
      <c r="AH383" s="147"/>
      <c r="AI383" s="1348" t="str">
        <f>IF(Rent_Roll[[#This Row],[Future
Lease Start]]="","",DATEDIF(Rent_Roll[[#This Row],[Future
Lease Start]],Rent_Roll[[#This Row],[Future
Lease Exp]],"m")+1)</f>
        <v/>
      </c>
      <c r="AJ383" s="1347"/>
    </row>
    <row r="384" spans="2:36" hidden="1" outlineLevel="1" x14ac:dyDescent="0.2">
      <c r="B384" s="638"/>
      <c r="C384" s="638"/>
      <c r="D384" s="638"/>
      <c r="E384" s="162" t="str">
        <f>IF(Rent_Roll[[#This Row],[Floor-
plan]]="studio",0,LEFT(Rent_Roll[[#This Row],[Floor-
plan]],1))</f>
        <v/>
      </c>
      <c r="F384" s="162" t="str" cm="1">
        <f t="array" ref="F38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84" s="1349"/>
      <c r="H384" s="722"/>
      <c r="J384" s="1337" t="str" cm="1">
        <f t="array" ref="J38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84" s="1350"/>
      <c r="L384" s="150"/>
      <c r="M384" s="1339" t="str" cm="1">
        <f t="array" ref="M384">_xlfn.IFS(Rent_Roll[[#This Row],[Lease
Exp]]="","",Rent_Roll[[#This Row],[MTM
Lease]]="MTM Lease","--",Rent_Roll[[#This Row],[Lease
Exp]]&gt;0,(DATEDIF(Rent_Roll[[#This Row],[Lease
Start]],Rent_Roll[[#This Row],[Lease
Exp]],"m")+1))</f>
        <v/>
      </c>
      <c r="N384" s="1337" t="str">
        <f>IF(OR(Rent_Roll[[#This Row],[MTM Fee]]="",Rent_Roll[[#This Row],[MTM Fee]]=0),"","MTM Lease")</f>
        <v/>
      </c>
      <c r="O384" s="1340" t="str">
        <f>IFERROR(IF(Rent_Roll[[#This Row],[Lease
Exp]]="","",DATEDIF($F$3,Rent_Roll[[#This Row],[Lease
Exp]],"m")+1),0)</f>
        <v/>
      </c>
      <c r="P384" s="155"/>
      <c r="Q384" s="1342" t="str" cm="1">
        <f t="array" ref="Q38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84" s="1351"/>
      <c r="S384" s="550"/>
      <c r="T384" s="550"/>
      <c r="U384" s="550">
        <f>Rent_Roll[[#This Row],[Lease
Rent]]+Rent_Roll[[#This Row],[Corp
Rent]]</f>
        <v>0</v>
      </c>
      <c r="V384" s="1344">
        <f>IF(Rent_Roll[[#This Row],[Total In-Place
Rent]]=0,0,Rent_Roll[[#This Row],[Total In-Place
Rent]]-Rent_Roll[[#This Row],[Market
Rent]])</f>
        <v>0</v>
      </c>
      <c r="W384" s="1351"/>
      <c r="X384" s="723"/>
      <c r="Y384" s="723"/>
      <c r="Z384" s="723"/>
      <c r="AA384" s="1345"/>
      <c r="AB384" s="723"/>
      <c r="AC384" s="723"/>
      <c r="AD384" s="723"/>
      <c r="AE384" s="723"/>
      <c r="AF384" s="723"/>
      <c r="AG384" s="147"/>
      <c r="AH384" s="147"/>
      <c r="AI384" s="1348" t="str">
        <f>IF(Rent_Roll[[#This Row],[Future
Lease Start]]="","",DATEDIF(Rent_Roll[[#This Row],[Future
Lease Start]],Rent_Roll[[#This Row],[Future
Lease Exp]],"m")+1)</f>
        <v/>
      </c>
      <c r="AJ384" s="1347"/>
    </row>
    <row r="385" spans="2:36" hidden="1" outlineLevel="1" x14ac:dyDescent="0.2">
      <c r="B385" s="638"/>
      <c r="C385" s="638"/>
      <c r="D385" s="638"/>
      <c r="E385" s="162" t="str">
        <f>IF(Rent_Roll[[#This Row],[Floor-
plan]]="studio",0,LEFT(Rent_Roll[[#This Row],[Floor-
plan]],1))</f>
        <v/>
      </c>
      <c r="F385" s="162" t="str" cm="1">
        <f t="array" ref="F38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85" s="1349"/>
      <c r="H385" s="722"/>
      <c r="J385" s="1337" t="str" cm="1">
        <f t="array" ref="J38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85" s="1350"/>
      <c r="L385" s="150"/>
      <c r="M385" s="1339" t="str" cm="1">
        <f t="array" ref="M385">_xlfn.IFS(Rent_Roll[[#This Row],[Lease
Exp]]="","",Rent_Roll[[#This Row],[MTM
Lease]]="MTM Lease","--",Rent_Roll[[#This Row],[Lease
Exp]]&gt;0,(DATEDIF(Rent_Roll[[#This Row],[Lease
Start]],Rent_Roll[[#This Row],[Lease
Exp]],"m")+1))</f>
        <v/>
      </c>
      <c r="N385" s="1337" t="str">
        <f>IF(OR(Rent_Roll[[#This Row],[MTM Fee]]="",Rent_Roll[[#This Row],[MTM Fee]]=0),"","MTM Lease")</f>
        <v/>
      </c>
      <c r="O385" s="1340" t="str">
        <f>IFERROR(IF(Rent_Roll[[#This Row],[Lease
Exp]]="","",DATEDIF($F$3,Rent_Roll[[#This Row],[Lease
Exp]],"m")+1),0)</f>
        <v/>
      </c>
      <c r="P385" s="155"/>
      <c r="Q385" s="1342" t="str" cm="1">
        <f t="array" ref="Q38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85" s="1351"/>
      <c r="S385" s="550"/>
      <c r="T385" s="550"/>
      <c r="U385" s="550">
        <f>Rent_Roll[[#This Row],[Lease
Rent]]+Rent_Roll[[#This Row],[Corp
Rent]]</f>
        <v>0</v>
      </c>
      <c r="V385" s="1344">
        <f>IF(Rent_Roll[[#This Row],[Total In-Place
Rent]]=0,0,Rent_Roll[[#This Row],[Total In-Place
Rent]]-Rent_Roll[[#This Row],[Market
Rent]])</f>
        <v>0</v>
      </c>
      <c r="W385" s="1351"/>
      <c r="X385" s="723"/>
      <c r="Y385" s="723"/>
      <c r="Z385" s="723"/>
      <c r="AA385" s="1345"/>
      <c r="AB385" s="723"/>
      <c r="AC385" s="723"/>
      <c r="AD385" s="723"/>
      <c r="AE385" s="723"/>
      <c r="AF385" s="723"/>
      <c r="AG385" s="147"/>
      <c r="AH385" s="147"/>
      <c r="AI385" s="1348" t="str">
        <f>IF(Rent_Roll[[#This Row],[Future
Lease Start]]="","",DATEDIF(Rent_Roll[[#This Row],[Future
Lease Start]],Rent_Roll[[#This Row],[Future
Lease Exp]],"m")+1)</f>
        <v/>
      </c>
      <c r="AJ385" s="1347"/>
    </row>
    <row r="386" spans="2:36" hidden="1" outlineLevel="1" x14ac:dyDescent="0.2">
      <c r="B386" s="638"/>
      <c r="C386" s="638"/>
      <c r="D386" s="638"/>
      <c r="E386" s="162" t="str">
        <f>IF(Rent_Roll[[#This Row],[Floor-
plan]]="studio",0,LEFT(Rent_Roll[[#This Row],[Floor-
plan]],1))</f>
        <v/>
      </c>
      <c r="F386" s="162" t="str" cm="1">
        <f t="array" ref="F38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86" s="1349"/>
      <c r="H386" s="722"/>
      <c r="J386" s="1337" t="str" cm="1">
        <f t="array" ref="J38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86" s="1350"/>
      <c r="L386" s="150"/>
      <c r="M386" s="1339" t="str" cm="1">
        <f t="array" ref="M386">_xlfn.IFS(Rent_Roll[[#This Row],[Lease
Exp]]="","",Rent_Roll[[#This Row],[MTM
Lease]]="MTM Lease","--",Rent_Roll[[#This Row],[Lease
Exp]]&gt;0,(DATEDIF(Rent_Roll[[#This Row],[Lease
Start]],Rent_Roll[[#This Row],[Lease
Exp]],"m")+1))</f>
        <v/>
      </c>
      <c r="N386" s="1337" t="str">
        <f>IF(OR(Rent_Roll[[#This Row],[MTM Fee]]="",Rent_Roll[[#This Row],[MTM Fee]]=0),"","MTM Lease")</f>
        <v/>
      </c>
      <c r="O386" s="1340" t="str">
        <f>IFERROR(IF(Rent_Roll[[#This Row],[Lease
Exp]]="","",DATEDIF($F$3,Rent_Roll[[#This Row],[Lease
Exp]],"m")+1),0)</f>
        <v/>
      </c>
      <c r="P386" s="155"/>
      <c r="Q386" s="1342" t="str" cm="1">
        <f t="array" ref="Q38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86" s="1351"/>
      <c r="S386" s="550"/>
      <c r="T386" s="550"/>
      <c r="U386" s="550">
        <f>Rent_Roll[[#This Row],[Lease
Rent]]+Rent_Roll[[#This Row],[Corp
Rent]]</f>
        <v>0</v>
      </c>
      <c r="V386" s="1344">
        <f>IF(Rent_Roll[[#This Row],[Total In-Place
Rent]]=0,0,Rent_Roll[[#This Row],[Total In-Place
Rent]]-Rent_Roll[[#This Row],[Market
Rent]])</f>
        <v>0</v>
      </c>
      <c r="W386" s="1351"/>
      <c r="X386" s="723"/>
      <c r="Y386" s="723"/>
      <c r="Z386" s="723"/>
      <c r="AA386" s="1345"/>
      <c r="AB386" s="723"/>
      <c r="AC386" s="723"/>
      <c r="AD386" s="723"/>
      <c r="AE386" s="723"/>
      <c r="AF386" s="723"/>
      <c r="AG386" s="147"/>
      <c r="AH386" s="147"/>
      <c r="AI386" s="1348" t="str">
        <f>IF(Rent_Roll[[#This Row],[Future
Lease Start]]="","",DATEDIF(Rent_Roll[[#This Row],[Future
Lease Start]],Rent_Roll[[#This Row],[Future
Lease Exp]],"m")+1)</f>
        <v/>
      </c>
      <c r="AJ386" s="1347"/>
    </row>
    <row r="387" spans="2:36" hidden="1" outlineLevel="1" x14ac:dyDescent="0.2">
      <c r="B387" s="638"/>
      <c r="C387" s="638"/>
      <c r="D387" s="638"/>
      <c r="E387" s="162" t="str">
        <f>IF(Rent_Roll[[#This Row],[Floor-
plan]]="studio",0,LEFT(Rent_Roll[[#This Row],[Floor-
plan]],1))</f>
        <v/>
      </c>
      <c r="F387" s="162" t="str" cm="1">
        <f t="array" ref="F38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87" s="1349"/>
      <c r="H387" s="722"/>
      <c r="J387" s="1337" t="str" cm="1">
        <f t="array" ref="J38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87" s="1350"/>
      <c r="L387" s="150"/>
      <c r="M387" s="1339" t="str" cm="1">
        <f t="array" ref="M387">_xlfn.IFS(Rent_Roll[[#This Row],[Lease
Exp]]="","",Rent_Roll[[#This Row],[MTM
Lease]]="MTM Lease","--",Rent_Roll[[#This Row],[Lease
Exp]]&gt;0,(DATEDIF(Rent_Roll[[#This Row],[Lease
Start]],Rent_Roll[[#This Row],[Lease
Exp]],"m")+1))</f>
        <v/>
      </c>
      <c r="N387" s="1337" t="str">
        <f>IF(OR(Rent_Roll[[#This Row],[MTM Fee]]="",Rent_Roll[[#This Row],[MTM Fee]]=0),"","MTM Lease")</f>
        <v/>
      </c>
      <c r="O387" s="1340" t="str">
        <f>IFERROR(IF(Rent_Roll[[#This Row],[Lease
Exp]]="","",DATEDIF($F$3,Rent_Roll[[#This Row],[Lease
Exp]],"m")+1),0)</f>
        <v/>
      </c>
      <c r="P387" s="155"/>
      <c r="Q387" s="1342" t="str" cm="1">
        <f t="array" ref="Q38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87" s="1351"/>
      <c r="S387" s="550"/>
      <c r="T387" s="550"/>
      <c r="U387" s="550">
        <f>Rent_Roll[[#This Row],[Lease
Rent]]+Rent_Roll[[#This Row],[Corp
Rent]]</f>
        <v>0</v>
      </c>
      <c r="V387" s="1344">
        <f>IF(Rent_Roll[[#This Row],[Total In-Place
Rent]]=0,0,Rent_Roll[[#This Row],[Total In-Place
Rent]]-Rent_Roll[[#This Row],[Market
Rent]])</f>
        <v>0</v>
      </c>
      <c r="W387" s="1351"/>
      <c r="X387" s="723"/>
      <c r="Y387" s="723"/>
      <c r="Z387" s="723"/>
      <c r="AA387" s="1345"/>
      <c r="AB387" s="723"/>
      <c r="AC387" s="723"/>
      <c r="AD387" s="723"/>
      <c r="AE387" s="723"/>
      <c r="AF387" s="723"/>
      <c r="AG387" s="147"/>
      <c r="AH387" s="147"/>
      <c r="AI387" s="1348" t="str">
        <f>IF(Rent_Roll[[#This Row],[Future
Lease Start]]="","",DATEDIF(Rent_Roll[[#This Row],[Future
Lease Start]],Rent_Roll[[#This Row],[Future
Lease Exp]],"m")+1)</f>
        <v/>
      </c>
      <c r="AJ387" s="1347"/>
    </row>
    <row r="388" spans="2:36" hidden="1" outlineLevel="1" x14ac:dyDescent="0.2">
      <c r="B388" s="638"/>
      <c r="C388" s="638"/>
      <c r="D388" s="638"/>
      <c r="E388" s="162" t="str">
        <f>IF(Rent_Roll[[#This Row],[Floor-
plan]]="studio",0,LEFT(Rent_Roll[[#This Row],[Floor-
plan]],1))</f>
        <v/>
      </c>
      <c r="F388" s="162" t="str" cm="1">
        <f t="array" ref="F38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88" s="1349"/>
      <c r="H388" s="722"/>
      <c r="J388" s="1337" t="str" cm="1">
        <f t="array" ref="J38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88" s="1350"/>
      <c r="L388" s="150"/>
      <c r="M388" s="1339" t="str" cm="1">
        <f t="array" ref="M388">_xlfn.IFS(Rent_Roll[[#This Row],[Lease
Exp]]="","",Rent_Roll[[#This Row],[MTM
Lease]]="MTM Lease","--",Rent_Roll[[#This Row],[Lease
Exp]]&gt;0,(DATEDIF(Rent_Roll[[#This Row],[Lease
Start]],Rent_Roll[[#This Row],[Lease
Exp]],"m")+1))</f>
        <v/>
      </c>
      <c r="N388" s="1337" t="str">
        <f>IF(OR(Rent_Roll[[#This Row],[MTM Fee]]="",Rent_Roll[[#This Row],[MTM Fee]]=0),"","MTM Lease")</f>
        <v/>
      </c>
      <c r="O388" s="1340" t="str">
        <f>IFERROR(IF(Rent_Roll[[#This Row],[Lease
Exp]]="","",DATEDIF($F$3,Rent_Roll[[#This Row],[Lease
Exp]],"m")+1),0)</f>
        <v/>
      </c>
      <c r="P388" s="155"/>
      <c r="Q388" s="1342" t="str" cm="1">
        <f t="array" ref="Q38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88" s="1351"/>
      <c r="S388" s="550"/>
      <c r="T388" s="550"/>
      <c r="U388" s="550">
        <f>Rent_Roll[[#This Row],[Lease
Rent]]+Rent_Roll[[#This Row],[Corp
Rent]]</f>
        <v>0</v>
      </c>
      <c r="V388" s="1344">
        <f>IF(Rent_Roll[[#This Row],[Total In-Place
Rent]]=0,0,Rent_Roll[[#This Row],[Total In-Place
Rent]]-Rent_Roll[[#This Row],[Market
Rent]])</f>
        <v>0</v>
      </c>
      <c r="W388" s="1351"/>
      <c r="X388" s="723"/>
      <c r="Y388" s="723"/>
      <c r="Z388" s="723"/>
      <c r="AA388" s="1345"/>
      <c r="AB388" s="723"/>
      <c r="AC388" s="723"/>
      <c r="AD388" s="723"/>
      <c r="AE388" s="723"/>
      <c r="AF388" s="723"/>
      <c r="AG388" s="147"/>
      <c r="AH388" s="147"/>
      <c r="AI388" s="1348" t="str">
        <f>IF(Rent_Roll[[#This Row],[Future
Lease Start]]="","",DATEDIF(Rent_Roll[[#This Row],[Future
Lease Start]],Rent_Roll[[#This Row],[Future
Lease Exp]],"m")+1)</f>
        <v/>
      </c>
      <c r="AJ388" s="1347"/>
    </row>
    <row r="389" spans="2:36" hidden="1" outlineLevel="1" x14ac:dyDescent="0.2">
      <c r="B389" s="638"/>
      <c r="C389" s="638"/>
      <c r="D389" s="638"/>
      <c r="E389" s="162" t="str">
        <f>IF(Rent_Roll[[#This Row],[Floor-
plan]]="studio",0,LEFT(Rent_Roll[[#This Row],[Floor-
plan]],1))</f>
        <v/>
      </c>
      <c r="F389" s="162" t="str" cm="1">
        <f t="array" ref="F38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89" s="1349"/>
      <c r="H389" s="722"/>
      <c r="J389" s="1337" t="str" cm="1">
        <f t="array" ref="J38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89" s="1350"/>
      <c r="L389" s="150"/>
      <c r="M389" s="1339" t="str" cm="1">
        <f t="array" ref="M389">_xlfn.IFS(Rent_Roll[[#This Row],[Lease
Exp]]="","",Rent_Roll[[#This Row],[MTM
Lease]]="MTM Lease","--",Rent_Roll[[#This Row],[Lease
Exp]]&gt;0,(DATEDIF(Rent_Roll[[#This Row],[Lease
Start]],Rent_Roll[[#This Row],[Lease
Exp]],"m")+1))</f>
        <v/>
      </c>
      <c r="N389" s="1337" t="str">
        <f>IF(OR(Rent_Roll[[#This Row],[MTM Fee]]="",Rent_Roll[[#This Row],[MTM Fee]]=0),"","MTM Lease")</f>
        <v/>
      </c>
      <c r="O389" s="1340" t="str">
        <f>IFERROR(IF(Rent_Roll[[#This Row],[Lease
Exp]]="","",DATEDIF($F$3,Rent_Roll[[#This Row],[Lease
Exp]],"m")+1),0)</f>
        <v/>
      </c>
      <c r="P389" s="155"/>
      <c r="Q389" s="1342" t="str" cm="1">
        <f t="array" ref="Q38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89" s="1351"/>
      <c r="S389" s="550"/>
      <c r="T389" s="550"/>
      <c r="U389" s="550">
        <f>Rent_Roll[[#This Row],[Lease
Rent]]+Rent_Roll[[#This Row],[Corp
Rent]]</f>
        <v>0</v>
      </c>
      <c r="V389" s="1344">
        <f>IF(Rent_Roll[[#This Row],[Total In-Place
Rent]]=0,0,Rent_Roll[[#This Row],[Total In-Place
Rent]]-Rent_Roll[[#This Row],[Market
Rent]])</f>
        <v>0</v>
      </c>
      <c r="W389" s="1351"/>
      <c r="X389" s="723"/>
      <c r="Y389" s="723"/>
      <c r="Z389" s="723"/>
      <c r="AA389" s="1345"/>
      <c r="AB389" s="723"/>
      <c r="AC389" s="723"/>
      <c r="AD389" s="723"/>
      <c r="AE389" s="723"/>
      <c r="AF389" s="723"/>
      <c r="AG389" s="147"/>
      <c r="AH389" s="147"/>
      <c r="AI389" s="1348" t="str">
        <f>IF(Rent_Roll[[#This Row],[Future
Lease Start]]="","",DATEDIF(Rent_Roll[[#This Row],[Future
Lease Start]],Rent_Roll[[#This Row],[Future
Lease Exp]],"m")+1)</f>
        <v/>
      </c>
      <c r="AJ389" s="1347"/>
    </row>
    <row r="390" spans="2:36" hidden="1" outlineLevel="1" x14ac:dyDescent="0.2">
      <c r="B390" s="638"/>
      <c r="C390" s="638"/>
      <c r="D390" s="638"/>
      <c r="E390" s="162" t="str">
        <f>IF(Rent_Roll[[#This Row],[Floor-
plan]]="studio",0,LEFT(Rent_Roll[[#This Row],[Floor-
plan]],1))</f>
        <v/>
      </c>
      <c r="F390" s="162" t="str" cm="1">
        <f t="array" ref="F39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90" s="1349"/>
      <c r="H390" s="722"/>
      <c r="J390" s="1337" t="str" cm="1">
        <f t="array" ref="J39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90" s="1350"/>
      <c r="L390" s="150"/>
      <c r="M390" s="1339" t="str" cm="1">
        <f t="array" ref="M390">_xlfn.IFS(Rent_Roll[[#This Row],[Lease
Exp]]="","",Rent_Roll[[#This Row],[MTM
Lease]]="MTM Lease","--",Rent_Roll[[#This Row],[Lease
Exp]]&gt;0,(DATEDIF(Rent_Roll[[#This Row],[Lease
Start]],Rent_Roll[[#This Row],[Lease
Exp]],"m")+1))</f>
        <v/>
      </c>
      <c r="N390" s="1337" t="str">
        <f>IF(OR(Rent_Roll[[#This Row],[MTM Fee]]="",Rent_Roll[[#This Row],[MTM Fee]]=0),"","MTM Lease")</f>
        <v/>
      </c>
      <c r="O390" s="1340" t="str">
        <f>IFERROR(IF(Rent_Roll[[#This Row],[Lease
Exp]]="","",DATEDIF($F$3,Rent_Roll[[#This Row],[Lease
Exp]],"m")+1),0)</f>
        <v/>
      </c>
      <c r="P390" s="155"/>
      <c r="Q390" s="1342" t="str" cm="1">
        <f t="array" ref="Q39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90" s="1351"/>
      <c r="S390" s="550"/>
      <c r="T390" s="550"/>
      <c r="U390" s="550">
        <f>Rent_Roll[[#This Row],[Lease
Rent]]+Rent_Roll[[#This Row],[Corp
Rent]]</f>
        <v>0</v>
      </c>
      <c r="V390" s="1344">
        <f>IF(Rent_Roll[[#This Row],[Total In-Place
Rent]]=0,0,Rent_Roll[[#This Row],[Total In-Place
Rent]]-Rent_Roll[[#This Row],[Market
Rent]])</f>
        <v>0</v>
      </c>
      <c r="W390" s="1351"/>
      <c r="X390" s="723"/>
      <c r="Y390" s="723"/>
      <c r="Z390" s="723"/>
      <c r="AA390" s="1345"/>
      <c r="AB390" s="723"/>
      <c r="AC390" s="723"/>
      <c r="AD390" s="723"/>
      <c r="AE390" s="723"/>
      <c r="AF390" s="723"/>
      <c r="AG390" s="147"/>
      <c r="AH390" s="147"/>
      <c r="AI390" s="1348" t="str">
        <f>IF(Rent_Roll[[#This Row],[Future
Lease Start]]="","",DATEDIF(Rent_Roll[[#This Row],[Future
Lease Start]],Rent_Roll[[#This Row],[Future
Lease Exp]],"m")+1)</f>
        <v/>
      </c>
      <c r="AJ390" s="1347"/>
    </row>
    <row r="391" spans="2:36" hidden="1" outlineLevel="1" x14ac:dyDescent="0.2">
      <c r="B391" s="638"/>
      <c r="C391" s="638"/>
      <c r="D391" s="638"/>
      <c r="E391" s="162" t="str">
        <f>IF(Rent_Roll[[#This Row],[Floor-
plan]]="studio",0,LEFT(Rent_Roll[[#This Row],[Floor-
plan]],1))</f>
        <v/>
      </c>
      <c r="F391" s="162" t="str" cm="1">
        <f t="array" ref="F39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91" s="1349"/>
      <c r="H391" s="722"/>
      <c r="J391" s="1337" t="str" cm="1">
        <f t="array" ref="J39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91" s="1350"/>
      <c r="L391" s="150"/>
      <c r="M391" s="1339" t="str" cm="1">
        <f t="array" ref="M391">_xlfn.IFS(Rent_Roll[[#This Row],[Lease
Exp]]="","",Rent_Roll[[#This Row],[MTM
Lease]]="MTM Lease","--",Rent_Roll[[#This Row],[Lease
Exp]]&gt;0,(DATEDIF(Rent_Roll[[#This Row],[Lease
Start]],Rent_Roll[[#This Row],[Lease
Exp]],"m")+1))</f>
        <v/>
      </c>
      <c r="N391" s="1337" t="str">
        <f>IF(OR(Rent_Roll[[#This Row],[MTM Fee]]="",Rent_Roll[[#This Row],[MTM Fee]]=0),"","MTM Lease")</f>
        <v/>
      </c>
      <c r="O391" s="1340" t="str">
        <f>IFERROR(IF(Rent_Roll[[#This Row],[Lease
Exp]]="","",DATEDIF($F$3,Rent_Roll[[#This Row],[Lease
Exp]],"m")+1),0)</f>
        <v/>
      </c>
      <c r="P391" s="155"/>
      <c r="Q391" s="1342" t="str" cm="1">
        <f t="array" ref="Q39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91" s="1351"/>
      <c r="S391" s="550"/>
      <c r="T391" s="550"/>
      <c r="U391" s="550">
        <f>Rent_Roll[[#This Row],[Lease
Rent]]+Rent_Roll[[#This Row],[Corp
Rent]]</f>
        <v>0</v>
      </c>
      <c r="V391" s="1344">
        <f>IF(Rent_Roll[[#This Row],[Total In-Place
Rent]]=0,0,Rent_Roll[[#This Row],[Total In-Place
Rent]]-Rent_Roll[[#This Row],[Market
Rent]])</f>
        <v>0</v>
      </c>
      <c r="W391" s="1351"/>
      <c r="X391" s="723"/>
      <c r="Y391" s="723"/>
      <c r="Z391" s="723"/>
      <c r="AA391" s="1345"/>
      <c r="AB391" s="723"/>
      <c r="AC391" s="723"/>
      <c r="AD391" s="723"/>
      <c r="AE391" s="723"/>
      <c r="AF391" s="723"/>
      <c r="AG391" s="147"/>
      <c r="AH391" s="147"/>
      <c r="AI391" s="1348" t="str">
        <f>IF(Rent_Roll[[#This Row],[Future
Lease Start]]="","",DATEDIF(Rent_Roll[[#This Row],[Future
Lease Start]],Rent_Roll[[#This Row],[Future
Lease Exp]],"m")+1)</f>
        <v/>
      </c>
      <c r="AJ391" s="1347"/>
    </row>
    <row r="392" spans="2:36" hidden="1" outlineLevel="1" x14ac:dyDescent="0.2">
      <c r="B392" s="638"/>
      <c r="C392" s="638"/>
      <c r="D392" s="638"/>
      <c r="E392" s="162" t="str">
        <f>IF(Rent_Roll[[#This Row],[Floor-
plan]]="studio",0,LEFT(Rent_Roll[[#This Row],[Floor-
plan]],1))</f>
        <v/>
      </c>
      <c r="F392" s="162" t="str" cm="1">
        <f t="array" ref="F39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92" s="1349"/>
      <c r="H392" s="722"/>
      <c r="J392" s="1337" t="str" cm="1">
        <f t="array" ref="J39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92" s="1350"/>
      <c r="L392" s="150"/>
      <c r="M392" s="1339" t="str" cm="1">
        <f t="array" ref="M392">_xlfn.IFS(Rent_Roll[[#This Row],[Lease
Exp]]="","",Rent_Roll[[#This Row],[MTM
Lease]]="MTM Lease","--",Rent_Roll[[#This Row],[Lease
Exp]]&gt;0,(DATEDIF(Rent_Roll[[#This Row],[Lease
Start]],Rent_Roll[[#This Row],[Lease
Exp]],"m")+1))</f>
        <v/>
      </c>
      <c r="N392" s="1337" t="str">
        <f>IF(OR(Rent_Roll[[#This Row],[MTM Fee]]="",Rent_Roll[[#This Row],[MTM Fee]]=0),"","MTM Lease")</f>
        <v/>
      </c>
      <c r="O392" s="1340" t="str">
        <f>IFERROR(IF(Rent_Roll[[#This Row],[Lease
Exp]]="","",DATEDIF($F$3,Rent_Roll[[#This Row],[Lease
Exp]],"m")+1),0)</f>
        <v/>
      </c>
      <c r="P392" s="155"/>
      <c r="Q392" s="1342" t="str" cm="1">
        <f t="array" ref="Q39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92" s="1351"/>
      <c r="S392" s="550"/>
      <c r="T392" s="550"/>
      <c r="U392" s="550">
        <f>Rent_Roll[[#This Row],[Lease
Rent]]+Rent_Roll[[#This Row],[Corp
Rent]]</f>
        <v>0</v>
      </c>
      <c r="V392" s="1344">
        <f>IF(Rent_Roll[[#This Row],[Total In-Place
Rent]]=0,0,Rent_Roll[[#This Row],[Total In-Place
Rent]]-Rent_Roll[[#This Row],[Market
Rent]])</f>
        <v>0</v>
      </c>
      <c r="W392" s="1351"/>
      <c r="X392" s="723"/>
      <c r="Y392" s="723"/>
      <c r="Z392" s="723"/>
      <c r="AA392" s="1345"/>
      <c r="AB392" s="723"/>
      <c r="AC392" s="723"/>
      <c r="AD392" s="723"/>
      <c r="AE392" s="723"/>
      <c r="AF392" s="723"/>
      <c r="AG392" s="147"/>
      <c r="AH392" s="147"/>
      <c r="AI392" s="1348" t="str">
        <f>IF(Rent_Roll[[#This Row],[Future
Lease Start]]="","",DATEDIF(Rent_Roll[[#This Row],[Future
Lease Start]],Rent_Roll[[#This Row],[Future
Lease Exp]],"m")+1)</f>
        <v/>
      </c>
      <c r="AJ392" s="1347"/>
    </row>
    <row r="393" spans="2:36" hidden="1" outlineLevel="1" x14ac:dyDescent="0.2">
      <c r="B393" s="638"/>
      <c r="C393" s="638"/>
      <c r="D393" s="638"/>
      <c r="E393" s="162" t="str">
        <f>IF(Rent_Roll[[#This Row],[Floor-
plan]]="studio",0,LEFT(Rent_Roll[[#This Row],[Floor-
plan]],1))</f>
        <v/>
      </c>
      <c r="F393" s="162" t="str" cm="1">
        <f t="array" ref="F39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93" s="1349"/>
      <c r="H393" s="722"/>
      <c r="J393" s="1337" t="str" cm="1">
        <f t="array" ref="J39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93" s="1350"/>
      <c r="L393" s="150"/>
      <c r="M393" s="1339" t="str" cm="1">
        <f t="array" ref="M393">_xlfn.IFS(Rent_Roll[[#This Row],[Lease
Exp]]="","",Rent_Roll[[#This Row],[MTM
Lease]]="MTM Lease","--",Rent_Roll[[#This Row],[Lease
Exp]]&gt;0,(DATEDIF(Rent_Roll[[#This Row],[Lease
Start]],Rent_Roll[[#This Row],[Lease
Exp]],"m")+1))</f>
        <v/>
      </c>
      <c r="N393" s="1337" t="str">
        <f>IF(OR(Rent_Roll[[#This Row],[MTM Fee]]="",Rent_Roll[[#This Row],[MTM Fee]]=0),"","MTM Lease")</f>
        <v/>
      </c>
      <c r="O393" s="1340" t="str">
        <f>IFERROR(IF(Rent_Roll[[#This Row],[Lease
Exp]]="","",DATEDIF($F$3,Rent_Roll[[#This Row],[Lease
Exp]],"m")+1),0)</f>
        <v/>
      </c>
      <c r="P393" s="155"/>
      <c r="Q393" s="1342" t="str" cm="1">
        <f t="array" ref="Q39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93" s="1351"/>
      <c r="S393" s="550"/>
      <c r="T393" s="550"/>
      <c r="U393" s="550">
        <f>Rent_Roll[[#This Row],[Lease
Rent]]+Rent_Roll[[#This Row],[Corp
Rent]]</f>
        <v>0</v>
      </c>
      <c r="V393" s="1344">
        <f>IF(Rent_Roll[[#This Row],[Total In-Place
Rent]]=0,0,Rent_Roll[[#This Row],[Total In-Place
Rent]]-Rent_Roll[[#This Row],[Market
Rent]])</f>
        <v>0</v>
      </c>
      <c r="W393" s="1351"/>
      <c r="X393" s="723"/>
      <c r="Y393" s="723"/>
      <c r="Z393" s="723"/>
      <c r="AA393" s="1345"/>
      <c r="AB393" s="723"/>
      <c r="AC393" s="723"/>
      <c r="AD393" s="723"/>
      <c r="AE393" s="723"/>
      <c r="AF393" s="723"/>
      <c r="AG393" s="147"/>
      <c r="AH393" s="147"/>
      <c r="AI393" s="1348" t="str">
        <f>IF(Rent_Roll[[#This Row],[Future
Lease Start]]="","",DATEDIF(Rent_Roll[[#This Row],[Future
Lease Start]],Rent_Roll[[#This Row],[Future
Lease Exp]],"m")+1)</f>
        <v/>
      </c>
      <c r="AJ393" s="1347"/>
    </row>
    <row r="394" spans="2:36" hidden="1" outlineLevel="1" x14ac:dyDescent="0.2">
      <c r="B394" s="638"/>
      <c r="C394" s="638"/>
      <c r="D394" s="638"/>
      <c r="E394" s="162" t="str">
        <f>IF(Rent_Roll[[#This Row],[Floor-
plan]]="studio",0,LEFT(Rent_Roll[[#This Row],[Floor-
plan]],1))</f>
        <v/>
      </c>
      <c r="F394" s="162" t="str" cm="1">
        <f t="array" ref="F39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94" s="1349"/>
      <c r="H394" s="722"/>
      <c r="J394" s="1337" t="str" cm="1">
        <f t="array" ref="J39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94" s="1350"/>
      <c r="L394" s="150"/>
      <c r="M394" s="1339" t="str" cm="1">
        <f t="array" ref="M394">_xlfn.IFS(Rent_Roll[[#This Row],[Lease
Exp]]="","",Rent_Roll[[#This Row],[MTM
Lease]]="MTM Lease","--",Rent_Roll[[#This Row],[Lease
Exp]]&gt;0,(DATEDIF(Rent_Roll[[#This Row],[Lease
Start]],Rent_Roll[[#This Row],[Lease
Exp]],"m")+1))</f>
        <v/>
      </c>
      <c r="N394" s="1337" t="str">
        <f>IF(OR(Rent_Roll[[#This Row],[MTM Fee]]="",Rent_Roll[[#This Row],[MTM Fee]]=0),"","MTM Lease")</f>
        <v/>
      </c>
      <c r="O394" s="1340" t="str">
        <f>IFERROR(IF(Rent_Roll[[#This Row],[Lease
Exp]]="","",DATEDIF($F$3,Rent_Roll[[#This Row],[Lease
Exp]],"m")+1),0)</f>
        <v/>
      </c>
      <c r="P394" s="155"/>
      <c r="Q394" s="1342" t="str" cm="1">
        <f t="array" ref="Q39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94" s="1351"/>
      <c r="S394" s="550"/>
      <c r="T394" s="550"/>
      <c r="U394" s="550">
        <f>Rent_Roll[[#This Row],[Lease
Rent]]+Rent_Roll[[#This Row],[Corp
Rent]]</f>
        <v>0</v>
      </c>
      <c r="V394" s="1344">
        <f>IF(Rent_Roll[[#This Row],[Total In-Place
Rent]]=0,0,Rent_Roll[[#This Row],[Total In-Place
Rent]]-Rent_Roll[[#This Row],[Market
Rent]])</f>
        <v>0</v>
      </c>
      <c r="W394" s="1351"/>
      <c r="X394" s="723"/>
      <c r="Y394" s="723"/>
      <c r="Z394" s="723"/>
      <c r="AA394" s="1345"/>
      <c r="AB394" s="723"/>
      <c r="AC394" s="723"/>
      <c r="AD394" s="723"/>
      <c r="AE394" s="723"/>
      <c r="AF394" s="723"/>
      <c r="AG394" s="147"/>
      <c r="AH394" s="147"/>
      <c r="AI394" s="1348" t="str">
        <f>IF(Rent_Roll[[#This Row],[Future
Lease Start]]="","",DATEDIF(Rent_Roll[[#This Row],[Future
Lease Start]],Rent_Roll[[#This Row],[Future
Lease Exp]],"m")+1)</f>
        <v/>
      </c>
      <c r="AJ394" s="1347"/>
    </row>
    <row r="395" spans="2:36" hidden="1" outlineLevel="1" x14ac:dyDescent="0.2">
      <c r="B395" s="638"/>
      <c r="C395" s="638"/>
      <c r="D395" s="638"/>
      <c r="E395" s="162" t="str">
        <f>IF(Rent_Roll[[#This Row],[Floor-
plan]]="studio",0,LEFT(Rent_Roll[[#This Row],[Floor-
plan]],1))</f>
        <v/>
      </c>
      <c r="F395" s="162" t="str" cm="1">
        <f t="array" ref="F39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95" s="1349"/>
      <c r="H395" s="722"/>
      <c r="J395" s="1337" t="str" cm="1">
        <f t="array" ref="J39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95" s="1350"/>
      <c r="L395" s="150"/>
      <c r="M395" s="1339" t="str" cm="1">
        <f t="array" ref="M395">_xlfn.IFS(Rent_Roll[[#This Row],[Lease
Exp]]="","",Rent_Roll[[#This Row],[MTM
Lease]]="MTM Lease","--",Rent_Roll[[#This Row],[Lease
Exp]]&gt;0,(DATEDIF(Rent_Roll[[#This Row],[Lease
Start]],Rent_Roll[[#This Row],[Lease
Exp]],"m")+1))</f>
        <v/>
      </c>
      <c r="N395" s="1337" t="str">
        <f>IF(OR(Rent_Roll[[#This Row],[MTM Fee]]="",Rent_Roll[[#This Row],[MTM Fee]]=0),"","MTM Lease")</f>
        <v/>
      </c>
      <c r="O395" s="1340" t="str">
        <f>IFERROR(IF(Rent_Roll[[#This Row],[Lease
Exp]]="","",DATEDIF($F$3,Rent_Roll[[#This Row],[Lease
Exp]],"m")+1),0)</f>
        <v/>
      </c>
      <c r="P395" s="155"/>
      <c r="Q395" s="1342" t="str" cm="1">
        <f t="array" ref="Q39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95" s="1351"/>
      <c r="S395" s="550"/>
      <c r="T395" s="550"/>
      <c r="U395" s="550">
        <f>Rent_Roll[[#This Row],[Lease
Rent]]+Rent_Roll[[#This Row],[Corp
Rent]]</f>
        <v>0</v>
      </c>
      <c r="V395" s="1344">
        <f>IF(Rent_Roll[[#This Row],[Total In-Place
Rent]]=0,0,Rent_Roll[[#This Row],[Total In-Place
Rent]]-Rent_Roll[[#This Row],[Market
Rent]])</f>
        <v>0</v>
      </c>
      <c r="W395" s="1351"/>
      <c r="X395" s="723"/>
      <c r="Y395" s="723"/>
      <c r="Z395" s="723"/>
      <c r="AA395" s="1345"/>
      <c r="AB395" s="723"/>
      <c r="AC395" s="723"/>
      <c r="AD395" s="723"/>
      <c r="AE395" s="723"/>
      <c r="AF395" s="723"/>
      <c r="AG395" s="147"/>
      <c r="AH395" s="147"/>
      <c r="AI395" s="1348" t="str">
        <f>IF(Rent_Roll[[#This Row],[Future
Lease Start]]="","",DATEDIF(Rent_Roll[[#This Row],[Future
Lease Start]],Rent_Roll[[#This Row],[Future
Lease Exp]],"m")+1)</f>
        <v/>
      </c>
      <c r="AJ395" s="1347"/>
    </row>
    <row r="396" spans="2:36" hidden="1" outlineLevel="1" x14ac:dyDescent="0.2">
      <c r="B396" s="638"/>
      <c r="C396" s="638"/>
      <c r="D396" s="638"/>
      <c r="E396" s="162" t="str">
        <f>IF(Rent_Roll[[#This Row],[Floor-
plan]]="studio",0,LEFT(Rent_Roll[[#This Row],[Floor-
plan]],1))</f>
        <v/>
      </c>
      <c r="F396" s="162" t="str" cm="1">
        <f t="array" ref="F39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96" s="1349"/>
      <c r="H396" s="722"/>
      <c r="J396" s="1337" t="str" cm="1">
        <f t="array" ref="J39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96" s="1350"/>
      <c r="L396" s="150"/>
      <c r="M396" s="1339" t="str" cm="1">
        <f t="array" ref="M396">_xlfn.IFS(Rent_Roll[[#This Row],[Lease
Exp]]="","",Rent_Roll[[#This Row],[MTM
Lease]]="MTM Lease","--",Rent_Roll[[#This Row],[Lease
Exp]]&gt;0,(DATEDIF(Rent_Roll[[#This Row],[Lease
Start]],Rent_Roll[[#This Row],[Lease
Exp]],"m")+1))</f>
        <v/>
      </c>
      <c r="N396" s="1337" t="str">
        <f>IF(OR(Rent_Roll[[#This Row],[MTM Fee]]="",Rent_Roll[[#This Row],[MTM Fee]]=0),"","MTM Lease")</f>
        <v/>
      </c>
      <c r="O396" s="1340" t="str">
        <f>IFERROR(IF(Rent_Roll[[#This Row],[Lease
Exp]]="","",DATEDIF($F$3,Rent_Roll[[#This Row],[Lease
Exp]],"m")+1),0)</f>
        <v/>
      </c>
      <c r="P396" s="155"/>
      <c r="Q396" s="1342" t="str" cm="1">
        <f t="array" ref="Q39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96" s="1351"/>
      <c r="S396" s="550"/>
      <c r="T396" s="550"/>
      <c r="U396" s="550">
        <f>Rent_Roll[[#This Row],[Lease
Rent]]+Rent_Roll[[#This Row],[Corp
Rent]]</f>
        <v>0</v>
      </c>
      <c r="V396" s="1344">
        <f>IF(Rent_Roll[[#This Row],[Total In-Place
Rent]]=0,0,Rent_Roll[[#This Row],[Total In-Place
Rent]]-Rent_Roll[[#This Row],[Market
Rent]])</f>
        <v>0</v>
      </c>
      <c r="W396" s="1351"/>
      <c r="X396" s="723"/>
      <c r="Y396" s="723"/>
      <c r="Z396" s="723"/>
      <c r="AA396" s="1345"/>
      <c r="AB396" s="723"/>
      <c r="AC396" s="723"/>
      <c r="AD396" s="723"/>
      <c r="AE396" s="723"/>
      <c r="AF396" s="723"/>
      <c r="AG396" s="147"/>
      <c r="AH396" s="147"/>
      <c r="AI396" s="1348" t="str">
        <f>IF(Rent_Roll[[#This Row],[Future
Lease Start]]="","",DATEDIF(Rent_Roll[[#This Row],[Future
Lease Start]],Rent_Roll[[#This Row],[Future
Lease Exp]],"m")+1)</f>
        <v/>
      </c>
      <c r="AJ396" s="1347"/>
    </row>
    <row r="397" spans="2:36" hidden="1" outlineLevel="1" x14ac:dyDescent="0.2">
      <c r="B397" s="638"/>
      <c r="C397" s="638"/>
      <c r="D397" s="638"/>
      <c r="E397" s="162" t="str">
        <f>IF(Rent_Roll[[#This Row],[Floor-
plan]]="studio",0,LEFT(Rent_Roll[[#This Row],[Floor-
plan]],1))</f>
        <v/>
      </c>
      <c r="F397" s="162" t="str" cm="1">
        <f t="array" ref="F39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97" s="1349"/>
      <c r="H397" s="722"/>
      <c r="J397" s="1337" t="str" cm="1">
        <f t="array" ref="J39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97" s="1350"/>
      <c r="L397" s="150"/>
      <c r="M397" s="1339" t="str" cm="1">
        <f t="array" ref="M397">_xlfn.IFS(Rent_Roll[[#This Row],[Lease
Exp]]="","",Rent_Roll[[#This Row],[MTM
Lease]]="MTM Lease","--",Rent_Roll[[#This Row],[Lease
Exp]]&gt;0,(DATEDIF(Rent_Roll[[#This Row],[Lease
Start]],Rent_Roll[[#This Row],[Lease
Exp]],"m")+1))</f>
        <v/>
      </c>
      <c r="N397" s="1337" t="str">
        <f>IF(OR(Rent_Roll[[#This Row],[MTM Fee]]="",Rent_Roll[[#This Row],[MTM Fee]]=0),"","MTM Lease")</f>
        <v/>
      </c>
      <c r="O397" s="1340" t="str">
        <f>IFERROR(IF(Rent_Roll[[#This Row],[Lease
Exp]]="","",DATEDIF($F$3,Rent_Roll[[#This Row],[Lease
Exp]],"m")+1),0)</f>
        <v/>
      </c>
      <c r="P397" s="155"/>
      <c r="Q397" s="1342" t="str" cm="1">
        <f t="array" ref="Q39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97" s="1351"/>
      <c r="S397" s="550"/>
      <c r="T397" s="550"/>
      <c r="U397" s="550">
        <f>Rent_Roll[[#This Row],[Lease
Rent]]+Rent_Roll[[#This Row],[Corp
Rent]]</f>
        <v>0</v>
      </c>
      <c r="V397" s="1344">
        <f>IF(Rent_Roll[[#This Row],[Total In-Place
Rent]]=0,0,Rent_Roll[[#This Row],[Total In-Place
Rent]]-Rent_Roll[[#This Row],[Market
Rent]])</f>
        <v>0</v>
      </c>
      <c r="W397" s="1351"/>
      <c r="X397" s="723"/>
      <c r="Y397" s="723"/>
      <c r="Z397" s="723"/>
      <c r="AA397" s="1345"/>
      <c r="AB397" s="723"/>
      <c r="AC397" s="723"/>
      <c r="AD397" s="723"/>
      <c r="AE397" s="723"/>
      <c r="AF397" s="723"/>
      <c r="AG397" s="147"/>
      <c r="AH397" s="147"/>
      <c r="AI397" s="1348" t="str">
        <f>IF(Rent_Roll[[#This Row],[Future
Lease Start]]="","",DATEDIF(Rent_Roll[[#This Row],[Future
Lease Start]],Rent_Roll[[#This Row],[Future
Lease Exp]],"m")+1)</f>
        <v/>
      </c>
      <c r="AJ397" s="1347"/>
    </row>
    <row r="398" spans="2:36" hidden="1" outlineLevel="1" x14ac:dyDescent="0.2">
      <c r="B398" s="638"/>
      <c r="C398" s="638"/>
      <c r="D398" s="638"/>
      <c r="E398" s="162" t="str">
        <f>IF(Rent_Roll[[#This Row],[Floor-
plan]]="studio",0,LEFT(Rent_Roll[[#This Row],[Floor-
plan]],1))</f>
        <v/>
      </c>
      <c r="F398" s="162" t="str" cm="1">
        <f t="array" ref="F39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98" s="1349"/>
      <c r="H398" s="722"/>
      <c r="J398" s="1337" t="str" cm="1">
        <f t="array" ref="J39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98" s="1350"/>
      <c r="L398" s="150"/>
      <c r="M398" s="1339" t="str" cm="1">
        <f t="array" ref="M398">_xlfn.IFS(Rent_Roll[[#This Row],[Lease
Exp]]="","",Rent_Roll[[#This Row],[MTM
Lease]]="MTM Lease","--",Rent_Roll[[#This Row],[Lease
Exp]]&gt;0,(DATEDIF(Rent_Roll[[#This Row],[Lease
Start]],Rent_Roll[[#This Row],[Lease
Exp]],"m")+1))</f>
        <v/>
      </c>
      <c r="N398" s="1337" t="str">
        <f>IF(OR(Rent_Roll[[#This Row],[MTM Fee]]="",Rent_Roll[[#This Row],[MTM Fee]]=0),"","MTM Lease")</f>
        <v/>
      </c>
      <c r="O398" s="1340" t="str">
        <f>IFERROR(IF(Rent_Roll[[#This Row],[Lease
Exp]]="","",DATEDIF($F$3,Rent_Roll[[#This Row],[Lease
Exp]],"m")+1),0)</f>
        <v/>
      </c>
      <c r="P398" s="155"/>
      <c r="Q398" s="1342" t="str" cm="1">
        <f t="array" ref="Q39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98" s="1351"/>
      <c r="S398" s="550"/>
      <c r="T398" s="550"/>
      <c r="U398" s="550">
        <f>Rent_Roll[[#This Row],[Lease
Rent]]+Rent_Roll[[#This Row],[Corp
Rent]]</f>
        <v>0</v>
      </c>
      <c r="V398" s="1344">
        <f>IF(Rent_Roll[[#This Row],[Total In-Place
Rent]]=0,0,Rent_Roll[[#This Row],[Total In-Place
Rent]]-Rent_Roll[[#This Row],[Market
Rent]])</f>
        <v>0</v>
      </c>
      <c r="W398" s="1351"/>
      <c r="X398" s="723"/>
      <c r="Y398" s="723"/>
      <c r="Z398" s="723"/>
      <c r="AA398" s="1345"/>
      <c r="AB398" s="723"/>
      <c r="AC398" s="723"/>
      <c r="AD398" s="723"/>
      <c r="AE398" s="723"/>
      <c r="AF398" s="723"/>
      <c r="AG398" s="147"/>
      <c r="AH398" s="147"/>
      <c r="AI398" s="1348" t="str">
        <f>IF(Rent_Roll[[#This Row],[Future
Lease Start]]="","",DATEDIF(Rent_Roll[[#This Row],[Future
Lease Start]],Rent_Roll[[#This Row],[Future
Lease Exp]],"m")+1)</f>
        <v/>
      </c>
      <c r="AJ398" s="1347"/>
    </row>
    <row r="399" spans="2:36" hidden="1" outlineLevel="1" x14ac:dyDescent="0.2">
      <c r="B399" s="638"/>
      <c r="C399" s="638"/>
      <c r="D399" s="638"/>
      <c r="E399" s="162" t="str">
        <f>IF(Rent_Roll[[#This Row],[Floor-
plan]]="studio",0,LEFT(Rent_Roll[[#This Row],[Floor-
plan]],1))</f>
        <v/>
      </c>
      <c r="F399" s="162" t="str" cm="1">
        <f t="array" ref="F39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399" s="1349"/>
      <c r="H399" s="722"/>
      <c r="J399" s="1337" t="str" cm="1">
        <f t="array" ref="J39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399" s="1350"/>
      <c r="L399" s="150"/>
      <c r="M399" s="1339" t="str" cm="1">
        <f t="array" ref="M399">_xlfn.IFS(Rent_Roll[[#This Row],[Lease
Exp]]="","",Rent_Roll[[#This Row],[MTM
Lease]]="MTM Lease","--",Rent_Roll[[#This Row],[Lease
Exp]]&gt;0,(DATEDIF(Rent_Roll[[#This Row],[Lease
Start]],Rent_Roll[[#This Row],[Lease
Exp]],"m")+1))</f>
        <v/>
      </c>
      <c r="N399" s="1337" t="str">
        <f>IF(OR(Rent_Roll[[#This Row],[MTM Fee]]="",Rent_Roll[[#This Row],[MTM Fee]]=0),"","MTM Lease")</f>
        <v/>
      </c>
      <c r="O399" s="1340" t="str">
        <f>IFERROR(IF(Rent_Roll[[#This Row],[Lease
Exp]]="","",DATEDIF($F$3,Rent_Roll[[#This Row],[Lease
Exp]],"m")+1),0)</f>
        <v/>
      </c>
      <c r="P399" s="155"/>
      <c r="Q399" s="1342" t="str" cm="1">
        <f t="array" ref="Q39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399" s="1351"/>
      <c r="S399" s="550"/>
      <c r="T399" s="550"/>
      <c r="U399" s="550">
        <f>Rent_Roll[[#This Row],[Lease
Rent]]+Rent_Roll[[#This Row],[Corp
Rent]]</f>
        <v>0</v>
      </c>
      <c r="V399" s="1344">
        <f>IF(Rent_Roll[[#This Row],[Total In-Place
Rent]]=0,0,Rent_Roll[[#This Row],[Total In-Place
Rent]]-Rent_Roll[[#This Row],[Market
Rent]])</f>
        <v>0</v>
      </c>
      <c r="W399" s="1351"/>
      <c r="X399" s="723"/>
      <c r="Y399" s="723"/>
      <c r="Z399" s="723"/>
      <c r="AA399" s="1345"/>
      <c r="AB399" s="723"/>
      <c r="AC399" s="723"/>
      <c r="AD399" s="723"/>
      <c r="AE399" s="723"/>
      <c r="AF399" s="723"/>
      <c r="AG399" s="147"/>
      <c r="AH399" s="147"/>
      <c r="AI399" s="1348" t="str">
        <f>IF(Rent_Roll[[#This Row],[Future
Lease Start]]="","",DATEDIF(Rent_Roll[[#This Row],[Future
Lease Start]],Rent_Roll[[#This Row],[Future
Lease Exp]],"m")+1)</f>
        <v/>
      </c>
      <c r="AJ399" s="1347"/>
    </row>
    <row r="400" spans="2:36" hidden="1" outlineLevel="1" x14ac:dyDescent="0.2">
      <c r="B400" s="638"/>
      <c r="C400" s="638"/>
      <c r="D400" s="638"/>
      <c r="E400" s="162" t="str">
        <f>IF(Rent_Roll[[#This Row],[Floor-
plan]]="studio",0,LEFT(Rent_Roll[[#This Row],[Floor-
plan]],1))</f>
        <v/>
      </c>
      <c r="F400" s="162" t="str" cm="1">
        <f t="array" ref="F40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00" s="1349"/>
      <c r="H400" s="722"/>
      <c r="J400" s="1337" t="str" cm="1">
        <f t="array" ref="J40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00" s="1350"/>
      <c r="L400" s="150"/>
      <c r="M400" s="1339" t="str" cm="1">
        <f t="array" ref="M400">_xlfn.IFS(Rent_Roll[[#This Row],[Lease
Exp]]="","",Rent_Roll[[#This Row],[MTM
Lease]]="MTM Lease","--",Rent_Roll[[#This Row],[Lease
Exp]]&gt;0,(DATEDIF(Rent_Roll[[#This Row],[Lease
Start]],Rent_Roll[[#This Row],[Lease
Exp]],"m")+1))</f>
        <v/>
      </c>
      <c r="N400" s="1337" t="str">
        <f>IF(OR(Rent_Roll[[#This Row],[MTM Fee]]="",Rent_Roll[[#This Row],[MTM Fee]]=0),"","MTM Lease")</f>
        <v/>
      </c>
      <c r="O400" s="1340" t="str">
        <f>IFERROR(IF(Rent_Roll[[#This Row],[Lease
Exp]]="","",DATEDIF($F$3,Rent_Roll[[#This Row],[Lease
Exp]],"m")+1),0)</f>
        <v/>
      </c>
      <c r="P400" s="155"/>
      <c r="Q400" s="1342" t="str" cm="1">
        <f t="array" ref="Q40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00" s="1351"/>
      <c r="S400" s="550"/>
      <c r="T400" s="550"/>
      <c r="U400" s="550">
        <f>Rent_Roll[[#This Row],[Lease
Rent]]+Rent_Roll[[#This Row],[Corp
Rent]]</f>
        <v>0</v>
      </c>
      <c r="V400" s="1344">
        <f>IF(Rent_Roll[[#This Row],[Total In-Place
Rent]]=0,0,Rent_Roll[[#This Row],[Total In-Place
Rent]]-Rent_Roll[[#This Row],[Market
Rent]])</f>
        <v>0</v>
      </c>
      <c r="W400" s="1351"/>
      <c r="X400" s="723"/>
      <c r="Y400" s="723"/>
      <c r="Z400" s="723"/>
      <c r="AA400" s="1345"/>
      <c r="AB400" s="723"/>
      <c r="AC400" s="723"/>
      <c r="AD400" s="723"/>
      <c r="AE400" s="723"/>
      <c r="AF400" s="723"/>
      <c r="AG400" s="147"/>
      <c r="AH400" s="147"/>
      <c r="AI400" s="1348" t="str">
        <f>IF(Rent_Roll[[#This Row],[Future
Lease Start]]="","",DATEDIF(Rent_Roll[[#This Row],[Future
Lease Start]],Rent_Roll[[#This Row],[Future
Lease Exp]],"m")+1)</f>
        <v/>
      </c>
      <c r="AJ400" s="1347"/>
    </row>
    <row r="401" spans="2:36" hidden="1" outlineLevel="1" x14ac:dyDescent="0.2">
      <c r="B401" s="638"/>
      <c r="C401" s="638"/>
      <c r="D401" s="638"/>
      <c r="E401" s="162" t="str">
        <f>IF(Rent_Roll[[#This Row],[Floor-
plan]]="studio",0,LEFT(Rent_Roll[[#This Row],[Floor-
plan]],1))</f>
        <v/>
      </c>
      <c r="F401" s="162" t="str" cm="1">
        <f t="array" ref="F40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01" s="1349"/>
      <c r="H401" s="722"/>
      <c r="J401" s="1337" t="str" cm="1">
        <f t="array" ref="J40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01" s="1350"/>
      <c r="L401" s="150"/>
      <c r="M401" s="1339" t="str" cm="1">
        <f t="array" ref="M401">_xlfn.IFS(Rent_Roll[[#This Row],[Lease
Exp]]="","",Rent_Roll[[#This Row],[MTM
Lease]]="MTM Lease","--",Rent_Roll[[#This Row],[Lease
Exp]]&gt;0,(DATEDIF(Rent_Roll[[#This Row],[Lease
Start]],Rent_Roll[[#This Row],[Lease
Exp]],"m")+1))</f>
        <v/>
      </c>
      <c r="N401" s="1337" t="str">
        <f>IF(OR(Rent_Roll[[#This Row],[MTM Fee]]="",Rent_Roll[[#This Row],[MTM Fee]]=0),"","MTM Lease")</f>
        <v/>
      </c>
      <c r="O401" s="1340" t="str">
        <f>IFERROR(IF(Rent_Roll[[#This Row],[Lease
Exp]]="","",DATEDIF($F$3,Rent_Roll[[#This Row],[Lease
Exp]],"m")+1),0)</f>
        <v/>
      </c>
      <c r="P401" s="155"/>
      <c r="Q401" s="1342" t="str" cm="1">
        <f t="array" ref="Q40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01" s="1351"/>
      <c r="S401" s="550"/>
      <c r="T401" s="550"/>
      <c r="U401" s="550">
        <f>Rent_Roll[[#This Row],[Lease
Rent]]+Rent_Roll[[#This Row],[Corp
Rent]]</f>
        <v>0</v>
      </c>
      <c r="V401" s="1344">
        <f>IF(Rent_Roll[[#This Row],[Total In-Place
Rent]]=0,0,Rent_Roll[[#This Row],[Total In-Place
Rent]]-Rent_Roll[[#This Row],[Market
Rent]])</f>
        <v>0</v>
      </c>
      <c r="W401" s="1351"/>
      <c r="X401" s="723"/>
      <c r="Y401" s="723"/>
      <c r="Z401" s="723"/>
      <c r="AA401" s="1345"/>
      <c r="AB401" s="723"/>
      <c r="AC401" s="723"/>
      <c r="AD401" s="723"/>
      <c r="AE401" s="723"/>
      <c r="AF401" s="723"/>
      <c r="AG401" s="147"/>
      <c r="AH401" s="147"/>
      <c r="AI401" s="1348" t="str">
        <f>IF(Rent_Roll[[#This Row],[Future
Lease Start]]="","",DATEDIF(Rent_Roll[[#This Row],[Future
Lease Start]],Rent_Roll[[#This Row],[Future
Lease Exp]],"m")+1)</f>
        <v/>
      </c>
      <c r="AJ401" s="1347"/>
    </row>
    <row r="402" spans="2:36" hidden="1" outlineLevel="1" x14ac:dyDescent="0.2">
      <c r="B402" s="638"/>
      <c r="C402" s="638"/>
      <c r="D402" s="638"/>
      <c r="E402" s="162" t="str">
        <f>IF(Rent_Roll[[#This Row],[Floor-
plan]]="studio",0,LEFT(Rent_Roll[[#This Row],[Floor-
plan]],1))</f>
        <v/>
      </c>
      <c r="F402" s="162" t="str" cm="1">
        <f t="array" ref="F40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02" s="1349"/>
      <c r="H402" s="722"/>
      <c r="J402" s="1337" t="str" cm="1">
        <f t="array" ref="J40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02" s="1350"/>
      <c r="L402" s="150"/>
      <c r="M402" s="1339" t="str" cm="1">
        <f t="array" ref="M402">_xlfn.IFS(Rent_Roll[[#This Row],[Lease
Exp]]="","",Rent_Roll[[#This Row],[MTM
Lease]]="MTM Lease","--",Rent_Roll[[#This Row],[Lease
Exp]]&gt;0,(DATEDIF(Rent_Roll[[#This Row],[Lease
Start]],Rent_Roll[[#This Row],[Lease
Exp]],"m")+1))</f>
        <v/>
      </c>
      <c r="N402" s="1337" t="str">
        <f>IF(OR(Rent_Roll[[#This Row],[MTM Fee]]="",Rent_Roll[[#This Row],[MTM Fee]]=0),"","MTM Lease")</f>
        <v/>
      </c>
      <c r="O402" s="1340" t="str">
        <f>IFERROR(IF(Rent_Roll[[#This Row],[Lease
Exp]]="","",DATEDIF($F$3,Rent_Roll[[#This Row],[Lease
Exp]],"m")+1),0)</f>
        <v/>
      </c>
      <c r="P402" s="155"/>
      <c r="Q402" s="1342" t="str" cm="1">
        <f t="array" ref="Q40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02" s="1351"/>
      <c r="S402" s="550"/>
      <c r="T402" s="550"/>
      <c r="U402" s="550">
        <f>Rent_Roll[[#This Row],[Lease
Rent]]+Rent_Roll[[#This Row],[Corp
Rent]]</f>
        <v>0</v>
      </c>
      <c r="V402" s="1344">
        <f>IF(Rent_Roll[[#This Row],[Total In-Place
Rent]]=0,0,Rent_Roll[[#This Row],[Total In-Place
Rent]]-Rent_Roll[[#This Row],[Market
Rent]])</f>
        <v>0</v>
      </c>
      <c r="W402" s="1351"/>
      <c r="X402" s="723"/>
      <c r="Y402" s="723"/>
      <c r="Z402" s="723"/>
      <c r="AA402" s="1345"/>
      <c r="AB402" s="723"/>
      <c r="AC402" s="723"/>
      <c r="AD402" s="723"/>
      <c r="AE402" s="723"/>
      <c r="AF402" s="723"/>
      <c r="AG402" s="147"/>
      <c r="AH402" s="147"/>
      <c r="AI402" s="1348" t="str">
        <f>IF(Rent_Roll[[#This Row],[Future
Lease Start]]="","",DATEDIF(Rent_Roll[[#This Row],[Future
Lease Start]],Rent_Roll[[#This Row],[Future
Lease Exp]],"m")+1)</f>
        <v/>
      </c>
      <c r="AJ402" s="1347"/>
    </row>
    <row r="403" spans="2:36" hidden="1" outlineLevel="1" x14ac:dyDescent="0.2">
      <c r="B403" s="638"/>
      <c r="C403" s="638"/>
      <c r="D403" s="638"/>
      <c r="E403" s="162" t="str">
        <f>IF(Rent_Roll[[#This Row],[Floor-
plan]]="studio",0,LEFT(Rent_Roll[[#This Row],[Floor-
plan]],1))</f>
        <v/>
      </c>
      <c r="F403" s="162" t="str" cm="1">
        <f t="array" ref="F40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03" s="1349"/>
      <c r="H403" s="722"/>
      <c r="J403" s="1337" t="str" cm="1">
        <f t="array" ref="J40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03" s="1350"/>
      <c r="L403" s="150"/>
      <c r="M403" s="1339" t="str" cm="1">
        <f t="array" ref="M403">_xlfn.IFS(Rent_Roll[[#This Row],[Lease
Exp]]="","",Rent_Roll[[#This Row],[MTM
Lease]]="MTM Lease","--",Rent_Roll[[#This Row],[Lease
Exp]]&gt;0,(DATEDIF(Rent_Roll[[#This Row],[Lease
Start]],Rent_Roll[[#This Row],[Lease
Exp]],"m")+1))</f>
        <v/>
      </c>
      <c r="N403" s="1337" t="str">
        <f>IF(OR(Rent_Roll[[#This Row],[MTM Fee]]="",Rent_Roll[[#This Row],[MTM Fee]]=0),"","MTM Lease")</f>
        <v/>
      </c>
      <c r="O403" s="1340" t="str">
        <f>IFERROR(IF(Rent_Roll[[#This Row],[Lease
Exp]]="","",DATEDIF($F$3,Rent_Roll[[#This Row],[Lease
Exp]],"m")+1),0)</f>
        <v/>
      </c>
      <c r="P403" s="155"/>
      <c r="Q403" s="1342" t="str" cm="1">
        <f t="array" ref="Q40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03" s="1351"/>
      <c r="S403" s="550"/>
      <c r="T403" s="550"/>
      <c r="U403" s="550">
        <f>Rent_Roll[[#This Row],[Lease
Rent]]+Rent_Roll[[#This Row],[Corp
Rent]]</f>
        <v>0</v>
      </c>
      <c r="V403" s="1344">
        <f>IF(Rent_Roll[[#This Row],[Total In-Place
Rent]]=0,0,Rent_Roll[[#This Row],[Total In-Place
Rent]]-Rent_Roll[[#This Row],[Market
Rent]])</f>
        <v>0</v>
      </c>
      <c r="W403" s="1351"/>
      <c r="X403" s="723"/>
      <c r="Y403" s="723"/>
      <c r="Z403" s="723"/>
      <c r="AA403" s="1345"/>
      <c r="AB403" s="723"/>
      <c r="AC403" s="723"/>
      <c r="AD403" s="723"/>
      <c r="AE403" s="723"/>
      <c r="AF403" s="723"/>
      <c r="AG403" s="147"/>
      <c r="AH403" s="147"/>
      <c r="AI403" s="1348" t="str">
        <f>IF(Rent_Roll[[#This Row],[Future
Lease Start]]="","",DATEDIF(Rent_Roll[[#This Row],[Future
Lease Start]],Rent_Roll[[#This Row],[Future
Lease Exp]],"m")+1)</f>
        <v/>
      </c>
      <c r="AJ403" s="1347"/>
    </row>
    <row r="404" spans="2:36" hidden="1" outlineLevel="1" x14ac:dyDescent="0.2">
      <c r="B404" s="638"/>
      <c r="C404" s="638"/>
      <c r="D404" s="638"/>
      <c r="E404" s="162" t="str">
        <f>IF(Rent_Roll[[#This Row],[Floor-
plan]]="studio",0,LEFT(Rent_Roll[[#This Row],[Floor-
plan]],1))</f>
        <v/>
      </c>
      <c r="F404" s="162" t="str" cm="1">
        <f t="array" ref="F40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04" s="1349"/>
      <c r="H404" s="722"/>
      <c r="J404" s="1337" t="str" cm="1">
        <f t="array" ref="J40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04" s="1350"/>
      <c r="L404" s="150"/>
      <c r="M404" s="1339" t="str" cm="1">
        <f t="array" ref="M404">_xlfn.IFS(Rent_Roll[[#This Row],[Lease
Exp]]="","",Rent_Roll[[#This Row],[MTM
Lease]]="MTM Lease","--",Rent_Roll[[#This Row],[Lease
Exp]]&gt;0,(DATEDIF(Rent_Roll[[#This Row],[Lease
Start]],Rent_Roll[[#This Row],[Lease
Exp]],"m")+1))</f>
        <v/>
      </c>
      <c r="N404" s="1337" t="str">
        <f>IF(OR(Rent_Roll[[#This Row],[MTM Fee]]="",Rent_Roll[[#This Row],[MTM Fee]]=0),"","MTM Lease")</f>
        <v/>
      </c>
      <c r="O404" s="1340" t="str">
        <f>IFERROR(IF(Rent_Roll[[#This Row],[Lease
Exp]]="","",DATEDIF($F$3,Rent_Roll[[#This Row],[Lease
Exp]],"m")+1),0)</f>
        <v/>
      </c>
      <c r="P404" s="155"/>
      <c r="Q404" s="1342" t="str" cm="1">
        <f t="array" ref="Q40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04" s="1351"/>
      <c r="S404" s="550"/>
      <c r="T404" s="550"/>
      <c r="U404" s="550">
        <f>Rent_Roll[[#This Row],[Lease
Rent]]+Rent_Roll[[#This Row],[Corp
Rent]]</f>
        <v>0</v>
      </c>
      <c r="V404" s="1344">
        <f>IF(Rent_Roll[[#This Row],[Total In-Place
Rent]]=0,0,Rent_Roll[[#This Row],[Total In-Place
Rent]]-Rent_Roll[[#This Row],[Market
Rent]])</f>
        <v>0</v>
      </c>
      <c r="W404" s="1351"/>
      <c r="X404" s="723"/>
      <c r="Y404" s="723"/>
      <c r="Z404" s="723"/>
      <c r="AA404" s="1345"/>
      <c r="AB404" s="723"/>
      <c r="AC404" s="723"/>
      <c r="AD404" s="723"/>
      <c r="AE404" s="723"/>
      <c r="AF404" s="723"/>
      <c r="AG404" s="147"/>
      <c r="AH404" s="147"/>
      <c r="AI404" s="1348" t="str">
        <f>IF(Rent_Roll[[#This Row],[Future
Lease Start]]="","",DATEDIF(Rent_Roll[[#This Row],[Future
Lease Start]],Rent_Roll[[#This Row],[Future
Lease Exp]],"m")+1)</f>
        <v/>
      </c>
      <c r="AJ404" s="1347"/>
    </row>
    <row r="405" spans="2:36" hidden="1" outlineLevel="1" x14ac:dyDescent="0.2">
      <c r="B405" s="638"/>
      <c r="C405" s="638"/>
      <c r="D405" s="638"/>
      <c r="E405" s="162" t="str">
        <f>IF(Rent_Roll[[#This Row],[Floor-
plan]]="studio",0,LEFT(Rent_Roll[[#This Row],[Floor-
plan]],1))</f>
        <v/>
      </c>
      <c r="F405" s="162" t="str" cm="1">
        <f t="array" ref="F40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05" s="1349"/>
      <c r="H405" s="722"/>
      <c r="J405" s="1337" t="str" cm="1">
        <f t="array" ref="J40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05" s="1350"/>
      <c r="L405" s="150"/>
      <c r="M405" s="1339" t="str" cm="1">
        <f t="array" ref="M405">_xlfn.IFS(Rent_Roll[[#This Row],[Lease
Exp]]="","",Rent_Roll[[#This Row],[MTM
Lease]]="MTM Lease","--",Rent_Roll[[#This Row],[Lease
Exp]]&gt;0,(DATEDIF(Rent_Roll[[#This Row],[Lease
Start]],Rent_Roll[[#This Row],[Lease
Exp]],"m")+1))</f>
        <v/>
      </c>
      <c r="N405" s="1337" t="str">
        <f>IF(OR(Rent_Roll[[#This Row],[MTM Fee]]="",Rent_Roll[[#This Row],[MTM Fee]]=0),"","MTM Lease")</f>
        <v/>
      </c>
      <c r="O405" s="1340" t="str">
        <f>IFERROR(IF(Rent_Roll[[#This Row],[Lease
Exp]]="","",DATEDIF($F$3,Rent_Roll[[#This Row],[Lease
Exp]],"m")+1),0)</f>
        <v/>
      </c>
      <c r="P405" s="155"/>
      <c r="Q405" s="1342" t="str" cm="1">
        <f t="array" ref="Q40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05" s="1351"/>
      <c r="S405" s="550"/>
      <c r="T405" s="550"/>
      <c r="U405" s="550">
        <f>Rent_Roll[[#This Row],[Lease
Rent]]+Rent_Roll[[#This Row],[Corp
Rent]]</f>
        <v>0</v>
      </c>
      <c r="V405" s="1344">
        <f>IF(Rent_Roll[[#This Row],[Total In-Place
Rent]]=0,0,Rent_Roll[[#This Row],[Total In-Place
Rent]]-Rent_Roll[[#This Row],[Market
Rent]])</f>
        <v>0</v>
      </c>
      <c r="W405" s="1351"/>
      <c r="X405" s="723"/>
      <c r="Y405" s="723"/>
      <c r="Z405" s="723"/>
      <c r="AA405" s="1345"/>
      <c r="AB405" s="723"/>
      <c r="AC405" s="723"/>
      <c r="AD405" s="723"/>
      <c r="AE405" s="723"/>
      <c r="AF405" s="723"/>
      <c r="AG405" s="147"/>
      <c r="AH405" s="147"/>
      <c r="AI405" s="1348" t="str">
        <f>IF(Rent_Roll[[#This Row],[Future
Lease Start]]="","",DATEDIF(Rent_Roll[[#This Row],[Future
Lease Start]],Rent_Roll[[#This Row],[Future
Lease Exp]],"m")+1)</f>
        <v/>
      </c>
      <c r="AJ405" s="1347"/>
    </row>
    <row r="406" spans="2:36" hidden="1" outlineLevel="1" x14ac:dyDescent="0.2">
      <c r="B406" s="638"/>
      <c r="C406" s="638"/>
      <c r="D406" s="638"/>
      <c r="E406" s="162" t="str">
        <f>IF(Rent_Roll[[#This Row],[Floor-
plan]]="studio",0,LEFT(Rent_Roll[[#This Row],[Floor-
plan]],1))</f>
        <v/>
      </c>
      <c r="F406" s="162" t="str" cm="1">
        <f t="array" ref="F40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06" s="1349"/>
      <c r="H406" s="722"/>
      <c r="J406" s="1337" t="str" cm="1">
        <f t="array" ref="J40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06" s="1350"/>
      <c r="L406" s="150"/>
      <c r="M406" s="1339" t="str" cm="1">
        <f t="array" ref="M406">_xlfn.IFS(Rent_Roll[[#This Row],[Lease
Exp]]="","",Rent_Roll[[#This Row],[MTM
Lease]]="MTM Lease","--",Rent_Roll[[#This Row],[Lease
Exp]]&gt;0,(DATEDIF(Rent_Roll[[#This Row],[Lease
Start]],Rent_Roll[[#This Row],[Lease
Exp]],"m")+1))</f>
        <v/>
      </c>
      <c r="N406" s="1337" t="str">
        <f>IF(OR(Rent_Roll[[#This Row],[MTM Fee]]="",Rent_Roll[[#This Row],[MTM Fee]]=0),"","MTM Lease")</f>
        <v/>
      </c>
      <c r="O406" s="1340" t="str">
        <f>IFERROR(IF(Rent_Roll[[#This Row],[Lease
Exp]]="","",DATEDIF($F$3,Rent_Roll[[#This Row],[Lease
Exp]],"m")+1),0)</f>
        <v/>
      </c>
      <c r="P406" s="155"/>
      <c r="Q406" s="1342" t="str" cm="1">
        <f t="array" ref="Q40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06" s="1351"/>
      <c r="S406" s="550"/>
      <c r="T406" s="550"/>
      <c r="U406" s="550">
        <f>Rent_Roll[[#This Row],[Lease
Rent]]+Rent_Roll[[#This Row],[Corp
Rent]]</f>
        <v>0</v>
      </c>
      <c r="V406" s="1344">
        <f>IF(Rent_Roll[[#This Row],[Total In-Place
Rent]]=0,0,Rent_Roll[[#This Row],[Total In-Place
Rent]]-Rent_Roll[[#This Row],[Market
Rent]])</f>
        <v>0</v>
      </c>
      <c r="W406" s="1351"/>
      <c r="X406" s="723"/>
      <c r="Y406" s="723"/>
      <c r="Z406" s="723"/>
      <c r="AA406" s="1345"/>
      <c r="AB406" s="723"/>
      <c r="AC406" s="723"/>
      <c r="AD406" s="723"/>
      <c r="AE406" s="723"/>
      <c r="AF406" s="723"/>
      <c r="AG406" s="147"/>
      <c r="AH406" s="147"/>
      <c r="AI406" s="1348" t="str">
        <f>IF(Rent_Roll[[#This Row],[Future
Lease Start]]="","",DATEDIF(Rent_Roll[[#This Row],[Future
Lease Start]],Rent_Roll[[#This Row],[Future
Lease Exp]],"m")+1)</f>
        <v/>
      </c>
      <c r="AJ406" s="1347"/>
    </row>
    <row r="407" spans="2:36" hidden="1" outlineLevel="1" x14ac:dyDescent="0.2">
      <c r="B407" s="638"/>
      <c r="C407" s="638"/>
      <c r="D407" s="638"/>
      <c r="E407" s="162" t="str">
        <f>IF(Rent_Roll[[#This Row],[Floor-
plan]]="studio",0,LEFT(Rent_Roll[[#This Row],[Floor-
plan]],1))</f>
        <v/>
      </c>
      <c r="F407" s="162" t="str" cm="1">
        <f t="array" ref="F40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07" s="1349"/>
      <c r="H407" s="722"/>
      <c r="J407" s="1337" t="str" cm="1">
        <f t="array" ref="J40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07" s="1350"/>
      <c r="L407" s="150"/>
      <c r="M407" s="1339" t="str" cm="1">
        <f t="array" ref="M407">_xlfn.IFS(Rent_Roll[[#This Row],[Lease
Exp]]="","",Rent_Roll[[#This Row],[MTM
Lease]]="MTM Lease","--",Rent_Roll[[#This Row],[Lease
Exp]]&gt;0,(DATEDIF(Rent_Roll[[#This Row],[Lease
Start]],Rent_Roll[[#This Row],[Lease
Exp]],"m")+1))</f>
        <v/>
      </c>
      <c r="N407" s="1337" t="str">
        <f>IF(OR(Rent_Roll[[#This Row],[MTM Fee]]="",Rent_Roll[[#This Row],[MTM Fee]]=0),"","MTM Lease")</f>
        <v/>
      </c>
      <c r="O407" s="1340" t="str">
        <f>IFERROR(IF(Rent_Roll[[#This Row],[Lease
Exp]]="","",DATEDIF($F$3,Rent_Roll[[#This Row],[Lease
Exp]],"m")+1),0)</f>
        <v/>
      </c>
      <c r="P407" s="155"/>
      <c r="Q407" s="1342" t="str" cm="1">
        <f t="array" ref="Q40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07" s="1351"/>
      <c r="S407" s="550"/>
      <c r="T407" s="550"/>
      <c r="U407" s="550">
        <f>Rent_Roll[[#This Row],[Lease
Rent]]+Rent_Roll[[#This Row],[Corp
Rent]]</f>
        <v>0</v>
      </c>
      <c r="V407" s="1344">
        <f>IF(Rent_Roll[[#This Row],[Total In-Place
Rent]]=0,0,Rent_Roll[[#This Row],[Total In-Place
Rent]]-Rent_Roll[[#This Row],[Market
Rent]])</f>
        <v>0</v>
      </c>
      <c r="W407" s="1351"/>
      <c r="X407" s="723"/>
      <c r="Y407" s="723"/>
      <c r="Z407" s="723"/>
      <c r="AA407" s="1345"/>
      <c r="AB407" s="723"/>
      <c r="AC407" s="723"/>
      <c r="AD407" s="723"/>
      <c r="AE407" s="723"/>
      <c r="AF407" s="723"/>
      <c r="AG407" s="147"/>
      <c r="AH407" s="147"/>
      <c r="AI407" s="1348" t="str">
        <f>IF(Rent_Roll[[#This Row],[Future
Lease Start]]="","",DATEDIF(Rent_Roll[[#This Row],[Future
Lease Start]],Rent_Roll[[#This Row],[Future
Lease Exp]],"m")+1)</f>
        <v/>
      </c>
      <c r="AJ407" s="1347"/>
    </row>
    <row r="408" spans="2:36" hidden="1" outlineLevel="1" x14ac:dyDescent="0.2">
      <c r="B408" s="638"/>
      <c r="C408" s="638"/>
      <c r="D408" s="638"/>
      <c r="E408" s="162" t="str">
        <f>IF(Rent_Roll[[#This Row],[Floor-
plan]]="studio",0,LEFT(Rent_Roll[[#This Row],[Floor-
plan]],1))</f>
        <v/>
      </c>
      <c r="F408" s="162" t="str" cm="1">
        <f t="array" ref="F40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08" s="1349"/>
      <c r="H408" s="722"/>
      <c r="J408" s="1337" t="str" cm="1">
        <f t="array" ref="J40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08" s="1350"/>
      <c r="L408" s="150"/>
      <c r="M408" s="1339" t="str" cm="1">
        <f t="array" ref="M408">_xlfn.IFS(Rent_Roll[[#This Row],[Lease
Exp]]="","",Rent_Roll[[#This Row],[MTM
Lease]]="MTM Lease","--",Rent_Roll[[#This Row],[Lease
Exp]]&gt;0,(DATEDIF(Rent_Roll[[#This Row],[Lease
Start]],Rent_Roll[[#This Row],[Lease
Exp]],"m")+1))</f>
        <v/>
      </c>
      <c r="N408" s="1337" t="str">
        <f>IF(OR(Rent_Roll[[#This Row],[MTM Fee]]="",Rent_Roll[[#This Row],[MTM Fee]]=0),"","MTM Lease")</f>
        <v/>
      </c>
      <c r="O408" s="1340" t="str">
        <f>IFERROR(IF(Rent_Roll[[#This Row],[Lease
Exp]]="","",DATEDIF($F$3,Rent_Roll[[#This Row],[Lease
Exp]],"m")+1),0)</f>
        <v/>
      </c>
      <c r="P408" s="155"/>
      <c r="Q408" s="1342" t="str" cm="1">
        <f t="array" ref="Q40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08" s="1351"/>
      <c r="S408" s="550"/>
      <c r="T408" s="550"/>
      <c r="U408" s="550">
        <f>Rent_Roll[[#This Row],[Lease
Rent]]+Rent_Roll[[#This Row],[Corp
Rent]]</f>
        <v>0</v>
      </c>
      <c r="V408" s="1344">
        <f>IF(Rent_Roll[[#This Row],[Total In-Place
Rent]]=0,0,Rent_Roll[[#This Row],[Total In-Place
Rent]]-Rent_Roll[[#This Row],[Market
Rent]])</f>
        <v>0</v>
      </c>
      <c r="W408" s="1351"/>
      <c r="X408" s="723"/>
      <c r="Y408" s="723"/>
      <c r="Z408" s="723"/>
      <c r="AA408" s="1345"/>
      <c r="AB408" s="723"/>
      <c r="AC408" s="723"/>
      <c r="AD408" s="723"/>
      <c r="AE408" s="723"/>
      <c r="AF408" s="723"/>
      <c r="AG408" s="147"/>
      <c r="AH408" s="147"/>
      <c r="AI408" s="1348" t="str">
        <f>IF(Rent_Roll[[#This Row],[Future
Lease Start]]="","",DATEDIF(Rent_Roll[[#This Row],[Future
Lease Start]],Rent_Roll[[#This Row],[Future
Lease Exp]],"m")+1)</f>
        <v/>
      </c>
      <c r="AJ408" s="1347"/>
    </row>
    <row r="409" spans="2:36" hidden="1" outlineLevel="1" x14ac:dyDescent="0.2">
      <c r="B409" s="638"/>
      <c r="C409" s="638"/>
      <c r="D409" s="638"/>
      <c r="E409" s="162" t="str">
        <f>IF(Rent_Roll[[#This Row],[Floor-
plan]]="studio",0,LEFT(Rent_Roll[[#This Row],[Floor-
plan]],1))</f>
        <v/>
      </c>
      <c r="F409" s="162" t="str" cm="1">
        <f t="array" ref="F40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09" s="1349"/>
      <c r="H409" s="722"/>
      <c r="J409" s="1337" t="str" cm="1">
        <f t="array" ref="J40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09" s="1350"/>
      <c r="L409" s="150"/>
      <c r="M409" s="1339" t="str" cm="1">
        <f t="array" ref="M409">_xlfn.IFS(Rent_Roll[[#This Row],[Lease
Exp]]="","",Rent_Roll[[#This Row],[MTM
Lease]]="MTM Lease","--",Rent_Roll[[#This Row],[Lease
Exp]]&gt;0,(DATEDIF(Rent_Roll[[#This Row],[Lease
Start]],Rent_Roll[[#This Row],[Lease
Exp]],"m")+1))</f>
        <v/>
      </c>
      <c r="N409" s="1337" t="str">
        <f>IF(OR(Rent_Roll[[#This Row],[MTM Fee]]="",Rent_Roll[[#This Row],[MTM Fee]]=0),"","MTM Lease")</f>
        <v/>
      </c>
      <c r="O409" s="1340" t="str">
        <f>IFERROR(IF(Rent_Roll[[#This Row],[Lease
Exp]]="","",DATEDIF($F$3,Rent_Roll[[#This Row],[Lease
Exp]],"m")+1),0)</f>
        <v/>
      </c>
      <c r="P409" s="155"/>
      <c r="Q409" s="1342" t="str" cm="1">
        <f t="array" ref="Q40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09" s="1351"/>
      <c r="S409" s="550"/>
      <c r="T409" s="550"/>
      <c r="U409" s="550">
        <f>Rent_Roll[[#This Row],[Lease
Rent]]+Rent_Roll[[#This Row],[Corp
Rent]]</f>
        <v>0</v>
      </c>
      <c r="V409" s="1344">
        <f>IF(Rent_Roll[[#This Row],[Total In-Place
Rent]]=0,0,Rent_Roll[[#This Row],[Total In-Place
Rent]]-Rent_Roll[[#This Row],[Market
Rent]])</f>
        <v>0</v>
      </c>
      <c r="W409" s="1351"/>
      <c r="X409" s="723"/>
      <c r="Y409" s="723"/>
      <c r="Z409" s="723"/>
      <c r="AA409" s="1345"/>
      <c r="AB409" s="723"/>
      <c r="AC409" s="723"/>
      <c r="AD409" s="723"/>
      <c r="AE409" s="723"/>
      <c r="AF409" s="723"/>
      <c r="AG409" s="147"/>
      <c r="AH409" s="147"/>
      <c r="AI409" s="1348" t="str">
        <f>IF(Rent_Roll[[#This Row],[Future
Lease Start]]="","",DATEDIF(Rent_Roll[[#This Row],[Future
Lease Start]],Rent_Roll[[#This Row],[Future
Lease Exp]],"m")+1)</f>
        <v/>
      </c>
      <c r="AJ409" s="1347"/>
    </row>
    <row r="410" spans="2:36" hidden="1" outlineLevel="1" x14ac:dyDescent="0.2">
      <c r="B410" s="638"/>
      <c r="C410" s="638"/>
      <c r="D410" s="638"/>
      <c r="E410" s="162" t="str">
        <f>IF(Rent_Roll[[#This Row],[Floor-
plan]]="studio",0,LEFT(Rent_Roll[[#This Row],[Floor-
plan]],1))</f>
        <v/>
      </c>
      <c r="F410" s="162" t="str" cm="1">
        <f t="array" ref="F410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10" s="1349"/>
      <c r="H410" s="722"/>
      <c r="J410" s="1337" t="str" cm="1">
        <f t="array" ref="J410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10" s="1350"/>
      <c r="L410" s="150"/>
      <c r="M410" s="1339" t="str" cm="1">
        <f t="array" ref="M410">_xlfn.IFS(Rent_Roll[[#This Row],[Lease
Exp]]="","",Rent_Roll[[#This Row],[MTM
Lease]]="MTM Lease","--",Rent_Roll[[#This Row],[Lease
Exp]]&gt;0,(DATEDIF(Rent_Roll[[#This Row],[Lease
Start]],Rent_Roll[[#This Row],[Lease
Exp]],"m")+1))</f>
        <v/>
      </c>
      <c r="N410" s="1337" t="str">
        <f>IF(OR(Rent_Roll[[#This Row],[MTM Fee]]="",Rent_Roll[[#This Row],[MTM Fee]]=0),"","MTM Lease")</f>
        <v/>
      </c>
      <c r="O410" s="1340" t="str">
        <f>IFERROR(IF(Rent_Roll[[#This Row],[Lease
Exp]]="","",DATEDIF($F$3,Rent_Roll[[#This Row],[Lease
Exp]],"m")+1),0)</f>
        <v/>
      </c>
      <c r="P410" s="155"/>
      <c r="Q410" s="1342" t="str" cm="1">
        <f t="array" ref="Q410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10" s="1351"/>
      <c r="S410" s="550"/>
      <c r="T410" s="550"/>
      <c r="U410" s="550">
        <f>Rent_Roll[[#This Row],[Lease
Rent]]+Rent_Roll[[#This Row],[Corp
Rent]]</f>
        <v>0</v>
      </c>
      <c r="V410" s="1344">
        <f>IF(Rent_Roll[[#This Row],[Total In-Place
Rent]]=0,0,Rent_Roll[[#This Row],[Total In-Place
Rent]]-Rent_Roll[[#This Row],[Market
Rent]])</f>
        <v>0</v>
      </c>
      <c r="W410" s="1351"/>
      <c r="X410" s="723"/>
      <c r="Y410" s="723"/>
      <c r="Z410" s="723"/>
      <c r="AA410" s="1345"/>
      <c r="AB410" s="723"/>
      <c r="AC410" s="723"/>
      <c r="AD410" s="723"/>
      <c r="AE410" s="723"/>
      <c r="AF410" s="723"/>
      <c r="AG410" s="147"/>
      <c r="AH410" s="147"/>
      <c r="AI410" s="1348" t="str">
        <f>IF(Rent_Roll[[#This Row],[Future
Lease Start]]="","",DATEDIF(Rent_Roll[[#This Row],[Future
Lease Start]],Rent_Roll[[#This Row],[Future
Lease Exp]],"m")+1)</f>
        <v/>
      </c>
      <c r="AJ410" s="1347"/>
    </row>
    <row r="411" spans="2:36" hidden="1" outlineLevel="1" x14ac:dyDescent="0.2">
      <c r="B411" s="638"/>
      <c r="C411" s="638"/>
      <c r="D411" s="638"/>
      <c r="E411" s="162" t="str">
        <f>IF(Rent_Roll[[#This Row],[Floor-
plan]]="studio",0,LEFT(Rent_Roll[[#This Row],[Floor-
plan]],1))</f>
        <v/>
      </c>
      <c r="F411" s="162" t="str" cm="1">
        <f t="array" ref="F411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11" s="1349"/>
      <c r="H411" s="722"/>
      <c r="J411" s="1337" t="str" cm="1">
        <f t="array" ref="J411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11" s="1350"/>
      <c r="L411" s="150"/>
      <c r="M411" s="1339" t="str" cm="1">
        <f t="array" ref="M411">_xlfn.IFS(Rent_Roll[[#This Row],[Lease
Exp]]="","",Rent_Roll[[#This Row],[MTM
Lease]]="MTM Lease","--",Rent_Roll[[#This Row],[Lease
Exp]]&gt;0,(DATEDIF(Rent_Roll[[#This Row],[Lease
Start]],Rent_Roll[[#This Row],[Lease
Exp]],"m")+1))</f>
        <v/>
      </c>
      <c r="N411" s="1337" t="str">
        <f>IF(OR(Rent_Roll[[#This Row],[MTM Fee]]="",Rent_Roll[[#This Row],[MTM Fee]]=0),"","MTM Lease")</f>
        <v/>
      </c>
      <c r="O411" s="1340" t="str">
        <f>IFERROR(IF(Rent_Roll[[#This Row],[Lease
Exp]]="","",DATEDIF($F$3,Rent_Roll[[#This Row],[Lease
Exp]],"m")+1),0)</f>
        <v/>
      </c>
      <c r="P411" s="155"/>
      <c r="Q411" s="1342" t="str" cm="1">
        <f t="array" ref="Q411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11" s="1351"/>
      <c r="S411" s="550"/>
      <c r="T411" s="550"/>
      <c r="U411" s="550">
        <f>Rent_Roll[[#This Row],[Lease
Rent]]+Rent_Roll[[#This Row],[Corp
Rent]]</f>
        <v>0</v>
      </c>
      <c r="V411" s="1344">
        <f>IF(Rent_Roll[[#This Row],[Total In-Place
Rent]]=0,0,Rent_Roll[[#This Row],[Total In-Place
Rent]]-Rent_Roll[[#This Row],[Market
Rent]])</f>
        <v>0</v>
      </c>
      <c r="W411" s="1351"/>
      <c r="X411" s="723"/>
      <c r="Y411" s="723"/>
      <c r="Z411" s="723"/>
      <c r="AA411" s="1345"/>
      <c r="AB411" s="723"/>
      <c r="AC411" s="723"/>
      <c r="AD411" s="723"/>
      <c r="AE411" s="723"/>
      <c r="AF411" s="723"/>
      <c r="AG411" s="147"/>
      <c r="AH411" s="147"/>
      <c r="AI411" s="1348" t="str">
        <f>IF(Rent_Roll[[#This Row],[Future
Lease Start]]="","",DATEDIF(Rent_Roll[[#This Row],[Future
Lease Start]],Rent_Roll[[#This Row],[Future
Lease Exp]],"m")+1)</f>
        <v/>
      </c>
      <c r="AJ411" s="1347"/>
    </row>
    <row r="412" spans="2:36" hidden="1" outlineLevel="1" x14ac:dyDescent="0.2">
      <c r="B412" s="638"/>
      <c r="C412" s="638"/>
      <c r="D412" s="638"/>
      <c r="E412" s="162" t="str">
        <f>IF(Rent_Roll[[#This Row],[Floor-
plan]]="studio",0,LEFT(Rent_Roll[[#This Row],[Floor-
plan]],1))</f>
        <v/>
      </c>
      <c r="F412" s="162" t="str" cm="1">
        <f t="array" ref="F412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12" s="1349"/>
      <c r="H412" s="722"/>
      <c r="J412" s="1337" t="str" cm="1">
        <f t="array" ref="J412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12" s="1350"/>
      <c r="L412" s="150"/>
      <c r="M412" s="1339" t="str" cm="1">
        <f t="array" ref="M412">_xlfn.IFS(Rent_Roll[[#This Row],[Lease
Exp]]="","",Rent_Roll[[#This Row],[MTM
Lease]]="MTM Lease","--",Rent_Roll[[#This Row],[Lease
Exp]]&gt;0,(DATEDIF(Rent_Roll[[#This Row],[Lease
Start]],Rent_Roll[[#This Row],[Lease
Exp]],"m")+1))</f>
        <v/>
      </c>
      <c r="N412" s="1337" t="str">
        <f>IF(OR(Rent_Roll[[#This Row],[MTM Fee]]="",Rent_Roll[[#This Row],[MTM Fee]]=0),"","MTM Lease")</f>
        <v/>
      </c>
      <c r="O412" s="1340" t="str">
        <f>IFERROR(IF(Rent_Roll[[#This Row],[Lease
Exp]]="","",DATEDIF($F$3,Rent_Roll[[#This Row],[Lease
Exp]],"m")+1),0)</f>
        <v/>
      </c>
      <c r="P412" s="155"/>
      <c r="Q412" s="1342" t="str" cm="1">
        <f t="array" ref="Q412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12" s="1351"/>
      <c r="S412" s="550"/>
      <c r="T412" s="550"/>
      <c r="U412" s="550">
        <f>Rent_Roll[[#This Row],[Lease
Rent]]+Rent_Roll[[#This Row],[Corp
Rent]]</f>
        <v>0</v>
      </c>
      <c r="V412" s="1344">
        <f>IF(Rent_Roll[[#This Row],[Total In-Place
Rent]]=0,0,Rent_Roll[[#This Row],[Total In-Place
Rent]]-Rent_Roll[[#This Row],[Market
Rent]])</f>
        <v>0</v>
      </c>
      <c r="W412" s="1351"/>
      <c r="X412" s="723"/>
      <c r="Y412" s="723"/>
      <c r="Z412" s="723"/>
      <c r="AA412" s="1345"/>
      <c r="AB412" s="723"/>
      <c r="AC412" s="723"/>
      <c r="AD412" s="723"/>
      <c r="AE412" s="723"/>
      <c r="AF412" s="723"/>
      <c r="AG412" s="147"/>
      <c r="AH412" s="147"/>
      <c r="AI412" s="1348" t="str">
        <f>IF(Rent_Roll[[#This Row],[Future
Lease Start]]="","",DATEDIF(Rent_Roll[[#This Row],[Future
Lease Start]],Rent_Roll[[#This Row],[Future
Lease Exp]],"m")+1)</f>
        <v/>
      </c>
      <c r="AJ412" s="1347"/>
    </row>
    <row r="413" spans="2:36" hidden="1" outlineLevel="1" x14ac:dyDescent="0.2">
      <c r="B413" s="638"/>
      <c r="C413" s="638"/>
      <c r="D413" s="638"/>
      <c r="E413" s="162" t="str">
        <f>IF(Rent_Roll[[#This Row],[Floor-
plan]]="studio",0,LEFT(Rent_Roll[[#This Row],[Floor-
plan]],1))</f>
        <v/>
      </c>
      <c r="F413" s="162" t="str" cm="1">
        <f t="array" ref="F413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13" s="1349"/>
      <c r="H413" s="722"/>
      <c r="J413" s="1337" t="str" cm="1">
        <f t="array" ref="J413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13" s="1350"/>
      <c r="L413" s="150"/>
      <c r="M413" s="1339" t="str" cm="1">
        <f t="array" ref="M413">_xlfn.IFS(Rent_Roll[[#This Row],[Lease
Exp]]="","",Rent_Roll[[#This Row],[MTM
Lease]]="MTM Lease","--",Rent_Roll[[#This Row],[Lease
Exp]]&gt;0,(DATEDIF(Rent_Roll[[#This Row],[Lease
Start]],Rent_Roll[[#This Row],[Lease
Exp]],"m")+1))</f>
        <v/>
      </c>
      <c r="N413" s="1337" t="str">
        <f>IF(OR(Rent_Roll[[#This Row],[MTM Fee]]="",Rent_Roll[[#This Row],[MTM Fee]]=0),"","MTM Lease")</f>
        <v/>
      </c>
      <c r="O413" s="1340" t="str">
        <f>IFERROR(IF(Rent_Roll[[#This Row],[Lease
Exp]]="","",DATEDIF($F$3,Rent_Roll[[#This Row],[Lease
Exp]],"m")+1),0)</f>
        <v/>
      </c>
      <c r="P413" s="155"/>
      <c r="Q413" s="1342" t="str" cm="1">
        <f t="array" ref="Q413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13" s="1351"/>
      <c r="S413" s="550"/>
      <c r="T413" s="550"/>
      <c r="U413" s="550">
        <f>Rent_Roll[[#This Row],[Lease
Rent]]+Rent_Roll[[#This Row],[Corp
Rent]]</f>
        <v>0</v>
      </c>
      <c r="V413" s="1344">
        <f>IF(Rent_Roll[[#This Row],[Total In-Place
Rent]]=0,0,Rent_Roll[[#This Row],[Total In-Place
Rent]]-Rent_Roll[[#This Row],[Market
Rent]])</f>
        <v>0</v>
      </c>
      <c r="W413" s="1351"/>
      <c r="X413" s="723"/>
      <c r="Y413" s="723"/>
      <c r="Z413" s="723"/>
      <c r="AA413" s="1345"/>
      <c r="AB413" s="723"/>
      <c r="AC413" s="723"/>
      <c r="AD413" s="723"/>
      <c r="AE413" s="723"/>
      <c r="AF413" s="723"/>
      <c r="AG413" s="147"/>
      <c r="AH413" s="147"/>
      <c r="AI413" s="1348" t="str">
        <f>IF(Rent_Roll[[#This Row],[Future
Lease Start]]="","",DATEDIF(Rent_Roll[[#This Row],[Future
Lease Start]],Rent_Roll[[#This Row],[Future
Lease Exp]],"m")+1)</f>
        <v/>
      </c>
      <c r="AJ413" s="1347"/>
    </row>
    <row r="414" spans="2:36" hidden="1" outlineLevel="1" x14ac:dyDescent="0.2">
      <c r="B414" s="638"/>
      <c r="C414" s="638"/>
      <c r="D414" s="638"/>
      <c r="E414" s="162" t="str">
        <f>IF(Rent_Roll[[#This Row],[Floor-
plan]]="studio",0,LEFT(Rent_Roll[[#This Row],[Floor-
plan]],1))</f>
        <v/>
      </c>
      <c r="F414" s="162" t="str" cm="1">
        <f t="array" ref="F414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14" s="1349"/>
      <c r="H414" s="722"/>
      <c r="J414" s="1337" t="str" cm="1">
        <f t="array" ref="J414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14" s="1350"/>
      <c r="L414" s="150"/>
      <c r="M414" s="1339" t="str" cm="1">
        <f t="array" ref="M414">_xlfn.IFS(Rent_Roll[[#This Row],[Lease
Exp]]="","",Rent_Roll[[#This Row],[MTM
Lease]]="MTM Lease","--",Rent_Roll[[#This Row],[Lease
Exp]]&gt;0,(DATEDIF(Rent_Roll[[#This Row],[Lease
Start]],Rent_Roll[[#This Row],[Lease
Exp]],"m")+1))</f>
        <v/>
      </c>
      <c r="N414" s="1337" t="str">
        <f>IF(OR(Rent_Roll[[#This Row],[MTM Fee]]="",Rent_Roll[[#This Row],[MTM Fee]]=0),"","MTM Lease")</f>
        <v/>
      </c>
      <c r="O414" s="1340" t="str">
        <f>IFERROR(IF(Rent_Roll[[#This Row],[Lease
Exp]]="","",DATEDIF($F$3,Rent_Roll[[#This Row],[Lease
Exp]],"m")+1),0)</f>
        <v/>
      </c>
      <c r="P414" s="155"/>
      <c r="Q414" s="1342" t="str" cm="1">
        <f t="array" ref="Q414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14" s="1351"/>
      <c r="S414" s="550"/>
      <c r="T414" s="550"/>
      <c r="U414" s="550">
        <f>Rent_Roll[[#This Row],[Lease
Rent]]+Rent_Roll[[#This Row],[Corp
Rent]]</f>
        <v>0</v>
      </c>
      <c r="V414" s="1344">
        <f>IF(Rent_Roll[[#This Row],[Total In-Place
Rent]]=0,0,Rent_Roll[[#This Row],[Total In-Place
Rent]]-Rent_Roll[[#This Row],[Market
Rent]])</f>
        <v>0</v>
      </c>
      <c r="W414" s="1351"/>
      <c r="X414" s="723"/>
      <c r="Y414" s="723"/>
      <c r="Z414" s="723"/>
      <c r="AA414" s="1345"/>
      <c r="AB414" s="723"/>
      <c r="AC414" s="723"/>
      <c r="AD414" s="723"/>
      <c r="AE414" s="723"/>
      <c r="AF414" s="723"/>
      <c r="AG414" s="147"/>
      <c r="AH414" s="147"/>
      <c r="AI414" s="1348" t="str">
        <f>IF(Rent_Roll[[#This Row],[Future
Lease Start]]="","",DATEDIF(Rent_Roll[[#This Row],[Future
Lease Start]],Rent_Roll[[#This Row],[Future
Lease Exp]],"m")+1)</f>
        <v/>
      </c>
      <c r="AJ414" s="1347"/>
    </row>
    <row r="415" spans="2:36" hidden="1" outlineLevel="1" x14ac:dyDescent="0.2">
      <c r="B415" s="638"/>
      <c r="C415" s="638"/>
      <c r="D415" s="638"/>
      <c r="E415" s="162" t="str">
        <f>IF(Rent_Roll[[#This Row],[Floor-
plan]]="studio",0,LEFT(Rent_Roll[[#This Row],[Floor-
plan]],1))</f>
        <v/>
      </c>
      <c r="F415" s="162" t="str" cm="1">
        <f t="array" ref="F415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15" s="1349"/>
      <c r="H415" s="722"/>
      <c r="J415" s="1337" t="str" cm="1">
        <f t="array" ref="J415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15" s="1350"/>
      <c r="L415" s="150"/>
      <c r="M415" s="1339" t="str" cm="1">
        <f t="array" ref="M415">_xlfn.IFS(Rent_Roll[[#This Row],[Lease
Exp]]="","",Rent_Roll[[#This Row],[MTM
Lease]]="MTM Lease","--",Rent_Roll[[#This Row],[Lease
Exp]]&gt;0,(DATEDIF(Rent_Roll[[#This Row],[Lease
Start]],Rent_Roll[[#This Row],[Lease
Exp]],"m")+1))</f>
        <v/>
      </c>
      <c r="N415" s="1337" t="str">
        <f>IF(OR(Rent_Roll[[#This Row],[MTM Fee]]="",Rent_Roll[[#This Row],[MTM Fee]]=0),"","MTM Lease")</f>
        <v/>
      </c>
      <c r="O415" s="1340" t="str">
        <f>IFERROR(IF(Rent_Roll[[#This Row],[Lease
Exp]]="","",DATEDIF($F$3,Rent_Roll[[#This Row],[Lease
Exp]],"m")+1),0)</f>
        <v/>
      </c>
      <c r="P415" s="155"/>
      <c r="Q415" s="1342" t="str" cm="1">
        <f t="array" ref="Q415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15" s="1351"/>
      <c r="S415" s="550"/>
      <c r="T415" s="550"/>
      <c r="U415" s="550">
        <f>Rent_Roll[[#This Row],[Lease
Rent]]+Rent_Roll[[#This Row],[Corp
Rent]]</f>
        <v>0</v>
      </c>
      <c r="V415" s="1344">
        <f>IF(Rent_Roll[[#This Row],[Total In-Place
Rent]]=0,0,Rent_Roll[[#This Row],[Total In-Place
Rent]]-Rent_Roll[[#This Row],[Market
Rent]])</f>
        <v>0</v>
      </c>
      <c r="W415" s="1351"/>
      <c r="X415" s="723"/>
      <c r="Y415" s="723"/>
      <c r="Z415" s="723"/>
      <c r="AA415" s="1345"/>
      <c r="AB415" s="723"/>
      <c r="AC415" s="723"/>
      <c r="AD415" s="723"/>
      <c r="AE415" s="723"/>
      <c r="AF415" s="723"/>
      <c r="AG415" s="147"/>
      <c r="AH415" s="147"/>
      <c r="AI415" s="1348" t="str">
        <f>IF(Rent_Roll[[#This Row],[Future
Lease Start]]="","",DATEDIF(Rent_Roll[[#This Row],[Future
Lease Start]],Rent_Roll[[#This Row],[Future
Lease Exp]],"m")+1)</f>
        <v/>
      </c>
      <c r="AJ415" s="1347"/>
    </row>
    <row r="416" spans="2:36" hidden="1" outlineLevel="1" x14ac:dyDescent="0.2">
      <c r="B416" s="638"/>
      <c r="C416" s="638"/>
      <c r="D416" s="638"/>
      <c r="E416" s="162" t="str">
        <f>IF(Rent_Roll[[#This Row],[Floor-
plan]]="studio",0,LEFT(Rent_Roll[[#This Row],[Floor-
plan]],1))</f>
        <v/>
      </c>
      <c r="F416" s="162" t="str" cm="1">
        <f t="array" ref="F416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16" s="1349"/>
      <c r="H416" s="722"/>
      <c r="J416" s="1337" t="str" cm="1">
        <f t="array" ref="J416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16" s="1350"/>
      <c r="L416" s="150"/>
      <c r="M416" s="1339" t="str" cm="1">
        <f t="array" ref="M416">_xlfn.IFS(Rent_Roll[[#This Row],[Lease
Exp]]="","",Rent_Roll[[#This Row],[MTM
Lease]]="MTM Lease","--",Rent_Roll[[#This Row],[Lease
Exp]]&gt;0,(DATEDIF(Rent_Roll[[#This Row],[Lease
Start]],Rent_Roll[[#This Row],[Lease
Exp]],"m")+1))</f>
        <v/>
      </c>
      <c r="N416" s="1337" t="str">
        <f>IF(OR(Rent_Roll[[#This Row],[MTM Fee]]="",Rent_Roll[[#This Row],[MTM Fee]]=0),"","MTM Lease")</f>
        <v/>
      </c>
      <c r="O416" s="1340" t="str">
        <f>IFERROR(IF(Rent_Roll[[#This Row],[Lease
Exp]]="","",DATEDIF($F$3,Rent_Roll[[#This Row],[Lease
Exp]],"m")+1),0)</f>
        <v/>
      </c>
      <c r="P416" s="155"/>
      <c r="Q416" s="1342" t="str" cm="1">
        <f t="array" ref="Q416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16" s="1351"/>
      <c r="S416" s="550"/>
      <c r="T416" s="550"/>
      <c r="U416" s="550">
        <f>Rent_Roll[[#This Row],[Lease
Rent]]+Rent_Roll[[#This Row],[Corp
Rent]]</f>
        <v>0</v>
      </c>
      <c r="V416" s="1344">
        <f>IF(Rent_Roll[[#This Row],[Total In-Place
Rent]]=0,0,Rent_Roll[[#This Row],[Total In-Place
Rent]]-Rent_Roll[[#This Row],[Market
Rent]])</f>
        <v>0</v>
      </c>
      <c r="W416" s="1351"/>
      <c r="X416" s="723"/>
      <c r="Y416" s="723"/>
      <c r="Z416" s="723"/>
      <c r="AA416" s="1345"/>
      <c r="AB416" s="723"/>
      <c r="AC416" s="723"/>
      <c r="AD416" s="723"/>
      <c r="AE416" s="723"/>
      <c r="AF416" s="723"/>
      <c r="AG416" s="147"/>
      <c r="AH416" s="147"/>
      <c r="AI416" s="1348" t="str">
        <f>IF(Rent_Roll[[#This Row],[Future
Lease Start]]="","",DATEDIF(Rent_Roll[[#This Row],[Future
Lease Start]],Rent_Roll[[#This Row],[Future
Lease Exp]],"m")+1)</f>
        <v/>
      </c>
      <c r="AJ416" s="1347"/>
    </row>
    <row r="417" spans="2:36" hidden="1" outlineLevel="1" x14ac:dyDescent="0.2">
      <c r="B417" s="638"/>
      <c r="C417" s="638"/>
      <c r="D417" s="638"/>
      <c r="E417" s="162" t="str">
        <f>IF(Rent_Roll[[#This Row],[Floor-
plan]]="studio",0,LEFT(Rent_Roll[[#This Row],[Floor-
plan]],1))</f>
        <v/>
      </c>
      <c r="F417" s="162" t="str" cm="1">
        <f t="array" ref="F417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17" s="1349"/>
      <c r="H417" s="722"/>
      <c r="J417" s="1337" t="str" cm="1">
        <f t="array" ref="J417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17" s="1350"/>
      <c r="L417" s="150"/>
      <c r="M417" s="1339" t="str" cm="1">
        <f t="array" ref="M417">_xlfn.IFS(Rent_Roll[[#This Row],[Lease
Exp]]="","",Rent_Roll[[#This Row],[MTM
Lease]]="MTM Lease","--",Rent_Roll[[#This Row],[Lease
Exp]]&gt;0,(DATEDIF(Rent_Roll[[#This Row],[Lease
Start]],Rent_Roll[[#This Row],[Lease
Exp]],"m")+1))</f>
        <v/>
      </c>
      <c r="N417" s="1337" t="str">
        <f>IF(OR(Rent_Roll[[#This Row],[MTM Fee]]="",Rent_Roll[[#This Row],[MTM Fee]]=0),"","MTM Lease")</f>
        <v/>
      </c>
      <c r="O417" s="1340" t="str">
        <f>IFERROR(IF(Rent_Roll[[#This Row],[Lease
Exp]]="","",DATEDIF($F$3,Rent_Roll[[#This Row],[Lease
Exp]],"m")+1),0)</f>
        <v/>
      </c>
      <c r="P417" s="155"/>
      <c r="Q417" s="1342" t="str" cm="1">
        <f t="array" ref="Q417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17" s="1351"/>
      <c r="S417" s="550"/>
      <c r="T417" s="550"/>
      <c r="U417" s="550">
        <f>Rent_Roll[[#This Row],[Lease
Rent]]+Rent_Roll[[#This Row],[Corp
Rent]]</f>
        <v>0</v>
      </c>
      <c r="V417" s="1344">
        <f>IF(Rent_Roll[[#This Row],[Total In-Place
Rent]]=0,0,Rent_Roll[[#This Row],[Total In-Place
Rent]]-Rent_Roll[[#This Row],[Market
Rent]])</f>
        <v>0</v>
      </c>
      <c r="W417" s="1351"/>
      <c r="X417" s="723"/>
      <c r="Y417" s="723"/>
      <c r="Z417" s="723"/>
      <c r="AA417" s="1345"/>
      <c r="AB417" s="723"/>
      <c r="AC417" s="723"/>
      <c r="AD417" s="723"/>
      <c r="AE417" s="723"/>
      <c r="AF417" s="723"/>
      <c r="AG417" s="147"/>
      <c r="AH417" s="147"/>
      <c r="AI417" s="1348" t="str">
        <f>IF(Rent_Roll[[#This Row],[Future
Lease Start]]="","",DATEDIF(Rent_Roll[[#This Row],[Future
Lease Start]],Rent_Roll[[#This Row],[Future
Lease Exp]],"m")+1)</f>
        <v/>
      </c>
      <c r="AJ417" s="1347"/>
    </row>
    <row r="418" spans="2:36" hidden="1" outlineLevel="1" x14ac:dyDescent="0.2">
      <c r="B418" s="638"/>
      <c r="C418" s="638"/>
      <c r="D418" s="638"/>
      <c r="E418" s="162" t="str">
        <f>IF(Rent_Roll[[#This Row],[Floor-
plan]]="studio",0,LEFT(Rent_Roll[[#This Row],[Floor-
plan]],1))</f>
        <v/>
      </c>
      <c r="F418" s="162" t="str" cm="1">
        <f t="array" ref="F418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18" s="1349"/>
      <c r="H418" s="722"/>
      <c r="J418" s="1337" t="str" cm="1">
        <f t="array" ref="J418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18" s="1350"/>
      <c r="L418" s="150"/>
      <c r="M418" s="1339" t="str" cm="1">
        <f t="array" ref="M418">_xlfn.IFS(Rent_Roll[[#This Row],[Lease
Exp]]="","",Rent_Roll[[#This Row],[MTM
Lease]]="MTM Lease","--",Rent_Roll[[#This Row],[Lease
Exp]]&gt;0,(DATEDIF(Rent_Roll[[#This Row],[Lease
Start]],Rent_Roll[[#This Row],[Lease
Exp]],"m")+1))</f>
        <v/>
      </c>
      <c r="N418" s="1337" t="str">
        <f>IF(OR(Rent_Roll[[#This Row],[MTM Fee]]="",Rent_Roll[[#This Row],[MTM Fee]]=0),"","MTM Lease")</f>
        <v/>
      </c>
      <c r="O418" s="1340" t="str">
        <f>IFERROR(IF(Rent_Roll[[#This Row],[Lease
Exp]]="","",DATEDIF($F$3,Rent_Roll[[#This Row],[Lease
Exp]],"m")+1),0)</f>
        <v/>
      </c>
      <c r="P418" s="155"/>
      <c r="Q418" s="1342" t="str" cm="1">
        <f t="array" ref="Q418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18" s="1351"/>
      <c r="S418" s="550"/>
      <c r="T418" s="550"/>
      <c r="U418" s="550">
        <f>Rent_Roll[[#This Row],[Lease
Rent]]+Rent_Roll[[#This Row],[Corp
Rent]]</f>
        <v>0</v>
      </c>
      <c r="V418" s="1344">
        <f>IF(Rent_Roll[[#This Row],[Total In-Place
Rent]]=0,0,Rent_Roll[[#This Row],[Total In-Place
Rent]]-Rent_Roll[[#This Row],[Market
Rent]])</f>
        <v>0</v>
      </c>
      <c r="W418" s="1351"/>
      <c r="X418" s="723"/>
      <c r="Y418" s="723"/>
      <c r="Z418" s="723"/>
      <c r="AA418" s="1345"/>
      <c r="AB418" s="723"/>
      <c r="AC418" s="723"/>
      <c r="AD418" s="723"/>
      <c r="AE418" s="723"/>
      <c r="AF418" s="723"/>
      <c r="AG418" s="147"/>
      <c r="AH418" s="147"/>
      <c r="AI418" s="1348" t="str">
        <f>IF(Rent_Roll[[#This Row],[Future
Lease Start]]="","",DATEDIF(Rent_Roll[[#This Row],[Future
Lease Start]],Rent_Roll[[#This Row],[Future
Lease Exp]],"m")+1)</f>
        <v/>
      </c>
      <c r="AJ418" s="1347"/>
    </row>
    <row r="419" spans="2:36" hidden="1" outlineLevel="1" x14ac:dyDescent="0.2">
      <c r="B419" s="638"/>
      <c r="C419" s="638"/>
      <c r="D419" s="638"/>
      <c r="E419" s="162" t="str">
        <f>IF(Rent_Roll[[#This Row],[Floor-
plan]]="studio",0,LEFT(Rent_Roll[[#This Row],[Floor-
plan]],1))</f>
        <v/>
      </c>
      <c r="F419" s="162" t="str" cm="1">
        <f t="array" ref="F419">IFERROR(_xlfn.IFS(RIGHT(Rent_Roll[[#This Row],[Floor-
plan]],3)="1.5",1.5,RIGHT(Rent_Roll[[#This Row],[Floor-
plan]],3)="2.5",2.5,RIGHT(Rent_Roll[[#This Row],[Floor-
plan]],3)="3.5",3.5,MID(Rent_Roll[[#This Row],[Floor-
plan]],3,1)="2",2,Rent_Roll[[#This Row],[Floor-
plan]]="studio",1,AND(RIGHT(Rent_Roll[[#This Row],[Floor-
plan]],1)="1",MID(Rent_Roll[[#This Row],[Floor-
plan]],4,1)=""),1),"")</f>
        <v/>
      </c>
      <c r="G419" s="1349"/>
      <c r="H419" s="722"/>
      <c r="J419" s="1337" t="str" cm="1">
        <f t="array" ref="J419">_xlfn.IFS(Rent_Roll[[#This Row],[Floor-
plan]]="","",Rent_Roll[[#This Row],[Renovation
Status]]="",Rent_Roll[[#This Row],[Floor-
plan]],Rent_Roll[[#This Row],[Renovation
Status]]="partial",Rent_Roll[[#This Row],[Floor-
plan]]&amp;" - "&amp;"P",Rent_Roll[[#This Row],[Renovation
Status]]="renovated",Rent_Roll[[#This Row],[Floor-
plan]]&amp;" - "&amp;"R")</f>
        <v/>
      </c>
      <c r="K419" s="1350"/>
      <c r="L419" s="150"/>
      <c r="M419" s="1339" t="str" cm="1">
        <f t="array" ref="M419">_xlfn.IFS(Rent_Roll[[#This Row],[Lease
Exp]]="","",Rent_Roll[[#This Row],[MTM
Lease]]="MTM Lease","--",Rent_Roll[[#This Row],[Lease
Exp]]&gt;0,(DATEDIF(Rent_Roll[[#This Row],[Lease
Start]],Rent_Roll[[#This Row],[Lease
Exp]],"m")+1))</f>
        <v/>
      </c>
      <c r="N419" s="1337" t="str">
        <f>IF(OR(Rent_Roll[[#This Row],[MTM Fee]]="",Rent_Roll[[#This Row],[MTM Fee]]=0),"","MTM Lease")</f>
        <v/>
      </c>
      <c r="O419" s="1340" t="str">
        <f>IFERROR(IF(Rent_Roll[[#This Row],[Lease
Exp]]="","",DATEDIF($F$3,Rent_Roll[[#This Row],[Lease
Exp]],"m")+1),0)</f>
        <v/>
      </c>
      <c r="P419" s="155"/>
      <c r="Q419" s="1342" t="str" cm="1">
        <f t="array" ref="Q419">_xlfn.IFS(AND(Rent_Roll[[#This Row],[Unit
Status]]="vacant",Rent_Roll[[#This Row],[Future
Lease Start]]&gt;0),"VL",Rent_Roll[[#This Row],[Move-Out
Date]]="","",AND(Rent_Roll[[#This Row],[Move-Out
Date]]&gt;0,Rent_Roll[[#This Row],[Future
Lease Start]]=""),"NTV",AND(Rent_Roll[[#This Row],[Move-Out
Date]]&gt;0,Rent_Roll[[#This Row],[Future
Lease Start]]&gt;0),"NTVL")</f>
        <v/>
      </c>
      <c r="R419" s="1351"/>
      <c r="S419" s="550"/>
      <c r="T419" s="550"/>
      <c r="U419" s="550">
        <f>Rent_Roll[[#This Row],[Lease
Rent]]+Rent_Roll[[#This Row],[Corp
Rent]]</f>
        <v>0</v>
      </c>
      <c r="V419" s="1344">
        <f>IF(Rent_Roll[[#This Row],[Total In-Place
Rent]]=0,0,Rent_Roll[[#This Row],[Total In-Place
Rent]]-Rent_Roll[[#This Row],[Market
Rent]])</f>
        <v>0</v>
      </c>
      <c r="W419" s="1351"/>
      <c r="X419" s="723"/>
      <c r="Y419" s="723"/>
      <c r="Z419" s="723"/>
      <c r="AA419" s="1345"/>
      <c r="AB419" s="723"/>
      <c r="AC419" s="723"/>
      <c r="AD419" s="723"/>
      <c r="AE419" s="723"/>
      <c r="AF419" s="723"/>
      <c r="AG419" s="147"/>
      <c r="AH419" s="147"/>
      <c r="AI419" s="1348" t="str">
        <f>IF(Rent_Roll[[#This Row],[Future
Lease Start]]="","",DATEDIF(Rent_Roll[[#This Row],[Future
Lease Start]],Rent_Roll[[#This Row],[Future
Lease Exp]],"m")+1)</f>
        <v/>
      </c>
      <c r="AJ419" s="1347"/>
    </row>
    <row r="420" spans="2:36" collapsed="1" x14ac:dyDescent="0.2">
      <c r="B420" s="1352"/>
      <c r="C420" s="1352">
        <f>SUBTOTAL(103,Rent_Roll[Unit '#])</f>
        <v>244</v>
      </c>
      <c r="D420" s="1352"/>
      <c r="E420" s="1352"/>
      <c r="F420" s="1352"/>
      <c r="G420" s="1353">
        <f>SUBTOTAL(109,Rent_Roll[SqFt])</f>
        <v>233472</v>
      </c>
      <c r="H420" s="1354"/>
      <c r="I420" s="490">
        <f>SUBTOTAL(103,Rent_Roll[Renovation
Status])</f>
        <v>0</v>
      </c>
      <c r="J420" s="1355"/>
      <c r="K420" s="1356"/>
      <c r="L420" s="1354"/>
      <c r="M420" s="1034">
        <f>SUBTOTAL(101,Rent_Roll[Lease Term
(months)])</f>
        <v>12.852017937219731</v>
      </c>
      <c r="N420" s="1357">
        <f>COUNTIF(Rent_Roll[MTM
Lease],"MTM Lease")</f>
        <v>11</v>
      </c>
      <c r="O420" s="1358">
        <f ca="1">SUBTOTAL(101,Rent_Roll[Months
Remaining])</f>
        <v>3.5517241379310347</v>
      </c>
      <c r="P420" s="1359">
        <f>SUBTOTAL(103,Rent_Roll[Move-Out
Date])</f>
        <v>18</v>
      </c>
      <c r="Q420" s="1355"/>
      <c r="R420" s="1360">
        <f>SUBTOTAL(109,Rent_Roll[Market
Rent])</f>
        <v>321310</v>
      </c>
      <c r="S420" s="724">
        <f>SUBTOTAL(109,Rent_Roll[Lease
Rent])</f>
        <v>285890</v>
      </c>
      <c r="T420" s="724">
        <f>SUBTOTAL(109,Rent_Roll[Corp
Rent])</f>
        <v>0</v>
      </c>
      <c r="U420" s="724">
        <f>SUBTOTAL(109,Rent_Roll[Total In-Place
Rent])</f>
        <v>285890</v>
      </c>
      <c r="V420" s="1361">
        <f>SUBTOTAL(109,Rent_Roll[LTL])</f>
        <v>-21825</v>
      </c>
      <c r="W420" s="1360">
        <f>SUBTOTAL(109,Rent_Roll[MTM Fee])</f>
        <v>2200</v>
      </c>
      <c r="X420" s="724">
        <f>SUBTOTAL(109,Rent_Roll[Conc/
Specials])</f>
        <v>0</v>
      </c>
      <c r="Y420" s="724">
        <f>SUBTOTAL(109,Rent_Roll[Pet Rent])</f>
        <v>0</v>
      </c>
      <c r="Z420" s="724">
        <f>SUBTOTAL(109,Rent_Roll[Valet Trash])</f>
        <v>0</v>
      </c>
      <c r="AA420" s="1361">
        <f>SUBTOTAL(109,Rent_Roll[Other
Income2])</f>
        <v>0</v>
      </c>
      <c r="AB420" s="724">
        <f>SUBTOTAL(109,Rent_Roll[Future
Lease Rent])</f>
        <v>0</v>
      </c>
      <c r="AC420" s="724">
        <f>SUBTOTAL(109,Rent_Roll[Future
Corp Rent])</f>
        <v>0</v>
      </c>
      <c r="AD420" s="724">
        <f>SUBTOTAL(109,Rent_Roll[Future
Concessions])</f>
        <v>0</v>
      </c>
      <c r="AE420" s="724">
        <f>SUBTOTAL(109,Rent_Roll[Future
Pet Rent])</f>
        <v>0</v>
      </c>
      <c r="AF420" s="724">
        <f>SUBTOTAL(109,Rent_Roll[Future
Other Income])</f>
        <v>0</v>
      </c>
      <c r="AG420" s="490">
        <f>SUBTOTAL(103,Rent_Roll[Future
Lease Start])</f>
        <v>0</v>
      </c>
      <c r="AH420" s="1354"/>
      <c r="AI420" s="1362" t="e">
        <f>SUBTOTAL(101,Rent_Roll[Future Lease 
Term (Mos)])</f>
        <v>#DIV/0!</v>
      </c>
      <c r="AJ420" s="1363"/>
    </row>
  </sheetData>
  <mergeCells count="8">
    <mergeCell ref="AJ2:AJ6"/>
    <mergeCell ref="B5:G5"/>
    <mergeCell ref="H5:I5"/>
    <mergeCell ref="K5:N5"/>
    <mergeCell ref="O5:Q5"/>
    <mergeCell ref="R5:V5"/>
    <mergeCell ref="W5:AA5"/>
    <mergeCell ref="AB5:AI5"/>
  </mergeCells>
  <conditionalFormatting sqref="M7:M419">
    <cfRule type="cellIs" dxfId="182" priority="5" operator="lessThan">
      <formula>5.5</formula>
    </cfRule>
    <cfRule type="cellIs" dxfId="181" priority="6" operator="between">
      <formula>5.6</formula>
      <formula>11.4</formula>
    </cfRule>
  </conditionalFormatting>
  <conditionalFormatting sqref="O7:O419">
    <cfRule type="cellIs" dxfId="180" priority="3" operator="lessThan">
      <formula>2.4</formula>
    </cfRule>
  </conditionalFormatting>
  <conditionalFormatting sqref="Q7:Q419">
    <cfRule type="endsWith" dxfId="179" priority="1" operator="endsWith" text="V">
      <formula>RIGHT(Q7,LEN("V"))="V"</formula>
    </cfRule>
    <cfRule type="endsWith" dxfId="178" priority="2" operator="endsWith" text="L">
      <formula>RIGHT(Q7,LEN("L"))="L"</formula>
    </cfRule>
  </conditionalFormatting>
  <dataValidations count="2">
    <dataValidation type="list" allowBlank="1" showInputMessage="1" showErrorMessage="1" sqref="H7:H419" xr:uid="{85A50648-3508-4ABD-A31B-914412035896}">
      <formula1>"Occupied,Vacant,Admin/Down"</formula1>
    </dataValidation>
    <dataValidation type="list" allowBlank="1" showInputMessage="1" showErrorMessage="1" sqref="I7:I239" xr:uid="{A8404CEA-598E-4AA4-8C30-C54E102AFEA5}">
      <formula1>"Partial,Renovated,"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144FB7F2-9DA7-4D56-80BD-1EC8F8B134AB}">
            <xm:f>NOT(ISERROR(SEARCH("MTM Lease",N7)))</xm:f>
            <xm:f>"MTM Lease"</xm:f>
            <x14:dxf>
              <font>
                <b/>
                <i val="0"/>
                <color rgb="FFC00000"/>
              </font>
            </x14:dxf>
          </x14:cfRule>
          <xm:sqref>N7:N419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94E1-CF0B-48C1-8C32-AD6F4BA1558C}">
  <sheetPr codeName="Sheet15">
    <tabColor rgb="FF002641"/>
  </sheetPr>
  <dimension ref="A1:FO265"/>
  <sheetViews>
    <sheetView showGridLines="0" zoomScale="85" zoomScaleNormal="85" workbookViewId="0">
      <selection activeCell="B42" sqref="B42"/>
    </sheetView>
  </sheetViews>
  <sheetFormatPr defaultColWidth="8.85546875" defaultRowHeight="14.25" x14ac:dyDescent="0.2"/>
  <cols>
    <col min="1" max="1" width="2.85546875" style="144" customWidth="1"/>
    <col min="2" max="2" width="15.42578125" style="144" customWidth="1"/>
    <col min="3" max="3" width="9.42578125" style="144" bestFit="1" customWidth="1"/>
    <col min="4" max="4" width="13.28515625" style="144" bestFit="1" customWidth="1"/>
    <col min="5" max="5" width="12.28515625" style="144" bestFit="1" customWidth="1"/>
    <col min="6" max="6" width="10.85546875" style="144" bestFit="1" customWidth="1"/>
    <col min="7" max="7" width="13.140625" style="144" customWidth="1"/>
    <col min="8" max="8" width="15.7109375" style="144" customWidth="1"/>
    <col min="9" max="9" width="12.28515625" style="144" customWidth="1"/>
    <col min="10" max="10" width="12.85546875" style="144" bestFit="1" customWidth="1"/>
    <col min="11" max="11" width="12.28515625" style="144" bestFit="1" customWidth="1"/>
    <col min="12" max="12" width="12.140625" style="144" bestFit="1" customWidth="1"/>
    <col min="13" max="13" width="11.7109375" style="144" customWidth="1"/>
    <col min="14" max="14" width="16.140625" style="144" customWidth="1"/>
    <col min="15" max="15" width="16.7109375" style="144" customWidth="1"/>
    <col min="16" max="16" width="11.85546875" style="144" bestFit="1" customWidth="1"/>
    <col min="17" max="17" width="12.42578125" style="144" bestFit="1" customWidth="1"/>
    <col min="18" max="18" width="3.140625" style="144" customWidth="1"/>
    <col min="19" max="19" width="17" style="144" customWidth="1"/>
    <col min="20" max="20" width="11.5703125" style="144" customWidth="1"/>
    <col min="21" max="21" width="12.42578125" style="144" bestFit="1" customWidth="1"/>
    <col min="22" max="22" width="12.28515625" style="144" bestFit="1" customWidth="1"/>
    <col min="23" max="23" width="3.7109375" style="144" customWidth="1"/>
    <col min="24" max="24" width="16.5703125" style="144" customWidth="1"/>
    <col min="25" max="25" width="12.28515625" style="144" bestFit="1" customWidth="1"/>
    <col min="26" max="26" width="10.7109375" style="144" bestFit="1" customWidth="1"/>
    <col min="27" max="27" width="12.28515625" style="144" bestFit="1" customWidth="1"/>
    <col min="28" max="29" width="9.140625" style="144" bestFit="1" customWidth="1"/>
    <col min="30" max="30" width="10" style="144" bestFit="1" customWidth="1"/>
    <col min="31" max="32" width="9.140625" style="144" bestFit="1" customWidth="1"/>
    <col min="33" max="34" width="3" style="562" customWidth="1"/>
    <col min="35" max="35" width="10.42578125" style="144" bestFit="1" customWidth="1"/>
    <col min="36" max="36" width="3.5703125" style="144" customWidth="1"/>
    <col min="37" max="37" width="25.42578125" style="144" bestFit="1" customWidth="1"/>
    <col min="38" max="38" width="11.28515625" style="151" bestFit="1" customWidth="1"/>
    <col min="39" max="39" width="10.7109375" style="151" bestFit="1" customWidth="1"/>
    <col min="40" max="40" width="10.7109375" style="151" customWidth="1"/>
    <col min="41" max="46" width="10.7109375" style="151" bestFit="1" customWidth="1"/>
    <col min="47" max="49" width="10.7109375" style="144" bestFit="1" customWidth="1"/>
    <col min="50" max="50" width="11" style="144" bestFit="1" customWidth="1"/>
    <col min="51" max="52" width="10.140625" style="144" bestFit="1" customWidth="1"/>
    <col min="53" max="55" width="10.5703125" style="144" bestFit="1" customWidth="1"/>
    <col min="56" max="56" width="10.140625" style="144" bestFit="1" customWidth="1"/>
    <col min="57" max="59" width="10.5703125" style="144" bestFit="1" customWidth="1"/>
    <col min="60" max="60" width="10.28515625" style="144" bestFit="1" customWidth="1"/>
    <col min="61" max="61" width="11" style="144" bestFit="1" customWidth="1"/>
    <col min="62" max="62" width="10.28515625" style="144" bestFit="1" customWidth="1"/>
    <col min="63" max="66" width="10.7109375" style="144" bestFit="1" customWidth="1"/>
    <col min="67" max="67" width="10.85546875" style="144" bestFit="1" customWidth="1"/>
    <col min="68" max="68" width="10.7109375" style="144" bestFit="1" customWidth="1"/>
    <col min="69" max="70" width="10.85546875" style="144" bestFit="1" customWidth="1"/>
    <col min="71" max="74" width="11.140625" style="144" bestFit="1" customWidth="1"/>
    <col min="75" max="86" width="10.28515625" style="144" bestFit="1" customWidth="1"/>
    <col min="87" max="98" width="10.42578125" style="144" bestFit="1" customWidth="1"/>
    <col min="99" max="110" width="10.7109375" style="144" bestFit="1" customWidth="1"/>
    <col min="111" max="122" width="10.28515625" style="144" bestFit="1" customWidth="1"/>
    <col min="123" max="134" width="10.7109375" style="144" bestFit="1" customWidth="1"/>
    <col min="135" max="137" width="10.5703125" style="144" bestFit="1" customWidth="1"/>
    <col min="138" max="138" width="10.7109375" style="144" bestFit="1" customWidth="1"/>
    <col min="139" max="139" width="10.5703125" style="144" bestFit="1" customWidth="1"/>
    <col min="140" max="141" width="10.7109375" style="144" bestFit="1" customWidth="1"/>
    <col min="142" max="142" width="10.85546875" style="144" bestFit="1" customWidth="1"/>
    <col min="143" max="158" width="10.7109375" style="144" bestFit="1" customWidth="1"/>
    <col min="159" max="159" width="10.5703125" style="144" bestFit="1" customWidth="1"/>
    <col min="160" max="161" width="10.7109375" style="144" bestFit="1" customWidth="1"/>
    <col min="162" max="162" width="10.85546875" style="144" bestFit="1" customWidth="1"/>
    <col min="163" max="168" width="10.7109375" style="144" bestFit="1" customWidth="1"/>
    <col min="169" max="169" width="10.5703125" style="144" bestFit="1" customWidth="1"/>
    <col min="170" max="170" width="10.7109375" style="144" bestFit="1" customWidth="1"/>
    <col min="171" max="16384" width="8.85546875" style="144"/>
  </cols>
  <sheetData>
    <row r="1" spans="2:171" x14ac:dyDescent="0.2">
      <c r="AK1" s="878" t="s">
        <v>294</v>
      </c>
      <c r="AL1" s="144"/>
      <c r="AM1" s="144"/>
      <c r="AN1" s="144"/>
      <c r="AO1" s="144"/>
      <c r="AP1" s="144"/>
      <c r="AQ1" s="144"/>
      <c r="AR1" s="144"/>
      <c r="AS1" s="144"/>
      <c r="AT1" s="144"/>
      <c r="FO1" s="144" t="s">
        <v>243</v>
      </c>
    </row>
    <row r="2" spans="2:171" ht="19.5" x14ac:dyDescent="0.25">
      <c r="B2" s="167" t="s">
        <v>295</v>
      </c>
      <c r="P2" s="879">
        <f>EOMONTH('Rent Roll'!$Q$3,-4)</f>
        <v>44712</v>
      </c>
      <c r="AK2" s="144" t="s">
        <v>174</v>
      </c>
      <c r="AL2" s="880">
        <f>EOMONTH(AnalysisStartDate,-1)</f>
        <v>44926</v>
      </c>
      <c r="AM2" s="150">
        <f>EOMONTH(AL2,1)</f>
        <v>44957</v>
      </c>
      <c r="AN2" s="150">
        <f t="shared" ref="AN2:CY2" si="0">EOMONTH(AM2,1)</f>
        <v>44985</v>
      </c>
      <c r="AO2" s="150">
        <f t="shared" si="0"/>
        <v>45016</v>
      </c>
      <c r="AP2" s="150">
        <f t="shared" si="0"/>
        <v>45046</v>
      </c>
      <c r="AQ2" s="150">
        <f t="shared" si="0"/>
        <v>45077</v>
      </c>
      <c r="AR2" s="150">
        <f t="shared" si="0"/>
        <v>45107</v>
      </c>
      <c r="AS2" s="150">
        <f t="shared" si="0"/>
        <v>45138</v>
      </c>
      <c r="AT2" s="150">
        <f t="shared" si="0"/>
        <v>45169</v>
      </c>
      <c r="AU2" s="150">
        <f t="shared" si="0"/>
        <v>45199</v>
      </c>
      <c r="AV2" s="150">
        <f t="shared" si="0"/>
        <v>45230</v>
      </c>
      <c r="AW2" s="150">
        <f t="shared" si="0"/>
        <v>45260</v>
      </c>
      <c r="AX2" s="150">
        <f t="shared" si="0"/>
        <v>45291</v>
      </c>
      <c r="AY2" s="150">
        <f t="shared" si="0"/>
        <v>45322</v>
      </c>
      <c r="AZ2" s="150">
        <f t="shared" si="0"/>
        <v>45351</v>
      </c>
      <c r="BA2" s="150">
        <f t="shared" si="0"/>
        <v>45382</v>
      </c>
      <c r="BB2" s="150">
        <f t="shared" si="0"/>
        <v>45412</v>
      </c>
      <c r="BC2" s="150">
        <f t="shared" si="0"/>
        <v>45443</v>
      </c>
      <c r="BD2" s="150">
        <f t="shared" si="0"/>
        <v>45473</v>
      </c>
      <c r="BE2" s="150">
        <f t="shared" si="0"/>
        <v>45504</v>
      </c>
      <c r="BF2" s="150">
        <f t="shared" si="0"/>
        <v>45535</v>
      </c>
      <c r="BG2" s="150">
        <f t="shared" si="0"/>
        <v>45565</v>
      </c>
      <c r="BH2" s="150">
        <f t="shared" si="0"/>
        <v>45596</v>
      </c>
      <c r="BI2" s="150">
        <f t="shared" si="0"/>
        <v>45626</v>
      </c>
      <c r="BJ2" s="150">
        <f t="shared" si="0"/>
        <v>45657</v>
      </c>
      <c r="BK2" s="150">
        <f t="shared" si="0"/>
        <v>45688</v>
      </c>
      <c r="BL2" s="150">
        <f t="shared" si="0"/>
        <v>45716</v>
      </c>
      <c r="BM2" s="150">
        <f t="shared" si="0"/>
        <v>45747</v>
      </c>
      <c r="BN2" s="150">
        <f t="shared" si="0"/>
        <v>45777</v>
      </c>
      <c r="BO2" s="150">
        <f t="shared" si="0"/>
        <v>45808</v>
      </c>
      <c r="BP2" s="150">
        <f t="shared" si="0"/>
        <v>45838</v>
      </c>
      <c r="BQ2" s="150">
        <f t="shared" si="0"/>
        <v>45869</v>
      </c>
      <c r="BR2" s="150">
        <f t="shared" si="0"/>
        <v>45900</v>
      </c>
      <c r="BS2" s="150">
        <f t="shared" si="0"/>
        <v>45930</v>
      </c>
      <c r="BT2" s="150">
        <f t="shared" si="0"/>
        <v>45961</v>
      </c>
      <c r="BU2" s="150">
        <f t="shared" si="0"/>
        <v>45991</v>
      </c>
      <c r="BV2" s="150">
        <f t="shared" si="0"/>
        <v>46022</v>
      </c>
      <c r="BW2" s="150">
        <f t="shared" si="0"/>
        <v>46053</v>
      </c>
      <c r="BX2" s="150">
        <f t="shared" si="0"/>
        <v>46081</v>
      </c>
      <c r="BY2" s="150">
        <f t="shared" si="0"/>
        <v>46112</v>
      </c>
      <c r="BZ2" s="150">
        <f t="shared" si="0"/>
        <v>46142</v>
      </c>
      <c r="CA2" s="150">
        <f t="shared" si="0"/>
        <v>46173</v>
      </c>
      <c r="CB2" s="150">
        <f t="shared" si="0"/>
        <v>46203</v>
      </c>
      <c r="CC2" s="150">
        <f t="shared" si="0"/>
        <v>46234</v>
      </c>
      <c r="CD2" s="150">
        <f t="shared" si="0"/>
        <v>46265</v>
      </c>
      <c r="CE2" s="150">
        <f t="shared" si="0"/>
        <v>46295</v>
      </c>
      <c r="CF2" s="150">
        <f t="shared" si="0"/>
        <v>46326</v>
      </c>
      <c r="CG2" s="150">
        <f t="shared" si="0"/>
        <v>46356</v>
      </c>
      <c r="CH2" s="150">
        <f t="shared" si="0"/>
        <v>46387</v>
      </c>
      <c r="CI2" s="150">
        <f t="shared" si="0"/>
        <v>46418</v>
      </c>
      <c r="CJ2" s="150">
        <f t="shared" si="0"/>
        <v>46446</v>
      </c>
      <c r="CK2" s="150">
        <f t="shared" si="0"/>
        <v>46477</v>
      </c>
      <c r="CL2" s="150">
        <f t="shared" si="0"/>
        <v>46507</v>
      </c>
      <c r="CM2" s="150">
        <f t="shared" si="0"/>
        <v>46538</v>
      </c>
      <c r="CN2" s="150">
        <f t="shared" si="0"/>
        <v>46568</v>
      </c>
      <c r="CO2" s="150">
        <f t="shared" si="0"/>
        <v>46599</v>
      </c>
      <c r="CP2" s="150">
        <f t="shared" si="0"/>
        <v>46630</v>
      </c>
      <c r="CQ2" s="150">
        <f t="shared" si="0"/>
        <v>46660</v>
      </c>
      <c r="CR2" s="150">
        <f t="shared" si="0"/>
        <v>46691</v>
      </c>
      <c r="CS2" s="150">
        <f t="shared" si="0"/>
        <v>46721</v>
      </c>
      <c r="CT2" s="150">
        <f t="shared" si="0"/>
        <v>46752</v>
      </c>
      <c r="CU2" s="150">
        <f t="shared" si="0"/>
        <v>46783</v>
      </c>
      <c r="CV2" s="150">
        <f t="shared" si="0"/>
        <v>46812</v>
      </c>
      <c r="CW2" s="150">
        <f t="shared" si="0"/>
        <v>46843</v>
      </c>
      <c r="CX2" s="150">
        <f t="shared" si="0"/>
        <v>46873</v>
      </c>
      <c r="CY2" s="150">
        <f t="shared" si="0"/>
        <v>46904</v>
      </c>
      <c r="CZ2" s="150">
        <f t="shared" ref="CZ2:FK2" si="1">EOMONTH(CY2,1)</f>
        <v>46934</v>
      </c>
      <c r="DA2" s="150">
        <f t="shared" si="1"/>
        <v>46965</v>
      </c>
      <c r="DB2" s="150">
        <f t="shared" si="1"/>
        <v>46996</v>
      </c>
      <c r="DC2" s="150">
        <f t="shared" si="1"/>
        <v>47026</v>
      </c>
      <c r="DD2" s="150">
        <f t="shared" si="1"/>
        <v>47057</v>
      </c>
      <c r="DE2" s="150">
        <f t="shared" si="1"/>
        <v>47087</v>
      </c>
      <c r="DF2" s="150">
        <f t="shared" si="1"/>
        <v>47118</v>
      </c>
      <c r="DG2" s="150">
        <f t="shared" si="1"/>
        <v>47149</v>
      </c>
      <c r="DH2" s="150">
        <f t="shared" si="1"/>
        <v>47177</v>
      </c>
      <c r="DI2" s="150">
        <f t="shared" si="1"/>
        <v>47208</v>
      </c>
      <c r="DJ2" s="150">
        <f t="shared" si="1"/>
        <v>47238</v>
      </c>
      <c r="DK2" s="150">
        <f t="shared" si="1"/>
        <v>47269</v>
      </c>
      <c r="DL2" s="150">
        <f t="shared" si="1"/>
        <v>47299</v>
      </c>
      <c r="DM2" s="150">
        <f t="shared" si="1"/>
        <v>47330</v>
      </c>
      <c r="DN2" s="150">
        <f t="shared" si="1"/>
        <v>47361</v>
      </c>
      <c r="DO2" s="150">
        <f t="shared" si="1"/>
        <v>47391</v>
      </c>
      <c r="DP2" s="150">
        <f t="shared" si="1"/>
        <v>47422</v>
      </c>
      <c r="DQ2" s="150">
        <f t="shared" si="1"/>
        <v>47452</v>
      </c>
      <c r="DR2" s="150">
        <f t="shared" si="1"/>
        <v>47483</v>
      </c>
      <c r="DS2" s="150">
        <f t="shared" si="1"/>
        <v>47514</v>
      </c>
      <c r="DT2" s="150">
        <f t="shared" si="1"/>
        <v>47542</v>
      </c>
      <c r="DU2" s="150">
        <f t="shared" si="1"/>
        <v>47573</v>
      </c>
      <c r="DV2" s="150">
        <f t="shared" si="1"/>
        <v>47603</v>
      </c>
      <c r="DW2" s="150">
        <f t="shared" si="1"/>
        <v>47634</v>
      </c>
      <c r="DX2" s="150">
        <f t="shared" si="1"/>
        <v>47664</v>
      </c>
      <c r="DY2" s="150">
        <f t="shared" si="1"/>
        <v>47695</v>
      </c>
      <c r="DZ2" s="150">
        <f t="shared" si="1"/>
        <v>47726</v>
      </c>
      <c r="EA2" s="150">
        <f t="shared" si="1"/>
        <v>47756</v>
      </c>
      <c r="EB2" s="150">
        <f t="shared" si="1"/>
        <v>47787</v>
      </c>
      <c r="EC2" s="150">
        <f t="shared" si="1"/>
        <v>47817</v>
      </c>
      <c r="ED2" s="150">
        <f t="shared" si="1"/>
        <v>47848</v>
      </c>
      <c r="EE2" s="150">
        <f t="shared" si="1"/>
        <v>47879</v>
      </c>
      <c r="EF2" s="150">
        <f t="shared" si="1"/>
        <v>47907</v>
      </c>
      <c r="EG2" s="150">
        <f t="shared" si="1"/>
        <v>47938</v>
      </c>
      <c r="EH2" s="150">
        <f t="shared" si="1"/>
        <v>47968</v>
      </c>
      <c r="EI2" s="150">
        <f t="shared" si="1"/>
        <v>47999</v>
      </c>
      <c r="EJ2" s="150">
        <f t="shared" si="1"/>
        <v>48029</v>
      </c>
      <c r="EK2" s="150">
        <f t="shared" si="1"/>
        <v>48060</v>
      </c>
      <c r="EL2" s="150">
        <f t="shared" si="1"/>
        <v>48091</v>
      </c>
      <c r="EM2" s="150">
        <f t="shared" si="1"/>
        <v>48121</v>
      </c>
      <c r="EN2" s="150">
        <f t="shared" si="1"/>
        <v>48152</v>
      </c>
      <c r="EO2" s="150">
        <f t="shared" si="1"/>
        <v>48182</v>
      </c>
      <c r="EP2" s="150">
        <f t="shared" si="1"/>
        <v>48213</v>
      </c>
      <c r="EQ2" s="150">
        <f t="shared" si="1"/>
        <v>48244</v>
      </c>
      <c r="ER2" s="150">
        <f t="shared" si="1"/>
        <v>48273</v>
      </c>
      <c r="ES2" s="150">
        <f t="shared" si="1"/>
        <v>48304</v>
      </c>
      <c r="ET2" s="150">
        <f t="shared" si="1"/>
        <v>48334</v>
      </c>
      <c r="EU2" s="150">
        <f t="shared" si="1"/>
        <v>48365</v>
      </c>
      <c r="EV2" s="150">
        <f t="shared" si="1"/>
        <v>48395</v>
      </c>
      <c r="EW2" s="150">
        <f t="shared" si="1"/>
        <v>48426</v>
      </c>
      <c r="EX2" s="150">
        <f t="shared" si="1"/>
        <v>48457</v>
      </c>
      <c r="EY2" s="150">
        <f t="shared" si="1"/>
        <v>48487</v>
      </c>
      <c r="EZ2" s="150">
        <f t="shared" si="1"/>
        <v>48518</v>
      </c>
      <c r="FA2" s="150">
        <f t="shared" si="1"/>
        <v>48548</v>
      </c>
      <c r="FB2" s="150">
        <f t="shared" si="1"/>
        <v>48579</v>
      </c>
      <c r="FC2" s="150">
        <f t="shared" si="1"/>
        <v>48610</v>
      </c>
      <c r="FD2" s="150">
        <f t="shared" si="1"/>
        <v>48638</v>
      </c>
      <c r="FE2" s="150">
        <f t="shared" si="1"/>
        <v>48669</v>
      </c>
      <c r="FF2" s="150">
        <f t="shared" si="1"/>
        <v>48699</v>
      </c>
      <c r="FG2" s="150">
        <f t="shared" si="1"/>
        <v>48730</v>
      </c>
      <c r="FH2" s="150">
        <f t="shared" si="1"/>
        <v>48760</v>
      </c>
      <c r="FI2" s="150">
        <f t="shared" si="1"/>
        <v>48791</v>
      </c>
      <c r="FJ2" s="150">
        <f t="shared" si="1"/>
        <v>48822</v>
      </c>
      <c r="FK2" s="150">
        <f t="shared" si="1"/>
        <v>48852</v>
      </c>
      <c r="FL2" s="150">
        <f>EOMONTH(FK2,1)</f>
        <v>48883</v>
      </c>
      <c r="FM2" s="150">
        <f>EOMONTH(FL2,1)</f>
        <v>48913</v>
      </c>
      <c r="FN2" s="150">
        <f>EOMONTH(FM2,1)</f>
        <v>48944</v>
      </c>
      <c r="FO2" s="144" t="s">
        <v>243</v>
      </c>
    </row>
    <row r="3" spans="2:171" ht="18" x14ac:dyDescent="0.25">
      <c r="B3" s="168" t="str">
        <f>Name</f>
        <v>Property Name</v>
      </c>
      <c r="F3" s="880"/>
      <c r="P3" s="879">
        <f>EOMONTH('Rent Roll'!$Q$3,-3)</f>
        <v>44742</v>
      </c>
      <c r="AK3" s="144" t="s">
        <v>296</v>
      </c>
      <c r="AL3" s="151">
        <v>15</v>
      </c>
      <c r="AM3" s="151">
        <v>15</v>
      </c>
      <c r="AN3" s="151">
        <v>15</v>
      </c>
      <c r="AO3" s="151">
        <v>15</v>
      </c>
      <c r="AP3" s="151">
        <v>15</v>
      </c>
      <c r="AQ3" s="151">
        <v>15</v>
      </c>
      <c r="AR3" s="151">
        <v>15</v>
      </c>
      <c r="AS3" s="151">
        <v>15</v>
      </c>
      <c r="AT3" s="151">
        <v>15</v>
      </c>
      <c r="AU3" s="151">
        <v>15</v>
      </c>
      <c r="AV3" s="151">
        <v>15</v>
      </c>
      <c r="AW3" s="151">
        <v>15</v>
      </c>
      <c r="AX3" s="151">
        <v>15</v>
      </c>
      <c r="AY3" s="151">
        <v>15</v>
      </c>
      <c r="AZ3" s="151">
        <v>15</v>
      </c>
      <c r="BA3" s="151">
        <v>15</v>
      </c>
      <c r="BB3" s="151">
        <v>15</v>
      </c>
      <c r="BC3" s="151">
        <v>15</v>
      </c>
      <c r="BD3" s="151">
        <v>15</v>
      </c>
      <c r="BE3" s="151">
        <v>15</v>
      </c>
      <c r="BF3" s="151">
        <v>15</v>
      </c>
      <c r="BG3" s="151">
        <v>15</v>
      </c>
      <c r="BH3" s="151">
        <v>15</v>
      </c>
      <c r="BI3" s="151">
        <v>15</v>
      </c>
      <c r="BJ3" s="151">
        <v>15</v>
      </c>
      <c r="BK3" s="151">
        <v>15</v>
      </c>
      <c r="BL3" s="151">
        <v>15</v>
      </c>
      <c r="BM3" s="151">
        <v>15</v>
      </c>
      <c r="BN3" s="151">
        <v>15</v>
      </c>
      <c r="BO3" s="151">
        <v>15</v>
      </c>
      <c r="BP3" s="151">
        <v>15</v>
      </c>
      <c r="BQ3" s="151">
        <v>15</v>
      </c>
      <c r="BR3" s="151">
        <v>15</v>
      </c>
      <c r="BS3" s="151">
        <v>15</v>
      </c>
      <c r="BT3" s="151">
        <v>15</v>
      </c>
      <c r="BU3" s="151">
        <v>15</v>
      </c>
      <c r="BV3" s="151">
        <v>15</v>
      </c>
      <c r="BW3" s="151">
        <v>15</v>
      </c>
      <c r="BX3" s="151">
        <v>15</v>
      </c>
      <c r="BY3" s="151">
        <v>15</v>
      </c>
      <c r="BZ3" s="151">
        <v>15</v>
      </c>
      <c r="CA3" s="151">
        <v>15</v>
      </c>
      <c r="CB3" s="151">
        <v>15</v>
      </c>
      <c r="CC3" s="151">
        <v>15</v>
      </c>
      <c r="CD3" s="151">
        <v>15</v>
      </c>
      <c r="CE3" s="151">
        <v>15</v>
      </c>
      <c r="CF3" s="151">
        <v>15</v>
      </c>
      <c r="CG3" s="151">
        <v>15</v>
      </c>
      <c r="CH3" s="151">
        <v>15</v>
      </c>
      <c r="CI3" s="151">
        <v>15</v>
      </c>
      <c r="CJ3" s="151">
        <v>15</v>
      </c>
      <c r="CK3" s="151">
        <v>15</v>
      </c>
      <c r="CL3" s="151">
        <v>15</v>
      </c>
      <c r="CM3" s="151">
        <v>15</v>
      </c>
      <c r="CN3" s="151">
        <v>15</v>
      </c>
      <c r="CO3" s="151">
        <v>15</v>
      </c>
      <c r="CP3" s="151">
        <v>15</v>
      </c>
      <c r="CQ3" s="151">
        <v>15</v>
      </c>
      <c r="CR3" s="151">
        <v>15</v>
      </c>
      <c r="CS3" s="151">
        <v>15</v>
      </c>
      <c r="CT3" s="151">
        <v>15</v>
      </c>
      <c r="CU3" s="151">
        <v>15</v>
      </c>
      <c r="CV3" s="151">
        <v>15</v>
      </c>
      <c r="CW3" s="151">
        <v>15</v>
      </c>
      <c r="CX3" s="151">
        <v>15</v>
      </c>
      <c r="CY3" s="151">
        <v>15</v>
      </c>
      <c r="CZ3" s="151">
        <v>15</v>
      </c>
      <c r="DA3" s="151">
        <v>15</v>
      </c>
      <c r="DB3" s="151">
        <v>15</v>
      </c>
      <c r="DC3" s="151">
        <v>15</v>
      </c>
      <c r="DD3" s="151">
        <v>15</v>
      </c>
      <c r="DE3" s="151">
        <v>15</v>
      </c>
      <c r="DF3" s="151">
        <v>15</v>
      </c>
      <c r="DG3" s="151">
        <v>15</v>
      </c>
      <c r="DH3" s="151">
        <v>15</v>
      </c>
      <c r="DI3" s="151">
        <v>15</v>
      </c>
      <c r="DJ3" s="151">
        <v>15</v>
      </c>
      <c r="DK3" s="151">
        <v>15</v>
      </c>
      <c r="DL3" s="151">
        <v>15</v>
      </c>
      <c r="DM3" s="151">
        <v>15</v>
      </c>
      <c r="DN3" s="151">
        <v>15</v>
      </c>
      <c r="DO3" s="151">
        <v>15</v>
      </c>
      <c r="DP3" s="151">
        <v>15</v>
      </c>
      <c r="DQ3" s="151">
        <v>15</v>
      </c>
      <c r="DR3" s="151">
        <v>15</v>
      </c>
      <c r="DS3" s="151">
        <v>15</v>
      </c>
      <c r="DT3" s="151">
        <v>15</v>
      </c>
      <c r="DU3" s="151">
        <v>15</v>
      </c>
      <c r="DV3" s="151">
        <v>15</v>
      </c>
      <c r="DW3" s="151">
        <v>15</v>
      </c>
      <c r="DX3" s="151">
        <v>15</v>
      </c>
      <c r="DY3" s="151">
        <v>15</v>
      </c>
      <c r="DZ3" s="151">
        <v>15</v>
      </c>
      <c r="EA3" s="151">
        <v>15</v>
      </c>
      <c r="EB3" s="151">
        <v>15</v>
      </c>
      <c r="EC3" s="151">
        <v>15</v>
      </c>
      <c r="ED3" s="151">
        <v>15</v>
      </c>
      <c r="EE3" s="151">
        <v>15</v>
      </c>
      <c r="EF3" s="151">
        <v>15</v>
      </c>
      <c r="EG3" s="151">
        <v>15</v>
      </c>
      <c r="EH3" s="151">
        <v>15</v>
      </c>
      <c r="EI3" s="151">
        <v>15</v>
      </c>
      <c r="EJ3" s="151">
        <v>15</v>
      </c>
      <c r="EK3" s="151">
        <v>15</v>
      </c>
      <c r="EL3" s="151">
        <v>15</v>
      </c>
      <c r="EM3" s="151">
        <v>15</v>
      </c>
      <c r="EN3" s="151">
        <v>15</v>
      </c>
      <c r="EO3" s="151">
        <v>15</v>
      </c>
      <c r="EP3" s="151">
        <v>15</v>
      </c>
      <c r="EQ3" s="151">
        <v>15</v>
      </c>
      <c r="ER3" s="151">
        <v>15</v>
      </c>
      <c r="ES3" s="151">
        <v>15</v>
      </c>
      <c r="ET3" s="151">
        <v>15</v>
      </c>
      <c r="EU3" s="151">
        <v>15</v>
      </c>
      <c r="EV3" s="151">
        <v>15</v>
      </c>
      <c r="EW3" s="151">
        <v>15</v>
      </c>
      <c r="EX3" s="151">
        <v>15</v>
      </c>
      <c r="EY3" s="151">
        <v>15</v>
      </c>
      <c r="EZ3" s="151">
        <v>15</v>
      </c>
      <c r="FA3" s="151">
        <v>15</v>
      </c>
      <c r="FB3" s="151">
        <v>15</v>
      </c>
      <c r="FC3" s="151">
        <v>15</v>
      </c>
      <c r="FD3" s="151">
        <v>15</v>
      </c>
      <c r="FE3" s="151">
        <v>15</v>
      </c>
      <c r="FF3" s="151">
        <v>15</v>
      </c>
      <c r="FG3" s="151">
        <v>15</v>
      </c>
      <c r="FH3" s="151">
        <v>15</v>
      </c>
      <c r="FI3" s="151">
        <v>15</v>
      </c>
      <c r="FJ3" s="151">
        <v>15</v>
      </c>
      <c r="FK3" s="151">
        <v>15</v>
      </c>
      <c r="FL3" s="151">
        <v>15</v>
      </c>
      <c r="FM3" s="151">
        <v>15</v>
      </c>
      <c r="FN3" s="151">
        <v>15</v>
      </c>
      <c r="FO3" s="144" t="s">
        <v>243</v>
      </c>
    </row>
    <row r="4" spans="2:171" x14ac:dyDescent="0.2">
      <c r="B4" s="305" t="s">
        <v>297</v>
      </c>
      <c r="D4" s="881">
        <f>EOMONTH('Rent Roll'!Q3,0)</f>
        <v>44834</v>
      </c>
      <c r="P4" s="879">
        <f>EOMONTH('Rent Roll'!$Q$3,-2)</f>
        <v>44773</v>
      </c>
      <c r="AK4" s="145"/>
      <c r="AL4" s="882"/>
      <c r="AM4" s="882"/>
      <c r="AN4" s="882"/>
      <c r="AO4" s="882"/>
      <c r="AP4" s="882"/>
      <c r="AQ4" s="882"/>
      <c r="AR4" s="882"/>
      <c r="AS4" s="882"/>
      <c r="AT4" s="882"/>
      <c r="AU4" s="882"/>
      <c r="AV4" s="882"/>
      <c r="AW4" s="882"/>
      <c r="AX4" s="882"/>
      <c r="AY4" s="882"/>
      <c r="AZ4" s="882"/>
      <c r="BA4" s="882"/>
      <c r="BB4" s="882"/>
      <c r="BC4" s="882"/>
      <c r="BD4" s="882"/>
      <c r="BE4" s="882"/>
      <c r="BF4" s="882"/>
      <c r="BG4" s="882"/>
      <c r="BH4" s="882"/>
      <c r="BI4" s="882"/>
      <c r="BJ4" s="882"/>
      <c r="BK4" s="882"/>
      <c r="BL4" s="882"/>
      <c r="BM4" s="882"/>
      <c r="BN4" s="882"/>
      <c r="BO4" s="882"/>
      <c r="BP4" s="882"/>
      <c r="BQ4" s="882"/>
      <c r="BR4" s="882"/>
      <c r="BS4" s="882"/>
      <c r="BT4" s="882"/>
      <c r="BU4" s="882"/>
      <c r="BV4" s="882"/>
      <c r="BW4" s="882"/>
      <c r="BX4" s="882"/>
      <c r="BY4" s="882"/>
      <c r="BZ4" s="882"/>
      <c r="CA4" s="882"/>
      <c r="CB4" s="882"/>
      <c r="CC4" s="882"/>
      <c r="CD4" s="882"/>
      <c r="CE4" s="882"/>
      <c r="CF4" s="882"/>
      <c r="CG4" s="882"/>
      <c r="CH4" s="882"/>
      <c r="CI4" s="882"/>
      <c r="CJ4" s="882"/>
      <c r="CK4" s="882"/>
      <c r="CL4" s="882"/>
      <c r="CM4" s="882"/>
      <c r="CN4" s="882"/>
      <c r="CO4" s="882"/>
      <c r="CP4" s="882"/>
      <c r="CQ4" s="882"/>
      <c r="CR4" s="882"/>
      <c r="CS4" s="882"/>
      <c r="CT4" s="882"/>
      <c r="CU4" s="882"/>
      <c r="CV4" s="882"/>
      <c r="CW4" s="882"/>
      <c r="CX4" s="882"/>
      <c r="CY4" s="882"/>
      <c r="CZ4" s="882"/>
      <c r="DA4" s="882"/>
      <c r="DB4" s="882"/>
      <c r="DC4" s="882"/>
      <c r="DD4" s="882"/>
      <c r="DE4" s="882"/>
      <c r="DF4" s="882"/>
      <c r="DG4" s="882"/>
      <c r="DH4" s="882"/>
      <c r="DI4" s="882"/>
      <c r="DJ4" s="882"/>
      <c r="DK4" s="882"/>
      <c r="DL4" s="882"/>
      <c r="DM4" s="882"/>
      <c r="DN4" s="882"/>
      <c r="DO4" s="882"/>
      <c r="DP4" s="882"/>
      <c r="DQ4" s="882"/>
      <c r="DR4" s="882"/>
      <c r="DS4" s="882"/>
      <c r="DT4" s="882"/>
      <c r="DU4" s="882"/>
      <c r="DV4" s="882"/>
      <c r="DW4" s="882"/>
      <c r="DX4" s="882"/>
      <c r="DY4" s="882"/>
      <c r="DZ4" s="882"/>
      <c r="EA4" s="882"/>
      <c r="EB4" s="882"/>
      <c r="EC4" s="882"/>
      <c r="ED4" s="882"/>
      <c r="EE4" s="882"/>
      <c r="EF4" s="882"/>
      <c r="EG4" s="882"/>
      <c r="EH4" s="882"/>
      <c r="EI4" s="882"/>
      <c r="EJ4" s="882"/>
      <c r="EK4" s="882"/>
      <c r="EL4" s="882"/>
      <c r="EM4" s="882"/>
      <c r="EN4" s="882"/>
      <c r="EO4" s="882"/>
      <c r="EP4" s="882"/>
      <c r="EQ4" s="882"/>
      <c r="ER4" s="882"/>
      <c r="ES4" s="882"/>
      <c r="ET4" s="882"/>
      <c r="EU4" s="882"/>
      <c r="EV4" s="882"/>
      <c r="EW4" s="882"/>
      <c r="EX4" s="882"/>
      <c r="EY4" s="882"/>
      <c r="EZ4" s="882"/>
      <c r="FA4" s="882"/>
      <c r="FB4" s="882"/>
      <c r="FC4" s="882"/>
      <c r="FD4" s="882"/>
      <c r="FE4" s="882"/>
      <c r="FF4" s="882"/>
      <c r="FG4" s="882"/>
      <c r="FH4" s="882"/>
      <c r="FI4" s="882"/>
      <c r="FJ4" s="882"/>
      <c r="FK4" s="882"/>
      <c r="FL4" s="882"/>
      <c r="FM4" s="882"/>
      <c r="FN4" s="882"/>
      <c r="FO4" s="144" t="s">
        <v>243</v>
      </c>
    </row>
    <row r="5" spans="2:171" ht="15" thickBot="1" x14ac:dyDescent="0.25">
      <c r="AL5" s="144"/>
      <c r="AM5" s="144"/>
      <c r="AN5" s="144"/>
      <c r="AO5" s="144"/>
      <c r="AP5" s="144"/>
      <c r="AQ5" s="144"/>
      <c r="AR5" s="144"/>
      <c r="AS5" s="144"/>
      <c r="AT5" s="144"/>
      <c r="FO5" s="144" t="s">
        <v>243</v>
      </c>
    </row>
    <row r="6" spans="2:171" ht="14.45" customHeight="1" x14ac:dyDescent="0.2">
      <c r="B6" s="883" t="s">
        <v>298</v>
      </c>
      <c r="C6" s="884"/>
      <c r="D6" s="884"/>
      <c r="E6" s="884"/>
      <c r="F6" s="1382" t="s">
        <v>256</v>
      </c>
      <c r="G6" s="1383"/>
      <c r="H6" s="1383"/>
      <c r="I6" s="1383"/>
      <c r="J6" s="1383"/>
      <c r="K6" s="1383"/>
      <c r="L6" s="1382" t="s">
        <v>96</v>
      </c>
      <c r="M6" s="1383"/>
      <c r="N6" s="1382" t="s">
        <v>299</v>
      </c>
      <c r="O6" s="1383"/>
      <c r="P6" s="1382" t="s">
        <v>300</v>
      </c>
      <c r="Q6" s="1384"/>
      <c r="R6" s="145"/>
      <c r="S6" s="1385" t="s">
        <v>301</v>
      </c>
      <c r="T6" s="1383"/>
      <c r="U6" s="1382" t="s">
        <v>302</v>
      </c>
      <c r="V6" s="1384"/>
      <c r="W6" s="145"/>
      <c r="X6" s="883" t="s">
        <v>303</v>
      </c>
      <c r="Y6" s="690"/>
      <c r="Z6" s="696"/>
      <c r="AG6" s="593"/>
      <c r="AK6" s="145" t="s">
        <v>304</v>
      </c>
      <c r="AL6" s="887">
        <f>ROUNDUP(AL7/12,0)</f>
        <v>0</v>
      </c>
      <c r="AM6" s="887">
        <f t="shared" ref="AM6:CX6" si="2">ROUNDUP(AM7/12,0)</f>
        <v>1</v>
      </c>
      <c r="AN6" s="887">
        <f t="shared" si="2"/>
        <v>1</v>
      </c>
      <c r="AO6" s="887">
        <f t="shared" si="2"/>
        <v>1</v>
      </c>
      <c r="AP6" s="887">
        <f t="shared" si="2"/>
        <v>1</v>
      </c>
      <c r="AQ6" s="887">
        <f t="shared" si="2"/>
        <v>1</v>
      </c>
      <c r="AR6" s="887">
        <f t="shared" si="2"/>
        <v>1</v>
      </c>
      <c r="AS6" s="887">
        <f t="shared" si="2"/>
        <v>1</v>
      </c>
      <c r="AT6" s="887">
        <f t="shared" si="2"/>
        <v>1</v>
      </c>
      <c r="AU6" s="887">
        <f t="shared" si="2"/>
        <v>1</v>
      </c>
      <c r="AV6" s="887">
        <f t="shared" si="2"/>
        <v>1</v>
      </c>
      <c r="AW6" s="887">
        <f t="shared" si="2"/>
        <v>1</v>
      </c>
      <c r="AX6" s="887">
        <f t="shared" si="2"/>
        <v>1</v>
      </c>
      <c r="AY6" s="887">
        <f t="shared" si="2"/>
        <v>2</v>
      </c>
      <c r="AZ6" s="887">
        <f t="shared" si="2"/>
        <v>2</v>
      </c>
      <c r="BA6" s="887">
        <f t="shared" si="2"/>
        <v>2</v>
      </c>
      <c r="BB6" s="887">
        <f t="shared" si="2"/>
        <v>2</v>
      </c>
      <c r="BC6" s="887">
        <f t="shared" si="2"/>
        <v>2</v>
      </c>
      <c r="BD6" s="887">
        <f t="shared" si="2"/>
        <v>2</v>
      </c>
      <c r="BE6" s="887">
        <f t="shared" si="2"/>
        <v>2</v>
      </c>
      <c r="BF6" s="887">
        <f t="shared" si="2"/>
        <v>2</v>
      </c>
      <c r="BG6" s="887">
        <f t="shared" si="2"/>
        <v>2</v>
      </c>
      <c r="BH6" s="887">
        <f t="shared" si="2"/>
        <v>2</v>
      </c>
      <c r="BI6" s="887">
        <f t="shared" si="2"/>
        <v>2</v>
      </c>
      <c r="BJ6" s="887">
        <f t="shared" si="2"/>
        <v>2</v>
      </c>
      <c r="BK6" s="887">
        <f t="shared" si="2"/>
        <v>3</v>
      </c>
      <c r="BL6" s="887">
        <f t="shared" si="2"/>
        <v>3</v>
      </c>
      <c r="BM6" s="887">
        <f t="shared" si="2"/>
        <v>3</v>
      </c>
      <c r="BN6" s="887">
        <f t="shared" si="2"/>
        <v>3</v>
      </c>
      <c r="BO6" s="887">
        <f t="shared" si="2"/>
        <v>3</v>
      </c>
      <c r="BP6" s="887">
        <f t="shared" si="2"/>
        <v>3</v>
      </c>
      <c r="BQ6" s="887">
        <f t="shared" si="2"/>
        <v>3</v>
      </c>
      <c r="BR6" s="887">
        <f t="shared" si="2"/>
        <v>3</v>
      </c>
      <c r="BS6" s="887">
        <f t="shared" si="2"/>
        <v>3</v>
      </c>
      <c r="BT6" s="887">
        <f t="shared" si="2"/>
        <v>3</v>
      </c>
      <c r="BU6" s="887">
        <f t="shared" si="2"/>
        <v>3</v>
      </c>
      <c r="BV6" s="887">
        <f t="shared" si="2"/>
        <v>3</v>
      </c>
      <c r="BW6" s="887">
        <f t="shared" si="2"/>
        <v>4</v>
      </c>
      <c r="BX6" s="887">
        <f t="shared" si="2"/>
        <v>4</v>
      </c>
      <c r="BY6" s="887">
        <f t="shared" si="2"/>
        <v>4</v>
      </c>
      <c r="BZ6" s="887">
        <f t="shared" si="2"/>
        <v>4</v>
      </c>
      <c r="CA6" s="887">
        <f t="shared" si="2"/>
        <v>4</v>
      </c>
      <c r="CB6" s="887">
        <f t="shared" si="2"/>
        <v>4</v>
      </c>
      <c r="CC6" s="887">
        <f t="shared" si="2"/>
        <v>4</v>
      </c>
      <c r="CD6" s="887">
        <f t="shared" si="2"/>
        <v>4</v>
      </c>
      <c r="CE6" s="887">
        <f t="shared" si="2"/>
        <v>4</v>
      </c>
      <c r="CF6" s="887">
        <f t="shared" si="2"/>
        <v>4</v>
      </c>
      <c r="CG6" s="887">
        <f t="shared" si="2"/>
        <v>4</v>
      </c>
      <c r="CH6" s="887">
        <f t="shared" si="2"/>
        <v>4</v>
      </c>
      <c r="CI6" s="887">
        <f t="shared" si="2"/>
        <v>5</v>
      </c>
      <c r="CJ6" s="887">
        <f t="shared" si="2"/>
        <v>5</v>
      </c>
      <c r="CK6" s="887">
        <f t="shared" si="2"/>
        <v>5</v>
      </c>
      <c r="CL6" s="887">
        <f t="shared" si="2"/>
        <v>5</v>
      </c>
      <c r="CM6" s="887">
        <f t="shared" si="2"/>
        <v>5</v>
      </c>
      <c r="CN6" s="887">
        <f t="shared" si="2"/>
        <v>5</v>
      </c>
      <c r="CO6" s="887">
        <f t="shared" si="2"/>
        <v>5</v>
      </c>
      <c r="CP6" s="887">
        <f t="shared" si="2"/>
        <v>5</v>
      </c>
      <c r="CQ6" s="887">
        <f t="shared" si="2"/>
        <v>5</v>
      </c>
      <c r="CR6" s="887">
        <f t="shared" si="2"/>
        <v>5</v>
      </c>
      <c r="CS6" s="887">
        <f t="shared" si="2"/>
        <v>5</v>
      </c>
      <c r="CT6" s="887">
        <f t="shared" si="2"/>
        <v>5</v>
      </c>
      <c r="CU6" s="887">
        <f t="shared" si="2"/>
        <v>6</v>
      </c>
      <c r="CV6" s="887">
        <f t="shared" si="2"/>
        <v>6</v>
      </c>
      <c r="CW6" s="887">
        <f t="shared" si="2"/>
        <v>6</v>
      </c>
      <c r="CX6" s="887">
        <f t="shared" si="2"/>
        <v>6</v>
      </c>
      <c r="CY6" s="887">
        <f t="shared" ref="CY6:FJ6" si="3">ROUNDUP(CY7/12,0)</f>
        <v>6</v>
      </c>
      <c r="CZ6" s="887">
        <f t="shared" si="3"/>
        <v>6</v>
      </c>
      <c r="DA6" s="887">
        <f t="shared" si="3"/>
        <v>6</v>
      </c>
      <c r="DB6" s="887">
        <f t="shared" si="3"/>
        <v>6</v>
      </c>
      <c r="DC6" s="887">
        <f t="shared" si="3"/>
        <v>6</v>
      </c>
      <c r="DD6" s="887">
        <f t="shared" si="3"/>
        <v>6</v>
      </c>
      <c r="DE6" s="887">
        <f t="shared" si="3"/>
        <v>6</v>
      </c>
      <c r="DF6" s="887">
        <f t="shared" si="3"/>
        <v>6</v>
      </c>
      <c r="DG6" s="887">
        <f t="shared" si="3"/>
        <v>7</v>
      </c>
      <c r="DH6" s="887">
        <f t="shared" si="3"/>
        <v>7</v>
      </c>
      <c r="DI6" s="887">
        <f t="shared" si="3"/>
        <v>7</v>
      </c>
      <c r="DJ6" s="887">
        <f t="shared" si="3"/>
        <v>7</v>
      </c>
      <c r="DK6" s="887">
        <f t="shared" si="3"/>
        <v>7</v>
      </c>
      <c r="DL6" s="887">
        <f t="shared" si="3"/>
        <v>7</v>
      </c>
      <c r="DM6" s="887">
        <f t="shared" si="3"/>
        <v>7</v>
      </c>
      <c r="DN6" s="887">
        <f t="shared" si="3"/>
        <v>7</v>
      </c>
      <c r="DO6" s="887">
        <f t="shared" si="3"/>
        <v>7</v>
      </c>
      <c r="DP6" s="887">
        <f t="shared" si="3"/>
        <v>7</v>
      </c>
      <c r="DQ6" s="887">
        <f t="shared" si="3"/>
        <v>7</v>
      </c>
      <c r="DR6" s="887">
        <f t="shared" si="3"/>
        <v>7</v>
      </c>
      <c r="DS6" s="887">
        <f t="shared" si="3"/>
        <v>8</v>
      </c>
      <c r="DT6" s="887">
        <f t="shared" si="3"/>
        <v>8</v>
      </c>
      <c r="DU6" s="887">
        <f t="shared" si="3"/>
        <v>8</v>
      </c>
      <c r="DV6" s="887">
        <f t="shared" si="3"/>
        <v>8</v>
      </c>
      <c r="DW6" s="887">
        <f t="shared" si="3"/>
        <v>8</v>
      </c>
      <c r="DX6" s="887">
        <f t="shared" si="3"/>
        <v>8</v>
      </c>
      <c r="DY6" s="887">
        <f t="shared" si="3"/>
        <v>8</v>
      </c>
      <c r="DZ6" s="887">
        <f t="shared" si="3"/>
        <v>8</v>
      </c>
      <c r="EA6" s="887">
        <f t="shared" si="3"/>
        <v>8</v>
      </c>
      <c r="EB6" s="887">
        <f t="shared" si="3"/>
        <v>8</v>
      </c>
      <c r="EC6" s="887">
        <f t="shared" si="3"/>
        <v>8</v>
      </c>
      <c r="ED6" s="887">
        <f t="shared" si="3"/>
        <v>8</v>
      </c>
      <c r="EE6" s="887">
        <f t="shared" si="3"/>
        <v>9</v>
      </c>
      <c r="EF6" s="887">
        <f t="shared" si="3"/>
        <v>9</v>
      </c>
      <c r="EG6" s="887">
        <f t="shared" si="3"/>
        <v>9</v>
      </c>
      <c r="EH6" s="887">
        <f t="shared" si="3"/>
        <v>9</v>
      </c>
      <c r="EI6" s="887">
        <f t="shared" si="3"/>
        <v>9</v>
      </c>
      <c r="EJ6" s="887">
        <f t="shared" si="3"/>
        <v>9</v>
      </c>
      <c r="EK6" s="887">
        <f t="shared" si="3"/>
        <v>9</v>
      </c>
      <c r="EL6" s="887">
        <f t="shared" si="3"/>
        <v>9</v>
      </c>
      <c r="EM6" s="887">
        <f t="shared" si="3"/>
        <v>9</v>
      </c>
      <c r="EN6" s="887">
        <f t="shared" si="3"/>
        <v>9</v>
      </c>
      <c r="EO6" s="887">
        <f t="shared" si="3"/>
        <v>9</v>
      </c>
      <c r="EP6" s="887">
        <f t="shared" si="3"/>
        <v>9</v>
      </c>
      <c r="EQ6" s="887">
        <f t="shared" si="3"/>
        <v>10</v>
      </c>
      <c r="ER6" s="887">
        <f t="shared" si="3"/>
        <v>10</v>
      </c>
      <c r="ES6" s="887">
        <f t="shared" si="3"/>
        <v>10</v>
      </c>
      <c r="ET6" s="887">
        <f t="shared" si="3"/>
        <v>10</v>
      </c>
      <c r="EU6" s="887">
        <f t="shared" si="3"/>
        <v>10</v>
      </c>
      <c r="EV6" s="887">
        <f t="shared" si="3"/>
        <v>10</v>
      </c>
      <c r="EW6" s="887">
        <f t="shared" si="3"/>
        <v>10</v>
      </c>
      <c r="EX6" s="887">
        <f t="shared" si="3"/>
        <v>10</v>
      </c>
      <c r="EY6" s="887">
        <f t="shared" si="3"/>
        <v>10</v>
      </c>
      <c r="EZ6" s="887">
        <f t="shared" si="3"/>
        <v>10</v>
      </c>
      <c r="FA6" s="887">
        <f t="shared" si="3"/>
        <v>10</v>
      </c>
      <c r="FB6" s="887">
        <f t="shared" si="3"/>
        <v>10</v>
      </c>
      <c r="FC6" s="887">
        <f t="shared" si="3"/>
        <v>11</v>
      </c>
      <c r="FD6" s="887">
        <f t="shared" si="3"/>
        <v>11</v>
      </c>
      <c r="FE6" s="887">
        <f t="shared" si="3"/>
        <v>11</v>
      </c>
      <c r="FF6" s="887">
        <f t="shared" si="3"/>
        <v>11</v>
      </c>
      <c r="FG6" s="887">
        <f t="shared" si="3"/>
        <v>11</v>
      </c>
      <c r="FH6" s="887">
        <f t="shared" si="3"/>
        <v>11</v>
      </c>
      <c r="FI6" s="887">
        <f t="shared" si="3"/>
        <v>11</v>
      </c>
      <c r="FJ6" s="887">
        <f t="shared" si="3"/>
        <v>11</v>
      </c>
      <c r="FK6" s="887">
        <f t="shared" ref="FK6:FN6" si="4">ROUNDUP(FK7/12,0)</f>
        <v>11</v>
      </c>
      <c r="FL6" s="887">
        <f t="shared" si="4"/>
        <v>11</v>
      </c>
      <c r="FM6" s="887">
        <f t="shared" si="4"/>
        <v>11</v>
      </c>
      <c r="FN6" s="887">
        <f t="shared" si="4"/>
        <v>11</v>
      </c>
      <c r="FO6" s="144" t="s">
        <v>243</v>
      </c>
    </row>
    <row r="7" spans="2:171" ht="15" thickBot="1" x14ac:dyDescent="0.25">
      <c r="B7" s="888" t="s">
        <v>172</v>
      </c>
      <c r="C7" s="889" t="s">
        <v>305</v>
      </c>
      <c r="D7" s="889" t="s">
        <v>306</v>
      </c>
      <c r="E7" s="889" t="s">
        <v>169</v>
      </c>
      <c r="F7" s="890" t="s">
        <v>244</v>
      </c>
      <c r="G7" s="889" t="s">
        <v>245</v>
      </c>
      <c r="H7" s="889" t="s">
        <v>869</v>
      </c>
      <c r="I7" s="889" t="s">
        <v>307</v>
      </c>
      <c r="J7" s="889" t="s">
        <v>308</v>
      </c>
      <c r="K7" s="889" t="s">
        <v>309</v>
      </c>
      <c r="L7" s="890" t="s">
        <v>310</v>
      </c>
      <c r="M7" s="889" t="s">
        <v>311</v>
      </c>
      <c r="N7" s="890" t="s">
        <v>239</v>
      </c>
      <c r="O7" s="889" t="s">
        <v>311</v>
      </c>
      <c r="P7" s="891">
        <v>30</v>
      </c>
      <c r="Q7" s="892" t="s">
        <v>312</v>
      </c>
      <c r="R7" s="316"/>
      <c r="S7" s="893" t="s">
        <v>310</v>
      </c>
      <c r="T7" s="889" t="s">
        <v>311</v>
      </c>
      <c r="U7" s="890" t="s">
        <v>310</v>
      </c>
      <c r="V7" s="892" t="s">
        <v>311</v>
      </c>
      <c r="W7" s="145"/>
      <c r="X7" s="888" t="s">
        <v>172</v>
      </c>
      <c r="Y7" s="889" t="s">
        <v>313</v>
      </c>
      <c r="Z7" s="892" t="s">
        <v>314</v>
      </c>
      <c r="AG7" s="593"/>
      <c r="AK7" s="145" t="s">
        <v>315</v>
      </c>
      <c r="AL7" s="894">
        <v>0</v>
      </c>
      <c r="AM7" s="894">
        <f>AL7+1</f>
        <v>1</v>
      </c>
      <c r="AN7" s="894">
        <f t="shared" ref="AN7:CY7" si="5">AM7+1</f>
        <v>2</v>
      </c>
      <c r="AO7" s="894">
        <f t="shared" si="5"/>
        <v>3</v>
      </c>
      <c r="AP7" s="894">
        <f t="shared" si="5"/>
        <v>4</v>
      </c>
      <c r="AQ7" s="894">
        <f t="shared" si="5"/>
        <v>5</v>
      </c>
      <c r="AR7" s="894">
        <f t="shared" si="5"/>
        <v>6</v>
      </c>
      <c r="AS7" s="894">
        <f t="shared" si="5"/>
        <v>7</v>
      </c>
      <c r="AT7" s="894">
        <f t="shared" si="5"/>
        <v>8</v>
      </c>
      <c r="AU7" s="894">
        <f t="shared" si="5"/>
        <v>9</v>
      </c>
      <c r="AV7" s="894">
        <f t="shared" si="5"/>
        <v>10</v>
      </c>
      <c r="AW7" s="894">
        <f t="shared" si="5"/>
        <v>11</v>
      </c>
      <c r="AX7" s="894">
        <f t="shared" si="5"/>
        <v>12</v>
      </c>
      <c r="AY7" s="894">
        <f t="shared" si="5"/>
        <v>13</v>
      </c>
      <c r="AZ7" s="894">
        <f t="shared" si="5"/>
        <v>14</v>
      </c>
      <c r="BA7" s="894">
        <f t="shared" si="5"/>
        <v>15</v>
      </c>
      <c r="BB7" s="894">
        <f t="shared" si="5"/>
        <v>16</v>
      </c>
      <c r="BC7" s="894">
        <f t="shared" si="5"/>
        <v>17</v>
      </c>
      <c r="BD7" s="894">
        <f t="shared" si="5"/>
        <v>18</v>
      </c>
      <c r="BE7" s="894">
        <f t="shared" si="5"/>
        <v>19</v>
      </c>
      <c r="BF7" s="894">
        <f t="shared" si="5"/>
        <v>20</v>
      </c>
      <c r="BG7" s="894">
        <f t="shared" si="5"/>
        <v>21</v>
      </c>
      <c r="BH7" s="894">
        <f t="shared" si="5"/>
        <v>22</v>
      </c>
      <c r="BI7" s="894">
        <f t="shared" si="5"/>
        <v>23</v>
      </c>
      <c r="BJ7" s="894">
        <f t="shared" si="5"/>
        <v>24</v>
      </c>
      <c r="BK7" s="894">
        <f t="shared" si="5"/>
        <v>25</v>
      </c>
      <c r="BL7" s="894">
        <f t="shared" si="5"/>
        <v>26</v>
      </c>
      <c r="BM7" s="894">
        <f t="shared" si="5"/>
        <v>27</v>
      </c>
      <c r="BN7" s="894">
        <f t="shared" si="5"/>
        <v>28</v>
      </c>
      <c r="BO7" s="894">
        <f t="shared" si="5"/>
        <v>29</v>
      </c>
      <c r="BP7" s="894">
        <f t="shared" si="5"/>
        <v>30</v>
      </c>
      <c r="BQ7" s="894">
        <f t="shared" si="5"/>
        <v>31</v>
      </c>
      <c r="BR7" s="894">
        <f t="shared" si="5"/>
        <v>32</v>
      </c>
      <c r="BS7" s="894">
        <f>BR7+1</f>
        <v>33</v>
      </c>
      <c r="BT7" s="894">
        <f t="shared" si="5"/>
        <v>34</v>
      </c>
      <c r="BU7" s="894">
        <f t="shared" si="5"/>
        <v>35</v>
      </c>
      <c r="BV7" s="894">
        <f t="shared" si="5"/>
        <v>36</v>
      </c>
      <c r="BW7" s="894">
        <f t="shared" si="5"/>
        <v>37</v>
      </c>
      <c r="BX7" s="894">
        <f t="shared" si="5"/>
        <v>38</v>
      </c>
      <c r="BY7" s="894">
        <f t="shared" si="5"/>
        <v>39</v>
      </c>
      <c r="BZ7" s="894">
        <f t="shared" si="5"/>
        <v>40</v>
      </c>
      <c r="CA7" s="894">
        <f t="shared" si="5"/>
        <v>41</v>
      </c>
      <c r="CB7" s="894">
        <f t="shared" si="5"/>
        <v>42</v>
      </c>
      <c r="CC7" s="894">
        <f t="shared" si="5"/>
        <v>43</v>
      </c>
      <c r="CD7" s="894">
        <f t="shared" si="5"/>
        <v>44</v>
      </c>
      <c r="CE7" s="894">
        <f t="shared" si="5"/>
        <v>45</v>
      </c>
      <c r="CF7" s="894">
        <f t="shared" si="5"/>
        <v>46</v>
      </c>
      <c r="CG7" s="894">
        <f t="shared" si="5"/>
        <v>47</v>
      </c>
      <c r="CH7" s="894">
        <f t="shared" si="5"/>
        <v>48</v>
      </c>
      <c r="CI7" s="894">
        <f t="shared" si="5"/>
        <v>49</v>
      </c>
      <c r="CJ7" s="894">
        <f t="shared" si="5"/>
        <v>50</v>
      </c>
      <c r="CK7" s="894">
        <f t="shared" si="5"/>
        <v>51</v>
      </c>
      <c r="CL7" s="894">
        <f t="shared" si="5"/>
        <v>52</v>
      </c>
      <c r="CM7" s="894">
        <f t="shared" si="5"/>
        <v>53</v>
      </c>
      <c r="CN7" s="894">
        <f t="shared" si="5"/>
        <v>54</v>
      </c>
      <c r="CO7" s="894">
        <f t="shared" si="5"/>
        <v>55</v>
      </c>
      <c r="CP7" s="894">
        <f t="shared" si="5"/>
        <v>56</v>
      </c>
      <c r="CQ7" s="894">
        <f t="shared" si="5"/>
        <v>57</v>
      </c>
      <c r="CR7" s="894">
        <f t="shared" si="5"/>
        <v>58</v>
      </c>
      <c r="CS7" s="894">
        <f t="shared" si="5"/>
        <v>59</v>
      </c>
      <c r="CT7" s="894">
        <f t="shared" si="5"/>
        <v>60</v>
      </c>
      <c r="CU7" s="894">
        <f t="shared" si="5"/>
        <v>61</v>
      </c>
      <c r="CV7" s="894">
        <f t="shared" si="5"/>
        <v>62</v>
      </c>
      <c r="CW7" s="894">
        <f t="shared" si="5"/>
        <v>63</v>
      </c>
      <c r="CX7" s="894">
        <f t="shared" si="5"/>
        <v>64</v>
      </c>
      <c r="CY7" s="894">
        <f t="shared" si="5"/>
        <v>65</v>
      </c>
      <c r="CZ7" s="894">
        <f t="shared" ref="CZ7:FK7" si="6">CY7+1</f>
        <v>66</v>
      </c>
      <c r="DA7" s="894">
        <f t="shared" si="6"/>
        <v>67</v>
      </c>
      <c r="DB7" s="894">
        <f t="shared" si="6"/>
        <v>68</v>
      </c>
      <c r="DC7" s="894">
        <f t="shared" si="6"/>
        <v>69</v>
      </c>
      <c r="DD7" s="894">
        <f t="shared" si="6"/>
        <v>70</v>
      </c>
      <c r="DE7" s="894">
        <f t="shared" si="6"/>
        <v>71</v>
      </c>
      <c r="DF7" s="894">
        <f t="shared" si="6"/>
        <v>72</v>
      </c>
      <c r="DG7" s="894">
        <f t="shared" si="6"/>
        <v>73</v>
      </c>
      <c r="DH7" s="894">
        <f t="shared" si="6"/>
        <v>74</v>
      </c>
      <c r="DI7" s="894">
        <f t="shared" si="6"/>
        <v>75</v>
      </c>
      <c r="DJ7" s="894">
        <f t="shared" si="6"/>
        <v>76</v>
      </c>
      <c r="DK7" s="894">
        <f t="shared" si="6"/>
        <v>77</v>
      </c>
      <c r="DL7" s="894">
        <f t="shared" si="6"/>
        <v>78</v>
      </c>
      <c r="DM7" s="894">
        <f t="shared" si="6"/>
        <v>79</v>
      </c>
      <c r="DN7" s="894">
        <f t="shared" si="6"/>
        <v>80</v>
      </c>
      <c r="DO7" s="894">
        <f t="shared" si="6"/>
        <v>81</v>
      </c>
      <c r="DP7" s="894">
        <f t="shared" si="6"/>
        <v>82</v>
      </c>
      <c r="DQ7" s="894">
        <f t="shared" si="6"/>
        <v>83</v>
      </c>
      <c r="DR7" s="894">
        <f t="shared" si="6"/>
        <v>84</v>
      </c>
      <c r="DS7" s="894">
        <f t="shared" si="6"/>
        <v>85</v>
      </c>
      <c r="DT7" s="894">
        <f t="shared" si="6"/>
        <v>86</v>
      </c>
      <c r="DU7" s="894">
        <f t="shared" si="6"/>
        <v>87</v>
      </c>
      <c r="DV7" s="894">
        <f t="shared" si="6"/>
        <v>88</v>
      </c>
      <c r="DW7" s="894">
        <f t="shared" si="6"/>
        <v>89</v>
      </c>
      <c r="DX7" s="894">
        <f t="shared" si="6"/>
        <v>90</v>
      </c>
      <c r="DY7" s="894">
        <f t="shared" si="6"/>
        <v>91</v>
      </c>
      <c r="DZ7" s="894">
        <f t="shared" si="6"/>
        <v>92</v>
      </c>
      <c r="EA7" s="894">
        <f t="shared" si="6"/>
        <v>93</v>
      </c>
      <c r="EB7" s="894">
        <f t="shared" si="6"/>
        <v>94</v>
      </c>
      <c r="EC7" s="894">
        <f t="shared" si="6"/>
        <v>95</v>
      </c>
      <c r="ED7" s="894">
        <f t="shared" si="6"/>
        <v>96</v>
      </c>
      <c r="EE7" s="894">
        <f t="shared" si="6"/>
        <v>97</v>
      </c>
      <c r="EF7" s="894">
        <f t="shared" si="6"/>
        <v>98</v>
      </c>
      <c r="EG7" s="894">
        <f t="shared" si="6"/>
        <v>99</v>
      </c>
      <c r="EH7" s="894">
        <f t="shared" si="6"/>
        <v>100</v>
      </c>
      <c r="EI7" s="894">
        <f t="shared" si="6"/>
        <v>101</v>
      </c>
      <c r="EJ7" s="894">
        <f t="shared" si="6"/>
        <v>102</v>
      </c>
      <c r="EK7" s="894">
        <f t="shared" si="6"/>
        <v>103</v>
      </c>
      <c r="EL7" s="894">
        <f t="shared" si="6"/>
        <v>104</v>
      </c>
      <c r="EM7" s="894">
        <f t="shared" si="6"/>
        <v>105</v>
      </c>
      <c r="EN7" s="894">
        <f t="shared" si="6"/>
        <v>106</v>
      </c>
      <c r="EO7" s="894">
        <f t="shared" si="6"/>
        <v>107</v>
      </c>
      <c r="EP7" s="894">
        <f t="shared" si="6"/>
        <v>108</v>
      </c>
      <c r="EQ7" s="894">
        <f t="shared" si="6"/>
        <v>109</v>
      </c>
      <c r="ER7" s="894">
        <f t="shared" si="6"/>
        <v>110</v>
      </c>
      <c r="ES7" s="894">
        <f t="shared" si="6"/>
        <v>111</v>
      </c>
      <c r="ET7" s="894">
        <f t="shared" si="6"/>
        <v>112</v>
      </c>
      <c r="EU7" s="894">
        <f t="shared" si="6"/>
        <v>113</v>
      </c>
      <c r="EV7" s="894">
        <f t="shared" si="6"/>
        <v>114</v>
      </c>
      <c r="EW7" s="894">
        <f t="shared" si="6"/>
        <v>115</v>
      </c>
      <c r="EX7" s="894">
        <f t="shared" si="6"/>
        <v>116</v>
      </c>
      <c r="EY7" s="894">
        <f t="shared" si="6"/>
        <v>117</v>
      </c>
      <c r="EZ7" s="894">
        <f t="shared" si="6"/>
        <v>118</v>
      </c>
      <c r="FA7" s="894">
        <f t="shared" si="6"/>
        <v>119</v>
      </c>
      <c r="FB7" s="894">
        <f t="shared" si="6"/>
        <v>120</v>
      </c>
      <c r="FC7" s="894">
        <f t="shared" si="6"/>
        <v>121</v>
      </c>
      <c r="FD7" s="894">
        <f t="shared" si="6"/>
        <v>122</v>
      </c>
      <c r="FE7" s="894">
        <f t="shared" si="6"/>
        <v>123</v>
      </c>
      <c r="FF7" s="894">
        <f t="shared" si="6"/>
        <v>124</v>
      </c>
      <c r="FG7" s="894">
        <f t="shared" si="6"/>
        <v>125</v>
      </c>
      <c r="FH7" s="894">
        <f t="shared" si="6"/>
        <v>126</v>
      </c>
      <c r="FI7" s="894">
        <f t="shared" si="6"/>
        <v>127</v>
      </c>
      <c r="FJ7" s="894">
        <f t="shared" si="6"/>
        <v>128</v>
      </c>
      <c r="FK7" s="894">
        <f t="shared" si="6"/>
        <v>129</v>
      </c>
      <c r="FL7" s="894">
        <f t="shared" ref="FL7:FN7" si="7">FK7+1</f>
        <v>130</v>
      </c>
      <c r="FM7" s="894">
        <f t="shared" si="7"/>
        <v>131</v>
      </c>
      <c r="FN7" s="894">
        <f t="shared" si="7"/>
        <v>132</v>
      </c>
      <c r="FO7" s="145" t="s">
        <v>243</v>
      </c>
    </row>
    <row r="8" spans="2:171" x14ac:dyDescent="0.2">
      <c r="B8" s="781" t="s">
        <v>868</v>
      </c>
      <c r="C8" s="1030">
        <v>38</v>
      </c>
      <c r="D8" s="1307">
        <f t="shared" ref="D8:D19" si="8">C8/units</f>
        <v>0.15573770491803279</v>
      </c>
      <c r="E8" s="1030">
        <v>642</v>
      </c>
      <c r="F8" s="895">
        <f>COUNTIFS(Rent_Roll[SqFt],'Unit Mix-Reno Schedule'!$E8,Rent_Roll[Unit
Status],'Unit Mix-Reno Schedule'!F$7)</f>
        <v>37</v>
      </c>
      <c r="G8" s="895">
        <f>COUNTIFS(Rent_Roll[SqFt],'Unit Mix-Reno Schedule'!$E8,Rent_Roll[Unit
Status],'Unit Mix-Reno Schedule'!G$7)</f>
        <v>1</v>
      </c>
      <c r="H8" s="151">
        <v>0</v>
      </c>
      <c r="I8" s="705">
        <f>IFERROR(F8/$C8,0)</f>
        <v>0.97368421052631582</v>
      </c>
      <c r="J8" s="225">
        <f>IFERROR(G8/$C8,0)</f>
        <v>2.6315789473684209E-2</v>
      </c>
      <c r="K8" s="225">
        <v>0</v>
      </c>
      <c r="L8" s="896">
        <f>IFERROR(AVERAGEIF(Rent_Roll[SqFt],'Unit Mix-Reno Schedule'!$E8,Rent_Roll[Market
Rent]),0)</f>
        <v>1081.8421052631579</v>
      </c>
      <c r="M8" s="699">
        <f>IFERROR(L8/$E8,0)</f>
        <v>1.6851123134940154</v>
      </c>
      <c r="N8" s="897">
        <f>IFERROR(AVERAGEIFS(Rent_Roll[Total In-Place
Rent],Rent_Roll[SqFt],'Unit Mix-Reno Schedule'!$E8,Rent_Roll[Unit
Status],"Occupied"),0)</f>
        <v>1027.2972972972973</v>
      </c>
      <c r="O8" s="699">
        <f>IFERROR(N8/$E8,0)</f>
        <v>1.6001515534225814</v>
      </c>
      <c r="P8" s="897" cm="1">
        <f t="array" ref="P8">IFERROR(_xlfn.IFS(P$7=90,AVERAGEIFS(Rent_Roll[Total In-Place
Rent],Rent_Roll[SqFt],'Unit Mix-Reno Schedule'!$E8,Rent_Roll[Lease
Start],"&gt;="&amp;'Unit Mix-Reno Schedule'!$P$2),
'Unit Mix-Reno Schedule'!P$7=60,AVERAGEIFS(Rent_Roll[Total In-Place
Rent],Rent_Roll[SqFt],'Unit Mix-Reno Schedule'!$E8,Rent_Roll[Lease
Start],"&gt;="&amp;'Unit Mix-Reno Schedule'!$P$3),
'Unit Mix-Reno Schedule'!P$7=30,AVERAGEIFS(Rent_Roll[Total In-Place
Rent],Rent_Roll[SqFt],'Unit Mix-Reno Schedule'!$E8,Rent_Roll[Lease
Start],"&gt;="&amp;'Unit Mix-Reno Schedule'!$P$4)),"")</f>
        <v>1062.2222222222222</v>
      </c>
      <c r="Q8" s="898" cm="1">
        <f t="array" ref="Q8">_xlfn.IFS(P$7=90,COUNTIFS(Rent_Roll[SqFt],'Unit Mix-Reno Schedule'!$E8,Rent_Roll[Lease
Start],"&gt;="&amp;'Unit Mix-Reno Schedule'!$P$2),
'Unit Mix-Reno Schedule'!P$7=60,COUNTIFS(Rent_Roll[SqFt],'Unit Mix-Reno Schedule'!$E8,Rent_Roll[Lease
Start],"&gt;="&amp;'Unit Mix-Reno Schedule'!$P$3),
'Unit Mix-Reno Schedule'!P$7=30,COUNTIFS(Rent_Roll[SqFt],'Unit Mix-Reno Schedule'!$E8,Rent_Roll[Lease
Start],"&gt;="&amp;'Unit Mix-Reno Schedule'!$P$4))</f>
        <v>9</v>
      </c>
      <c r="S8" s="899">
        <v>1100</v>
      </c>
      <c r="T8" s="699">
        <f>IFERROR(S8/$E8,"")</f>
        <v>1.7133956386292835</v>
      </c>
      <c r="U8" s="900">
        <v>1175</v>
      </c>
      <c r="V8" s="901">
        <f>IFERROR(U8/$E8,"")</f>
        <v>1.8302180685358256</v>
      </c>
      <c r="X8" s="721" t="str">
        <f>B8</f>
        <v>1x1</v>
      </c>
      <c r="Y8" s="151">
        <f>COUNTIFS(Rent_Roll[SqFt],'Unit Mix-Reno Schedule'!E8,Rent_Roll[Unit
Status],"vacant")+COUNTIFS(Rent_Roll[SqFt],'Unit Mix-Reno Schedule'!E8,Rent_Roll[Unit
Status],"admin/down")</f>
        <v>1</v>
      </c>
      <c r="Z8" s="844">
        <f>SUMIFS(Rent_Roll[Market
Rent],Rent_Roll[SqFt],'Unit Mix-Reno Schedule'!E8,Rent_Roll[Unit
Status],"vacant")+SUMIFS(Rent_Roll[Market
Rent],Rent_Roll[SqFt],'Unit Mix-Reno Schedule'!E8,Rent_Roll[Unit
Status],"admin/down")</f>
        <v>1075</v>
      </c>
      <c r="AK8" s="145" t="s">
        <v>316</v>
      </c>
      <c r="AL8" s="728">
        <f>EOMONTH(AnalysisStartDate,-1)</f>
        <v>44926</v>
      </c>
      <c r="AM8" s="728">
        <f>EOMONTH(AL8,1)</f>
        <v>44957</v>
      </c>
      <c r="AN8" s="728">
        <f t="shared" ref="AN8:CY8" si="9">EOMONTH(AM8,1)</f>
        <v>44985</v>
      </c>
      <c r="AO8" s="728">
        <f t="shared" si="9"/>
        <v>45016</v>
      </c>
      <c r="AP8" s="728">
        <f t="shared" si="9"/>
        <v>45046</v>
      </c>
      <c r="AQ8" s="728">
        <f t="shared" si="9"/>
        <v>45077</v>
      </c>
      <c r="AR8" s="728">
        <f t="shared" si="9"/>
        <v>45107</v>
      </c>
      <c r="AS8" s="728">
        <f t="shared" si="9"/>
        <v>45138</v>
      </c>
      <c r="AT8" s="728">
        <f t="shared" si="9"/>
        <v>45169</v>
      </c>
      <c r="AU8" s="728">
        <f t="shared" si="9"/>
        <v>45199</v>
      </c>
      <c r="AV8" s="728">
        <f t="shared" si="9"/>
        <v>45230</v>
      </c>
      <c r="AW8" s="728">
        <f t="shared" si="9"/>
        <v>45260</v>
      </c>
      <c r="AX8" s="728">
        <f t="shared" si="9"/>
        <v>45291</v>
      </c>
      <c r="AY8" s="728">
        <f t="shared" si="9"/>
        <v>45322</v>
      </c>
      <c r="AZ8" s="728">
        <f t="shared" si="9"/>
        <v>45351</v>
      </c>
      <c r="BA8" s="728">
        <f t="shared" si="9"/>
        <v>45382</v>
      </c>
      <c r="BB8" s="728">
        <f t="shared" si="9"/>
        <v>45412</v>
      </c>
      <c r="BC8" s="728">
        <f t="shared" si="9"/>
        <v>45443</v>
      </c>
      <c r="BD8" s="728">
        <f t="shared" si="9"/>
        <v>45473</v>
      </c>
      <c r="BE8" s="728">
        <f t="shared" si="9"/>
        <v>45504</v>
      </c>
      <c r="BF8" s="728">
        <f t="shared" si="9"/>
        <v>45535</v>
      </c>
      <c r="BG8" s="728">
        <f t="shared" si="9"/>
        <v>45565</v>
      </c>
      <c r="BH8" s="728">
        <f t="shared" si="9"/>
        <v>45596</v>
      </c>
      <c r="BI8" s="728">
        <f t="shared" si="9"/>
        <v>45626</v>
      </c>
      <c r="BJ8" s="728">
        <f t="shared" si="9"/>
        <v>45657</v>
      </c>
      <c r="BK8" s="728">
        <f t="shared" si="9"/>
        <v>45688</v>
      </c>
      <c r="BL8" s="728">
        <f t="shared" si="9"/>
        <v>45716</v>
      </c>
      <c r="BM8" s="728">
        <f t="shared" si="9"/>
        <v>45747</v>
      </c>
      <c r="BN8" s="728">
        <f t="shared" si="9"/>
        <v>45777</v>
      </c>
      <c r="BO8" s="728">
        <f t="shared" si="9"/>
        <v>45808</v>
      </c>
      <c r="BP8" s="728">
        <f t="shared" si="9"/>
        <v>45838</v>
      </c>
      <c r="BQ8" s="728">
        <f t="shared" si="9"/>
        <v>45869</v>
      </c>
      <c r="BR8" s="728">
        <f t="shared" si="9"/>
        <v>45900</v>
      </c>
      <c r="BS8" s="728">
        <f>EOMONTH(BR8,1)</f>
        <v>45930</v>
      </c>
      <c r="BT8" s="728">
        <f t="shared" si="9"/>
        <v>45961</v>
      </c>
      <c r="BU8" s="728">
        <f t="shared" si="9"/>
        <v>45991</v>
      </c>
      <c r="BV8" s="728">
        <f t="shared" si="9"/>
        <v>46022</v>
      </c>
      <c r="BW8" s="728">
        <f t="shared" si="9"/>
        <v>46053</v>
      </c>
      <c r="BX8" s="728">
        <f t="shared" si="9"/>
        <v>46081</v>
      </c>
      <c r="BY8" s="728">
        <f t="shared" si="9"/>
        <v>46112</v>
      </c>
      <c r="BZ8" s="728">
        <f t="shared" si="9"/>
        <v>46142</v>
      </c>
      <c r="CA8" s="728">
        <f t="shared" si="9"/>
        <v>46173</v>
      </c>
      <c r="CB8" s="728">
        <f t="shared" si="9"/>
        <v>46203</v>
      </c>
      <c r="CC8" s="728">
        <f t="shared" si="9"/>
        <v>46234</v>
      </c>
      <c r="CD8" s="728">
        <f t="shared" si="9"/>
        <v>46265</v>
      </c>
      <c r="CE8" s="728">
        <f t="shared" si="9"/>
        <v>46295</v>
      </c>
      <c r="CF8" s="728">
        <f t="shared" si="9"/>
        <v>46326</v>
      </c>
      <c r="CG8" s="728">
        <f t="shared" si="9"/>
        <v>46356</v>
      </c>
      <c r="CH8" s="728">
        <f t="shared" si="9"/>
        <v>46387</v>
      </c>
      <c r="CI8" s="728">
        <f t="shared" si="9"/>
        <v>46418</v>
      </c>
      <c r="CJ8" s="728">
        <f t="shared" si="9"/>
        <v>46446</v>
      </c>
      <c r="CK8" s="728">
        <f t="shared" si="9"/>
        <v>46477</v>
      </c>
      <c r="CL8" s="728">
        <f t="shared" si="9"/>
        <v>46507</v>
      </c>
      <c r="CM8" s="728">
        <f t="shared" si="9"/>
        <v>46538</v>
      </c>
      <c r="CN8" s="728">
        <f t="shared" si="9"/>
        <v>46568</v>
      </c>
      <c r="CO8" s="728">
        <f t="shared" si="9"/>
        <v>46599</v>
      </c>
      <c r="CP8" s="728">
        <f t="shared" si="9"/>
        <v>46630</v>
      </c>
      <c r="CQ8" s="728">
        <f t="shared" si="9"/>
        <v>46660</v>
      </c>
      <c r="CR8" s="728">
        <f t="shared" si="9"/>
        <v>46691</v>
      </c>
      <c r="CS8" s="728">
        <f t="shared" si="9"/>
        <v>46721</v>
      </c>
      <c r="CT8" s="728">
        <f t="shared" si="9"/>
        <v>46752</v>
      </c>
      <c r="CU8" s="728">
        <f t="shared" si="9"/>
        <v>46783</v>
      </c>
      <c r="CV8" s="728">
        <f t="shared" si="9"/>
        <v>46812</v>
      </c>
      <c r="CW8" s="728">
        <f t="shared" si="9"/>
        <v>46843</v>
      </c>
      <c r="CX8" s="728">
        <f t="shared" si="9"/>
        <v>46873</v>
      </c>
      <c r="CY8" s="728">
        <f t="shared" si="9"/>
        <v>46904</v>
      </c>
      <c r="CZ8" s="728">
        <f t="shared" ref="CZ8:FK8" si="10">EOMONTH(CY8,1)</f>
        <v>46934</v>
      </c>
      <c r="DA8" s="728">
        <f t="shared" si="10"/>
        <v>46965</v>
      </c>
      <c r="DB8" s="728">
        <f t="shared" si="10"/>
        <v>46996</v>
      </c>
      <c r="DC8" s="728">
        <f t="shared" si="10"/>
        <v>47026</v>
      </c>
      <c r="DD8" s="728">
        <f t="shared" si="10"/>
        <v>47057</v>
      </c>
      <c r="DE8" s="728">
        <f t="shared" si="10"/>
        <v>47087</v>
      </c>
      <c r="DF8" s="728">
        <f t="shared" si="10"/>
        <v>47118</v>
      </c>
      <c r="DG8" s="728">
        <f t="shared" si="10"/>
        <v>47149</v>
      </c>
      <c r="DH8" s="728">
        <f t="shared" si="10"/>
        <v>47177</v>
      </c>
      <c r="DI8" s="728">
        <f t="shared" si="10"/>
        <v>47208</v>
      </c>
      <c r="DJ8" s="728">
        <f t="shared" si="10"/>
        <v>47238</v>
      </c>
      <c r="DK8" s="728">
        <f t="shared" si="10"/>
        <v>47269</v>
      </c>
      <c r="DL8" s="728">
        <f t="shared" si="10"/>
        <v>47299</v>
      </c>
      <c r="DM8" s="728">
        <f t="shared" si="10"/>
        <v>47330</v>
      </c>
      <c r="DN8" s="728">
        <f t="shared" si="10"/>
        <v>47361</v>
      </c>
      <c r="DO8" s="728">
        <f t="shared" si="10"/>
        <v>47391</v>
      </c>
      <c r="DP8" s="728">
        <f t="shared" si="10"/>
        <v>47422</v>
      </c>
      <c r="DQ8" s="728">
        <f t="shared" si="10"/>
        <v>47452</v>
      </c>
      <c r="DR8" s="728">
        <f t="shared" si="10"/>
        <v>47483</v>
      </c>
      <c r="DS8" s="728">
        <f t="shared" si="10"/>
        <v>47514</v>
      </c>
      <c r="DT8" s="728">
        <f t="shared" si="10"/>
        <v>47542</v>
      </c>
      <c r="DU8" s="728">
        <f t="shared" si="10"/>
        <v>47573</v>
      </c>
      <c r="DV8" s="728">
        <f t="shared" si="10"/>
        <v>47603</v>
      </c>
      <c r="DW8" s="728">
        <f t="shared" si="10"/>
        <v>47634</v>
      </c>
      <c r="DX8" s="728">
        <f t="shared" si="10"/>
        <v>47664</v>
      </c>
      <c r="DY8" s="728">
        <f t="shared" si="10"/>
        <v>47695</v>
      </c>
      <c r="DZ8" s="728">
        <f t="shared" si="10"/>
        <v>47726</v>
      </c>
      <c r="EA8" s="728">
        <f t="shared" si="10"/>
        <v>47756</v>
      </c>
      <c r="EB8" s="728">
        <f t="shared" si="10"/>
        <v>47787</v>
      </c>
      <c r="EC8" s="728">
        <f t="shared" si="10"/>
        <v>47817</v>
      </c>
      <c r="ED8" s="728">
        <f t="shared" si="10"/>
        <v>47848</v>
      </c>
      <c r="EE8" s="728">
        <f t="shared" si="10"/>
        <v>47879</v>
      </c>
      <c r="EF8" s="728">
        <f t="shared" si="10"/>
        <v>47907</v>
      </c>
      <c r="EG8" s="728">
        <f t="shared" si="10"/>
        <v>47938</v>
      </c>
      <c r="EH8" s="728">
        <f t="shared" si="10"/>
        <v>47968</v>
      </c>
      <c r="EI8" s="728">
        <f t="shared" si="10"/>
        <v>47999</v>
      </c>
      <c r="EJ8" s="728">
        <f t="shared" si="10"/>
        <v>48029</v>
      </c>
      <c r="EK8" s="728">
        <f t="shared" si="10"/>
        <v>48060</v>
      </c>
      <c r="EL8" s="728">
        <f t="shared" si="10"/>
        <v>48091</v>
      </c>
      <c r="EM8" s="728">
        <f t="shared" si="10"/>
        <v>48121</v>
      </c>
      <c r="EN8" s="728">
        <f t="shared" si="10"/>
        <v>48152</v>
      </c>
      <c r="EO8" s="728">
        <f t="shared" si="10"/>
        <v>48182</v>
      </c>
      <c r="EP8" s="728">
        <f t="shared" si="10"/>
        <v>48213</v>
      </c>
      <c r="EQ8" s="728">
        <f t="shared" si="10"/>
        <v>48244</v>
      </c>
      <c r="ER8" s="728">
        <f t="shared" si="10"/>
        <v>48273</v>
      </c>
      <c r="ES8" s="728">
        <f t="shared" si="10"/>
        <v>48304</v>
      </c>
      <c r="ET8" s="728">
        <f t="shared" si="10"/>
        <v>48334</v>
      </c>
      <c r="EU8" s="728">
        <f t="shared" si="10"/>
        <v>48365</v>
      </c>
      <c r="EV8" s="728">
        <f t="shared" si="10"/>
        <v>48395</v>
      </c>
      <c r="EW8" s="728">
        <f t="shared" si="10"/>
        <v>48426</v>
      </c>
      <c r="EX8" s="728">
        <f t="shared" si="10"/>
        <v>48457</v>
      </c>
      <c r="EY8" s="728">
        <f t="shared" si="10"/>
        <v>48487</v>
      </c>
      <c r="EZ8" s="728">
        <f t="shared" si="10"/>
        <v>48518</v>
      </c>
      <c r="FA8" s="728">
        <f t="shared" si="10"/>
        <v>48548</v>
      </c>
      <c r="FB8" s="728">
        <f t="shared" si="10"/>
        <v>48579</v>
      </c>
      <c r="FC8" s="728">
        <f t="shared" si="10"/>
        <v>48610</v>
      </c>
      <c r="FD8" s="728">
        <f t="shared" si="10"/>
        <v>48638</v>
      </c>
      <c r="FE8" s="728">
        <f t="shared" si="10"/>
        <v>48669</v>
      </c>
      <c r="FF8" s="728">
        <f t="shared" si="10"/>
        <v>48699</v>
      </c>
      <c r="FG8" s="728">
        <f t="shared" si="10"/>
        <v>48730</v>
      </c>
      <c r="FH8" s="728">
        <f t="shared" si="10"/>
        <v>48760</v>
      </c>
      <c r="FI8" s="728">
        <f t="shared" si="10"/>
        <v>48791</v>
      </c>
      <c r="FJ8" s="728">
        <f t="shared" si="10"/>
        <v>48822</v>
      </c>
      <c r="FK8" s="728">
        <f t="shared" si="10"/>
        <v>48852</v>
      </c>
      <c r="FL8" s="728">
        <f>EOMONTH(FK8,1)</f>
        <v>48883</v>
      </c>
      <c r="FM8" s="728">
        <f>EOMONTH(FL8,1)</f>
        <v>48913</v>
      </c>
      <c r="FN8" s="728">
        <f>EOMONTH(FM8,1)</f>
        <v>48944</v>
      </c>
      <c r="FO8" s="144" t="s">
        <v>243</v>
      </c>
    </row>
    <row r="9" spans="2:171" x14ac:dyDescent="0.2">
      <c r="B9" s="781" t="s">
        <v>868</v>
      </c>
      <c r="C9" s="1030">
        <v>12</v>
      </c>
      <c r="D9" s="1307">
        <f t="shared" si="8"/>
        <v>4.9180327868852458E-2</v>
      </c>
      <c r="E9" s="1030">
        <v>727</v>
      </c>
      <c r="F9" s="895">
        <f>COUNTIFS(Rent_Roll[SqFt],'Unit Mix-Reno Schedule'!$E9,Rent_Roll[Unit
Status],'Unit Mix-Reno Schedule'!F$7)</f>
        <v>12</v>
      </c>
      <c r="G9" s="895">
        <f>COUNTIFS(Rent_Roll[SqFt],'Unit Mix-Reno Schedule'!$E9,Rent_Roll[Unit
Status],'Unit Mix-Reno Schedule'!G$7)</f>
        <v>0</v>
      </c>
      <c r="H9" s="151">
        <v>0</v>
      </c>
      <c r="I9" s="705">
        <f t="shared" ref="I9:I19" si="11">IFERROR(F9/$C9,0)</f>
        <v>1</v>
      </c>
      <c r="J9" s="225">
        <f t="shared" ref="J9:J19" si="12">IFERROR(G9/$C9,0)</f>
        <v>0</v>
      </c>
      <c r="K9" s="225">
        <v>0</v>
      </c>
      <c r="L9" s="896">
        <f>IFERROR(AVERAGEIF(Rent_Roll[SqFt],'Unit Mix-Reno Schedule'!$E9,Rent_Roll[Market
Rent]),0)</f>
        <v>1135</v>
      </c>
      <c r="M9" s="699">
        <f t="shared" ref="M9:M19" si="13">IFERROR(L9/$E9,0)</f>
        <v>1.5612104539202201</v>
      </c>
      <c r="N9" s="897">
        <f>IFERROR(AVERAGEIFS(Rent_Roll[Total In-Place
Rent],Rent_Roll[SqFt],'Unit Mix-Reno Schedule'!$E9,Rent_Roll[Unit
Status],"Occupied"),0)</f>
        <v>1049.5833333333333</v>
      </c>
      <c r="O9" s="699">
        <f t="shared" ref="O9:O19" si="14">IFERROR(N9/$E9,0)</f>
        <v>1.4437184777624941</v>
      </c>
      <c r="P9" s="897" cm="1">
        <f t="array" ref="P9">IFERROR(_xlfn.IFS(P$7=90,AVERAGEIFS(Rent_Roll[Total In-Place
Rent],Rent_Roll[SqFt],'Unit Mix-Reno Schedule'!$E9,Rent_Roll[Lease
Start],"&gt;="&amp;'Unit Mix-Reno Schedule'!$P$2),
'Unit Mix-Reno Schedule'!P$7=60,AVERAGEIFS(Rent_Roll[Total In-Place
Rent],Rent_Roll[SqFt],'Unit Mix-Reno Schedule'!$E9,Rent_Roll[Lease
Start],"&gt;="&amp;'Unit Mix-Reno Schedule'!$P$3),
'Unit Mix-Reno Schedule'!P$7=30,AVERAGEIFS(Rent_Roll[Total In-Place
Rent],Rent_Roll[SqFt],'Unit Mix-Reno Schedule'!$E9,Rent_Roll[Lease
Start],"&gt;="&amp;'Unit Mix-Reno Schedule'!$P$4)),"")</f>
        <v>1150</v>
      </c>
      <c r="Q9" s="898" cm="1">
        <f t="array" ref="Q9">_xlfn.IFS(P$7=90,COUNTIFS(Rent_Roll[SqFt],'Unit Mix-Reno Schedule'!$E9,Rent_Roll[Lease
Start],"&gt;="&amp;'Unit Mix-Reno Schedule'!$P$2),
'Unit Mix-Reno Schedule'!P$7=60,COUNTIFS(Rent_Roll[SqFt],'Unit Mix-Reno Schedule'!$E9,Rent_Roll[Lease
Start],"&gt;="&amp;'Unit Mix-Reno Schedule'!$P$3),
'Unit Mix-Reno Schedule'!P$7=30,COUNTIFS(Rent_Roll[SqFt],'Unit Mix-Reno Schedule'!$E9,Rent_Roll[Lease
Start],"&gt;="&amp;'Unit Mix-Reno Schedule'!$P$4))</f>
        <v>1</v>
      </c>
      <c r="S9" s="899">
        <v>1230</v>
      </c>
      <c r="T9" s="699">
        <f t="shared" ref="T9:T21" si="15">IFERROR(S9/$E9,"")</f>
        <v>1.6918844566712516</v>
      </c>
      <c r="U9" s="900">
        <v>1295</v>
      </c>
      <c r="V9" s="901">
        <f t="shared" ref="V9:V19" si="16">IFERROR(U9/$E9,"")</f>
        <v>1.781292984869326</v>
      </c>
      <c r="X9" s="721" t="str">
        <f t="shared" ref="X9:X19" si="17">B9</f>
        <v>1x1</v>
      </c>
      <c r="Y9" s="151">
        <f>COUNTIFS(Rent_Roll[SqFt],'Unit Mix-Reno Schedule'!E9,Rent_Roll[Unit
Status],"vacant")+COUNTIFS(Rent_Roll[SqFt],'Unit Mix-Reno Schedule'!E9,Rent_Roll[Unit
Status],"admin/down")</f>
        <v>0</v>
      </c>
      <c r="Z9" s="844">
        <f>SUMIFS(Rent_Roll[Market
Rent],Rent_Roll[SqFt],'Unit Mix-Reno Schedule'!E9,Rent_Roll[Unit
Status],"vacant")+SUMIFS(Rent_Roll[Market
Rent],Rent_Roll[SqFt],'Unit Mix-Reno Schedule'!E9,Rent_Roll[Unit
Status],"admin/down")</f>
        <v>0</v>
      </c>
      <c r="AE9" s="150"/>
      <c r="FO9" s="144" t="s">
        <v>243</v>
      </c>
    </row>
    <row r="10" spans="2:171" x14ac:dyDescent="0.2">
      <c r="B10" s="781" t="s">
        <v>868</v>
      </c>
      <c r="C10" s="1030">
        <v>24</v>
      </c>
      <c r="D10" s="1307">
        <f t="shared" si="8"/>
        <v>9.8360655737704916E-2</v>
      </c>
      <c r="E10" s="1030">
        <v>804</v>
      </c>
      <c r="F10" s="895">
        <f>COUNTIFS(Rent_Roll[SqFt],'Unit Mix-Reno Schedule'!$E10,Rent_Roll[Unit
Status],'Unit Mix-Reno Schedule'!F$7)</f>
        <v>24</v>
      </c>
      <c r="G10" s="895">
        <f>COUNTIFS(Rent_Roll[SqFt],'Unit Mix-Reno Schedule'!$E10,Rent_Roll[Unit
Status],'Unit Mix-Reno Schedule'!G$7)</f>
        <v>0</v>
      </c>
      <c r="H10" s="151">
        <v>0</v>
      </c>
      <c r="I10" s="705">
        <f t="shared" si="11"/>
        <v>1</v>
      </c>
      <c r="J10" s="225">
        <f t="shared" si="12"/>
        <v>0</v>
      </c>
      <c r="K10" s="225">
        <v>0</v>
      </c>
      <c r="L10" s="896">
        <f>IFERROR(AVERAGEIF(Rent_Roll[SqFt],'Unit Mix-Reno Schedule'!$E10,Rent_Roll[Market
Rent]),0)</f>
        <v>1162.5</v>
      </c>
      <c r="M10" s="699">
        <f t="shared" si="13"/>
        <v>1.4458955223880596</v>
      </c>
      <c r="N10" s="897">
        <f>IFERROR(AVERAGEIFS(Rent_Roll[Total In-Place
Rent],Rent_Roll[SqFt],'Unit Mix-Reno Schedule'!$E10,Rent_Roll[Unit
Status],"Occupied"),0)</f>
        <v>1058.9583333333333</v>
      </c>
      <c r="O10" s="699">
        <f t="shared" si="14"/>
        <v>1.3171123548922055</v>
      </c>
      <c r="P10" s="897" cm="1">
        <f t="array" ref="P10">IFERROR(_xlfn.IFS(P$7=90,AVERAGEIFS(Rent_Roll[Total In-Place
Rent],Rent_Roll[SqFt],'Unit Mix-Reno Schedule'!$E10,Rent_Roll[Lease
Start],"&gt;="&amp;'Unit Mix-Reno Schedule'!$P$2),
'Unit Mix-Reno Schedule'!P$7=60,AVERAGEIFS(Rent_Roll[Total In-Place
Rent],Rent_Roll[SqFt],'Unit Mix-Reno Schedule'!$E10,Rent_Roll[Lease
Start],"&gt;="&amp;'Unit Mix-Reno Schedule'!$P$3),
'Unit Mix-Reno Schedule'!P$7=30,AVERAGEIFS(Rent_Roll[Total In-Place
Rent],Rent_Roll[SqFt],'Unit Mix-Reno Schedule'!$E10,Rent_Roll[Lease
Start],"&gt;="&amp;'Unit Mix-Reno Schedule'!$P$4)),"")</f>
        <v>1092.5</v>
      </c>
      <c r="Q10" s="898" cm="1">
        <f t="array" ref="Q10">_xlfn.IFS(P$7=90,COUNTIFS(Rent_Roll[SqFt],'Unit Mix-Reno Schedule'!$E10,Rent_Roll[Lease
Start],"&gt;="&amp;'Unit Mix-Reno Schedule'!$P$2),
'Unit Mix-Reno Schedule'!P$7=60,COUNTIFS(Rent_Roll[SqFt],'Unit Mix-Reno Schedule'!$E10,Rent_Roll[Lease
Start],"&gt;="&amp;'Unit Mix-Reno Schedule'!$P$3),
'Unit Mix-Reno Schedule'!P$7=30,COUNTIFS(Rent_Roll[SqFt],'Unit Mix-Reno Schedule'!$E10,Rent_Roll[Lease
Start],"&gt;="&amp;'Unit Mix-Reno Schedule'!$P$4))</f>
        <v>2</v>
      </c>
      <c r="S10" s="899">
        <v>1250</v>
      </c>
      <c r="T10" s="699">
        <f t="shared" si="15"/>
        <v>1.5547263681592041</v>
      </c>
      <c r="U10" s="900">
        <v>1335</v>
      </c>
      <c r="V10" s="901">
        <f t="shared" si="16"/>
        <v>1.6604477611940298</v>
      </c>
      <c r="X10" s="721" t="str">
        <f t="shared" si="17"/>
        <v>1x1</v>
      </c>
      <c r="Y10" s="151">
        <f>COUNTIFS(Rent_Roll[SqFt],'Unit Mix-Reno Schedule'!E10,Rent_Roll[Unit
Status],"vacant")+COUNTIFS(Rent_Roll[SqFt],'Unit Mix-Reno Schedule'!E10,Rent_Roll[Unit
Status],"admin/down")</f>
        <v>0</v>
      </c>
      <c r="Z10" s="844">
        <f>SUMIFS(Rent_Roll[Market
Rent],Rent_Roll[SqFt],'Unit Mix-Reno Schedule'!E10,Rent_Roll[Unit
Status],"vacant")+SUMIFS(Rent_Roll[Market
Rent],Rent_Roll[SqFt],'Unit Mix-Reno Schedule'!E10,Rent_Roll[Unit
Status],"admin/down")</f>
        <v>0</v>
      </c>
      <c r="FO10" s="144" t="s">
        <v>243</v>
      </c>
    </row>
    <row r="11" spans="2:171" x14ac:dyDescent="0.2">
      <c r="B11" s="781" t="s">
        <v>871</v>
      </c>
      <c r="C11" s="1030">
        <v>2</v>
      </c>
      <c r="D11" s="1307">
        <f t="shared" si="8"/>
        <v>8.1967213114754103E-3</v>
      </c>
      <c r="E11" s="1030">
        <v>805</v>
      </c>
      <c r="F11" s="895">
        <f>COUNTIFS(Rent_Roll[SqFt],'Unit Mix-Reno Schedule'!$E11,Rent_Roll[Unit
Status],'Unit Mix-Reno Schedule'!F$7)</f>
        <v>2</v>
      </c>
      <c r="G11" s="895">
        <f>COUNTIFS(Rent_Roll[SqFt],'Unit Mix-Reno Schedule'!$E11,Rent_Roll[Unit
Status],'Unit Mix-Reno Schedule'!G$7)</f>
        <v>0</v>
      </c>
      <c r="H11" s="151">
        <v>0</v>
      </c>
      <c r="I11" s="705">
        <f t="shared" si="11"/>
        <v>1</v>
      </c>
      <c r="J11" s="225">
        <f t="shared" si="12"/>
        <v>0</v>
      </c>
      <c r="K11" s="225">
        <v>0</v>
      </c>
      <c r="L11" s="896">
        <f>IFERROR(AVERAGEIF(Rent_Roll[SqFt],'Unit Mix-Reno Schedule'!$E11,Rent_Roll[Market
Rent]),0)</f>
        <v>1155</v>
      </c>
      <c r="M11" s="699">
        <f t="shared" si="13"/>
        <v>1.4347826086956521</v>
      </c>
      <c r="N11" s="897">
        <f>IFERROR(AVERAGEIFS(Rent_Roll[Total In-Place
Rent],Rent_Roll[SqFt],'Unit Mix-Reno Schedule'!$E11,Rent_Roll[Unit
Status],"Occupied"),0)</f>
        <v>1132.5</v>
      </c>
      <c r="O11" s="699">
        <f t="shared" si="14"/>
        <v>1.4068322981366459</v>
      </c>
      <c r="P11" s="897" t="str" cm="1">
        <f t="array" ref="P11">IFERROR(_xlfn.IFS(P$7=90,AVERAGEIFS(Rent_Roll[Total In-Place
Rent],Rent_Roll[SqFt],'Unit Mix-Reno Schedule'!$E11,Rent_Roll[Lease
Start],"&gt;="&amp;'Unit Mix-Reno Schedule'!$P$2),
'Unit Mix-Reno Schedule'!P$7=60,AVERAGEIFS(Rent_Roll[Total In-Place
Rent],Rent_Roll[SqFt],'Unit Mix-Reno Schedule'!$E11,Rent_Roll[Lease
Start],"&gt;="&amp;'Unit Mix-Reno Schedule'!$P$3),
'Unit Mix-Reno Schedule'!P$7=30,AVERAGEIFS(Rent_Roll[Total In-Place
Rent],Rent_Roll[SqFt],'Unit Mix-Reno Schedule'!$E11,Rent_Roll[Lease
Start],"&gt;="&amp;'Unit Mix-Reno Schedule'!$P$4)),"")</f>
        <v/>
      </c>
      <c r="Q11" s="898" cm="1">
        <f t="array" ref="Q11">_xlfn.IFS(P$7=90,COUNTIFS(Rent_Roll[SqFt],'Unit Mix-Reno Schedule'!$E11,Rent_Roll[Lease
Start],"&gt;="&amp;'Unit Mix-Reno Schedule'!$P$2),
'Unit Mix-Reno Schedule'!P$7=60,COUNTIFS(Rent_Roll[SqFt],'Unit Mix-Reno Schedule'!$E11,Rent_Roll[Lease
Start],"&gt;="&amp;'Unit Mix-Reno Schedule'!$P$3),
'Unit Mix-Reno Schedule'!P$7=30,COUNTIFS(Rent_Roll[SqFt],'Unit Mix-Reno Schedule'!$E11,Rent_Roll[Lease
Start],"&gt;="&amp;'Unit Mix-Reno Schedule'!$P$4))</f>
        <v>0</v>
      </c>
      <c r="S11" s="899">
        <v>1275</v>
      </c>
      <c r="T11" s="699">
        <f t="shared" si="15"/>
        <v>1.5838509316770186</v>
      </c>
      <c r="U11" s="900">
        <v>1350</v>
      </c>
      <c r="V11" s="901">
        <f t="shared" si="16"/>
        <v>1.6770186335403727</v>
      </c>
      <c r="X11" s="721" t="str">
        <f t="shared" si="17"/>
        <v>1x1-S</v>
      </c>
      <c r="Y11" s="151">
        <f>COUNTIFS(Rent_Roll[SqFt],'Unit Mix-Reno Schedule'!E11,Rent_Roll[Unit
Status],"vacant")+COUNTIFS(Rent_Roll[SqFt],'Unit Mix-Reno Schedule'!E11,Rent_Roll[Unit
Status],"admin/down")</f>
        <v>0</v>
      </c>
      <c r="Z11" s="844">
        <f>SUMIFS(Rent_Roll[Market
Rent],Rent_Roll[SqFt],'Unit Mix-Reno Schedule'!E11,Rent_Roll[Unit
Status],"vacant")+SUMIFS(Rent_Roll[Market
Rent],Rent_Roll[SqFt],'Unit Mix-Reno Schedule'!E11,Rent_Roll[Unit
Status],"admin/down")</f>
        <v>0</v>
      </c>
      <c r="AK11" s="738" t="s">
        <v>317</v>
      </c>
      <c r="AL11" s="336">
        <v>0</v>
      </c>
      <c r="AM11" s="688">
        <f>IF(AND('Ops Assumptions'!$P$38="Annual",AM$6&gt;AL$6),INDEX('Ops Assumptions'!$D$34:$D$44,MATCH(AM$6,'Ops Assumptions'!$B$34:$B$44,0)),IF('Ops Assumptions'!$P$38="Monthly",INDEX('Ops Assumptions'!$D$34:$D$44,MATCH(AM$6,'Ops Assumptions'!$B$34:$B$44,0))^1/12,0))</f>
        <v>0.06</v>
      </c>
      <c r="AN11" s="688">
        <f>IF(AND('Ops Assumptions'!$P$38="Annual",AN$6&gt;AM$6),INDEX('Ops Assumptions'!$D$34:$D$44,MATCH(AN$6,'Ops Assumptions'!$B$34:$B$44,0)),IF('Ops Assumptions'!$P$38="Monthly",INDEX('Ops Assumptions'!$D$34:$D$44,MATCH(AN$6,'Ops Assumptions'!$B$34:$B$44,0))^1/12,0))</f>
        <v>0</v>
      </c>
      <c r="AO11" s="688">
        <f>IF(AND('Ops Assumptions'!$P$38="Annual",AO$6&gt;AN$6),INDEX('Ops Assumptions'!$D$34:$D$44,MATCH(AO$6,'Ops Assumptions'!$B$34:$B$44,0)),IF('Ops Assumptions'!$P$38="Monthly",INDEX('Ops Assumptions'!$D$34:$D$44,MATCH(AO$6,'Ops Assumptions'!$B$34:$B$44,0))^1/12,0))</f>
        <v>0</v>
      </c>
      <c r="AP11" s="688">
        <f>IF(AND('Ops Assumptions'!$P$38="Annual",AP$6&gt;AO$6),INDEX('Ops Assumptions'!$D$34:$D$44,MATCH(AP$6,'Ops Assumptions'!$B$34:$B$44,0)),IF('Ops Assumptions'!$P$38="Monthly",INDEX('Ops Assumptions'!$D$34:$D$44,MATCH(AP$6,'Ops Assumptions'!$B$34:$B$44,0))^1/12,0))</f>
        <v>0</v>
      </c>
      <c r="AQ11" s="688">
        <f>IF(AND('Ops Assumptions'!$P$38="Annual",AQ$6&gt;AP$6),INDEX('Ops Assumptions'!$D$34:$D$44,MATCH(AQ$6,'Ops Assumptions'!$B$34:$B$44,0)),IF('Ops Assumptions'!$P$38="Monthly",INDEX('Ops Assumptions'!$D$34:$D$44,MATCH(AQ$6,'Ops Assumptions'!$B$34:$B$44,0))^1/12,0))</f>
        <v>0</v>
      </c>
      <c r="AR11" s="688">
        <f>IF(AND('Ops Assumptions'!$P$38="Annual",AR$6&gt;AQ$6),INDEX('Ops Assumptions'!$D$34:$D$44,MATCH(AR$6,'Ops Assumptions'!$B$34:$B$44,0)),IF('Ops Assumptions'!$P$38="Monthly",INDEX('Ops Assumptions'!$D$34:$D$44,MATCH(AR$6,'Ops Assumptions'!$B$34:$B$44,0))^1/12,0))</f>
        <v>0</v>
      </c>
      <c r="AS11" s="688">
        <f>IF(AND('Ops Assumptions'!$P$38="Annual",AS$6&gt;AR$6),INDEX('Ops Assumptions'!$D$34:$D$44,MATCH(AS$6,'Ops Assumptions'!$B$34:$B$44,0)),IF('Ops Assumptions'!$P$38="Monthly",INDEX('Ops Assumptions'!$D$34:$D$44,MATCH(AS$6,'Ops Assumptions'!$B$34:$B$44,0))^1/12,0))</f>
        <v>0</v>
      </c>
      <c r="AT11" s="688">
        <f>IF(AND('Ops Assumptions'!$P$38="Annual",AT$6&gt;AS$6),INDEX('Ops Assumptions'!$D$34:$D$44,MATCH(AT$6,'Ops Assumptions'!$B$34:$B$44,0)),IF('Ops Assumptions'!$P$38="Monthly",INDEX('Ops Assumptions'!$D$34:$D$44,MATCH(AT$6,'Ops Assumptions'!$B$34:$B$44,0))^1/12,0))</f>
        <v>0</v>
      </c>
      <c r="AU11" s="688">
        <f>IF(AND('Ops Assumptions'!$P$38="Annual",AU$6&gt;AT$6),INDEX('Ops Assumptions'!$D$34:$D$44,MATCH(AU$6,'Ops Assumptions'!$B$34:$B$44,0)),IF('Ops Assumptions'!$P$38="Monthly",INDEX('Ops Assumptions'!$D$34:$D$44,MATCH(AU$6,'Ops Assumptions'!$B$34:$B$44,0))^1/12,0))</f>
        <v>0</v>
      </c>
      <c r="AV11" s="688">
        <f>IF(AND('Ops Assumptions'!$P$38="Annual",AV$6&gt;AU$6),INDEX('Ops Assumptions'!$D$34:$D$44,MATCH(AV$6,'Ops Assumptions'!$B$34:$B$44,0)),IF('Ops Assumptions'!$P$38="Monthly",INDEX('Ops Assumptions'!$D$34:$D$44,MATCH(AV$6,'Ops Assumptions'!$B$34:$B$44,0))^1/12,0))</f>
        <v>0</v>
      </c>
      <c r="AW11" s="688">
        <f>IF(AND('Ops Assumptions'!$P$38="Annual",AW$6&gt;AV$6),INDEX('Ops Assumptions'!$D$34:$D$44,MATCH(AW$6,'Ops Assumptions'!$B$34:$B$44,0)),IF('Ops Assumptions'!$P$38="Monthly",INDEX('Ops Assumptions'!$D$34:$D$44,MATCH(AW$6,'Ops Assumptions'!$B$34:$B$44,0))^1/12,0))</f>
        <v>0</v>
      </c>
      <c r="AX11" s="688">
        <f>IF(AND('Ops Assumptions'!$P$38="Annual",AX$6&gt;AW$6),INDEX('Ops Assumptions'!$D$34:$D$44,MATCH(AX$6,'Ops Assumptions'!$B$34:$B$44,0)),IF('Ops Assumptions'!$P$38="Monthly",INDEX('Ops Assumptions'!$D$34:$D$44,MATCH(AX$6,'Ops Assumptions'!$B$34:$B$44,0))^1/12,0))</f>
        <v>0</v>
      </c>
      <c r="AY11" s="688">
        <f>IF(AND('Ops Assumptions'!$P$38="Annual",AY$6&gt;AX$6),INDEX('Ops Assumptions'!$D$34:$D$44,MATCH(AY$6,'Ops Assumptions'!$B$34:$B$44,0)),IF('Ops Assumptions'!$P$38="Monthly",INDEX('Ops Assumptions'!$D$34:$D$44,MATCH(AY$6,'Ops Assumptions'!$B$34:$B$44,0))^1/12,0))</f>
        <v>0.05</v>
      </c>
      <c r="AZ11" s="688">
        <f>IF(AND('Ops Assumptions'!$P$38="Annual",AZ$6&gt;AY$6),INDEX('Ops Assumptions'!$D$34:$D$44,MATCH(AZ$6,'Ops Assumptions'!$B$34:$B$44,0)),IF('Ops Assumptions'!$P$38="Monthly",INDEX('Ops Assumptions'!$D$34:$D$44,MATCH(AZ$6,'Ops Assumptions'!$B$34:$B$44,0))^1/12,0))</f>
        <v>0</v>
      </c>
      <c r="BA11" s="688">
        <f>IF(AND('Ops Assumptions'!$P$38="Annual",BA$6&gt;AZ$6),INDEX('Ops Assumptions'!$D$34:$D$44,MATCH(BA$6,'Ops Assumptions'!$B$34:$B$44,0)),IF('Ops Assumptions'!$P$38="Monthly",INDEX('Ops Assumptions'!$D$34:$D$44,MATCH(BA$6,'Ops Assumptions'!$B$34:$B$44,0))^1/12,0))</f>
        <v>0</v>
      </c>
      <c r="BB11" s="688">
        <f>IF(AND('Ops Assumptions'!$P$38="Annual",BB$6&gt;BA$6),INDEX('Ops Assumptions'!$D$34:$D$44,MATCH(BB$6,'Ops Assumptions'!$B$34:$B$44,0)),IF('Ops Assumptions'!$P$38="Monthly",INDEX('Ops Assumptions'!$D$34:$D$44,MATCH(BB$6,'Ops Assumptions'!$B$34:$B$44,0))^1/12,0))</f>
        <v>0</v>
      </c>
      <c r="BC11" s="688">
        <f>IF(AND('Ops Assumptions'!$P$38="Annual",BC$6&gt;BB$6),INDEX('Ops Assumptions'!$D$34:$D$44,MATCH(BC$6,'Ops Assumptions'!$B$34:$B$44,0)),IF('Ops Assumptions'!$P$38="Monthly",INDEX('Ops Assumptions'!$D$34:$D$44,MATCH(BC$6,'Ops Assumptions'!$B$34:$B$44,0))^1/12,0))</f>
        <v>0</v>
      </c>
      <c r="BD11" s="688">
        <f>IF(AND('Ops Assumptions'!$P$38="Annual",BD$6&gt;BC$6),INDEX('Ops Assumptions'!$D$34:$D$44,MATCH(BD$6,'Ops Assumptions'!$B$34:$B$44,0)),IF('Ops Assumptions'!$P$38="Monthly",INDEX('Ops Assumptions'!$D$34:$D$44,MATCH(BD$6,'Ops Assumptions'!$B$34:$B$44,0))^1/12,0))</f>
        <v>0</v>
      </c>
      <c r="BE11" s="688">
        <f>IF(AND('Ops Assumptions'!$P$38="Annual",BE$6&gt;BD$6),INDEX('Ops Assumptions'!$D$34:$D$44,MATCH(BE$6,'Ops Assumptions'!$B$34:$B$44,0)),IF('Ops Assumptions'!$P$38="Monthly",INDEX('Ops Assumptions'!$D$34:$D$44,MATCH(BE$6,'Ops Assumptions'!$B$34:$B$44,0))^1/12,0))</f>
        <v>0</v>
      </c>
      <c r="BF11" s="688">
        <f>IF(AND('Ops Assumptions'!$P$38="Annual",BF$6&gt;BE$6),INDEX('Ops Assumptions'!$D$34:$D$44,MATCH(BF$6,'Ops Assumptions'!$B$34:$B$44,0)),IF('Ops Assumptions'!$P$38="Monthly",INDEX('Ops Assumptions'!$D$34:$D$44,MATCH(BF$6,'Ops Assumptions'!$B$34:$B$44,0))^1/12,0))</f>
        <v>0</v>
      </c>
      <c r="BG11" s="688">
        <f>IF(AND('Ops Assumptions'!$P$38="Annual",BG$6&gt;BF$6),INDEX('Ops Assumptions'!$D$34:$D$44,MATCH(BG$6,'Ops Assumptions'!$B$34:$B$44,0)),IF('Ops Assumptions'!$P$38="Monthly",INDEX('Ops Assumptions'!$D$34:$D$44,MATCH(BG$6,'Ops Assumptions'!$B$34:$B$44,0))^1/12,0))</f>
        <v>0</v>
      </c>
      <c r="BH11" s="688">
        <f>IF(AND('Ops Assumptions'!$P$38="Annual",BH$6&gt;BG$6),INDEX('Ops Assumptions'!$D$34:$D$44,MATCH(BH$6,'Ops Assumptions'!$B$34:$B$44,0)),IF('Ops Assumptions'!$P$38="Monthly",INDEX('Ops Assumptions'!$D$34:$D$44,MATCH(BH$6,'Ops Assumptions'!$B$34:$B$44,0))^1/12,0))</f>
        <v>0</v>
      </c>
      <c r="BI11" s="688">
        <f>IF(AND('Ops Assumptions'!$P$38="Annual",BI$6&gt;BH$6),INDEX('Ops Assumptions'!$D$34:$D$44,MATCH(BI$6,'Ops Assumptions'!$B$34:$B$44,0)),IF('Ops Assumptions'!$P$38="Monthly",INDEX('Ops Assumptions'!$D$34:$D$44,MATCH(BI$6,'Ops Assumptions'!$B$34:$B$44,0))^1/12,0))</f>
        <v>0</v>
      </c>
      <c r="BJ11" s="688">
        <f>IF(AND('Ops Assumptions'!$P$38="Annual",BJ$6&gt;BI$6),INDEX('Ops Assumptions'!$D$34:$D$44,MATCH(BJ$6,'Ops Assumptions'!$B$34:$B$44,0)),IF('Ops Assumptions'!$P$38="Monthly",INDEX('Ops Assumptions'!$D$34:$D$44,MATCH(BJ$6,'Ops Assumptions'!$B$34:$B$44,0))^1/12,0))</f>
        <v>0</v>
      </c>
      <c r="BK11" s="688">
        <f>IF(AND('Ops Assumptions'!$P$38="Annual",BK$6&gt;BJ$6),INDEX('Ops Assumptions'!$D$34:$D$44,MATCH(BK$6,'Ops Assumptions'!$B$34:$B$44,0)),IF('Ops Assumptions'!$P$38="Monthly",INDEX('Ops Assumptions'!$D$34:$D$44,MATCH(BK$6,'Ops Assumptions'!$B$34:$B$44,0))^1/12,0))</f>
        <v>0.05</v>
      </c>
      <c r="BL11" s="688">
        <f>IF(AND('Ops Assumptions'!$P$38="Annual",BL$6&gt;BK$6),INDEX('Ops Assumptions'!$D$34:$D$44,MATCH(BL$6,'Ops Assumptions'!$B$34:$B$44,0)),IF('Ops Assumptions'!$P$38="Monthly",INDEX('Ops Assumptions'!$D$34:$D$44,MATCH(BL$6,'Ops Assumptions'!$B$34:$B$44,0))^1/12,0))</f>
        <v>0</v>
      </c>
      <c r="BM11" s="688">
        <f>IF(AND('Ops Assumptions'!$P$38="Annual",BM$6&gt;BL$6),INDEX('Ops Assumptions'!$D$34:$D$44,MATCH(BM$6,'Ops Assumptions'!$B$34:$B$44,0)),IF('Ops Assumptions'!$P$38="Monthly",INDEX('Ops Assumptions'!$D$34:$D$44,MATCH(BM$6,'Ops Assumptions'!$B$34:$B$44,0))^1/12,0))</f>
        <v>0</v>
      </c>
      <c r="BN11" s="688">
        <f>IF(AND('Ops Assumptions'!$P$38="Annual",BN$6&gt;BM$6),INDEX('Ops Assumptions'!$D$34:$D$44,MATCH(BN$6,'Ops Assumptions'!$B$34:$B$44,0)),IF('Ops Assumptions'!$P$38="Monthly",INDEX('Ops Assumptions'!$D$34:$D$44,MATCH(BN$6,'Ops Assumptions'!$B$34:$B$44,0))^1/12,0))</f>
        <v>0</v>
      </c>
      <c r="BO11" s="688">
        <f>IF(AND('Ops Assumptions'!$P$38="Annual",BO$6&gt;BN$6),INDEX('Ops Assumptions'!$D$34:$D$44,MATCH(BO$6,'Ops Assumptions'!$B$34:$B$44,0)),IF('Ops Assumptions'!$P$38="Monthly",INDEX('Ops Assumptions'!$D$34:$D$44,MATCH(BO$6,'Ops Assumptions'!$B$34:$B$44,0))^1/12,0))</f>
        <v>0</v>
      </c>
      <c r="BP11" s="688">
        <f>IF(AND('Ops Assumptions'!$P$38="Annual",BP$6&gt;BO$6),INDEX('Ops Assumptions'!$D$34:$D$44,MATCH(BP$6,'Ops Assumptions'!$B$34:$B$44,0)),IF('Ops Assumptions'!$P$38="Monthly",INDEX('Ops Assumptions'!$D$34:$D$44,MATCH(BP$6,'Ops Assumptions'!$B$34:$B$44,0))^1/12,0))</f>
        <v>0</v>
      </c>
      <c r="BQ11" s="688">
        <f>IF(AND('Ops Assumptions'!$P$38="Annual",BQ$6&gt;BP$6),INDEX('Ops Assumptions'!$D$34:$D$44,MATCH(BQ$6,'Ops Assumptions'!$B$34:$B$44,0)),IF('Ops Assumptions'!$P$38="Monthly",INDEX('Ops Assumptions'!$D$34:$D$44,MATCH(BQ$6,'Ops Assumptions'!$B$34:$B$44,0))^1/12,0))</f>
        <v>0</v>
      </c>
      <c r="BR11" s="688">
        <f>IF(AND('Ops Assumptions'!$P$38="Annual",BR$6&gt;BQ$6),INDEX('Ops Assumptions'!$D$34:$D$44,MATCH(BR$6,'Ops Assumptions'!$B$34:$B$44,0)),IF('Ops Assumptions'!$P$38="Monthly",INDEX('Ops Assumptions'!$D$34:$D$44,MATCH(BR$6,'Ops Assumptions'!$B$34:$B$44,0))^1/12,0))</f>
        <v>0</v>
      </c>
      <c r="BS11" s="688">
        <f>IF(AND('Ops Assumptions'!$P$38="Annual",BS$6&gt;BR$6),INDEX('Ops Assumptions'!$D$34:$D$44,MATCH(BS$6,'Ops Assumptions'!$B$34:$B$44,0)),IF('Ops Assumptions'!$P$38="Monthly",INDEX('Ops Assumptions'!$D$34:$D$44,MATCH(BS$6,'Ops Assumptions'!$B$34:$B$44,0))^1/12,0))</f>
        <v>0</v>
      </c>
      <c r="BT11" s="688">
        <f>IF(AND('Ops Assumptions'!$P$38="Annual",BT$6&gt;BS$6),INDEX('Ops Assumptions'!$D$34:$D$44,MATCH(BT$6,'Ops Assumptions'!$B$34:$B$44,0)),IF('Ops Assumptions'!$P$38="Monthly",INDEX('Ops Assumptions'!$D$34:$D$44,MATCH(BT$6,'Ops Assumptions'!$B$34:$B$44,0))^1/12,0))</f>
        <v>0</v>
      </c>
      <c r="BU11" s="688">
        <f>IF(AND('Ops Assumptions'!$P$38="Annual",BU$6&gt;BT$6),INDEX('Ops Assumptions'!$D$34:$D$44,MATCH(BU$6,'Ops Assumptions'!$B$34:$B$44,0)),IF('Ops Assumptions'!$P$38="Monthly",INDEX('Ops Assumptions'!$D$34:$D$44,MATCH(BU$6,'Ops Assumptions'!$B$34:$B$44,0))^1/12,0))</f>
        <v>0</v>
      </c>
      <c r="BV11" s="688">
        <f>IF(AND('Ops Assumptions'!$P$38="Annual",BV$6&gt;BU$6),INDEX('Ops Assumptions'!$D$34:$D$44,MATCH(BV$6,'Ops Assumptions'!$B$34:$B$44,0)),IF('Ops Assumptions'!$P$38="Monthly",INDEX('Ops Assumptions'!$D$34:$D$44,MATCH(BV$6,'Ops Assumptions'!$B$34:$B$44,0))^1/12,0))</f>
        <v>0</v>
      </c>
      <c r="BW11" s="688">
        <f>IF(AND('Ops Assumptions'!$P$38="Annual",BW$6&gt;BV$6),INDEX('Ops Assumptions'!$D$34:$D$44,MATCH(BW$6,'Ops Assumptions'!$B$34:$B$44,0)),IF('Ops Assumptions'!$P$38="Monthly",INDEX('Ops Assumptions'!$D$34:$D$44,MATCH(BW$6,'Ops Assumptions'!$B$34:$B$44,0))^1/12,0))</f>
        <v>0.04</v>
      </c>
      <c r="BX11" s="688">
        <f>IF(AND('Ops Assumptions'!$P$38="Annual",BX$6&gt;BW$6),INDEX('Ops Assumptions'!$D$34:$D$44,MATCH(BX$6,'Ops Assumptions'!$B$34:$B$44,0)),IF('Ops Assumptions'!$P$38="Monthly",INDEX('Ops Assumptions'!$D$34:$D$44,MATCH(BX$6,'Ops Assumptions'!$B$34:$B$44,0))^1/12,0))</f>
        <v>0</v>
      </c>
      <c r="BY11" s="688">
        <f>IF(AND('Ops Assumptions'!$P$38="Annual",BY$6&gt;BX$6),INDEX('Ops Assumptions'!$D$34:$D$44,MATCH(BY$6,'Ops Assumptions'!$B$34:$B$44,0)),IF('Ops Assumptions'!$P$38="Monthly",INDEX('Ops Assumptions'!$D$34:$D$44,MATCH(BY$6,'Ops Assumptions'!$B$34:$B$44,0))^1/12,0))</f>
        <v>0</v>
      </c>
      <c r="BZ11" s="688">
        <f>IF(AND('Ops Assumptions'!$P$38="Annual",BZ$6&gt;BY$6),INDEX('Ops Assumptions'!$D$34:$D$44,MATCH(BZ$6,'Ops Assumptions'!$B$34:$B$44,0)),IF('Ops Assumptions'!$P$38="Monthly",INDEX('Ops Assumptions'!$D$34:$D$44,MATCH(BZ$6,'Ops Assumptions'!$B$34:$B$44,0))^1/12,0))</f>
        <v>0</v>
      </c>
      <c r="CA11" s="688">
        <f>IF(AND('Ops Assumptions'!$P$38="Annual",CA$6&gt;BZ$6),INDEX('Ops Assumptions'!$D$34:$D$44,MATCH(CA$6,'Ops Assumptions'!$B$34:$B$44,0)),IF('Ops Assumptions'!$P$38="Monthly",INDEX('Ops Assumptions'!$D$34:$D$44,MATCH(CA$6,'Ops Assumptions'!$B$34:$B$44,0))^1/12,0))</f>
        <v>0</v>
      </c>
      <c r="CB11" s="688">
        <f>IF(AND('Ops Assumptions'!$P$38="Annual",CB$6&gt;CA$6),INDEX('Ops Assumptions'!$D$34:$D$44,MATCH(CB$6,'Ops Assumptions'!$B$34:$B$44,0)),IF('Ops Assumptions'!$P$38="Monthly",INDEX('Ops Assumptions'!$D$34:$D$44,MATCH(CB$6,'Ops Assumptions'!$B$34:$B$44,0))^1/12,0))</f>
        <v>0</v>
      </c>
      <c r="CC11" s="688">
        <f>IF(AND('Ops Assumptions'!$P$38="Annual",CC$6&gt;CB$6),INDEX('Ops Assumptions'!$D$34:$D$44,MATCH(CC$6,'Ops Assumptions'!$B$34:$B$44,0)),IF('Ops Assumptions'!$P$38="Monthly",INDEX('Ops Assumptions'!$D$34:$D$44,MATCH(CC$6,'Ops Assumptions'!$B$34:$B$44,0))^1/12,0))</f>
        <v>0</v>
      </c>
      <c r="CD11" s="688">
        <f>IF(AND('Ops Assumptions'!$P$38="Annual",CD$6&gt;CC$6),INDEX('Ops Assumptions'!$D$34:$D$44,MATCH(CD$6,'Ops Assumptions'!$B$34:$B$44,0)),IF('Ops Assumptions'!$P$38="Monthly",INDEX('Ops Assumptions'!$D$34:$D$44,MATCH(CD$6,'Ops Assumptions'!$B$34:$B$44,0))^1/12,0))</f>
        <v>0</v>
      </c>
      <c r="CE11" s="688">
        <f>IF(AND('Ops Assumptions'!$P$38="Annual",CE$6&gt;CD$6),INDEX('Ops Assumptions'!$D$34:$D$44,MATCH(CE$6,'Ops Assumptions'!$B$34:$B$44,0)),IF('Ops Assumptions'!$P$38="Monthly",INDEX('Ops Assumptions'!$D$34:$D$44,MATCH(CE$6,'Ops Assumptions'!$B$34:$B$44,0))^1/12,0))</f>
        <v>0</v>
      </c>
      <c r="CF11" s="688">
        <f>IF(AND('Ops Assumptions'!$P$38="Annual",CF$6&gt;CE$6),INDEX('Ops Assumptions'!$D$34:$D$44,MATCH(CF$6,'Ops Assumptions'!$B$34:$B$44,0)),IF('Ops Assumptions'!$P$38="Monthly",INDEX('Ops Assumptions'!$D$34:$D$44,MATCH(CF$6,'Ops Assumptions'!$B$34:$B$44,0))^1/12,0))</f>
        <v>0</v>
      </c>
      <c r="CG11" s="688">
        <f>IF(AND('Ops Assumptions'!$P$38="Annual",CG$6&gt;CF$6),INDEX('Ops Assumptions'!$D$34:$D$44,MATCH(CG$6,'Ops Assumptions'!$B$34:$B$44,0)),IF('Ops Assumptions'!$P$38="Monthly",INDEX('Ops Assumptions'!$D$34:$D$44,MATCH(CG$6,'Ops Assumptions'!$B$34:$B$44,0))^1/12,0))</f>
        <v>0</v>
      </c>
      <c r="CH11" s="688">
        <f>IF(AND('Ops Assumptions'!$P$38="Annual",CH$6&gt;CG$6),INDEX('Ops Assumptions'!$D$34:$D$44,MATCH(CH$6,'Ops Assumptions'!$B$34:$B$44,0)),IF('Ops Assumptions'!$P$38="Monthly",INDEX('Ops Assumptions'!$D$34:$D$44,MATCH(CH$6,'Ops Assumptions'!$B$34:$B$44,0))^1/12,0))</f>
        <v>0</v>
      </c>
      <c r="CI11" s="688">
        <f>IF(AND('Ops Assumptions'!$P$38="Annual",CI$6&gt;CH$6),INDEX('Ops Assumptions'!$D$34:$D$44,MATCH(CI$6,'Ops Assumptions'!$B$34:$B$44,0)),IF('Ops Assumptions'!$P$38="Monthly",INDEX('Ops Assumptions'!$D$34:$D$44,MATCH(CI$6,'Ops Assumptions'!$B$34:$B$44,0))^1/12,0))</f>
        <v>0.04</v>
      </c>
      <c r="CJ11" s="688">
        <f>IF(AND('Ops Assumptions'!$P$38="Annual",CJ$6&gt;CI$6),INDEX('Ops Assumptions'!$D$34:$D$44,MATCH(CJ$6,'Ops Assumptions'!$B$34:$B$44,0)),IF('Ops Assumptions'!$P$38="Monthly",INDEX('Ops Assumptions'!$D$34:$D$44,MATCH(CJ$6,'Ops Assumptions'!$B$34:$B$44,0))^1/12,0))</f>
        <v>0</v>
      </c>
      <c r="CK11" s="688">
        <f>IF(AND('Ops Assumptions'!$P$38="Annual",CK$6&gt;CJ$6),INDEX('Ops Assumptions'!$D$34:$D$44,MATCH(CK$6,'Ops Assumptions'!$B$34:$B$44,0)),IF('Ops Assumptions'!$P$38="Monthly",INDEX('Ops Assumptions'!$D$34:$D$44,MATCH(CK$6,'Ops Assumptions'!$B$34:$B$44,0))^1/12,0))</f>
        <v>0</v>
      </c>
      <c r="CL11" s="688">
        <f>IF(AND('Ops Assumptions'!$P$38="Annual",CL$6&gt;CK$6),INDEX('Ops Assumptions'!$D$34:$D$44,MATCH(CL$6,'Ops Assumptions'!$B$34:$B$44,0)),IF('Ops Assumptions'!$P$38="Monthly",INDEX('Ops Assumptions'!$D$34:$D$44,MATCH(CL$6,'Ops Assumptions'!$B$34:$B$44,0))^1/12,0))</f>
        <v>0</v>
      </c>
      <c r="CM11" s="688">
        <f>IF(AND('Ops Assumptions'!$P$38="Annual",CM$6&gt;CL$6),INDEX('Ops Assumptions'!$D$34:$D$44,MATCH(CM$6,'Ops Assumptions'!$B$34:$B$44,0)),IF('Ops Assumptions'!$P$38="Monthly",INDEX('Ops Assumptions'!$D$34:$D$44,MATCH(CM$6,'Ops Assumptions'!$B$34:$B$44,0))^1/12,0))</f>
        <v>0</v>
      </c>
      <c r="CN11" s="688">
        <f>IF(AND('Ops Assumptions'!$P$38="Annual",CN$6&gt;CM$6),INDEX('Ops Assumptions'!$D$34:$D$44,MATCH(CN$6,'Ops Assumptions'!$B$34:$B$44,0)),IF('Ops Assumptions'!$P$38="Monthly",INDEX('Ops Assumptions'!$D$34:$D$44,MATCH(CN$6,'Ops Assumptions'!$B$34:$B$44,0))^1/12,0))</f>
        <v>0</v>
      </c>
      <c r="CO11" s="688">
        <f>IF(AND('Ops Assumptions'!$P$38="Annual",CO$6&gt;CN$6),INDEX('Ops Assumptions'!$D$34:$D$44,MATCH(CO$6,'Ops Assumptions'!$B$34:$B$44,0)),IF('Ops Assumptions'!$P$38="Monthly",INDEX('Ops Assumptions'!$D$34:$D$44,MATCH(CO$6,'Ops Assumptions'!$B$34:$B$44,0))^1/12,0))</f>
        <v>0</v>
      </c>
      <c r="CP11" s="688">
        <f>IF(AND('Ops Assumptions'!$P$38="Annual",CP$6&gt;CO$6),INDEX('Ops Assumptions'!$D$34:$D$44,MATCH(CP$6,'Ops Assumptions'!$B$34:$B$44,0)),IF('Ops Assumptions'!$P$38="Monthly",INDEX('Ops Assumptions'!$D$34:$D$44,MATCH(CP$6,'Ops Assumptions'!$B$34:$B$44,0))^1/12,0))</f>
        <v>0</v>
      </c>
      <c r="CQ11" s="688">
        <f>IF(AND('Ops Assumptions'!$P$38="Annual",CQ$6&gt;CP$6),INDEX('Ops Assumptions'!$D$34:$D$44,MATCH(CQ$6,'Ops Assumptions'!$B$34:$B$44,0)),IF('Ops Assumptions'!$P$38="Monthly",INDEX('Ops Assumptions'!$D$34:$D$44,MATCH(CQ$6,'Ops Assumptions'!$B$34:$B$44,0))^1/12,0))</f>
        <v>0</v>
      </c>
      <c r="CR11" s="688">
        <f>IF(AND('Ops Assumptions'!$P$38="Annual",CR$6&gt;CQ$6),INDEX('Ops Assumptions'!$D$34:$D$44,MATCH(CR$6,'Ops Assumptions'!$B$34:$B$44,0)),IF('Ops Assumptions'!$P$38="Monthly",INDEX('Ops Assumptions'!$D$34:$D$44,MATCH(CR$6,'Ops Assumptions'!$B$34:$B$44,0))^1/12,0))</f>
        <v>0</v>
      </c>
      <c r="CS11" s="688">
        <f>IF(AND('Ops Assumptions'!$P$38="Annual",CS$6&gt;CR$6),INDEX('Ops Assumptions'!$D$34:$D$44,MATCH(CS$6,'Ops Assumptions'!$B$34:$B$44,0)),IF('Ops Assumptions'!$P$38="Monthly",INDEX('Ops Assumptions'!$D$34:$D$44,MATCH(CS$6,'Ops Assumptions'!$B$34:$B$44,0))^1/12,0))</f>
        <v>0</v>
      </c>
      <c r="CT11" s="688">
        <f>IF(AND('Ops Assumptions'!$P$38="Annual",CT$6&gt;CS$6),INDEX('Ops Assumptions'!$D$34:$D$44,MATCH(CT$6,'Ops Assumptions'!$B$34:$B$44,0)),IF('Ops Assumptions'!$P$38="Monthly",INDEX('Ops Assumptions'!$D$34:$D$44,MATCH(CT$6,'Ops Assumptions'!$B$34:$B$44,0))^1/12,0))</f>
        <v>0</v>
      </c>
      <c r="CU11" s="688">
        <f>IF(AND('Ops Assumptions'!$P$38="Annual",CU$6&gt;CT$6),INDEX('Ops Assumptions'!$D$34:$D$44,MATCH(CU$6,'Ops Assumptions'!$B$34:$B$44,0)),IF('Ops Assumptions'!$P$38="Monthly",INDEX('Ops Assumptions'!$D$34:$D$44,MATCH(CU$6,'Ops Assumptions'!$B$34:$B$44,0))^1/12,0))</f>
        <v>0.04</v>
      </c>
      <c r="CV11" s="688">
        <f>IF(AND('Ops Assumptions'!$P$38="Annual",CV$6&gt;CU$6),INDEX('Ops Assumptions'!$D$34:$D$44,MATCH(CV$6,'Ops Assumptions'!$B$34:$B$44,0)),IF('Ops Assumptions'!$P$38="Monthly",INDEX('Ops Assumptions'!$D$34:$D$44,MATCH(CV$6,'Ops Assumptions'!$B$34:$B$44,0))^1/12,0))</f>
        <v>0</v>
      </c>
      <c r="CW11" s="688">
        <f>IF(AND('Ops Assumptions'!$P$38="Annual",CW$6&gt;CV$6),INDEX('Ops Assumptions'!$D$34:$D$44,MATCH(CW$6,'Ops Assumptions'!$B$34:$B$44,0)),IF('Ops Assumptions'!$P$38="Monthly",INDEX('Ops Assumptions'!$D$34:$D$44,MATCH(CW$6,'Ops Assumptions'!$B$34:$B$44,0))^1/12,0))</f>
        <v>0</v>
      </c>
      <c r="CX11" s="688">
        <f>IF(AND('Ops Assumptions'!$P$38="Annual",CX$6&gt;CW$6),INDEX('Ops Assumptions'!$D$34:$D$44,MATCH(CX$6,'Ops Assumptions'!$B$34:$B$44,0)),IF('Ops Assumptions'!$P$38="Monthly",INDEX('Ops Assumptions'!$D$34:$D$44,MATCH(CX$6,'Ops Assumptions'!$B$34:$B$44,0))^1/12,0))</f>
        <v>0</v>
      </c>
      <c r="CY11" s="688">
        <f>IF(AND('Ops Assumptions'!$P$38="Annual",CY$6&gt;CX$6),INDEX('Ops Assumptions'!$D$34:$D$44,MATCH(CY$6,'Ops Assumptions'!$B$34:$B$44,0)),IF('Ops Assumptions'!$P$38="Monthly",INDEX('Ops Assumptions'!$D$34:$D$44,MATCH(CY$6,'Ops Assumptions'!$B$34:$B$44,0))^1/12,0))</f>
        <v>0</v>
      </c>
      <c r="CZ11" s="688">
        <f>IF(AND('Ops Assumptions'!$P$38="Annual",CZ$6&gt;CY$6),INDEX('Ops Assumptions'!$D$34:$D$44,MATCH(CZ$6,'Ops Assumptions'!$B$34:$B$44,0)),IF('Ops Assumptions'!$P$38="Monthly",INDEX('Ops Assumptions'!$D$34:$D$44,MATCH(CZ$6,'Ops Assumptions'!$B$34:$B$44,0))^1/12,0))</f>
        <v>0</v>
      </c>
      <c r="DA11" s="688">
        <f>IF(AND('Ops Assumptions'!$P$38="Annual",DA$6&gt;CZ$6),INDEX('Ops Assumptions'!$D$34:$D$44,MATCH(DA$6,'Ops Assumptions'!$B$34:$B$44,0)),IF('Ops Assumptions'!$P$38="Monthly",INDEX('Ops Assumptions'!$D$34:$D$44,MATCH(DA$6,'Ops Assumptions'!$B$34:$B$44,0))^1/12,0))</f>
        <v>0</v>
      </c>
      <c r="DB11" s="688">
        <f>IF(AND('Ops Assumptions'!$P$38="Annual",DB$6&gt;DA$6),INDEX('Ops Assumptions'!$D$34:$D$44,MATCH(DB$6,'Ops Assumptions'!$B$34:$B$44,0)),IF('Ops Assumptions'!$P$38="Monthly",INDEX('Ops Assumptions'!$D$34:$D$44,MATCH(DB$6,'Ops Assumptions'!$B$34:$B$44,0))^1/12,0))</f>
        <v>0</v>
      </c>
      <c r="DC11" s="688">
        <f>IF(AND('Ops Assumptions'!$P$38="Annual",DC$6&gt;DB$6),INDEX('Ops Assumptions'!$D$34:$D$44,MATCH(DC$6,'Ops Assumptions'!$B$34:$B$44,0)),IF('Ops Assumptions'!$P$38="Monthly",INDEX('Ops Assumptions'!$D$34:$D$44,MATCH(DC$6,'Ops Assumptions'!$B$34:$B$44,0))^1/12,0))</f>
        <v>0</v>
      </c>
      <c r="DD11" s="688">
        <f>IF(AND('Ops Assumptions'!$P$38="Annual",DD$6&gt;DC$6),INDEX('Ops Assumptions'!$D$34:$D$44,MATCH(DD$6,'Ops Assumptions'!$B$34:$B$44,0)),IF('Ops Assumptions'!$P$38="Monthly",INDEX('Ops Assumptions'!$D$34:$D$44,MATCH(DD$6,'Ops Assumptions'!$B$34:$B$44,0))^1/12,0))</f>
        <v>0</v>
      </c>
      <c r="DE11" s="688">
        <f>IF(AND('Ops Assumptions'!$P$38="Annual",DE$6&gt;DD$6),INDEX('Ops Assumptions'!$D$34:$D$44,MATCH(DE$6,'Ops Assumptions'!$B$34:$B$44,0)),IF('Ops Assumptions'!$P$38="Monthly",INDEX('Ops Assumptions'!$D$34:$D$44,MATCH(DE$6,'Ops Assumptions'!$B$34:$B$44,0))^1/12,0))</f>
        <v>0</v>
      </c>
      <c r="DF11" s="688">
        <f>IF(AND('Ops Assumptions'!$P$38="Annual",DF$6&gt;DE$6),INDEX('Ops Assumptions'!$D$34:$D$44,MATCH(DF$6,'Ops Assumptions'!$B$34:$B$44,0)),IF('Ops Assumptions'!$P$38="Monthly",INDEX('Ops Assumptions'!$D$34:$D$44,MATCH(DF$6,'Ops Assumptions'!$B$34:$B$44,0))^1/12,0))</f>
        <v>0</v>
      </c>
      <c r="DG11" s="688">
        <f>IF(AND('Ops Assumptions'!$P$38="Annual",DG$6&gt;DF$6),INDEX('Ops Assumptions'!$D$34:$D$44,MATCH(DG$6,'Ops Assumptions'!$B$34:$B$44,0)),IF('Ops Assumptions'!$P$38="Monthly",INDEX('Ops Assumptions'!$D$34:$D$44,MATCH(DG$6,'Ops Assumptions'!$B$34:$B$44,0))^1/12,0))</f>
        <v>0.04</v>
      </c>
      <c r="DH11" s="688">
        <f>IF(AND('Ops Assumptions'!$P$38="Annual",DH$6&gt;DG$6),INDEX('Ops Assumptions'!$D$34:$D$44,MATCH(DH$6,'Ops Assumptions'!$B$34:$B$44,0)),IF('Ops Assumptions'!$P$38="Monthly",INDEX('Ops Assumptions'!$D$34:$D$44,MATCH(DH$6,'Ops Assumptions'!$B$34:$B$44,0))^1/12,0))</f>
        <v>0</v>
      </c>
      <c r="DI11" s="688">
        <f>IF(AND('Ops Assumptions'!$P$38="Annual",DI$6&gt;DH$6),INDEX('Ops Assumptions'!$D$34:$D$44,MATCH(DI$6,'Ops Assumptions'!$B$34:$B$44,0)),IF('Ops Assumptions'!$P$38="Monthly",INDEX('Ops Assumptions'!$D$34:$D$44,MATCH(DI$6,'Ops Assumptions'!$B$34:$B$44,0))^1/12,0))</f>
        <v>0</v>
      </c>
      <c r="DJ11" s="688">
        <f>IF(AND('Ops Assumptions'!$P$38="Annual",DJ$6&gt;DI$6),INDEX('Ops Assumptions'!$D$34:$D$44,MATCH(DJ$6,'Ops Assumptions'!$B$34:$B$44,0)),IF('Ops Assumptions'!$P$38="Monthly",INDEX('Ops Assumptions'!$D$34:$D$44,MATCH(DJ$6,'Ops Assumptions'!$B$34:$B$44,0))^1/12,0))</f>
        <v>0</v>
      </c>
      <c r="DK11" s="688">
        <f>IF(AND('Ops Assumptions'!$P$38="Annual",DK$6&gt;DJ$6),INDEX('Ops Assumptions'!$D$34:$D$44,MATCH(DK$6,'Ops Assumptions'!$B$34:$B$44,0)),IF('Ops Assumptions'!$P$38="Monthly",INDEX('Ops Assumptions'!$D$34:$D$44,MATCH(DK$6,'Ops Assumptions'!$B$34:$B$44,0))^1/12,0))</f>
        <v>0</v>
      </c>
      <c r="DL11" s="688">
        <f>IF(AND('Ops Assumptions'!$P$38="Annual",DL$6&gt;DK$6),INDEX('Ops Assumptions'!$D$34:$D$44,MATCH(DL$6,'Ops Assumptions'!$B$34:$B$44,0)),IF('Ops Assumptions'!$P$38="Monthly",INDEX('Ops Assumptions'!$D$34:$D$44,MATCH(DL$6,'Ops Assumptions'!$B$34:$B$44,0))^1/12,0))</f>
        <v>0</v>
      </c>
      <c r="DM11" s="688">
        <f>IF(AND('Ops Assumptions'!$P$38="Annual",DM$6&gt;DL$6),INDEX('Ops Assumptions'!$D$34:$D$44,MATCH(DM$6,'Ops Assumptions'!$B$34:$B$44,0)),IF('Ops Assumptions'!$P$38="Monthly",INDEX('Ops Assumptions'!$D$34:$D$44,MATCH(DM$6,'Ops Assumptions'!$B$34:$B$44,0))^1/12,0))</f>
        <v>0</v>
      </c>
      <c r="DN11" s="688">
        <f>IF(AND('Ops Assumptions'!$P$38="Annual",DN$6&gt;DM$6),INDEX('Ops Assumptions'!$D$34:$D$44,MATCH(DN$6,'Ops Assumptions'!$B$34:$B$44,0)),IF('Ops Assumptions'!$P$38="Monthly",INDEX('Ops Assumptions'!$D$34:$D$44,MATCH(DN$6,'Ops Assumptions'!$B$34:$B$44,0))^1/12,0))</f>
        <v>0</v>
      </c>
      <c r="DO11" s="688">
        <f>IF(AND('Ops Assumptions'!$P$38="Annual",DO$6&gt;DN$6),INDEX('Ops Assumptions'!$D$34:$D$44,MATCH(DO$6,'Ops Assumptions'!$B$34:$B$44,0)),IF('Ops Assumptions'!$P$38="Monthly",INDEX('Ops Assumptions'!$D$34:$D$44,MATCH(DO$6,'Ops Assumptions'!$B$34:$B$44,0))^1/12,0))</f>
        <v>0</v>
      </c>
      <c r="DP11" s="688">
        <f>IF(AND('Ops Assumptions'!$P$38="Annual",DP$6&gt;DO$6),INDEX('Ops Assumptions'!$D$34:$D$44,MATCH(DP$6,'Ops Assumptions'!$B$34:$B$44,0)),IF('Ops Assumptions'!$P$38="Monthly",INDEX('Ops Assumptions'!$D$34:$D$44,MATCH(DP$6,'Ops Assumptions'!$B$34:$B$44,0))^1/12,0))</f>
        <v>0</v>
      </c>
      <c r="DQ11" s="688">
        <f>IF(AND('Ops Assumptions'!$P$38="Annual",DQ$6&gt;DP$6),INDEX('Ops Assumptions'!$D$34:$D$44,MATCH(DQ$6,'Ops Assumptions'!$B$34:$B$44,0)),IF('Ops Assumptions'!$P$38="Monthly",INDEX('Ops Assumptions'!$D$34:$D$44,MATCH(DQ$6,'Ops Assumptions'!$B$34:$B$44,0))^1/12,0))</f>
        <v>0</v>
      </c>
      <c r="DR11" s="688">
        <f>IF(AND('Ops Assumptions'!$P$38="Annual",DR$6&gt;DQ$6),INDEX('Ops Assumptions'!$D$34:$D$44,MATCH(DR$6,'Ops Assumptions'!$B$34:$B$44,0)),IF('Ops Assumptions'!$P$38="Monthly",INDEX('Ops Assumptions'!$D$34:$D$44,MATCH(DR$6,'Ops Assumptions'!$B$34:$B$44,0))^1/12,0))</f>
        <v>0</v>
      </c>
      <c r="DS11" s="688">
        <f>IF(AND('Ops Assumptions'!$P$38="Annual",DS$6&gt;DR$6),INDEX('Ops Assumptions'!$D$34:$D$44,MATCH(DS$6,'Ops Assumptions'!$B$34:$B$44,0)),IF('Ops Assumptions'!$P$38="Monthly",INDEX('Ops Assumptions'!$D$34:$D$44,MATCH(DS$6,'Ops Assumptions'!$B$34:$B$44,0))^1/12,0))</f>
        <v>0.04</v>
      </c>
      <c r="DT11" s="688">
        <f>IF(AND('Ops Assumptions'!$P$38="Annual",DT$6&gt;DS$6),INDEX('Ops Assumptions'!$D$34:$D$44,MATCH(DT$6,'Ops Assumptions'!$B$34:$B$44,0)),IF('Ops Assumptions'!$P$38="Monthly",INDEX('Ops Assumptions'!$D$34:$D$44,MATCH(DT$6,'Ops Assumptions'!$B$34:$B$44,0))^1/12,0))</f>
        <v>0</v>
      </c>
      <c r="DU11" s="688">
        <f>IF(AND('Ops Assumptions'!$P$38="Annual",DU$6&gt;DT$6),INDEX('Ops Assumptions'!$D$34:$D$44,MATCH(DU$6,'Ops Assumptions'!$B$34:$B$44,0)),IF('Ops Assumptions'!$P$38="Monthly",INDEX('Ops Assumptions'!$D$34:$D$44,MATCH(DU$6,'Ops Assumptions'!$B$34:$B$44,0))^1/12,0))</f>
        <v>0</v>
      </c>
      <c r="DV11" s="688">
        <f>IF(AND('Ops Assumptions'!$P$38="Annual",DV$6&gt;DU$6),INDEX('Ops Assumptions'!$D$34:$D$44,MATCH(DV$6,'Ops Assumptions'!$B$34:$B$44,0)),IF('Ops Assumptions'!$P$38="Monthly",INDEX('Ops Assumptions'!$D$34:$D$44,MATCH(DV$6,'Ops Assumptions'!$B$34:$B$44,0))^1/12,0))</f>
        <v>0</v>
      </c>
      <c r="DW11" s="688">
        <f>IF(AND('Ops Assumptions'!$P$38="Annual",DW$6&gt;DV$6),INDEX('Ops Assumptions'!$D$34:$D$44,MATCH(DW$6,'Ops Assumptions'!$B$34:$B$44,0)),IF('Ops Assumptions'!$P$38="Monthly",INDEX('Ops Assumptions'!$D$34:$D$44,MATCH(DW$6,'Ops Assumptions'!$B$34:$B$44,0))^1/12,0))</f>
        <v>0</v>
      </c>
      <c r="DX11" s="688">
        <f>IF(AND('Ops Assumptions'!$P$38="Annual",DX$6&gt;DW$6),INDEX('Ops Assumptions'!$D$34:$D$44,MATCH(DX$6,'Ops Assumptions'!$B$34:$B$44,0)),IF('Ops Assumptions'!$P$38="Monthly",INDEX('Ops Assumptions'!$D$34:$D$44,MATCH(DX$6,'Ops Assumptions'!$B$34:$B$44,0))^1/12,0))</f>
        <v>0</v>
      </c>
      <c r="DY11" s="688">
        <f>IF(AND('Ops Assumptions'!$P$38="Annual",DY$6&gt;DX$6),INDEX('Ops Assumptions'!$D$34:$D$44,MATCH(DY$6,'Ops Assumptions'!$B$34:$B$44,0)),IF('Ops Assumptions'!$P$38="Monthly",INDEX('Ops Assumptions'!$D$34:$D$44,MATCH(DY$6,'Ops Assumptions'!$B$34:$B$44,0))^1/12,0))</f>
        <v>0</v>
      </c>
      <c r="DZ11" s="688">
        <f>IF(AND('Ops Assumptions'!$P$38="Annual",DZ$6&gt;DY$6),INDEX('Ops Assumptions'!$D$34:$D$44,MATCH(DZ$6,'Ops Assumptions'!$B$34:$B$44,0)),IF('Ops Assumptions'!$P$38="Monthly",INDEX('Ops Assumptions'!$D$34:$D$44,MATCH(DZ$6,'Ops Assumptions'!$B$34:$B$44,0))^1/12,0))</f>
        <v>0</v>
      </c>
      <c r="EA11" s="688">
        <f>IF(AND('Ops Assumptions'!$P$38="Annual",EA$6&gt;DZ$6),INDEX('Ops Assumptions'!$D$34:$D$44,MATCH(EA$6,'Ops Assumptions'!$B$34:$B$44,0)),IF('Ops Assumptions'!$P$38="Monthly",INDEX('Ops Assumptions'!$D$34:$D$44,MATCH(EA$6,'Ops Assumptions'!$B$34:$B$44,0))^1/12,0))</f>
        <v>0</v>
      </c>
      <c r="EB11" s="688">
        <f>IF(AND('Ops Assumptions'!$P$38="Annual",EB$6&gt;EA$6),INDEX('Ops Assumptions'!$D$34:$D$44,MATCH(EB$6,'Ops Assumptions'!$B$34:$B$44,0)),IF('Ops Assumptions'!$P$38="Monthly",INDEX('Ops Assumptions'!$D$34:$D$44,MATCH(EB$6,'Ops Assumptions'!$B$34:$B$44,0))^1/12,0))</f>
        <v>0</v>
      </c>
      <c r="EC11" s="688">
        <f>IF(AND('Ops Assumptions'!$P$38="Annual",EC$6&gt;EB$6),INDEX('Ops Assumptions'!$D$34:$D$44,MATCH(EC$6,'Ops Assumptions'!$B$34:$B$44,0)),IF('Ops Assumptions'!$P$38="Monthly",INDEX('Ops Assumptions'!$D$34:$D$44,MATCH(EC$6,'Ops Assumptions'!$B$34:$B$44,0))^1/12,0))</f>
        <v>0</v>
      </c>
      <c r="ED11" s="688">
        <f>IF(AND('Ops Assumptions'!$P$38="Annual",ED$6&gt;EC$6),INDEX('Ops Assumptions'!$D$34:$D$44,MATCH(ED$6,'Ops Assumptions'!$B$34:$B$44,0)),IF('Ops Assumptions'!$P$38="Monthly",INDEX('Ops Assumptions'!$D$34:$D$44,MATCH(ED$6,'Ops Assumptions'!$B$34:$B$44,0))^1/12,0))</f>
        <v>0</v>
      </c>
      <c r="EE11" s="688">
        <f>IF(AND('Ops Assumptions'!$P$38="Annual",EE$6&gt;ED$6),INDEX('Ops Assumptions'!$D$34:$D$44,MATCH(EE$6,'Ops Assumptions'!$B$34:$B$44,0)),IF('Ops Assumptions'!$P$38="Monthly",INDEX('Ops Assumptions'!$D$34:$D$44,MATCH(EE$6,'Ops Assumptions'!$B$34:$B$44,0))^1/12,0))</f>
        <v>0.04</v>
      </c>
      <c r="EF11" s="688">
        <f>IF(AND('Ops Assumptions'!$P$38="Annual",EF$6&gt;EE$6),INDEX('Ops Assumptions'!$D$34:$D$44,MATCH(EF$6,'Ops Assumptions'!$B$34:$B$44,0)),IF('Ops Assumptions'!$P$38="Monthly",INDEX('Ops Assumptions'!$D$34:$D$44,MATCH(EF$6,'Ops Assumptions'!$B$34:$B$44,0))^1/12,0))</f>
        <v>0</v>
      </c>
      <c r="EG11" s="688">
        <f>IF(AND('Ops Assumptions'!$P$38="Annual",EG$6&gt;EF$6),INDEX('Ops Assumptions'!$D$34:$D$44,MATCH(EG$6,'Ops Assumptions'!$B$34:$B$44,0)),IF('Ops Assumptions'!$P$38="Monthly",INDEX('Ops Assumptions'!$D$34:$D$44,MATCH(EG$6,'Ops Assumptions'!$B$34:$B$44,0))^1/12,0))</f>
        <v>0</v>
      </c>
      <c r="EH11" s="688">
        <f>IF(AND('Ops Assumptions'!$P$38="Annual",EH$6&gt;EG$6),INDEX('Ops Assumptions'!$D$34:$D$44,MATCH(EH$6,'Ops Assumptions'!$B$34:$B$44,0)),IF('Ops Assumptions'!$P$38="Monthly",INDEX('Ops Assumptions'!$D$34:$D$44,MATCH(EH$6,'Ops Assumptions'!$B$34:$B$44,0))^1/12,0))</f>
        <v>0</v>
      </c>
      <c r="EI11" s="688">
        <f>IF(AND('Ops Assumptions'!$P$38="Annual",EI$6&gt;EH$6),INDEX('Ops Assumptions'!$D$34:$D$44,MATCH(EI$6,'Ops Assumptions'!$B$34:$B$44,0)),IF('Ops Assumptions'!$P$38="Monthly",INDEX('Ops Assumptions'!$D$34:$D$44,MATCH(EI$6,'Ops Assumptions'!$B$34:$B$44,0))^1/12,0))</f>
        <v>0</v>
      </c>
      <c r="EJ11" s="688">
        <f>IF(AND('Ops Assumptions'!$P$38="Annual",EJ$6&gt;EI$6),INDEX('Ops Assumptions'!$D$34:$D$44,MATCH(EJ$6,'Ops Assumptions'!$B$34:$B$44,0)),IF('Ops Assumptions'!$P$38="Monthly",INDEX('Ops Assumptions'!$D$34:$D$44,MATCH(EJ$6,'Ops Assumptions'!$B$34:$B$44,0))^1/12,0))</f>
        <v>0</v>
      </c>
      <c r="EK11" s="688">
        <f>IF(AND('Ops Assumptions'!$P$38="Annual",EK$6&gt;EJ$6),INDEX('Ops Assumptions'!$D$34:$D$44,MATCH(EK$6,'Ops Assumptions'!$B$34:$B$44,0)),IF('Ops Assumptions'!$P$38="Monthly",INDEX('Ops Assumptions'!$D$34:$D$44,MATCH(EK$6,'Ops Assumptions'!$B$34:$B$44,0))^1/12,0))</f>
        <v>0</v>
      </c>
      <c r="EL11" s="688">
        <f>IF(AND('Ops Assumptions'!$P$38="Annual",EL$6&gt;EK$6),INDEX('Ops Assumptions'!$D$34:$D$44,MATCH(EL$6,'Ops Assumptions'!$B$34:$B$44,0)),IF('Ops Assumptions'!$P$38="Monthly",INDEX('Ops Assumptions'!$D$34:$D$44,MATCH(EL$6,'Ops Assumptions'!$B$34:$B$44,0))^1/12,0))</f>
        <v>0</v>
      </c>
      <c r="EM11" s="688">
        <f>IF(AND('Ops Assumptions'!$P$38="Annual",EM$6&gt;EL$6),INDEX('Ops Assumptions'!$D$34:$D$44,MATCH(EM$6,'Ops Assumptions'!$B$34:$B$44,0)),IF('Ops Assumptions'!$P$38="Monthly",INDEX('Ops Assumptions'!$D$34:$D$44,MATCH(EM$6,'Ops Assumptions'!$B$34:$B$44,0))^1/12,0))</f>
        <v>0</v>
      </c>
      <c r="EN11" s="688">
        <f>IF(AND('Ops Assumptions'!$P$38="Annual",EN$6&gt;EM$6),INDEX('Ops Assumptions'!$D$34:$D$44,MATCH(EN$6,'Ops Assumptions'!$B$34:$B$44,0)),IF('Ops Assumptions'!$P$38="Monthly",INDEX('Ops Assumptions'!$D$34:$D$44,MATCH(EN$6,'Ops Assumptions'!$B$34:$B$44,0))^1/12,0))</f>
        <v>0</v>
      </c>
      <c r="EO11" s="688">
        <f>IF(AND('Ops Assumptions'!$P$38="Annual",EO$6&gt;EN$6),INDEX('Ops Assumptions'!$D$34:$D$44,MATCH(EO$6,'Ops Assumptions'!$B$34:$B$44,0)),IF('Ops Assumptions'!$P$38="Monthly",INDEX('Ops Assumptions'!$D$34:$D$44,MATCH(EO$6,'Ops Assumptions'!$B$34:$B$44,0))^1/12,0))</f>
        <v>0</v>
      </c>
      <c r="EP11" s="688">
        <f>IF(AND('Ops Assumptions'!$P$38="Annual",EP$6&gt;EO$6),INDEX('Ops Assumptions'!$D$34:$D$44,MATCH(EP$6,'Ops Assumptions'!$B$34:$B$44,0)),IF('Ops Assumptions'!$P$38="Monthly",INDEX('Ops Assumptions'!$D$34:$D$44,MATCH(EP$6,'Ops Assumptions'!$B$34:$B$44,0))^1/12,0))</f>
        <v>0</v>
      </c>
      <c r="EQ11" s="688">
        <f>IF(AND('Ops Assumptions'!$P$38="Annual",EQ$6&gt;EP$6),INDEX('Ops Assumptions'!$D$34:$D$44,MATCH(EQ$6,'Ops Assumptions'!$B$34:$B$44,0)),IF('Ops Assumptions'!$P$38="Monthly",INDEX('Ops Assumptions'!$D$34:$D$44,MATCH(EQ$6,'Ops Assumptions'!$B$34:$B$44,0))^1/12,0))</f>
        <v>0.03</v>
      </c>
      <c r="ER11" s="688">
        <f>IF(AND('Ops Assumptions'!$P$38="Annual",ER$6&gt;EQ$6),INDEX('Ops Assumptions'!$D$34:$D$44,MATCH(ER$6,'Ops Assumptions'!$B$34:$B$44,0)),IF('Ops Assumptions'!$P$38="Monthly",INDEX('Ops Assumptions'!$D$34:$D$44,MATCH(ER$6,'Ops Assumptions'!$B$34:$B$44,0))^1/12,0))</f>
        <v>0</v>
      </c>
      <c r="ES11" s="688">
        <f>IF(AND('Ops Assumptions'!$P$38="Annual",ES$6&gt;ER$6),INDEX('Ops Assumptions'!$D$34:$D$44,MATCH(ES$6,'Ops Assumptions'!$B$34:$B$44,0)),IF('Ops Assumptions'!$P$38="Monthly",INDEX('Ops Assumptions'!$D$34:$D$44,MATCH(ES$6,'Ops Assumptions'!$B$34:$B$44,0))^1/12,0))</f>
        <v>0</v>
      </c>
      <c r="ET11" s="688">
        <f>IF(AND('Ops Assumptions'!$P$38="Annual",ET$6&gt;ES$6),INDEX('Ops Assumptions'!$D$34:$D$44,MATCH(ET$6,'Ops Assumptions'!$B$34:$B$44,0)),IF('Ops Assumptions'!$P$38="Monthly",INDEX('Ops Assumptions'!$D$34:$D$44,MATCH(ET$6,'Ops Assumptions'!$B$34:$B$44,0))^1/12,0))</f>
        <v>0</v>
      </c>
      <c r="EU11" s="688">
        <f>IF(AND('Ops Assumptions'!$P$38="Annual",EU$6&gt;ET$6),INDEX('Ops Assumptions'!$D$34:$D$44,MATCH(EU$6,'Ops Assumptions'!$B$34:$B$44,0)),IF('Ops Assumptions'!$P$38="Monthly",INDEX('Ops Assumptions'!$D$34:$D$44,MATCH(EU$6,'Ops Assumptions'!$B$34:$B$44,0))^1/12,0))</f>
        <v>0</v>
      </c>
      <c r="EV11" s="688">
        <f>IF(AND('Ops Assumptions'!$P$38="Annual",EV$6&gt;EU$6),INDEX('Ops Assumptions'!$D$34:$D$44,MATCH(EV$6,'Ops Assumptions'!$B$34:$B$44,0)),IF('Ops Assumptions'!$P$38="Monthly",INDEX('Ops Assumptions'!$D$34:$D$44,MATCH(EV$6,'Ops Assumptions'!$B$34:$B$44,0))^1/12,0))</f>
        <v>0</v>
      </c>
      <c r="EW11" s="688">
        <f>IF(AND('Ops Assumptions'!$P$38="Annual",EW$6&gt;EV$6),INDEX('Ops Assumptions'!$D$34:$D$44,MATCH(EW$6,'Ops Assumptions'!$B$34:$B$44,0)),IF('Ops Assumptions'!$P$38="Monthly",INDEX('Ops Assumptions'!$D$34:$D$44,MATCH(EW$6,'Ops Assumptions'!$B$34:$B$44,0))^1/12,0))</f>
        <v>0</v>
      </c>
      <c r="EX11" s="688">
        <f>IF(AND('Ops Assumptions'!$P$38="Annual",EX$6&gt;EW$6),INDEX('Ops Assumptions'!$D$34:$D$44,MATCH(EX$6,'Ops Assumptions'!$B$34:$B$44,0)),IF('Ops Assumptions'!$P$38="Monthly",INDEX('Ops Assumptions'!$D$34:$D$44,MATCH(EX$6,'Ops Assumptions'!$B$34:$B$44,0))^1/12,0))</f>
        <v>0</v>
      </c>
      <c r="EY11" s="688">
        <f>IF(AND('Ops Assumptions'!$P$38="Annual",EY$6&gt;EX$6),INDEX('Ops Assumptions'!$D$34:$D$44,MATCH(EY$6,'Ops Assumptions'!$B$34:$B$44,0)),IF('Ops Assumptions'!$P$38="Monthly",INDEX('Ops Assumptions'!$D$34:$D$44,MATCH(EY$6,'Ops Assumptions'!$B$34:$B$44,0))^1/12,0))</f>
        <v>0</v>
      </c>
      <c r="EZ11" s="688">
        <f>IF(AND('Ops Assumptions'!$P$38="Annual",EZ$6&gt;EY$6),INDEX('Ops Assumptions'!$D$34:$D$44,MATCH(EZ$6,'Ops Assumptions'!$B$34:$B$44,0)),IF('Ops Assumptions'!$P$38="Monthly",INDEX('Ops Assumptions'!$D$34:$D$44,MATCH(EZ$6,'Ops Assumptions'!$B$34:$B$44,0))^1/12,0))</f>
        <v>0</v>
      </c>
      <c r="FA11" s="688">
        <f>IF(AND('Ops Assumptions'!$P$38="Annual",FA$6&gt;EZ$6),INDEX('Ops Assumptions'!$D$34:$D$44,MATCH(FA$6,'Ops Assumptions'!$B$34:$B$44,0)),IF('Ops Assumptions'!$P$38="Monthly",INDEX('Ops Assumptions'!$D$34:$D$44,MATCH(FA$6,'Ops Assumptions'!$B$34:$B$44,0))^1/12,0))</f>
        <v>0</v>
      </c>
      <c r="FB11" s="688">
        <f>IF(AND('Ops Assumptions'!$P$38="Annual",FB$6&gt;FA$6),INDEX('Ops Assumptions'!$D$34:$D$44,MATCH(FB$6,'Ops Assumptions'!$B$34:$B$44,0)),IF('Ops Assumptions'!$P$38="Monthly",INDEX('Ops Assumptions'!$D$34:$D$44,MATCH(FB$6,'Ops Assumptions'!$B$34:$B$44,0))^1/12,0))</f>
        <v>0</v>
      </c>
      <c r="FC11" s="688">
        <f>IF(AND('Ops Assumptions'!$P$38="Annual",FC$6&gt;FB$6),INDEX('Ops Assumptions'!$D$34:$D$44,MATCH(FC$6,'Ops Assumptions'!$B$34:$B$44,0)),IF('Ops Assumptions'!$P$38="Monthly",INDEX('Ops Assumptions'!$D$34:$D$44,MATCH(FC$6,'Ops Assumptions'!$B$34:$B$44,0))^1/12,0))</f>
        <v>0.03</v>
      </c>
      <c r="FD11" s="688">
        <f>IF(AND('Ops Assumptions'!$P$38="Annual",FD$6&gt;FC$6),INDEX('Ops Assumptions'!$D$34:$D$44,MATCH(FD$6,'Ops Assumptions'!$B$34:$B$44,0)),IF('Ops Assumptions'!$P$38="Monthly",INDEX('Ops Assumptions'!$D$34:$D$44,MATCH(FD$6,'Ops Assumptions'!$B$34:$B$44,0))^1/12,0))</f>
        <v>0</v>
      </c>
      <c r="FE11" s="688">
        <f>IF(AND('Ops Assumptions'!$P$38="Annual",FE$6&gt;FD$6),INDEX('Ops Assumptions'!$D$34:$D$44,MATCH(FE$6,'Ops Assumptions'!$B$34:$B$44,0)),IF('Ops Assumptions'!$P$38="Monthly",INDEX('Ops Assumptions'!$D$34:$D$44,MATCH(FE$6,'Ops Assumptions'!$B$34:$B$44,0))^1/12,0))</f>
        <v>0</v>
      </c>
      <c r="FF11" s="688">
        <f>IF(AND('Ops Assumptions'!$P$38="Annual",FF$6&gt;FE$6),INDEX('Ops Assumptions'!$D$34:$D$44,MATCH(FF$6,'Ops Assumptions'!$B$34:$B$44,0)),IF('Ops Assumptions'!$P$38="Monthly",INDEX('Ops Assumptions'!$D$34:$D$44,MATCH(FF$6,'Ops Assumptions'!$B$34:$B$44,0))^1/12,0))</f>
        <v>0</v>
      </c>
      <c r="FG11" s="688">
        <f>IF(AND('Ops Assumptions'!$P$38="Annual",FG$6&gt;FF$6),INDEX('Ops Assumptions'!$D$34:$D$44,MATCH(FG$6,'Ops Assumptions'!$B$34:$B$44,0)),IF('Ops Assumptions'!$P$38="Monthly",INDEX('Ops Assumptions'!$D$34:$D$44,MATCH(FG$6,'Ops Assumptions'!$B$34:$B$44,0))^1/12,0))</f>
        <v>0</v>
      </c>
      <c r="FH11" s="688">
        <f>IF(AND('Ops Assumptions'!$P$38="Annual",FH$6&gt;FG$6),INDEX('Ops Assumptions'!$D$34:$D$44,MATCH(FH$6,'Ops Assumptions'!$B$34:$B$44,0)),IF('Ops Assumptions'!$P$38="Monthly",INDEX('Ops Assumptions'!$D$34:$D$44,MATCH(FH$6,'Ops Assumptions'!$B$34:$B$44,0))^1/12,0))</f>
        <v>0</v>
      </c>
      <c r="FI11" s="688">
        <f>IF(AND('Ops Assumptions'!$P$38="Annual",FI$6&gt;FH$6),INDEX('Ops Assumptions'!$D$34:$D$44,MATCH(FI$6,'Ops Assumptions'!$B$34:$B$44,0)),IF('Ops Assumptions'!$P$38="Monthly",INDEX('Ops Assumptions'!$D$34:$D$44,MATCH(FI$6,'Ops Assumptions'!$B$34:$B$44,0))^1/12,0))</f>
        <v>0</v>
      </c>
      <c r="FJ11" s="688">
        <f>IF(AND('Ops Assumptions'!$P$38="Annual",FJ$6&gt;FI$6),INDEX('Ops Assumptions'!$D$34:$D$44,MATCH(FJ$6,'Ops Assumptions'!$B$34:$B$44,0)),IF('Ops Assumptions'!$P$38="Monthly",INDEX('Ops Assumptions'!$D$34:$D$44,MATCH(FJ$6,'Ops Assumptions'!$B$34:$B$44,0))^1/12,0))</f>
        <v>0</v>
      </c>
      <c r="FK11" s="688">
        <f>IF(AND('Ops Assumptions'!$P$38="Annual",FK$6&gt;FJ$6),INDEX('Ops Assumptions'!$D$34:$D$44,MATCH(FK$6,'Ops Assumptions'!$B$34:$B$44,0)),IF('Ops Assumptions'!$P$38="Monthly",INDEX('Ops Assumptions'!$D$34:$D$44,MATCH(FK$6,'Ops Assumptions'!$B$34:$B$44,0))^1/12,0))</f>
        <v>0</v>
      </c>
      <c r="FL11" s="688">
        <f>IF(AND('Ops Assumptions'!$P$38="Annual",FL$6&gt;FK$6),INDEX('Ops Assumptions'!$D$34:$D$44,MATCH(FL$6,'Ops Assumptions'!$B$34:$B$44,0)),IF('Ops Assumptions'!$P$38="Monthly",INDEX('Ops Assumptions'!$D$34:$D$44,MATCH(FL$6,'Ops Assumptions'!$B$34:$B$44,0))^1/12,0))</f>
        <v>0</v>
      </c>
      <c r="FM11" s="688">
        <f>IF(AND('Ops Assumptions'!$P$38="Annual",FM$6&gt;FL$6),INDEX('Ops Assumptions'!$D$34:$D$44,MATCH(FM$6,'Ops Assumptions'!$B$34:$B$44,0)),IF('Ops Assumptions'!$P$38="Monthly",INDEX('Ops Assumptions'!$D$34:$D$44,MATCH(FM$6,'Ops Assumptions'!$B$34:$B$44,0))^1/12,0))</f>
        <v>0</v>
      </c>
      <c r="FN11" s="688">
        <f>IF(AND('Ops Assumptions'!$P$38="Annual",FN$6&gt;FM$6),INDEX('Ops Assumptions'!$D$34:$D$44,MATCH(FN$6,'Ops Assumptions'!$B$34:$B$44,0)),IF('Ops Assumptions'!$P$38="Monthly",INDEX('Ops Assumptions'!$D$34:$D$44,MATCH(FN$6,'Ops Assumptions'!$B$34:$B$44,0))^1/12,0))</f>
        <v>0</v>
      </c>
      <c r="FO11" s="144" t="s">
        <v>243</v>
      </c>
    </row>
    <row r="12" spans="2:171" x14ac:dyDescent="0.2">
      <c r="B12" s="781" t="s">
        <v>868</v>
      </c>
      <c r="C12" s="1030">
        <v>4</v>
      </c>
      <c r="D12" s="1307">
        <f t="shared" si="8"/>
        <v>1.6393442622950821E-2</v>
      </c>
      <c r="E12" s="1030">
        <v>855</v>
      </c>
      <c r="F12" s="895">
        <f>COUNTIFS(Rent_Roll[SqFt],'Unit Mix-Reno Schedule'!$E12,Rent_Roll[Unit
Status],'Unit Mix-Reno Schedule'!F$7)</f>
        <v>4</v>
      </c>
      <c r="G12" s="895">
        <f>COUNTIFS(Rent_Roll[SqFt],'Unit Mix-Reno Schedule'!$E12,Rent_Roll[Unit
Status],'Unit Mix-Reno Schedule'!G$7)</f>
        <v>0</v>
      </c>
      <c r="H12" s="151">
        <v>0</v>
      </c>
      <c r="I12" s="705">
        <f t="shared" si="11"/>
        <v>1</v>
      </c>
      <c r="J12" s="225">
        <f t="shared" si="12"/>
        <v>0</v>
      </c>
      <c r="K12" s="225">
        <v>0</v>
      </c>
      <c r="L12" s="896">
        <f>IFERROR(AVERAGEIF(Rent_Roll[SqFt],'Unit Mix-Reno Schedule'!$E12,Rent_Roll[Market
Rent]),0)</f>
        <v>1270</v>
      </c>
      <c r="M12" s="699">
        <f t="shared" si="13"/>
        <v>1.4853801169590644</v>
      </c>
      <c r="N12" s="897">
        <f>IFERROR(AVERAGEIFS(Rent_Roll[Total In-Place
Rent],Rent_Roll[SqFt],'Unit Mix-Reno Schedule'!$E12,Rent_Roll[Unit
Status],"Occupied"),0)</f>
        <v>1231.25</v>
      </c>
      <c r="O12" s="699">
        <f t="shared" si="14"/>
        <v>1.4400584795321638</v>
      </c>
      <c r="P12" s="897" t="str" cm="1">
        <f t="array" ref="P12">IFERROR(_xlfn.IFS(P$7=90,AVERAGEIFS(Rent_Roll[Total In-Place
Rent],Rent_Roll[SqFt],'Unit Mix-Reno Schedule'!$E12,Rent_Roll[Lease
Start],"&gt;="&amp;'Unit Mix-Reno Schedule'!$P$2),
'Unit Mix-Reno Schedule'!P$7=60,AVERAGEIFS(Rent_Roll[Total In-Place
Rent],Rent_Roll[SqFt],'Unit Mix-Reno Schedule'!$E12,Rent_Roll[Lease
Start],"&gt;="&amp;'Unit Mix-Reno Schedule'!$P$3),
'Unit Mix-Reno Schedule'!P$7=30,AVERAGEIFS(Rent_Roll[Total In-Place
Rent],Rent_Roll[SqFt],'Unit Mix-Reno Schedule'!$E12,Rent_Roll[Lease
Start],"&gt;="&amp;'Unit Mix-Reno Schedule'!$P$4)),"")</f>
        <v/>
      </c>
      <c r="Q12" s="898" cm="1">
        <f t="array" ref="Q12">_xlfn.IFS(P$7=90,COUNTIFS(Rent_Roll[SqFt],'Unit Mix-Reno Schedule'!$E12,Rent_Roll[Lease
Start],"&gt;="&amp;'Unit Mix-Reno Schedule'!$P$2),
'Unit Mix-Reno Schedule'!P$7=60,COUNTIFS(Rent_Roll[SqFt],'Unit Mix-Reno Schedule'!$E12,Rent_Roll[Lease
Start],"&gt;="&amp;'Unit Mix-Reno Schedule'!$P$3),
'Unit Mix-Reno Schedule'!P$7=30,COUNTIFS(Rent_Roll[SqFt],'Unit Mix-Reno Schedule'!$E12,Rent_Roll[Lease
Start],"&gt;="&amp;'Unit Mix-Reno Schedule'!$P$4))</f>
        <v>0</v>
      </c>
      <c r="S12" s="899">
        <v>1330</v>
      </c>
      <c r="T12" s="699">
        <f t="shared" si="15"/>
        <v>1.5555555555555556</v>
      </c>
      <c r="U12" s="900">
        <v>1375</v>
      </c>
      <c r="V12" s="901">
        <f t="shared" si="16"/>
        <v>1.6081871345029239</v>
      </c>
      <c r="X12" s="721" t="str">
        <f t="shared" si="17"/>
        <v>1x1</v>
      </c>
      <c r="Y12" s="151">
        <f>COUNTIFS(Rent_Roll[SqFt],'Unit Mix-Reno Schedule'!E12,Rent_Roll[Unit
Status],"vacant")+COUNTIFS(Rent_Roll[SqFt],'Unit Mix-Reno Schedule'!E12,Rent_Roll[Unit
Status],"admin/down")</f>
        <v>0</v>
      </c>
      <c r="Z12" s="844">
        <f>SUMIFS(Rent_Roll[Market
Rent],Rent_Roll[SqFt],'Unit Mix-Reno Schedule'!E12,Rent_Roll[Unit
Status],"vacant")+SUMIFS(Rent_Roll[Market
Rent],Rent_Roll[SqFt],'Unit Mix-Reno Schedule'!E12,Rent_Roll[Unit
Status],"admin/down")</f>
        <v>0</v>
      </c>
      <c r="AL12" s="144"/>
      <c r="AM12" s="144"/>
      <c r="AN12" s="902"/>
      <c r="AO12" s="144"/>
      <c r="AP12" s="144"/>
      <c r="AQ12" s="144"/>
      <c r="AR12" s="144"/>
      <c r="AS12" s="144"/>
      <c r="AT12" s="144"/>
      <c r="FO12" s="144" t="s">
        <v>243</v>
      </c>
    </row>
    <row r="13" spans="2:171" x14ac:dyDescent="0.2">
      <c r="B13" s="781" t="s">
        <v>871</v>
      </c>
      <c r="C13" s="1030">
        <v>4</v>
      </c>
      <c r="D13" s="1307">
        <f t="shared" si="8"/>
        <v>1.6393442622950821E-2</v>
      </c>
      <c r="E13" s="1030">
        <v>931</v>
      </c>
      <c r="F13" s="895">
        <f>COUNTIFS(Rent_Roll[SqFt],'Unit Mix-Reno Schedule'!$E13,Rent_Roll[Unit
Status],'Unit Mix-Reno Schedule'!F$7)</f>
        <v>4</v>
      </c>
      <c r="G13" s="895">
        <f>COUNTIFS(Rent_Roll[SqFt],'Unit Mix-Reno Schedule'!$E13,Rent_Roll[Unit
Status],'Unit Mix-Reno Schedule'!G$7)</f>
        <v>0</v>
      </c>
      <c r="H13" s="151">
        <v>0</v>
      </c>
      <c r="I13" s="705">
        <f t="shared" si="11"/>
        <v>1</v>
      </c>
      <c r="J13" s="225">
        <f t="shared" si="12"/>
        <v>0</v>
      </c>
      <c r="K13" s="225">
        <v>0</v>
      </c>
      <c r="L13" s="896">
        <f>IFERROR(AVERAGEIF(Rent_Roll[SqFt],'Unit Mix-Reno Schedule'!$E13,Rent_Roll[Market
Rent]),0)</f>
        <v>1250</v>
      </c>
      <c r="M13" s="699">
        <f t="shared" si="13"/>
        <v>1.3426423200859292</v>
      </c>
      <c r="N13" s="897">
        <f>IFERROR(AVERAGEIFS(Rent_Roll[Total In-Place
Rent],Rent_Roll[SqFt],'Unit Mix-Reno Schedule'!$E13,Rent_Roll[Unit
Status],"Occupied"),0)</f>
        <v>1145</v>
      </c>
      <c r="O13" s="699">
        <f t="shared" si="14"/>
        <v>1.229860365198711</v>
      </c>
      <c r="P13" s="897" cm="1">
        <f t="array" ref="P13">IFERROR(_xlfn.IFS(P$7=90,AVERAGEIFS(Rent_Roll[Total In-Place
Rent],Rent_Roll[SqFt],'Unit Mix-Reno Schedule'!$E13,Rent_Roll[Lease
Start],"&gt;="&amp;'Unit Mix-Reno Schedule'!$P$2),
'Unit Mix-Reno Schedule'!P$7=60,AVERAGEIFS(Rent_Roll[Total In-Place
Rent],Rent_Roll[SqFt],'Unit Mix-Reno Schedule'!$E13,Rent_Roll[Lease
Start],"&gt;="&amp;'Unit Mix-Reno Schedule'!$P$3),
'Unit Mix-Reno Schedule'!P$7=30,AVERAGEIFS(Rent_Roll[Total In-Place
Rent],Rent_Roll[SqFt],'Unit Mix-Reno Schedule'!$E13,Rent_Roll[Lease
Start],"&gt;="&amp;'Unit Mix-Reno Schedule'!$P$4)),"")</f>
        <v>1170</v>
      </c>
      <c r="Q13" s="898" cm="1">
        <f t="array" ref="Q13">_xlfn.IFS(P$7=90,COUNTIFS(Rent_Roll[SqFt],'Unit Mix-Reno Schedule'!$E13,Rent_Roll[Lease
Start],"&gt;="&amp;'Unit Mix-Reno Schedule'!$P$2),
'Unit Mix-Reno Schedule'!P$7=60,COUNTIFS(Rent_Roll[SqFt],'Unit Mix-Reno Schedule'!$E13,Rent_Roll[Lease
Start],"&gt;="&amp;'Unit Mix-Reno Schedule'!$P$3),
'Unit Mix-Reno Schedule'!P$7=30,COUNTIFS(Rent_Roll[SqFt],'Unit Mix-Reno Schedule'!$E13,Rent_Roll[Lease
Start],"&gt;="&amp;'Unit Mix-Reno Schedule'!$P$4))</f>
        <v>1</v>
      </c>
      <c r="S13" s="899">
        <v>1350</v>
      </c>
      <c r="T13" s="699">
        <f t="shared" si="15"/>
        <v>1.4500537056928033</v>
      </c>
      <c r="U13" s="900">
        <v>1400</v>
      </c>
      <c r="V13" s="901">
        <f t="shared" si="16"/>
        <v>1.5037593984962405</v>
      </c>
      <c r="X13" s="721" t="str">
        <f t="shared" si="17"/>
        <v>1x1-S</v>
      </c>
      <c r="Y13" s="151">
        <f>COUNTIFS(Rent_Roll[SqFt],'Unit Mix-Reno Schedule'!E13,Rent_Roll[Unit
Status],"vacant")+COUNTIFS(Rent_Roll[SqFt],'Unit Mix-Reno Schedule'!E13,Rent_Roll[Unit
Status],"admin/down")</f>
        <v>0</v>
      </c>
      <c r="Z13" s="844">
        <f>SUMIFS(Rent_Roll[Market
Rent],Rent_Roll[SqFt],'Unit Mix-Reno Schedule'!E13,Rent_Roll[Unit
Status],"vacant")+SUMIFS(Rent_Roll[Market
Rent],Rent_Roll[SqFt],'Unit Mix-Reno Schedule'!E13,Rent_Roll[Unit
Status],"admin/down")</f>
        <v>0</v>
      </c>
      <c r="AL13" s="144"/>
      <c r="AM13" s="144"/>
      <c r="AN13" s="144"/>
      <c r="AO13" s="144"/>
      <c r="AP13" s="144"/>
      <c r="AQ13" s="144"/>
      <c r="AR13" s="144"/>
      <c r="AS13" s="144"/>
      <c r="AT13" s="144"/>
      <c r="FO13" s="144" t="s">
        <v>243</v>
      </c>
    </row>
    <row r="14" spans="2:171" ht="15" thickBot="1" x14ac:dyDescent="0.25">
      <c r="B14" s="781" t="s">
        <v>868</v>
      </c>
      <c r="C14" s="1030">
        <v>10</v>
      </c>
      <c r="D14" s="1307">
        <f t="shared" si="8"/>
        <v>4.0983606557377046E-2</v>
      </c>
      <c r="E14" s="1030">
        <v>1020</v>
      </c>
      <c r="F14" s="895">
        <f>COUNTIFS(Rent_Roll[SqFt],'Unit Mix-Reno Schedule'!$E14,Rent_Roll[Unit
Status],'Unit Mix-Reno Schedule'!F$7)</f>
        <v>10</v>
      </c>
      <c r="G14" s="895">
        <f>COUNTIFS(Rent_Roll[SqFt],'Unit Mix-Reno Schedule'!$E14,Rent_Roll[Unit
Status],'Unit Mix-Reno Schedule'!G$7)</f>
        <v>0</v>
      </c>
      <c r="H14" s="151">
        <v>0</v>
      </c>
      <c r="I14" s="705">
        <f t="shared" si="11"/>
        <v>1</v>
      </c>
      <c r="J14" s="225">
        <f t="shared" si="12"/>
        <v>0</v>
      </c>
      <c r="K14" s="225">
        <v>0</v>
      </c>
      <c r="L14" s="896">
        <f>IFERROR(AVERAGEIF(Rent_Roll[SqFt],'Unit Mix-Reno Schedule'!$E14,Rent_Roll[Market
Rent]),0)</f>
        <v>1304</v>
      </c>
      <c r="M14" s="699">
        <f t="shared" si="13"/>
        <v>1.2784313725490195</v>
      </c>
      <c r="N14" s="897">
        <f>IFERROR(AVERAGEIFS(Rent_Roll[Total In-Place
Rent],Rent_Roll[SqFt],'Unit Mix-Reno Schedule'!$E14,Rent_Roll[Unit
Status],"Occupied"),0)</f>
        <v>1192.5</v>
      </c>
      <c r="O14" s="699">
        <f t="shared" si="14"/>
        <v>1.1691176470588236</v>
      </c>
      <c r="P14" s="897" cm="1">
        <f t="array" ref="P14">IFERROR(_xlfn.IFS(P$7=90,AVERAGEIFS(Rent_Roll[Total In-Place
Rent],Rent_Roll[SqFt],'Unit Mix-Reno Schedule'!$E14,Rent_Roll[Lease
Start],"&gt;="&amp;'Unit Mix-Reno Schedule'!$P$2),
'Unit Mix-Reno Schedule'!P$7=60,AVERAGEIFS(Rent_Roll[Total In-Place
Rent],Rent_Roll[SqFt],'Unit Mix-Reno Schedule'!$E14,Rent_Roll[Lease
Start],"&gt;="&amp;'Unit Mix-Reno Schedule'!$P$3),
'Unit Mix-Reno Schedule'!P$7=30,AVERAGEIFS(Rent_Roll[Total In-Place
Rent],Rent_Roll[SqFt],'Unit Mix-Reno Schedule'!$E14,Rent_Roll[Lease
Start],"&gt;="&amp;'Unit Mix-Reno Schedule'!$P$4)),"")</f>
        <v>1120</v>
      </c>
      <c r="Q14" s="898" cm="1">
        <f t="array" ref="Q14">_xlfn.IFS(P$7=90,COUNTIFS(Rent_Roll[SqFt],'Unit Mix-Reno Schedule'!$E14,Rent_Roll[Lease
Start],"&gt;="&amp;'Unit Mix-Reno Schedule'!$P$2),
'Unit Mix-Reno Schedule'!P$7=60,COUNTIFS(Rent_Roll[SqFt],'Unit Mix-Reno Schedule'!$E14,Rent_Roll[Lease
Start],"&gt;="&amp;'Unit Mix-Reno Schedule'!$P$3),
'Unit Mix-Reno Schedule'!P$7=30,COUNTIFS(Rent_Roll[SqFt],'Unit Mix-Reno Schedule'!$E14,Rent_Roll[Lease
Start],"&gt;="&amp;'Unit Mix-Reno Schedule'!$P$4))</f>
        <v>1</v>
      </c>
      <c r="S14" s="899">
        <v>1425</v>
      </c>
      <c r="T14" s="699">
        <f t="shared" si="15"/>
        <v>1.3970588235294117</v>
      </c>
      <c r="U14" s="900">
        <v>1500</v>
      </c>
      <c r="V14" s="901">
        <f t="shared" si="16"/>
        <v>1.4705882352941178</v>
      </c>
      <c r="X14" s="721" t="str">
        <f t="shared" si="17"/>
        <v>1x1</v>
      </c>
      <c r="Y14" s="151">
        <f>COUNTIFS(Rent_Roll[SqFt],'Unit Mix-Reno Schedule'!E14,Rent_Roll[Unit
Status],"vacant")+COUNTIFS(Rent_Roll[SqFt],'Unit Mix-Reno Schedule'!E14,Rent_Roll[Unit
Status],"admin/down")</f>
        <v>0</v>
      </c>
      <c r="Z14" s="844">
        <f>SUMIFS(Rent_Roll[Market
Rent],Rent_Roll[SqFt],'Unit Mix-Reno Schedule'!E14,Rent_Roll[Unit
Status],"vacant")+SUMIFS(Rent_Roll[Market
Rent],Rent_Roll[SqFt],'Unit Mix-Reno Schedule'!E14,Rent_Roll[Unit
Status],"admin/down")</f>
        <v>0</v>
      </c>
      <c r="AK14" s="144" t="s">
        <v>318</v>
      </c>
      <c r="AL14" s="903">
        <v>1</v>
      </c>
      <c r="AM14" s="903">
        <v>0.4</v>
      </c>
      <c r="AN14" s="762">
        <f t="shared" ref="AN14:AX14" si="18">AM14</f>
        <v>0.4</v>
      </c>
      <c r="AO14" s="762">
        <f t="shared" si="18"/>
        <v>0.4</v>
      </c>
      <c r="AP14" s="762">
        <f t="shared" si="18"/>
        <v>0.4</v>
      </c>
      <c r="AQ14" s="762">
        <f>AP14</f>
        <v>0.4</v>
      </c>
      <c r="AR14" s="762">
        <f t="shared" si="18"/>
        <v>0.4</v>
      </c>
      <c r="AS14" s="762">
        <f t="shared" si="18"/>
        <v>0.4</v>
      </c>
      <c r="AT14" s="762">
        <f t="shared" si="18"/>
        <v>0.4</v>
      </c>
      <c r="AU14" s="762">
        <f t="shared" si="18"/>
        <v>0.4</v>
      </c>
      <c r="AV14" s="762">
        <f t="shared" si="18"/>
        <v>0.4</v>
      </c>
      <c r="AW14" s="762">
        <f t="shared" si="18"/>
        <v>0.4</v>
      </c>
      <c r="AX14" s="762">
        <f t="shared" si="18"/>
        <v>0.4</v>
      </c>
      <c r="AY14" s="903">
        <v>0.35</v>
      </c>
      <c r="AZ14" s="762">
        <f>AY14</f>
        <v>0.35</v>
      </c>
      <c r="BA14" s="762">
        <f t="shared" ref="BA14:BJ14" si="19">AZ14</f>
        <v>0.35</v>
      </c>
      <c r="BB14" s="762">
        <f t="shared" si="19"/>
        <v>0.35</v>
      </c>
      <c r="BC14" s="762">
        <f t="shared" si="19"/>
        <v>0.35</v>
      </c>
      <c r="BD14" s="762">
        <f t="shared" si="19"/>
        <v>0.35</v>
      </c>
      <c r="BE14" s="762">
        <f t="shared" si="19"/>
        <v>0.35</v>
      </c>
      <c r="BF14" s="762">
        <f t="shared" si="19"/>
        <v>0.35</v>
      </c>
      <c r="BG14" s="762">
        <f t="shared" si="19"/>
        <v>0.35</v>
      </c>
      <c r="BH14" s="762">
        <f t="shared" si="19"/>
        <v>0.35</v>
      </c>
      <c r="BI14" s="762">
        <f t="shared" si="19"/>
        <v>0.35</v>
      </c>
      <c r="BJ14" s="762">
        <f t="shared" si="19"/>
        <v>0.35</v>
      </c>
      <c r="BK14" s="903">
        <v>0.4</v>
      </c>
      <c r="BL14" s="762">
        <f>BK14</f>
        <v>0.4</v>
      </c>
      <c r="BM14" s="762">
        <f t="shared" ref="BM14:DX14" si="20">BL14</f>
        <v>0.4</v>
      </c>
      <c r="BN14" s="762">
        <f t="shared" si="20"/>
        <v>0.4</v>
      </c>
      <c r="BO14" s="762">
        <f t="shared" si="20"/>
        <v>0.4</v>
      </c>
      <c r="BP14" s="762">
        <f t="shared" si="20"/>
        <v>0.4</v>
      </c>
      <c r="BQ14" s="762">
        <f t="shared" si="20"/>
        <v>0.4</v>
      </c>
      <c r="BR14" s="762">
        <f t="shared" si="20"/>
        <v>0.4</v>
      </c>
      <c r="BS14" s="762">
        <f t="shared" si="20"/>
        <v>0.4</v>
      </c>
      <c r="BT14" s="762">
        <f t="shared" si="20"/>
        <v>0.4</v>
      </c>
      <c r="BU14" s="762">
        <f t="shared" si="20"/>
        <v>0.4</v>
      </c>
      <c r="BV14" s="762">
        <f t="shared" si="20"/>
        <v>0.4</v>
      </c>
      <c r="BW14" s="762">
        <f t="shared" si="20"/>
        <v>0.4</v>
      </c>
      <c r="BX14" s="762">
        <f t="shared" si="20"/>
        <v>0.4</v>
      </c>
      <c r="BY14" s="762">
        <f t="shared" si="20"/>
        <v>0.4</v>
      </c>
      <c r="BZ14" s="762">
        <f t="shared" si="20"/>
        <v>0.4</v>
      </c>
      <c r="CA14" s="762">
        <f t="shared" si="20"/>
        <v>0.4</v>
      </c>
      <c r="CB14" s="762">
        <f t="shared" si="20"/>
        <v>0.4</v>
      </c>
      <c r="CC14" s="762">
        <f t="shared" si="20"/>
        <v>0.4</v>
      </c>
      <c r="CD14" s="762">
        <f t="shared" si="20"/>
        <v>0.4</v>
      </c>
      <c r="CE14" s="762">
        <f t="shared" si="20"/>
        <v>0.4</v>
      </c>
      <c r="CF14" s="762">
        <f t="shared" si="20"/>
        <v>0.4</v>
      </c>
      <c r="CG14" s="762">
        <f t="shared" si="20"/>
        <v>0.4</v>
      </c>
      <c r="CH14" s="762">
        <f t="shared" si="20"/>
        <v>0.4</v>
      </c>
      <c r="CI14" s="762">
        <f t="shared" si="20"/>
        <v>0.4</v>
      </c>
      <c r="CJ14" s="762">
        <f t="shared" si="20"/>
        <v>0.4</v>
      </c>
      <c r="CK14" s="762">
        <f t="shared" si="20"/>
        <v>0.4</v>
      </c>
      <c r="CL14" s="762">
        <f t="shared" si="20"/>
        <v>0.4</v>
      </c>
      <c r="CM14" s="762">
        <f t="shared" si="20"/>
        <v>0.4</v>
      </c>
      <c r="CN14" s="762">
        <f t="shared" si="20"/>
        <v>0.4</v>
      </c>
      <c r="CO14" s="762">
        <f t="shared" si="20"/>
        <v>0.4</v>
      </c>
      <c r="CP14" s="762">
        <f t="shared" si="20"/>
        <v>0.4</v>
      </c>
      <c r="CQ14" s="762">
        <f t="shared" si="20"/>
        <v>0.4</v>
      </c>
      <c r="CR14" s="762">
        <f t="shared" si="20"/>
        <v>0.4</v>
      </c>
      <c r="CS14" s="762">
        <f t="shared" si="20"/>
        <v>0.4</v>
      </c>
      <c r="CT14" s="762">
        <f t="shared" si="20"/>
        <v>0.4</v>
      </c>
      <c r="CU14" s="762">
        <f t="shared" si="20"/>
        <v>0.4</v>
      </c>
      <c r="CV14" s="762">
        <f t="shared" si="20"/>
        <v>0.4</v>
      </c>
      <c r="CW14" s="762">
        <f t="shared" si="20"/>
        <v>0.4</v>
      </c>
      <c r="CX14" s="762">
        <f t="shared" si="20"/>
        <v>0.4</v>
      </c>
      <c r="CY14" s="762">
        <f t="shared" si="20"/>
        <v>0.4</v>
      </c>
      <c r="CZ14" s="762">
        <f t="shared" si="20"/>
        <v>0.4</v>
      </c>
      <c r="DA14" s="762">
        <f t="shared" si="20"/>
        <v>0.4</v>
      </c>
      <c r="DB14" s="762">
        <f t="shared" si="20"/>
        <v>0.4</v>
      </c>
      <c r="DC14" s="762">
        <f t="shared" si="20"/>
        <v>0.4</v>
      </c>
      <c r="DD14" s="762">
        <f t="shared" si="20"/>
        <v>0.4</v>
      </c>
      <c r="DE14" s="762">
        <f t="shared" si="20"/>
        <v>0.4</v>
      </c>
      <c r="DF14" s="762">
        <f t="shared" si="20"/>
        <v>0.4</v>
      </c>
      <c r="DG14" s="762">
        <f t="shared" si="20"/>
        <v>0.4</v>
      </c>
      <c r="DH14" s="762">
        <f t="shared" si="20"/>
        <v>0.4</v>
      </c>
      <c r="DI14" s="762">
        <f t="shared" si="20"/>
        <v>0.4</v>
      </c>
      <c r="DJ14" s="762">
        <f t="shared" si="20"/>
        <v>0.4</v>
      </c>
      <c r="DK14" s="762">
        <f t="shared" si="20"/>
        <v>0.4</v>
      </c>
      <c r="DL14" s="762">
        <f t="shared" si="20"/>
        <v>0.4</v>
      </c>
      <c r="DM14" s="762">
        <f t="shared" si="20"/>
        <v>0.4</v>
      </c>
      <c r="DN14" s="762">
        <f t="shared" si="20"/>
        <v>0.4</v>
      </c>
      <c r="DO14" s="762">
        <f t="shared" si="20"/>
        <v>0.4</v>
      </c>
      <c r="DP14" s="762">
        <f t="shared" si="20"/>
        <v>0.4</v>
      </c>
      <c r="DQ14" s="762">
        <f t="shared" si="20"/>
        <v>0.4</v>
      </c>
      <c r="DR14" s="762">
        <f t="shared" si="20"/>
        <v>0.4</v>
      </c>
      <c r="DS14" s="762">
        <f t="shared" si="20"/>
        <v>0.4</v>
      </c>
      <c r="DT14" s="762">
        <f t="shared" si="20"/>
        <v>0.4</v>
      </c>
      <c r="DU14" s="762">
        <f t="shared" si="20"/>
        <v>0.4</v>
      </c>
      <c r="DV14" s="762">
        <f t="shared" si="20"/>
        <v>0.4</v>
      </c>
      <c r="DW14" s="762">
        <f t="shared" si="20"/>
        <v>0.4</v>
      </c>
      <c r="DX14" s="762">
        <f t="shared" si="20"/>
        <v>0.4</v>
      </c>
      <c r="DY14" s="762">
        <f t="shared" ref="DY14:FN14" si="21">DX14</f>
        <v>0.4</v>
      </c>
      <c r="DZ14" s="762">
        <f t="shared" si="21"/>
        <v>0.4</v>
      </c>
      <c r="EA14" s="762">
        <f t="shared" si="21"/>
        <v>0.4</v>
      </c>
      <c r="EB14" s="762">
        <f t="shared" si="21"/>
        <v>0.4</v>
      </c>
      <c r="EC14" s="762">
        <f t="shared" si="21"/>
        <v>0.4</v>
      </c>
      <c r="ED14" s="762">
        <f t="shared" si="21"/>
        <v>0.4</v>
      </c>
      <c r="EE14" s="762">
        <f t="shared" si="21"/>
        <v>0.4</v>
      </c>
      <c r="EF14" s="762">
        <f t="shared" si="21"/>
        <v>0.4</v>
      </c>
      <c r="EG14" s="762">
        <f t="shared" si="21"/>
        <v>0.4</v>
      </c>
      <c r="EH14" s="762">
        <f t="shared" si="21"/>
        <v>0.4</v>
      </c>
      <c r="EI14" s="762">
        <f t="shared" si="21"/>
        <v>0.4</v>
      </c>
      <c r="EJ14" s="762">
        <f t="shared" si="21"/>
        <v>0.4</v>
      </c>
      <c r="EK14" s="762">
        <f t="shared" si="21"/>
        <v>0.4</v>
      </c>
      <c r="EL14" s="762">
        <f t="shared" si="21"/>
        <v>0.4</v>
      </c>
      <c r="EM14" s="762">
        <f t="shared" si="21"/>
        <v>0.4</v>
      </c>
      <c r="EN14" s="762">
        <f t="shared" si="21"/>
        <v>0.4</v>
      </c>
      <c r="EO14" s="762">
        <f t="shared" si="21"/>
        <v>0.4</v>
      </c>
      <c r="EP14" s="762">
        <f t="shared" si="21"/>
        <v>0.4</v>
      </c>
      <c r="EQ14" s="762">
        <f t="shared" si="21"/>
        <v>0.4</v>
      </c>
      <c r="ER14" s="762">
        <f t="shared" si="21"/>
        <v>0.4</v>
      </c>
      <c r="ES14" s="762">
        <f t="shared" si="21"/>
        <v>0.4</v>
      </c>
      <c r="ET14" s="762">
        <f t="shared" si="21"/>
        <v>0.4</v>
      </c>
      <c r="EU14" s="762">
        <f t="shared" si="21"/>
        <v>0.4</v>
      </c>
      <c r="EV14" s="762">
        <f t="shared" si="21"/>
        <v>0.4</v>
      </c>
      <c r="EW14" s="762">
        <f t="shared" si="21"/>
        <v>0.4</v>
      </c>
      <c r="EX14" s="762">
        <f t="shared" si="21"/>
        <v>0.4</v>
      </c>
      <c r="EY14" s="762">
        <f t="shared" si="21"/>
        <v>0.4</v>
      </c>
      <c r="EZ14" s="762">
        <f t="shared" si="21"/>
        <v>0.4</v>
      </c>
      <c r="FA14" s="762">
        <f t="shared" si="21"/>
        <v>0.4</v>
      </c>
      <c r="FB14" s="762">
        <f t="shared" si="21"/>
        <v>0.4</v>
      </c>
      <c r="FC14" s="762">
        <f t="shared" si="21"/>
        <v>0.4</v>
      </c>
      <c r="FD14" s="762">
        <f t="shared" si="21"/>
        <v>0.4</v>
      </c>
      <c r="FE14" s="762">
        <f t="shared" si="21"/>
        <v>0.4</v>
      </c>
      <c r="FF14" s="762">
        <f t="shared" si="21"/>
        <v>0.4</v>
      </c>
      <c r="FG14" s="762">
        <f t="shared" si="21"/>
        <v>0.4</v>
      </c>
      <c r="FH14" s="762">
        <f t="shared" si="21"/>
        <v>0.4</v>
      </c>
      <c r="FI14" s="762">
        <f t="shared" si="21"/>
        <v>0.4</v>
      </c>
      <c r="FJ14" s="762">
        <f t="shared" si="21"/>
        <v>0.4</v>
      </c>
      <c r="FK14" s="762">
        <f t="shared" si="21"/>
        <v>0.4</v>
      </c>
      <c r="FL14" s="762">
        <f t="shared" si="21"/>
        <v>0.4</v>
      </c>
      <c r="FM14" s="762">
        <f t="shared" si="21"/>
        <v>0.4</v>
      </c>
      <c r="FN14" s="762">
        <f t="shared" si="21"/>
        <v>0.4</v>
      </c>
      <c r="FO14" s="144" t="s">
        <v>243</v>
      </c>
    </row>
    <row r="15" spans="2:171" x14ac:dyDescent="0.2">
      <c r="B15" s="781" t="s">
        <v>871</v>
      </c>
      <c r="C15" s="1030">
        <v>2</v>
      </c>
      <c r="D15" s="1307">
        <f t="shared" si="8"/>
        <v>8.1967213114754103E-3</v>
      </c>
      <c r="E15" s="1030">
        <v>1153</v>
      </c>
      <c r="F15" s="895">
        <f>COUNTIFS(Rent_Roll[SqFt],'Unit Mix-Reno Schedule'!$E15,Rent_Roll[Unit
Status],'Unit Mix-Reno Schedule'!F$7)</f>
        <v>2</v>
      </c>
      <c r="G15" s="895">
        <f>COUNTIFS(Rent_Roll[SqFt],'Unit Mix-Reno Schedule'!$E15,Rent_Roll[Unit
Status],'Unit Mix-Reno Schedule'!G$7)</f>
        <v>0</v>
      </c>
      <c r="H15" s="151">
        <v>0</v>
      </c>
      <c r="I15" s="705">
        <f t="shared" si="11"/>
        <v>1</v>
      </c>
      <c r="J15" s="225">
        <f t="shared" si="12"/>
        <v>0</v>
      </c>
      <c r="K15" s="225">
        <v>0</v>
      </c>
      <c r="L15" s="896">
        <f>IFERROR(AVERAGEIF(Rent_Roll[SqFt],'Unit Mix-Reno Schedule'!$E15,Rent_Roll[Market
Rent]),0)</f>
        <v>1420</v>
      </c>
      <c r="M15" s="699">
        <f t="shared" si="13"/>
        <v>1.2315698178664354</v>
      </c>
      <c r="N15" s="897">
        <f>IFERROR(AVERAGEIFS(Rent_Roll[Total In-Place
Rent],Rent_Roll[SqFt],'Unit Mix-Reno Schedule'!$E15,Rent_Roll[Unit
Status],"Occupied"),0)</f>
        <v>1327.5</v>
      </c>
      <c r="O15" s="699">
        <f t="shared" si="14"/>
        <v>1.1513443191673893</v>
      </c>
      <c r="P15" s="897" cm="1">
        <f t="array" ref="P15">IFERROR(_xlfn.IFS(P$7=90,AVERAGEIFS(Rent_Roll[Total In-Place
Rent],Rent_Roll[SqFt],'Unit Mix-Reno Schedule'!$E15,Rent_Roll[Lease
Start],"&gt;="&amp;'Unit Mix-Reno Schedule'!$P$2),
'Unit Mix-Reno Schedule'!P$7=60,AVERAGEIFS(Rent_Roll[Total In-Place
Rent],Rent_Roll[SqFt],'Unit Mix-Reno Schedule'!$E15,Rent_Roll[Lease
Start],"&gt;="&amp;'Unit Mix-Reno Schedule'!$P$3),
'Unit Mix-Reno Schedule'!P$7=30,AVERAGEIFS(Rent_Roll[Total In-Place
Rent],Rent_Roll[SqFt],'Unit Mix-Reno Schedule'!$E15,Rent_Roll[Lease
Start],"&gt;="&amp;'Unit Mix-Reno Schedule'!$P$4)),"")</f>
        <v>1420</v>
      </c>
      <c r="Q15" s="898" cm="1">
        <f t="array" ref="Q15">_xlfn.IFS(P$7=90,COUNTIFS(Rent_Roll[SqFt],'Unit Mix-Reno Schedule'!$E15,Rent_Roll[Lease
Start],"&gt;="&amp;'Unit Mix-Reno Schedule'!$P$2),
'Unit Mix-Reno Schedule'!P$7=60,COUNTIFS(Rent_Roll[SqFt],'Unit Mix-Reno Schedule'!$E15,Rent_Roll[Lease
Start],"&gt;="&amp;'Unit Mix-Reno Schedule'!$P$3),
'Unit Mix-Reno Schedule'!P$7=30,COUNTIFS(Rent_Roll[SqFt],'Unit Mix-Reno Schedule'!$E15,Rent_Roll[Lease
Start],"&gt;="&amp;'Unit Mix-Reno Schedule'!$P$4))</f>
        <v>1</v>
      </c>
      <c r="S15" s="899">
        <v>1500</v>
      </c>
      <c r="T15" s="699">
        <f t="shared" si="15"/>
        <v>1.3009540329575022</v>
      </c>
      <c r="U15" s="900">
        <v>1555</v>
      </c>
      <c r="V15" s="901">
        <f t="shared" si="16"/>
        <v>1.3486556808326107</v>
      </c>
      <c r="X15" s="721" t="str">
        <f t="shared" si="17"/>
        <v>1x1-S</v>
      </c>
      <c r="Y15" s="151">
        <f>COUNTIFS(Rent_Roll[SqFt],'Unit Mix-Reno Schedule'!E15,Rent_Roll[Unit
Status],"vacant")+COUNTIFS(Rent_Roll[SqFt],'Unit Mix-Reno Schedule'!E15,Rent_Roll[Unit
Status],"admin/down")</f>
        <v>0</v>
      </c>
      <c r="Z15" s="844">
        <f>SUMIFS(Rent_Roll[Market
Rent],Rent_Roll[SqFt],'Unit Mix-Reno Schedule'!E15,Rent_Roll[Unit
Status],"vacant")+SUMIFS(Rent_Roll[Market
Rent],Rent_Roll[SqFt],'Unit Mix-Reno Schedule'!E15,Rent_Roll[Unit
Status],"admin/down")</f>
        <v>0</v>
      </c>
      <c r="AK15" s="904" t="s">
        <v>319</v>
      </c>
      <c r="AL15" s="905">
        <f>Y22</f>
        <v>10</v>
      </c>
      <c r="AM15" s="905">
        <f>AL57</f>
        <v>10</v>
      </c>
      <c r="AN15" s="905">
        <f ca="1">AM57</f>
        <v>10</v>
      </c>
      <c r="AO15" s="905">
        <f t="shared" ref="AO15:BR15" ca="1" si="22">AN57</f>
        <v>10</v>
      </c>
      <c r="AP15" s="905">
        <f t="shared" ca="1" si="22"/>
        <v>10</v>
      </c>
      <c r="AQ15" s="905">
        <f t="shared" ca="1" si="22"/>
        <v>10</v>
      </c>
      <c r="AR15" s="905">
        <f t="shared" ca="1" si="22"/>
        <v>10</v>
      </c>
      <c r="AS15" s="905">
        <f t="shared" ca="1" si="22"/>
        <v>10</v>
      </c>
      <c r="AT15" s="905">
        <f t="shared" ca="1" si="22"/>
        <v>10</v>
      </c>
      <c r="AU15" s="905">
        <f t="shared" ca="1" si="22"/>
        <v>10</v>
      </c>
      <c r="AV15" s="905">
        <f t="shared" ca="1" si="22"/>
        <v>10</v>
      </c>
      <c r="AW15" s="905">
        <f t="shared" ca="1" si="22"/>
        <v>10</v>
      </c>
      <c r="AX15" s="905">
        <f t="shared" ca="1" si="22"/>
        <v>10</v>
      </c>
      <c r="AY15" s="905">
        <f t="shared" ca="1" si="22"/>
        <v>10</v>
      </c>
      <c r="AZ15" s="905">
        <f t="shared" ca="1" si="22"/>
        <v>7</v>
      </c>
      <c r="BA15" s="905">
        <f t="shared" ca="1" si="22"/>
        <v>7</v>
      </c>
      <c r="BB15" s="905">
        <f t="shared" ca="1" si="22"/>
        <v>7</v>
      </c>
      <c r="BC15" s="905">
        <f t="shared" ca="1" si="22"/>
        <v>7</v>
      </c>
      <c r="BD15" s="905">
        <f t="shared" ca="1" si="22"/>
        <v>7</v>
      </c>
      <c r="BE15" s="905">
        <f t="shared" ca="1" si="22"/>
        <v>7</v>
      </c>
      <c r="BF15" s="905">
        <f t="shared" ca="1" si="22"/>
        <v>7</v>
      </c>
      <c r="BG15" s="905">
        <f t="shared" ca="1" si="22"/>
        <v>8</v>
      </c>
      <c r="BH15" s="905">
        <f t="shared" ca="1" si="22"/>
        <v>8</v>
      </c>
      <c r="BI15" s="905">
        <f t="shared" ca="1" si="22"/>
        <v>8</v>
      </c>
      <c r="BJ15" s="905">
        <f t="shared" ca="1" si="22"/>
        <v>8</v>
      </c>
      <c r="BK15" s="905">
        <f t="shared" ca="1" si="22"/>
        <v>8</v>
      </c>
      <c r="BL15" s="905">
        <f t="shared" ca="1" si="22"/>
        <v>5</v>
      </c>
      <c r="BM15" s="905">
        <f t="shared" ca="1" si="22"/>
        <v>5</v>
      </c>
      <c r="BN15" s="905">
        <f t="shared" ca="1" si="22"/>
        <v>7</v>
      </c>
      <c r="BO15" s="905">
        <f t="shared" ca="1" si="22"/>
        <v>7</v>
      </c>
      <c r="BP15" s="905">
        <f t="shared" ca="1" si="22"/>
        <v>7</v>
      </c>
      <c r="BQ15" s="905">
        <f t="shared" ca="1" si="22"/>
        <v>7</v>
      </c>
      <c r="BR15" s="905">
        <f t="shared" ca="1" si="22"/>
        <v>7</v>
      </c>
      <c r="BS15" s="905">
        <f t="shared" ref="BS15:CX15" ca="1" si="23">BR57</f>
        <v>7</v>
      </c>
      <c r="BT15" s="905">
        <f t="shared" ca="1" si="23"/>
        <v>12</v>
      </c>
      <c r="BU15" s="905">
        <f t="shared" ca="1" si="23"/>
        <v>12</v>
      </c>
      <c r="BV15" s="905">
        <f t="shared" ca="1" si="23"/>
        <v>12</v>
      </c>
      <c r="BW15" s="905">
        <f t="shared" ca="1" si="23"/>
        <v>12</v>
      </c>
      <c r="BX15" s="905">
        <f t="shared" ca="1" si="23"/>
        <v>12</v>
      </c>
      <c r="BY15" s="905">
        <f t="shared" ca="1" si="23"/>
        <v>12</v>
      </c>
      <c r="BZ15" s="905">
        <f t="shared" ca="1" si="23"/>
        <v>12</v>
      </c>
      <c r="CA15" s="905">
        <f t="shared" ca="1" si="23"/>
        <v>12</v>
      </c>
      <c r="CB15" s="905">
        <f t="shared" ca="1" si="23"/>
        <v>12</v>
      </c>
      <c r="CC15" s="905">
        <f t="shared" ca="1" si="23"/>
        <v>12</v>
      </c>
      <c r="CD15" s="905">
        <f t="shared" ca="1" si="23"/>
        <v>12</v>
      </c>
      <c r="CE15" s="905">
        <f t="shared" ca="1" si="23"/>
        <v>12</v>
      </c>
      <c r="CF15" s="905">
        <f t="shared" ca="1" si="23"/>
        <v>12</v>
      </c>
      <c r="CG15" s="905">
        <f t="shared" ca="1" si="23"/>
        <v>12</v>
      </c>
      <c r="CH15" s="905">
        <f t="shared" ca="1" si="23"/>
        <v>12</v>
      </c>
      <c r="CI15" s="905">
        <f t="shared" ca="1" si="23"/>
        <v>12</v>
      </c>
      <c r="CJ15" s="905">
        <f t="shared" ca="1" si="23"/>
        <v>12</v>
      </c>
      <c r="CK15" s="905">
        <f t="shared" ca="1" si="23"/>
        <v>12</v>
      </c>
      <c r="CL15" s="905">
        <f t="shared" ca="1" si="23"/>
        <v>12</v>
      </c>
      <c r="CM15" s="905">
        <f t="shared" ca="1" si="23"/>
        <v>12</v>
      </c>
      <c r="CN15" s="905">
        <f t="shared" ca="1" si="23"/>
        <v>12</v>
      </c>
      <c r="CO15" s="905">
        <f t="shared" ca="1" si="23"/>
        <v>12</v>
      </c>
      <c r="CP15" s="905">
        <f t="shared" ca="1" si="23"/>
        <v>12</v>
      </c>
      <c r="CQ15" s="905">
        <f t="shared" ca="1" si="23"/>
        <v>12</v>
      </c>
      <c r="CR15" s="905">
        <f t="shared" ca="1" si="23"/>
        <v>12</v>
      </c>
      <c r="CS15" s="905">
        <f t="shared" ca="1" si="23"/>
        <v>12</v>
      </c>
      <c r="CT15" s="905">
        <f t="shared" ca="1" si="23"/>
        <v>12</v>
      </c>
      <c r="CU15" s="905">
        <f t="shared" ca="1" si="23"/>
        <v>12</v>
      </c>
      <c r="CV15" s="905">
        <f t="shared" ca="1" si="23"/>
        <v>12</v>
      </c>
      <c r="CW15" s="905">
        <f t="shared" ca="1" si="23"/>
        <v>12</v>
      </c>
      <c r="CX15" s="905">
        <f t="shared" ca="1" si="23"/>
        <v>12</v>
      </c>
      <c r="CY15" s="905">
        <f t="shared" ref="CY15:ED15" ca="1" si="24">CX57</f>
        <v>12</v>
      </c>
      <c r="CZ15" s="905">
        <f t="shared" ca="1" si="24"/>
        <v>12</v>
      </c>
      <c r="DA15" s="905">
        <f t="shared" ca="1" si="24"/>
        <v>12</v>
      </c>
      <c r="DB15" s="905">
        <f t="shared" ca="1" si="24"/>
        <v>12</v>
      </c>
      <c r="DC15" s="905">
        <f t="shared" ca="1" si="24"/>
        <v>12</v>
      </c>
      <c r="DD15" s="905">
        <f t="shared" ca="1" si="24"/>
        <v>12</v>
      </c>
      <c r="DE15" s="905">
        <f t="shared" ca="1" si="24"/>
        <v>12</v>
      </c>
      <c r="DF15" s="905">
        <f t="shared" ca="1" si="24"/>
        <v>12</v>
      </c>
      <c r="DG15" s="905">
        <f t="shared" ca="1" si="24"/>
        <v>12</v>
      </c>
      <c r="DH15" s="905">
        <f t="shared" ca="1" si="24"/>
        <v>12</v>
      </c>
      <c r="DI15" s="905">
        <f t="shared" ca="1" si="24"/>
        <v>12</v>
      </c>
      <c r="DJ15" s="905">
        <f t="shared" ca="1" si="24"/>
        <v>12</v>
      </c>
      <c r="DK15" s="905">
        <f t="shared" ca="1" si="24"/>
        <v>12</v>
      </c>
      <c r="DL15" s="905">
        <f t="shared" ca="1" si="24"/>
        <v>12</v>
      </c>
      <c r="DM15" s="905">
        <f t="shared" ca="1" si="24"/>
        <v>12</v>
      </c>
      <c r="DN15" s="905">
        <f t="shared" ca="1" si="24"/>
        <v>12</v>
      </c>
      <c r="DO15" s="905">
        <f t="shared" ca="1" si="24"/>
        <v>12</v>
      </c>
      <c r="DP15" s="905">
        <f t="shared" ca="1" si="24"/>
        <v>12</v>
      </c>
      <c r="DQ15" s="905">
        <f t="shared" ca="1" si="24"/>
        <v>12</v>
      </c>
      <c r="DR15" s="905">
        <f t="shared" ca="1" si="24"/>
        <v>12</v>
      </c>
      <c r="DS15" s="905">
        <f t="shared" ca="1" si="24"/>
        <v>12</v>
      </c>
      <c r="DT15" s="905">
        <f t="shared" ca="1" si="24"/>
        <v>12</v>
      </c>
      <c r="DU15" s="905">
        <f t="shared" ca="1" si="24"/>
        <v>12</v>
      </c>
      <c r="DV15" s="905">
        <f t="shared" ca="1" si="24"/>
        <v>12</v>
      </c>
      <c r="DW15" s="905">
        <f t="shared" ca="1" si="24"/>
        <v>12</v>
      </c>
      <c r="DX15" s="905">
        <f t="shared" ca="1" si="24"/>
        <v>12</v>
      </c>
      <c r="DY15" s="905">
        <f t="shared" ca="1" si="24"/>
        <v>12</v>
      </c>
      <c r="DZ15" s="905">
        <f t="shared" ca="1" si="24"/>
        <v>12</v>
      </c>
      <c r="EA15" s="905">
        <f t="shared" ca="1" si="24"/>
        <v>12</v>
      </c>
      <c r="EB15" s="905">
        <f t="shared" ca="1" si="24"/>
        <v>12</v>
      </c>
      <c r="EC15" s="905">
        <f t="shared" ca="1" si="24"/>
        <v>12</v>
      </c>
      <c r="ED15" s="905">
        <f t="shared" ca="1" si="24"/>
        <v>12</v>
      </c>
      <c r="EE15" s="905">
        <f t="shared" ref="EE15:FN15" ca="1" si="25">ED57</f>
        <v>12</v>
      </c>
      <c r="EF15" s="905">
        <f t="shared" ca="1" si="25"/>
        <v>12</v>
      </c>
      <c r="EG15" s="905">
        <f t="shared" ca="1" si="25"/>
        <v>12</v>
      </c>
      <c r="EH15" s="905">
        <f t="shared" ca="1" si="25"/>
        <v>12</v>
      </c>
      <c r="EI15" s="905">
        <f t="shared" ca="1" si="25"/>
        <v>12</v>
      </c>
      <c r="EJ15" s="905">
        <f t="shared" ca="1" si="25"/>
        <v>12</v>
      </c>
      <c r="EK15" s="905">
        <f t="shared" ca="1" si="25"/>
        <v>12</v>
      </c>
      <c r="EL15" s="905">
        <f t="shared" ca="1" si="25"/>
        <v>12</v>
      </c>
      <c r="EM15" s="905">
        <f t="shared" ca="1" si="25"/>
        <v>12</v>
      </c>
      <c r="EN15" s="905">
        <f t="shared" ca="1" si="25"/>
        <v>12</v>
      </c>
      <c r="EO15" s="905">
        <f t="shared" ca="1" si="25"/>
        <v>12</v>
      </c>
      <c r="EP15" s="905">
        <f t="shared" ca="1" si="25"/>
        <v>12</v>
      </c>
      <c r="EQ15" s="905">
        <f t="shared" ca="1" si="25"/>
        <v>12</v>
      </c>
      <c r="ER15" s="905">
        <f t="shared" ca="1" si="25"/>
        <v>12</v>
      </c>
      <c r="ES15" s="905">
        <f t="shared" ca="1" si="25"/>
        <v>12</v>
      </c>
      <c r="ET15" s="905">
        <f t="shared" ca="1" si="25"/>
        <v>12</v>
      </c>
      <c r="EU15" s="905">
        <f t="shared" ca="1" si="25"/>
        <v>12</v>
      </c>
      <c r="EV15" s="905">
        <f t="shared" ca="1" si="25"/>
        <v>12</v>
      </c>
      <c r="EW15" s="905">
        <f t="shared" ca="1" si="25"/>
        <v>12</v>
      </c>
      <c r="EX15" s="905">
        <f t="shared" ca="1" si="25"/>
        <v>12</v>
      </c>
      <c r="EY15" s="905">
        <f t="shared" ca="1" si="25"/>
        <v>12</v>
      </c>
      <c r="EZ15" s="905">
        <f t="shared" ca="1" si="25"/>
        <v>12</v>
      </c>
      <c r="FA15" s="905">
        <f t="shared" ca="1" si="25"/>
        <v>12</v>
      </c>
      <c r="FB15" s="905">
        <f t="shared" ca="1" si="25"/>
        <v>12</v>
      </c>
      <c r="FC15" s="905">
        <f t="shared" ca="1" si="25"/>
        <v>12</v>
      </c>
      <c r="FD15" s="905">
        <f t="shared" ca="1" si="25"/>
        <v>12</v>
      </c>
      <c r="FE15" s="905">
        <f t="shared" ca="1" si="25"/>
        <v>12</v>
      </c>
      <c r="FF15" s="905">
        <f t="shared" ca="1" si="25"/>
        <v>12</v>
      </c>
      <c r="FG15" s="905">
        <f t="shared" ca="1" si="25"/>
        <v>12</v>
      </c>
      <c r="FH15" s="905">
        <f t="shared" ca="1" si="25"/>
        <v>12</v>
      </c>
      <c r="FI15" s="905">
        <f t="shared" ca="1" si="25"/>
        <v>12</v>
      </c>
      <c r="FJ15" s="905">
        <f t="shared" ca="1" si="25"/>
        <v>12</v>
      </c>
      <c r="FK15" s="905">
        <f t="shared" ca="1" si="25"/>
        <v>12</v>
      </c>
      <c r="FL15" s="905">
        <f t="shared" ca="1" si="25"/>
        <v>12</v>
      </c>
      <c r="FM15" s="905">
        <f t="shared" ca="1" si="25"/>
        <v>12</v>
      </c>
      <c r="FN15" s="906">
        <f t="shared" ca="1" si="25"/>
        <v>12</v>
      </c>
    </row>
    <row r="16" spans="2:171" x14ac:dyDescent="0.2">
      <c r="B16" s="781" t="s">
        <v>866</v>
      </c>
      <c r="C16" s="1030">
        <v>88</v>
      </c>
      <c r="D16" s="1307">
        <f t="shared" si="8"/>
        <v>0.36065573770491804</v>
      </c>
      <c r="E16" s="1030">
        <v>1000</v>
      </c>
      <c r="F16" s="895">
        <f>COUNTIFS(Rent_Roll[SqFt],'Unit Mix-Reno Schedule'!$E16,Rent_Roll[Unit
Status],'Unit Mix-Reno Schedule'!F$7)</f>
        <v>81</v>
      </c>
      <c r="G16" s="895">
        <f>COUNTIFS(Rent_Roll[SqFt],'Unit Mix-Reno Schedule'!$E16,Rent_Roll[Unit
Status],'Unit Mix-Reno Schedule'!G$7)</f>
        <v>7</v>
      </c>
      <c r="H16" s="151">
        <v>0</v>
      </c>
      <c r="I16" s="705">
        <f t="shared" si="11"/>
        <v>0.92045454545454541</v>
      </c>
      <c r="J16" s="225">
        <f t="shared" si="12"/>
        <v>7.9545454545454544E-2</v>
      </c>
      <c r="K16" s="225">
        <v>0</v>
      </c>
      <c r="L16" s="896">
        <f>IFERROR(AVERAGEIF(Rent_Roll[SqFt],'Unit Mix-Reno Schedule'!$E16,Rent_Roll[Market
Rent]),0)</f>
        <v>1373.9772727272727</v>
      </c>
      <c r="M16" s="699">
        <f t="shared" si="13"/>
        <v>1.3739772727272728</v>
      </c>
      <c r="N16" s="897">
        <f>IFERROR(AVERAGEIFS(Rent_Roll[Total In-Place
Rent],Rent_Roll[SqFt],'Unit Mix-Reno Schedule'!$E16,Rent_Roll[Unit
Status],"Occupied"),0)</f>
        <v>1271.6666666666667</v>
      </c>
      <c r="O16" s="699">
        <f t="shared" si="14"/>
        <v>1.2716666666666667</v>
      </c>
      <c r="P16" s="897" cm="1">
        <f t="array" ref="P16">IFERROR(_xlfn.IFS(P$7=90,AVERAGEIFS(Rent_Roll[Total In-Place
Rent],Rent_Roll[SqFt],'Unit Mix-Reno Schedule'!$E16,Rent_Roll[Lease
Start],"&gt;="&amp;'Unit Mix-Reno Schedule'!$P$2),
'Unit Mix-Reno Schedule'!P$7=60,AVERAGEIFS(Rent_Roll[Total In-Place
Rent],Rent_Roll[SqFt],'Unit Mix-Reno Schedule'!$E16,Rent_Roll[Lease
Start],"&gt;="&amp;'Unit Mix-Reno Schedule'!$P$3),
'Unit Mix-Reno Schedule'!P$7=30,AVERAGEIFS(Rent_Roll[Total In-Place
Rent],Rent_Roll[SqFt],'Unit Mix-Reno Schedule'!$E16,Rent_Roll[Lease
Start],"&gt;="&amp;'Unit Mix-Reno Schedule'!$P$4)),"")</f>
        <v>1297.6923076923076</v>
      </c>
      <c r="Q16" s="898" cm="1">
        <f t="array" ref="Q16">_xlfn.IFS(P$7=90,COUNTIFS(Rent_Roll[SqFt],'Unit Mix-Reno Schedule'!$E16,Rent_Roll[Lease
Start],"&gt;="&amp;'Unit Mix-Reno Schedule'!$P$2),
'Unit Mix-Reno Schedule'!P$7=60,COUNTIFS(Rent_Roll[SqFt],'Unit Mix-Reno Schedule'!$E16,Rent_Roll[Lease
Start],"&gt;="&amp;'Unit Mix-Reno Schedule'!$P$3),
'Unit Mix-Reno Schedule'!P$7=30,COUNTIFS(Rent_Roll[SqFt],'Unit Mix-Reno Schedule'!$E16,Rent_Roll[Lease
Start],"&gt;="&amp;'Unit Mix-Reno Schedule'!$P$4))</f>
        <v>13</v>
      </c>
      <c r="S16" s="899">
        <v>1450</v>
      </c>
      <c r="T16" s="699">
        <f t="shared" si="15"/>
        <v>1.45</v>
      </c>
      <c r="U16" s="900">
        <v>1650</v>
      </c>
      <c r="V16" s="901">
        <f t="shared" si="16"/>
        <v>1.65</v>
      </c>
      <c r="X16" s="721" t="str">
        <f t="shared" si="17"/>
        <v>2x2</v>
      </c>
      <c r="Y16" s="151">
        <f>COUNTIFS(Rent_Roll[SqFt],'Unit Mix-Reno Schedule'!E16,Rent_Roll[Unit
Status],"vacant")+COUNTIFS(Rent_Roll[SqFt],'Unit Mix-Reno Schedule'!E16,Rent_Roll[Unit
Status],"admin/down")</f>
        <v>7</v>
      </c>
      <c r="Z16" s="844">
        <f>SUMIFS(Rent_Roll[Market
Rent],Rent_Roll[SqFt],'Unit Mix-Reno Schedule'!E16,Rent_Roll[Unit
Status],"vacant")+SUMIFS(Rent_Roll[Market
Rent],Rent_Roll[SqFt],'Unit Mix-Reno Schedule'!E16,Rent_Roll[Unit
Status],"admin/down")</f>
        <v>9640</v>
      </c>
      <c r="AK16" s="721" t="s">
        <v>246</v>
      </c>
      <c r="AL16" s="151">
        <f>AL3</f>
        <v>15</v>
      </c>
      <c r="AM16" s="151">
        <f t="shared" ref="AM16:AX16" si="26">AM3</f>
        <v>15</v>
      </c>
      <c r="AN16" s="151">
        <f t="shared" si="26"/>
        <v>15</v>
      </c>
      <c r="AO16" s="151">
        <f t="shared" si="26"/>
        <v>15</v>
      </c>
      <c r="AP16" s="151">
        <f t="shared" si="26"/>
        <v>15</v>
      </c>
      <c r="AQ16" s="151">
        <f t="shared" si="26"/>
        <v>15</v>
      </c>
      <c r="AR16" s="151">
        <f t="shared" si="26"/>
        <v>15</v>
      </c>
      <c r="AS16" s="151">
        <f t="shared" si="26"/>
        <v>15</v>
      </c>
      <c r="AT16" s="151">
        <f t="shared" si="26"/>
        <v>15</v>
      </c>
      <c r="AU16" s="151">
        <f t="shared" si="26"/>
        <v>15</v>
      </c>
      <c r="AV16" s="151">
        <f t="shared" si="26"/>
        <v>15</v>
      </c>
      <c r="AW16" s="151">
        <f t="shared" si="26"/>
        <v>15</v>
      </c>
      <c r="AX16" s="151">
        <f t="shared" si="26"/>
        <v>15</v>
      </c>
      <c r="AY16" s="151">
        <f t="shared" ref="AY16:CD16" si="27">AY3</f>
        <v>15</v>
      </c>
      <c r="AZ16" s="151">
        <f t="shared" si="27"/>
        <v>15</v>
      </c>
      <c r="BA16" s="151">
        <f t="shared" si="27"/>
        <v>15</v>
      </c>
      <c r="BB16" s="151">
        <f t="shared" si="27"/>
        <v>15</v>
      </c>
      <c r="BC16" s="151">
        <f t="shared" si="27"/>
        <v>15</v>
      </c>
      <c r="BD16" s="151">
        <f t="shared" si="27"/>
        <v>15</v>
      </c>
      <c r="BE16" s="151">
        <f t="shared" si="27"/>
        <v>15</v>
      </c>
      <c r="BF16" s="151">
        <f t="shared" si="27"/>
        <v>15</v>
      </c>
      <c r="BG16" s="151">
        <f t="shared" si="27"/>
        <v>15</v>
      </c>
      <c r="BH16" s="151">
        <f t="shared" si="27"/>
        <v>15</v>
      </c>
      <c r="BI16" s="151">
        <f t="shared" si="27"/>
        <v>15</v>
      </c>
      <c r="BJ16" s="151">
        <f t="shared" si="27"/>
        <v>15</v>
      </c>
      <c r="BK16" s="151">
        <f t="shared" si="27"/>
        <v>15</v>
      </c>
      <c r="BL16" s="151">
        <f t="shared" si="27"/>
        <v>15</v>
      </c>
      <c r="BM16" s="151">
        <f t="shared" si="27"/>
        <v>15</v>
      </c>
      <c r="BN16" s="151">
        <f t="shared" si="27"/>
        <v>15</v>
      </c>
      <c r="BO16" s="151">
        <f t="shared" si="27"/>
        <v>15</v>
      </c>
      <c r="BP16" s="151">
        <f t="shared" si="27"/>
        <v>15</v>
      </c>
      <c r="BQ16" s="151">
        <f t="shared" si="27"/>
        <v>15</v>
      </c>
      <c r="BR16" s="151">
        <f t="shared" si="27"/>
        <v>15</v>
      </c>
      <c r="BS16" s="151">
        <f t="shared" si="27"/>
        <v>15</v>
      </c>
      <c r="BT16" s="151">
        <f t="shared" si="27"/>
        <v>15</v>
      </c>
      <c r="BU16" s="151">
        <f t="shared" si="27"/>
        <v>15</v>
      </c>
      <c r="BV16" s="151">
        <f t="shared" si="27"/>
        <v>15</v>
      </c>
      <c r="BW16" s="151">
        <f t="shared" si="27"/>
        <v>15</v>
      </c>
      <c r="BX16" s="151">
        <f t="shared" si="27"/>
        <v>15</v>
      </c>
      <c r="BY16" s="151">
        <f t="shared" si="27"/>
        <v>15</v>
      </c>
      <c r="BZ16" s="151">
        <f t="shared" si="27"/>
        <v>15</v>
      </c>
      <c r="CA16" s="151">
        <f t="shared" si="27"/>
        <v>15</v>
      </c>
      <c r="CB16" s="151">
        <f t="shared" si="27"/>
        <v>15</v>
      </c>
      <c r="CC16" s="151">
        <f t="shared" si="27"/>
        <v>15</v>
      </c>
      <c r="CD16" s="151">
        <f t="shared" si="27"/>
        <v>15</v>
      </c>
      <c r="CE16" s="151">
        <f t="shared" ref="CE16:DJ16" si="28">CE3</f>
        <v>15</v>
      </c>
      <c r="CF16" s="151">
        <f t="shared" si="28"/>
        <v>15</v>
      </c>
      <c r="CG16" s="151">
        <f t="shared" si="28"/>
        <v>15</v>
      </c>
      <c r="CH16" s="151">
        <f t="shared" si="28"/>
        <v>15</v>
      </c>
      <c r="CI16" s="151">
        <f t="shared" si="28"/>
        <v>15</v>
      </c>
      <c r="CJ16" s="151">
        <f t="shared" si="28"/>
        <v>15</v>
      </c>
      <c r="CK16" s="151">
        <f t="shared" si="28"/>
        <v>15</v>
      </c>
      <c r="CL16" s="151">
        <f t="shared" si="28"/>
        <v>15</v>
      </c>
      <c r="CM16" s="151">
        <f t="shared" si="28"/>
        <v>15</v>
      </c>
      <c r="CN16" s="151">
        <f t="shared" si="28"/>
        <v>15</v>
      </c>
      <c r="CO16" s="151">
        <f t="shared" si="28"/>
        <v>15</v>
      </c>
      <c r="CP16" s="151">
        <f t="shared" si="28"/>
        <v>15</v>
      </c>
      <c r="CQ16" s="151">
        <f t="shared" si="28"/>
        <v>15</v>
      </c>
      <c r="CR16" s="151">
        <f t="shared" si="28"/>
        <v>15</v>
      </c>
      <c r="CS16" s="151">
        <f t="shared" si="28"/>
        <v>15</v>
      </c>
      <c r="CT16" s="151">
        <f t="shared" si="28"/>
        <v>15</v>
      </c>
      <c r="CU16" s="151">
        <f t="shared" si="28"/>
        <v>15</v>
      </c>
      <c r="CV16" s="151">
        <f t="shared" si="28"/>
        <v>15</v>
      </c>
      <c r="CW16" s="151">
        <f t="shared" si="28"/>
        <v>15</v>
      </c>
      <c r="CX16" s="151">
        <f t="shared" si="28"/>
        <v>15</v>
      </c>
      <c r="CY16" s="151">
        <f t="shared" si="28"/>
        <v>15</v>
      </c>
      <c r="CZ16" s="151">
        <f t="shared" si="28"/>
        <v>15</v>
      </c>
      <c r="DA16" s="151">
        <f t="shared" si="28"/>
        <v>15</v>
      </c>
      <c r="DB16" s="151">
        <f t="shared" si="28"/>
        <v>15</v>
      </c>
      <c r="DC16" s="151">
        <f t="shared" si="28"/>
        <v>15</v>
      </c>
      <c r="DD16" s="151">
        <f t="shared" si="28"/>
        <v>15</v>
      </c>
      <c r="DE16" s="151">
        <f t="shared" si="28"/>
        <v>15</v>
      </c>
      <c r="DF16" s="151">
        <f t="shared" si="28"/>
        <v>15</v>
      </c>
      <c r="DG16" s="151">
        <f t="shared" si="28"/>
        <v>15</v>
      </c>
      <c r="DH16" s="151">
        <f t="shared" si="28"/>
        <v>15</v>
      </c>
      <c r="DI16" s="151">
        <f t="shared" si="28"/>
        <v>15</v>
      </c>
      <c r="DJ16" s="151">
        <f t="shared" si="28"/>
        <v>15</v>
      </c>
      <c r="DK16" s="151">
        <f t="shared" ref="DK16:EP16" si="29">DK3</f>
        <v>15</v>
      </c>
      <c r="DL16" s="151">
        <f t="shared" si="29"/>
        <v>15</v>
      </c>
      <c r="DM16" s="151">
        <f t="shared" si="29"/>
        <v>15</v>
      </c>
      <c r="DN16" s="151">
        <f t="shared" si="29"/>
        <v>15</v>
      </c>
      <c r="DO16" s="151">
        <f t="shared" si="29"/>
        <v>15</v>
      </c>
      <c r="DP16" s="151">
        <f t="shared" si="29"/>
        <v>15</v>
      </c>
      <c r="DQ16" s="151">
        <f t="shared" si="29"/>
        <v>15</v>
      </c>
      <c r="DR16" s="151">
        <f t="shared" si="29"/>
        <v>15</v>
      </c>
      <c r="DS16" s="151">
        <f t="shared" si="29"/>
        <v>15</v>
      </c>
      <c r="DT16" s="151">
        <f t="shared" si="29"/>
        <v>15</v>
      </c>
      <c r="DU16" s="151">
        <f t="shared" si="29"/>
        <v>15</v>
      </c>
      <c r="DV16" s="151">
        <f t="shared" si="29"/>
        <v>15</v>
      </c>
      <c r="DW16" s="151">
        <f t="shared" si="29"/>
        <v>15</v>
      </c>
      <c r="DX16" s="151">
        <f t="shared" si="29"/>
        <v>15</v>
      </c>
      <c r="DY16" s="151">
        <f t="shared" si="29"/>
        <v>15</v>
      </c>
      <c r="DZ16" s="151">
        <f t="shared" si="29"/>
        <v>15</v>
      </c>
      <c r="EA16" s="151">
        <f t="shared" si="29"/>
        <v>15</v>
      </c>
      <c r="EB16" s="151">
        <f t="shared" si="29"/>
        <v>15</v>
      </c>
      <c r="EC16" s="151">
        <f t="shared" si="29"/>
        <v>15</v>
      </c>
      <c r="ED16" s="151">
        <f t="shared" si="29"/>
        <v>15</v>
      </c>
      <c r="EE16" s="151">
        <f t="shared" si="29"/>
        <v>15</v>
      </c>
      <c r="EF16" s="151">
        <f t="shared" si="29"/>
        <v>15</v>
      </c>
      <c r="EG16" s="151">
        <f t="shared" si="29"/>
        <v>15</v>
      </c>
      <c r="EH16" s="151">
        <f t="shared" si="29"/>
        <v>15</v>
      </c>
      <c r="EI16" s="151">
        <f t="shared" si="29"/>
        <v>15</v>
      </c>
      <c r="EJ16" s="151">
        <f t="shared" si="29"/>
        <v>15</v>
      </c>
      <c r="EK16" s="151">
        <f t="shared" si="29"/>
        <v>15</v>
      </c>
      <c r="EL16" s="151">
        <f t="shared" si="29"/>
        <v>15</v>
      </c>
      <c r="EM16" s="151">
        <f t="shared" si="29"/>
        <v>15</v>
      </c>
      <c r="EN16" s="151">
        <f t="shared" si="29"/>
        <v>15</v>
      </c>
      <c r="EO16" s="151">
        <f t="shared" si="29"/>
        <v>15</v>
      </c>
      <c r="EP16" s="151">
        <f t="shared" si="29"/>
        <v>15</v>
      </c>
      <c r="EQ16" s="151">
        <f t="shared" ref="EQ16:FN16" si="30">EQ3</f>
        <v>15</v>
      </c>
      <c r="ER16" s="151">
        <f t="shared" si="30"/>
        <v>15</v>
      </c>
      <c r="ES16" s="151">
        <f t="shared" si="30"/>
        <v>15</v>
      </c>
      <c r="ET16" s="151">
        <f t="shared" si="30"/>
        <v>15</v>
      </c>
      <c r="EU16" s="151">
        <f t="shared" si="30"/>
        <v>15</v>
      </c>
      <c r="EV16" s="151">
        <f t="shared" si="30"/>
        <v>15</v>
      </c>
      <c r="EW16" s="151">
        <f t="shared" si="30"/>
        <v>15</v>
      </c>
      <c r="EX16" s="151">
        <f t="shared" si="30"/>
        <v>15</v>
      </c>
      <c r="EY16" s="151">
        <f t="shared" si="30"/>
        <v>15</v>
      </c>
      <c r="EZ16" s="151">
        <f t="shared" si="30"/>
        <v>15</v>
      </c>
      <c r="FA16" s="151">
        <f t="shared" si="30"/>
        <v>15</v>
      </c>
      <c r="FB16" s="151">
        <f t="shared" si="30"/>
        <v>15</v>
      </c>
      <c r="FC16" s="151">
        <f t="shared" si="30"/>
        <v>15</v>
      </c>
      <c r="FD16" s="151">
        <f t="shared" si="30"/>
        <v>15</v>
      </c>
      <c r="FE16" s="151">
        <f t="shared" si="30"/>
        <v>15</v>
      </c>
      <c r="FF16" s="151">
        <f t="shared" si="30"/>
        <v>15</v>
      </c>
      <c r="FG16" s="151">
        <f t="shared" si="30"/>
        <v>15</v>
      </c>
      <c r="FH16" s="151">
        <f t="shared" si="30"/>
        <v>15</v>
      </c>
      <c r="FI16" s="151">
        <f t="shared" si="30"/>
        <v>15</v>
      </c>
      <c r="FJ16" s="151">
        <f t="shared" si="30"/>
        <v>15</v>
      </c>
      <c r="FK16" s="151">
        <f t="shared" si="30"/>
        <v>15</v>
      </c>
      <c r="FL16" s="151">
        <f t="shared" si="30"/>
        <v>15</v>
      </c>
      <c r="FM16" s="151">
        <f t="shared" si="30"/>
        <v>15</v>
      </c>
      <c r="FN16" s="898">
        <f t="shared" si="30"/>
        <v>15</v>
      </c>
      <c r="FO16" s="144" t="s">
        <v>243</v>
      </c>
    </row>
    <row r="17" spans="1:171" x14ac:dyDescent="0.2">
      <c r="B17" s="781" t="s">
        <v>870</v>
      </c>
      <c r="C17" s="1030">
        <v>32</v>
      </c>
      <c r="D17" s="1307">
        <f t="shared" si="8"/>
        <v>0.13114754098360656</v>
      </c>
      <c r="E17" s="1030">
        <v>1099</v>
      </c>
      <c r="F17" s="895">
        <f>COUNTIFS(Rent_Roll[SqFt],'Unit Mix-Reno Schedule'!$E17,Rent_Roll[Unit
Status],'Unit Mix-Reno Schedule'!F$7)</f>
        <v>30</v>
      </c>
      <c r="G17" s="895">
        <f>COUNTIFS(Rent_Roll[SqFt],'Unit Mix-Reno Schedule'!$E17,Rent_Roll[Unit
Status],'Unit Mix-Reno Schedule'!G$7)</f>
        <v>2</v>
      </c>
      <c r="H17" s="151">
        <v>0</v>
      </c>
      <c r="I17" s="705">
        <f t="shared" si="11"/>
        <v>0.9375</v>
      </c>
      <c r="J17" s="225">
        <f t="shared" si="12"/>
        <v>6.25E-2</v>
      </c>
      <c r="K17" s="225">
        <v>0</v>
      </c>
      <c r="L17" s="896">
        <f>IFERROR(AVERAGEIF(Rent_Roll[SqFt],'Unit Mix-Reno Schedule'!$E17,Rent_Roll[Market
Rent]),0)</f>
        <v>1450</v>
      </c>
      <c r="M17" s="699">
        <f t="shared" si="13"/>
        <v>1.3193812556869882</v>
      </c>
      <c r="N17" s="897">
        <f>IFERROR(AVERAGEIFS(Rent_Roll[Total In-Place
Rent],Rent_Roll[SqFt],'Unit Mix-Reno Schedule'!$E17,Rent_Roll[Unit
Status],"Occupied"),0)</f>
        <v>1325.5</v>
      </c>
      <c r="O17" s="699">
        <f t="shared" si="14"/>
        <v>1.2060964513193813</v>
      </c>
      <c r="P17" s="897" cm="1">
        <f t="array" ref="P17">IFERROR(_xlfn.IFS(P$7=90,AVERAGEIFS(Rent_Roll[Total In-Place
Rent],Rent_Roll[SqFt],'Unit Mix-Reno Schedule'!$E17,Rent_Roll[Lease
Start],"&gt;="&amp;'Unit Mix-Reno Schedule'!$P$2),
'Unit Mix-Reno Schedule'!P$7=60,AVERAGEIFS(Rent_Roll[Total In-Place
Rent],Rent_Roll[SqFt],'Unit Mix-Reno Schedule'!$E17,Rent_Roll[Lease
Start],"&gt;="&amp;'Unit Mix-Reno Schedule'!$P$3),
'Unit Mix-Reno Schedule'!P$7=30,AVERAGEIFS(Rent_Roll[Total In-Place
Rent],Rent_Roll[SqFt],'Unit Mix-Reno Schedule'!$E17,Rent_Roll[Lease
Start],"&gt;="&amp;'Unit Mix-Reno Schedule'!$P$4)),"")</f>
        <v>1404</v>
      </c>
      <c r="Q17" s="898" cm="1">
        <f t="array" ref="Q17">_xlfn.IFS(P$7=90,COUNTIFS(Rent_Roll[SqFt],'Unit Mix-Reno Schedule'!$E17,Rent_Roll[Lease
Start],"&gt;="&amp;'Unit Mix-Reno Schedule'!$P$2),
'Unit Mix-Reno Schedule'!P$7=60,COUNTIFS(Rent_Roll[SqFt],'Unit Mix-Reno Schedule'!$E17,Rent_Roll[Lease
Start],"&gt;="&amp;'Unit Mix-Reno Schedule'!$P$3),
'Unit Mix-Reno Schedule'!P$7=30,COUNTIFS(Rent_Roll[SqFt],'Unit Mix-Reno Schedule'!$E17,Rent_Roll[Lease
Start],"&gt;="&amp;'Unit Mix-Reno Schedule'!$P$4))</f>
        <v>5</v>
      </c>
      <c r="S17" s="899">
        <v>1560</v>
      </c>
      <c r="T17" s="699">
        <f t="shared" si="15"/>
        <v>1.4194722474977253</v>
      </c>
      <c r="U17" s="900">
        <v>1670</v>
      </c>
      <c r="V17" s="901">
        <f t="shared" si="16"/>
        <v>1.5195632393084622</v>
      </c>
      <c r="X17" s="721" t="str">
        <f t="shared" si="17"/>
        <v>2x2-S</v>
      </c>
      <c r="Y17" s="151">
        <f>COUNTIFS(Rent_Roll[SqFt],'Unit Mix-Reno Schedule'!E17,Rent_Roll[Unit
Status],"vacant")+COUNTIFS(Rent_Roll[SqFt],'Unit Mix-Reno Schedule'!E17,Rent_Roll[Unit
Status],"admin/down")</f>
        <v>2</v>
      </c>
      <c r="Z17" s="844">
        <f>SUMIFS(Rent_Roll[Market
Rent],Rent_Roll[SqFt],'Unit Mix-Reno Schedule'!E17,Rent_Roll[Unit
Status],"vacant")+SUMIFS(Rent_Roll[Market
Rent],Rent_Roll[SqFt],'Unit Mix-Reno Schedule'!E17,Rent_Roll[Unit
Status],"admin/down")</f>
        <v>2880</v>
      </c>
      <c r="AK17" s="721" t="s">
        <v>320</v>
      </c>
      <c r="AL17" s="151">
        <f t="shared" ref="AL17:AT17" si="31">ROUND(AL16*AL14,0)</f>
        <v>15</v>
      </c>
      <c r="AM17" s="151">
        <f t="shared" si="31"/>
        <v>6</v>
      </c>
      <c r="AN17" s="151">
        <f t="shared" si="31"/>
        <v>6</v>
      </c>
      <c r="AO17" s="151">
        <f t="shared" si="31"/>
        <v>6</v>
      </c>
      <c r="AP17" s="151">
        <f t="shared" si="31"/>
        <v>6</v>
      </c>
      <c r="AQ17" s="151">
        <f t="shared" si="31"/>
        <v>6</v>
      </c>
      <c r="AR17" s="151">
        <f>ROUND(AR16*AR14,0)</f>
        <v>6</v>
      </c>
      <c r="AS17" s="151">
        <f t="shared" si="31"/>
        <v>6</v>
      </c>
      <c r="AT17" s="151">
        <f t="shared" si="31"/>
        <v>6</v>
      </c>
      <c r="AU17" s="151">
        <f t="shared" ref="AU17:BZ17" si="32">ROUND(AU16*AU14,0)</f>
        <v>6</v>
      </c>
      <c r="AV17" s="151">
        <f t="shared" si="32"/>
        <v>6</v>
      </c>
      <c r="AW17" s="151">
        <f t="shared" si="32"/>
        <v>6</v>
      </c>
      <c r="AX17" s="151">
        <f t="shared" si="32"/>
        <v>6</v>
      </c>
      <c r="AY17" s="151">
        <f t="shared" si="32"/>
        <v>5</v>
      </c>
      <c r="AZ17" s="151">
        <f t="shared" si="32"/>
        <v>5</v>
      </c>
      <c r="BA17" s="151">
        <f t="shared" si="32"/>
        <v>5</v>
      </c>
      <c r="BB17" s="151">
        <f t="shared" si="32"/>
        <v>5</v>
      </c>
      <c r="BC17" s="151">
        <f t="shared" si="32"/>
        <v>5</v>
      </c>
      <c r="BD17" s="151">
        <f t="shared" si="32"/>
        <v>5</v>
      </c>
      <c r="BE17" s="151">
        <f t="shared" si="32"/>
        <v>5</v>
      </c>
      <c r="BF17" s="151">
        <f t="shared" si="32"/>
        <v>5</v>
      </c>
      <c r="BG17" s="151">
        <f t="shared" si="32"/>
        <v>5</v>
      </c>
      <c r="BH17" s="151">
        <f t="shared" si="32"/>
        <v>5</v>
      </c>
      <c r="BI17" s="151">
        <f t="shared" si="32"/>
        <v>5</v>
      </c>
      <c r="BJ17" s="151">
        <f t="shared" si="32"/>
        <v>5</v>
      </c>
      <c r="BK17" s="151">
        <f t="shared" si="32"/>
        <v>6</v>
      </c>
      <c r="BL17" s="151">
        <f t="shared" si="32"/>
        <v>6</v>
      </c>
      <c r="BM17" s="151">
        <f t="shared" si="32"/>
        <v>6</v>
      </c>
      <c r="BN17" s="151">
        <f t="shared" si="32"/>
        <v>6</v>
      </c>
      <c r="BO17" s="151">
        <f t="shared" si="32"/>
        <v>6</v>
      </c>
      <c r="BP17" s="151">
        <f t="shared" si="32"/>
        <v>6</v>
      </c>
      <c r="BQ17" s="151">
        <f t="shared" si="32"/>
        <v>6</v>
      </c>
      <c r="BR17" s="151">
        <f t="shared" si="32"/>
        <v>6</v>
      </c>
      <c r="BS17" s="151">
        <f t="shared" si="32"/>
        <v>6</v>
      </c>
      <c r="BT17" s="151">
        <f t="shared" si="32"/>
        <v>6</v>
      </c>
      <c r="BU17" s="151">
        <f t="shared" si="32"/>
        <v>6</v>
      </c>
      <c r="BV17" s="151">
        <f t="shared" si="32"/>
        <v>6</v>
      </c>
      <c r="BW17" s="151">
        <f t="shared" si="32"/>
        <v>6</v>
      </c>
      <c r="BX17" s="151">
        <f t="shared" si="32"/>
        <v>6</v>
      </c>
      <c r="BY17" s="151">
        <f t="shared" si="32"/>
        <v>6</v>
      </c>
      <c r="BZ17" s="151">
        <f t="shared" si="32"/>
        <v>6</v>
      </c>
      <c r="CA17" s="151">
        <f t="shared" ref="CA17:DF17" si="33">ROUND(CA16*CA14,0)</f>
        <v>6</v>
      </c>
      <c r="CB17" s="151">
        <f t="shared" si="33"/>
        <v>6</v>
      </c>
      <c r="CC17" s="151">
        <f t="shared" si="33"/>
        <v>6</v>
      </c>
      <c r="CD17" s="151">
        <f t="shared" si="33"/>
        <v>6</v>
      </c>
      <c r="CE17" s="151">
        <f t="shared" si="33"/>
        <v>6</v>
      </c>
      <c r="CF17" s="151">
        <f t="shared" si="33"/>
        <v>6</v>
      </c>
      <c r="CG17" s="151">
        <f t="shared" si="33"/>
        <v>6</v>
      </c>
      <c r="CH17" s="151">
        <f t="shared" si="33"/>
        <v>6</v>
      </c>
      <c r="CI17" s="151">
        <f t="shared" si="33"/>
        <v>6</v>
      </c>
      <c r="CJ17" s="151">
        <f t="shared" si="33"/>
        <v>6</v>
      </c>
      <c r="CK17" s="151">
        <f t="shared" si="33"/>
        <v>6</v>
      </c>
      <c r="CL17" s="151">
        <f t="shared" si="33"/>
        <v>6</v>
      </c>
      <c r="CM17" s="151">
        <f t="shared" si="33"/>
        <v>6</v>
      </c>
      <c r="CN17" s="151">
        <f t="shared" si="33"/>
        <v>6</v>
      </c>
      <c r="CO17" s="151">
        <f t="shared" si="33"/>
        <v>6</v>
      </c>
      <c r="CP17" s="151">
        <f t="shared" si="33"/>
        <v>6</v>
      </c>
      <c r="CQ17" s="151">
        <f t="shared" si="33"/>
        <v>6</v>
      </c>
      <c r="CR17" s="151">
        <f t="shared" si="33"/>
        <v>6</v>
      </c>
      <c r="CS17" s="151">
        <f t="shared" si="33"/>
        <v>6</v>
      </c>
      <c r="CT17" s="151">
        <f t="shared" si="33"/>
        <v>6</v>
      </c>
      <c r="CU17" s="151">
        <f t="shared" si="33"/>
        <v>6</v>
      </c>
      <c r="CV17" s="151">
        <f t="shared" si="33"/>
        <v>6</v>
      </c>
      <c r="CW17" s="151">
        <f t="shared" si="33"/>
        <v>6</v>
      </c>
      <c r="CX17" s="151">
        <f t="shared" si="33"/>
        <v>6</v>
      </c>
      <c r="CY17" s="151">
        <f t="shared" si="33"/>
        <v>6</v>
      </c>
      <c r="CZ17" s="151">
        <f t="shared" si="33"/>
        <v>6</v>
      </c>
      <c r="DA17" s="151">
        <f t="shared" si="33"/>
        <v>6</v>
      </c>
      <c r="DB17" s="151">
        <f t="shared" si="33"/>
        <v>6</v>
      </c>
      <c r="DC17" s="151">
        <f t="shared" si="33"/>
        <v>6</v>
      </c>
      <c r="DD17" s="151">
        <f t="shared" si="33"/>
        <v>6</v>
      </c>
      <c r="DE17" s="151">
        <f t="shared" si="33"/>
        <v>6</v>
      </c>
      <c r="DF17" s="151">
        <f t="shared" si="33"/>
        <v>6</v>
      </c>
      <c r="DG17" s="151">
        <f t="shared" ref="DG17:EL17" si="34">ROUND(DG16*DG14,0)</f>
        <v>6</v>
      </c>
      <c r="DH17" s="151">
        <f t="shared" si="34"/>
        <v>6</v>
      </c>
      <c r="DI17" s="151">
        <f t="shared" si="34"/>
        <v>6</v>
      </c>
      <c r="DJ17" s="151">
        <f t="shared" si="34"/>
        <v>6</v>
      </c>
      <c r="DK17" s="151">
        <f t="shared" si="34"/>
        <v>6</v>
      </c>
      <c r="DL17" s="151">
        <f t="shared" si="34"/>
        <v>6</v>
      </c>
      <c r="DM17" s="151">
        <f t="shared" si="34"/>
        <v>6</v>
      </c>
      <c r="DN17" s="151">
        <f t="shared" si="34"/>
        <v>6</v>
      </c>
      <c r="DO17" s="151">
        <f t="shared" si="34"/>
        <v>6</v>
      </c>
      <c r="DP17" s="151">
        <f t="shared" si="34"/>
        <v>6</v>
      </c>
      <c r="DQ17" s="151">
        <f t="shared" si="34"/>
        <v>6</v>
      </c>
      <c r="DR17" s="151">
        <f t="shared" si="34"/>
        <v>6</v>
      </c>
      <c r="DS17" s="151">
        <f t="shared" si="34"/>
        <v>6</v>
      </c>
      <c r="DT17" s="151">
        <f t="shared" si="34"/>
        <v>6</v>
      </c>
      <c r="DU17" s="151">
        <f t="shared" si="34"/>
        <v>6</v>
      </c>
      <c r="DV17" s="151">
        <f t="shared" si="34"/>
        <v>6</v>
      </c>
      <c r="DW17" s="151">
        <f t="shared" si="34"/>
        <v>6</v>
      </c>
      <c r="DX17" s="151">
        <f t="shared" si="34"/>
        <v>6</v>
      </c>
      <c r="DY17" s="151">
        <f t="shared" si="34"/>
        <v>6</v>
      </c>
      <c r="DZ17" s="151">
        <f t="shared" si="34"/>
        <v>6</v>
      </c>
      <c r="EA17" s="151">
        <f t="shared" si="34"/>
        <v>6</v>
      </c>
      <c r="EB17" s="151">
        <f t="shared" si="34"/>
        <v>6</v>
      </c>
      <c r="EC17" s="151">
        <f t="shared" si="34"/>
        <v>6</v>
      </c>
      <c r="ED17" s="151">
        <f t="shared" si="34"/>
        <v>6</v>
      </c>
      <c r="EE17" s="151">
        <f t="shared" si="34"/>
        <v>6</v>
      </c>
      <c r="EF17" s="151">
        <f t="shared" si="34"/>
        <v>6</v>
      </c>
      <c r="EG17" s="151">
        <f t="shared" si="34"/>
        <v>6</v>
      </c>
      <c r="EH17" s="151">
        <f t="shared" si="34"/>
        <v>6</v>
      </c>
      <c r="EI17" s="151">
        <f t="shared" si="34"/>
        <v>6</v>
      </c>
      <c r="EJ17" s="151">
        <f t="shared" si="34"/>
        <v>6</v>
      </c>
      <c r="EK17" s="151">
        <f t="shared" si="34"/>
        <v>6</v>
      </c>
      <c r="EL17" s="151">
        <f t="shared" si="34"/>
        <v>6</v>
      </c>
      <c r="EM17" s="151">
        <f t="shared" ref="EM17:FN17" si="35">ROUND(EM16*EM14,0)</f>
        <v>6</v>
      </c>
      <c r="EN17" s="151">
        <f t="shared" si="35"/>
        <v>6</v>
      </c>
      <c r="EO17" s="151">
        <f t="shared" si="35"/>
        <v>6</v>
      </c>
      <c r="EP17" s="151">
        <f t="shared" si="35"/>
        <v>6</v>
      </c>
      <c r="EQ17" s="151">
        <f t="shared" si="35"/>
        <v>6</v>
      </c>
      <c r="ER17" s="151">
        <f t="shared" si="35"/>
        <v>6</v>
      </c>
      <c r="ES17" s="151">
        <f t="shared" si="35"/>
        <v>6</v>
      </c>
      <c r="ET17" s="151">
        <f t="shared" si="35"/>
        <v>6</v>
      </c>
      <c r="EU17" s="151">
        <f t="shared" si="35"/>
        <v>6</v>
      </c>
      <c r="EV17" s="151">
        <f t="shared" si="35"/>
        <v>6</v>
      </c>
      <c r="EW17" s="151">
        <f t="shared" si="35"/>
        <v>6</v>
      </c>
      <c r="EX17" s="151">
        <f t="shared" si="35"/>
        <v>6</v>
      </c>
      <c r="EY17" s="151">
        <f t="shared" si="35"/>
        <v>6</v>
      </c>
      <c r="EZ17" s="151">
        <f t="shared" si="35"/>
        <v>6</v>
      </c>
      <c r="FA17" s="151">
        <f t="shared" si="35"/>
        <v>6</v>
      </c>
      <c r="FB17" s="151">
        <f t="shared" si="35"/>
        <v>6</v>
      </c>
      <c r="FC17" s="151">
        <f t="shared" si="35"/>
        <v>6</v>
      </c>
      <c r="FD17" s="151">
        <f t="shared" si="35"/>
        <v>6</v>
      </c>
      <c r="FE17" s="151">
        <f t="shared" si="35"/>
        <v>6</v>
      </c>
      <c r="FF17" s="151">
        <f t="shared" si="35"/>
        <v>6</v>
      </c>
      <c r="FG17" s="151">
        <f t="shared" si="35"/>
        <v>6</v>
      </c>
      <c r="FH17" s="151">
        <f t="shared" si="35"/>
        <v>6</v>
      </c>
      <c r="FI17" s="151">
        <f t="shared" si="35"/>
        <v>6</v>
      </c>
      <c r="FJ17" s="151">
        <f t="shared" si="35"/>
        <v>6</v>
      </c>
      <c r="FK17" s="151">
        <f t="shared" si="35"/>
        <v>6</v>
      </c>
      <c r="FL17" s="151">
        <f t="shared" si="35"/>
        <v>6</v>
      </c>
      <c r="FM17" s="151">
        <f t="shared" si="35"/>
        <v>6</v>
      </c>
      <c r="FN17" s="898">
        <f t="shared" si="35"/>
        <v>6</v>
      </c>
      <c r="FO17" s="144" t="s">
        <v>243</v>
      </c>
    </row>
    <row r="18" spans="1:171" ht="15" thickBot="1" x14ac:dyDescent="0.25">
      <c r="B18" s="781" t="s">
        <v>867</v>
      </c>
      <c r="C18" s="1030">
        <v>20</v>
      </c>
      <c r="D18" s="1307">
        <f t="shared" si="8"/>
        <v>8.1967213114754092E-2</v>
      </c>
      <c r="E18" s="1030">
        <v>1277</v>
      </c>
      <c r="F18" s="895">
        <f>COUNTIFS(Rent_Roll[SqFt],'Unit Mix-Reno Schedule'!$E18,Rent_Roll[Unit
Status],'Unit Mix-Reno Schedule'!F$7)</f>
        <v>20</v>
      </c>
      <c r="G18" s="895">
        <f>COUNTIFS(Rent_Roll[SqFt],'Unit Mix-Reno Schedule'!$E18,Rent_Roll[Unit
Status],'Unit Mix-Reno Schedule'!G$7)</f>
        <v>0</v>
      </c>
      <c r="H18" s="151">
        <v>0</v>
      </c>
      <c r="I18" s="705">
        <f t="shared" si="11"/>
        <v>1</v>
      </c>
      <c r="J18" s="225">
        <f t="shared" si="12"/>
        <v>0</v>
      </c>
      <c r="K18" s="225">
        <v>0</v>
      </c>
      <c r="L18" s="896">
        <f>IFERROR(AVERAGEIF(Rent_Roll[SqFt],'Unit Mix-Reno Schedule'!$E18,Rent_Roll[Market
Rent]),0)</f>
        <v>1533</v>
      </c>
      <c r="M18" s="699">
        <f t="shared" si="13"/>
        <v>1.2004698512137824</v>
      </c>
      <c r="N18" s="897">
        <f>IFERROR(AVERAGEIFS(Rent_Roll[Total In-Place
Rent],Rent_Roll[SqFt],'Unit Mix-Reno Schedule'!$E18,Rent_Roll[Unit
Status],"Occupied"),0)</f>
        <v>1432.25</v>
      </c>
      <c r="O18" s="699">
        <f t="shared" si="14"/>
        <v>1.1215740015661708</v>
      </c>
      <c r="P18" s="897" cm="1">
        <f t="array" ref="P18">IFERROR(_xlfn.IFS(P$7=90,AVERAGEIFS(Rent_Roll[Total In-Place
Rent],Rent_Roll[SqFt],'Unit Mix-Reno Schedule'!$E18,Rent_Roll[Lease
Start],"&gt;="&amp;'Unit Mix-Reno Schedule'!$P$2),
'Unit Mix-Reno Schedule'!P$7=60,AVERAGEIFS(Rent_Roll[Total In-Place
Rent],Rent_Roll[SqFt],'Unit Mix-Reno Schedule'!$E18,Rent_Roll[Lease
Start],"&gt;="&amp;'Unit Mix-Reno Schedule'!$P$3),
'Unit Mix-Reno Schedule'!P$7=30,AVERAGEIFS(Rent_Roll[Total In-Place
Rent],Rent_Roll[SqFt],'Unit Mix-Reno Schedule'!$E18,Rent_Roll[Lease
Start],"&gt;="&amp;'Unit Mix-Reno Schedule'!$P$4)),"")</f>
        <v>1508.3333333333333</v>
      </c>
      <c r="Q18" s="898" cm="1">
        <f t="array" ref="Q18">_xlfn.IFS(P$7=90,COUNTIFS(Rent_Roll[SqFt],'Unit Mix-Reno Schedule'!$E18,Rent_Roll[Lease
Start],"&gt;="&amp;'Unit Mix-Reno Schedule'!$P$2),
'Unit Mix-Reno Schedule'!P$7=60,COUNTIFS(Rent_Roll[SqFt],'Unit Mix-Reno Schedule'!$E18,Rent_Roll[Lease
Start],"&gt;="&amp;'Unit Mix-Reno Schedule'!$P$3),
'Unit Mix-Reno Schedule'!P$7=30,COUNTIFS(Rent_Roll[SqFt],'Unit Mix-Reno Schedule'!$E18,Rent_Roll[Lease
Start],"&gt;="&amp;'Unit Mix-Reno Schedule'!$P$4))</f>
        <v>3</v>
      </c>
      <c r="S18" s="899">
        <v>1700</v>
      </c>
      <c r="T18" s="699">
        <f t="shared" si="15"/>
        <v>1.3312451057165231</v>
      </c>
      <c r="U18" s="900">
        <v>1755</v>
      </c>
      <c r="V18" s="901">
        <f t="shared" si="16"/>
        <v>1.3743148003132342</v>
      </c>
      <c r="X18" s="721" t="str">
        <f t="shared" si="17"/>
        <v>3x2</v>
      </c>
      <c r="Y18" s="151">
        <f>COUNTIFS(Rent_Roll[SqFt],'Unit Mix-Reno Schedule'!E18,Rent_Roll[Unit
Status],"vacant")+COUNTIFS(Rent_Roll[SqFt],'Unit Mix-Reno Schedule'!E18,Rent_Roll[Unit
Status],"admin/down")</f>
        <v>0</v>
      </c>
      <c r="Z18" s="844">
        <f>SUMIFS(Rent_Roll[Market
Rent],Rent_Roll[SqFt],'Unit Mix-Reno Schedule'!E18,Rent_Roll[Unit
Status],"vacant")+SUMIFS(Rent_Roll[Market
Rent],Rent_Roll[SqFt],'Unit Mix-Reno Schedule'!E18,Rent_Roll[Unit
Status],"admin/down")</f>
        <v>0</v>
      </c>
      <c r="AK18" s="757" t="s">
        <v>321</v>
      </c>
      <c r="AL18" s="907">
        <f t="shared" ref="AL18:BQ18" si="36">AL16-AL17</f>
        <v>0</v>
      </c>
      <c r="AM18" s="907">
        <f>AM16-AM17</f>
        <v>9</v>
      </c>
      <c r="AN18" s="907">
        <f t="shared" si="36"/>
        <v>9</v>
      </c>
      <c r="AO18" s="907">
        <f t="shared" si="36"/>
        <v>9</v>
      </c>
      <c r="AP18" s="907">
        <f t="shared" si="36"/>
        <v>9</v>
      </c>
      <c r="AQ18" s="907">
        <f t="shared" si="36"/>
        <v>9</v>
      </c>
      <c r="AR18" s="907">
        <f>AR16-AR17</f>
        <v>9</v>
      </c>
      <c r="AS18" s="907">
        <f t="shared" si="36"/>
        <v>9</v>
      </c>
      <c r="AT18" s="907">
        <f t="shared" si="36"/>
        <v>9</v>
      </c>
      <c r="AU18" s="907">
        <f t="shared" si="36"/>
        <v>9</v>
      </c>
      <c r="AV18" s="907">
        <f t="shared" si="36"/>
        <v>9</v>
      </c>
      <c r="AW18" s="907">
        <f t="shared" si="36"/>
        <v>9</v>
      </c>
      <c r="AX18" s="907">
        <f t="shared" si="36"/>
        <v>9</v>
      </c>
      <c r="AY18" s="907">
        <f t="shared" si="36"/>
        <v>10</v>
      </c>
      <c r="AZ18" s="907">
        <f t="shared" si="36"/>
        <v>10</v>
      </c>
      <c r="BA18" s="907">
        <f t="shared" si="36"/>
        <v>10</v>
      </c>
      <c r="BB18" s="907">
        <f t="shared" si="36"/>
        <v>10</v>
      </c>
      <c r="BC18" s="907">
        <f t="shared" si="36"/>
        <v>10</v>
      </c>
      <c r="BD18" s="907">
        <f t="shared" si="36"/>
        <v>10</v>
      </c>
      <c r="BE18" s="907">
        <f t="shared" si="36"/>
        <v>10</v>
      </c>
      <c r="BF18" s="907">
        <f t="shared" si="36"/>
        <v>10</v>
      </c>
      <c r="BG18" s="907">
        <f t="shared" si="36"/>
        <v>10</v>
      </c>
      <c r="BH18" s="907">
        <f t="shared" si="36"/>
        <v>10</v>
      </c>
      <c r="BI18" s="907">
        <f t="shared" si="36"/>
        <v>10</v>
      </c>
      <c r="BJ18" s="907">
        <f t="shared" si="36"/>
        <v>10</v>
      </c>
      <c r="BK18" s="907">
        <f t="shared" si="36"/>
        <v>9</v>
      </c>
      <c r="BL18" s="907">
        <f t="shared" si="36"/>
        <v>9</v>
      </c>
      <c r="BM18" s="907">
        <f t="shared" si="36"/>
        <v>9</v>
      </c>
      <c r="BN18" s="907">
        <f t="shared" si="36"/>
        <v>9</v>
      </c>
      <c r="BO18" s="907">
        <f t="shared" si="36"/>
        <v>9</v>
      </c>
      <c r="BP18" s="907">
        <f t="shared" si="36"/>
        <v>9</v>
      </c>
      <c r="BQ18" s="907">
        <f t="shared" si="36"/>
        <v>9</v>
      </c>
      <c r="BR18" s="907">
        <f t="shared" ref="BR18:CW18" si="37">BR16-BR17</f>
        <v>9</v>
      </c>
      <c r="BS18" s="907">
        <f t="shared" si="37"/>
        <v>9</v>
      </c>
      <c r="BT18" s="907">
        <f t="shared" si="37"/>
        <v>9</v>
      </c>
      <c r="BU18" s="907">
        <f t="shared" si="37"/>
        <v>9</v>
      </c>
      <c r="BV18" s="907">
        <f t="shared" si="37"/>
        <v>9</v>
      </c>
      <c r="BW18" s="907">
        <f t="shared" si="37"/>
        <v>9</v>
      </c>
      <c r="BX18" s="907">
        <f t="shared" si="37"/>
        <v>9</v>
      </c>
      <c r="BY18" s="907">
        <f t="shared" si="37"/>
        <v>9</v>
      </c>
      <c r="BZ18" s="907">
        <f t="shared" si="37"/>
        <v>9</v>
      </c>
      <c r="CA18" s="907">
        <f t="shared" si="37"/>
        <v>9</v>
      </c>
      <c r="CB18" s="907">
        <f t="shared" si="37"/>
        <v>9</v>
      </c>
      <c r="CC18" s="907">
        <f t="shared" si="37"/>
        <v>9</v>
      </c>
      <c r="CD18" s="907">
        <f t="shared" si="37"/>
        <v>9</v>
      </c>
      <c r="CE18" s="907">
        <f t="shared" si="37"/>
        <v>9</v>
      </c>
      <c r="CF18" s="907">
        <f t="shared" si="37"/>
        <v>9</v>
      </c>
      <c r="CG18" s="907">
        <f t="shared" si="37"/>
        <v>9</v>
      </c>
      <c r="CH18" s="907">
        <f t="shared" si="37"/>
        <v>9</v>
      </c>
      <c r="CI18" s="907">
        <f t="shared" si="37"/>
        <v>9</v>
      </c>
      <c r="CJ18" s="907">
        <f t="shared" si="37"/>
        <v>9</v>
      </c>
      <c r="CK18" s="907">
        <f t="shared" si="37"/>
        <v>9</v>
      </c>
      <c r="CL18" s="907">
        <f t="shared" si="37"/>
        <v>9</v>
      </c>
      <c r="CM18" s="907">
        <f t="shared" si="37"/>
        <v>9</v>
      </c>
      <c r="CN18" s="907">
        <f t="shared" si="37"/>
        <v>9</v>
      </c>
      <c r="CO18" s="907">
        <f t="shared" si="37"/>
        <v>9</v>
      </c>
      <c r="CP18" s="907">
        <f t="shared" si="37"/>
        <v>9</v>
      </c>
      <c r="CQ18" s="907">
        <f t="shared" si="37"/>
        <v>9</v>
      </c>
      <c r="CR18" s="907">
        <f t="shared" si="37"/>
        <v>9</v>
      </c>
      <c r="CS18" s="907">
        <f t="shared" si="37"/>
        <v>9</v>
      </c>
      <c r="CT18" s="907">
        <f t="shared" si="37"/>
        <v>9</v>
      </c>
      <c r="CU18" s="907">
        <f t="shared" si="37"/>
        <v>9</v>
      </c>
      <c r="CV18" s="907">
        <f t="shared" si="37"/>
        <v>9</v>
      </c>
      <c r="CW18" s="907">
        <f t="shared" si="37"/>
        <v>9</v>
      </c>
      <c r="CX18" s="907">
        <f t="shared" ref="CX18:EC18" si="38">CX16-CX17</f>
        <v>9</v>
      </c>
      <c r="CY18" s="907">
        <f t="shared" si="38"/>
        <v>9</v>
      </c>
      <c r="CZ18" s="907">
        <f t="shared" si="38"/>
        <v>9</v>
      </c>
      <c r="DA18" s="907">
        <f t="shared" si="38"/>
        <v>9</v>
      </c>
      <c r="DB18" s="907">
        <f t="shared" si="38"/>
        <v>9</v>
      </c>
      <c r="DC18" s="907">
        <f t="shared" si="38"/>
        <v>9</v>
      </c>
      <c r="DD18" s="907">
        <f t="shared" si="38"/>
        <v>9</v>
      </c>
      <c r="DE18" s="907">
        <f t="shared" si="38"/>
        <v>9</v>
      </c>
      <c r="DF18" s="907">
        <f t="shared" si="38"/>
        <v>9</v>
      </c>
      <c r="DG18" s="907">
        <f t="shared" si="38"/>
        <v>9</v>
      </c>
      <c r="DH18" s="907">
        <f t="shared" si="38"/>
        <v>9</v>
      </c>
      <c r="DI18" s="907">
        <f t="shared" si="38"/>
        <v>9</v>
      </c>
      <c r="DJ18" s="907">
        <f t="shared" si="38"/>
        <v>9</v>
      </c>
      <c r="DK18" s="907">
        <f t="shared" si="38"/>
        <v>9</v>
      </c>
      <c r="DL18" s="907">
        <f t="shared" si="38"/>
        <v>9</v>
      </c>
      <c r="DM18" s="907">
        <f t="shared" si="38"/>
        <v>9</v>
      </c>
      <c r="DN18" s="907">
        <f t="shared" si="38"/>
        <v>9</v>
      </c>
      <c r="DO18" s="907">
        <f t="shared" si="38"/>
        <v>9</v>
      </c>
      <c r="DP18" s="907">
        <f t="shared" si="38"/>
        <v>9</v>
      </c>
      <c r="DQ18" s="907">
        <f t="shared" si="38"/>
        <v>9</v>
      </c>
      <c r="DR18" s="907">
        <f t="shared" si="38"/>
        <v>9</v>
      </c>
      <c r="DS18" s="907">
        <f t="shared" si="38"/>
        <v>9</v>
      </c>
      <c r="DT18" s="907">
        <f t="shared" si="38"/>
        <v>9</v>
      </c>
      <c r="DU18" s="907">
        <f t="shared" si="38"/>
        <v>9</v>
      </c>
      <c r="DV18" s="907">
        <f t="shared" si="38"/>
        <v>9</v>
      </c>
      <c r="DW18" s="907">
        <f t="shared" si="38"/>
        <v>9</v>
      </c>
      <c r="DX18" s="907">
        <f t="shared" si="38"/>
        <v>9</v>
      </c>
      <c r="DY18" s="907">
        <f t="shared" si="38"/>
        <v>9</v>
      </c>
      <c r="DZ18" s="907">
        <f t="shared" si="38"/>
        <v>9</v>
      </c>
      <c r="EA18" s="907">
        <f t="shared" si="38"/>
        <v>9</v>
      </c>
      <c r="EB18" s="907">
        <f t="shared" si="38"/>
        <v>9</v>
      </c>
      <c r="EC18" s="907">
        <f t="shared" si="38"/>
        <v>9</v>
      </c>
      <c r="ED18" s="907">
        <f t="shared" ref="ED18:FI18" si="39">ED16-ED17</f>
        <v>9</v>
      </c>
      <c r="EE18" s="907">
        <f t="shared" si="39"/>
        <v>9</v>
      </c>
      <c r="EF18" s="907">
        <f t="shared" si="39"/>
        <v>9</v>
      </c>
      <c r="EG18" s="907">
        <f t="shared" si="39"/>
        <v>9</v>
      </c>
      <c r="EH18" s="907">
        <f t="shared" si="39"/>
        <v>9</v>
      </c>
      <c r="EI18" s="907">
        <f t="shared" si="39"/>
        <v>9</v>
      </c>
      <c r="EJ18" s="907">
        <f t="shared" si="39"/>
        <v>9</v>
      </c>
      <c r="EK18" s="907">
        <f t="shared" si="39"/>
        <v>9</v>
      </c>
      <c r="EL18" s="907">
        <f t="shared" si="39"/>
        <v>9</v>
      </c>
      <c r="EM18" s="907">
        <f t="shared" si="39"/>
        <v>9</v>
      </c>
      <c r="EN18" s="907">
        <f t="shared" si="39"/>
        <v>9</v>
      </c>
      <c r="EO18" s="907">
        <f t="shared" si="39"/>
        <v>9</v>
      </c>
      <c r="EP18" s="907">
        <f t="shared" si="39"/>
        <v>9</v>
      </c>
      <c r="EQ18" s="907">
        <f t="shared" si="39"/>
        <v>9</v>
      </c>
      <c r="ER18" s="907">
        <f t="shared" si="39"/>
        <v>9</v>
      </c>
      <c r="ES18" s="907">
        <f t="shared" si="39"/>
        <v>9</v>
      </c>
      <c r="ET18" s="907">
        <f t="shared" si="39"/>
        <v>9</v>
      </c>
      <c r="EU18" s="907">
        <f t="shared" si="39"/>
        <v>9</v>
      </c>
      <c r="EV18" s="907">
        <f t="shared" si="39"/>
        <v>9</v>
      </c>
      <c r="EW18" s="907">
        <f t="shared" si="39"/>
        <v>9</v>
      </c>
      <c r="EX18" s="907">
        <f t="shared" si="39"/>
        <v>9</v>
      </c>
      <c r="EY18" s="907">
        <f t="shared" si="39"/>
        <v>9</v>
      </c>
      <c r="EZ18" s="907">
        <f t="shared" si="39"/>
        <v>9</v>
      </c>
      <c r="FA18" s="907">
        <f t="shared" si="39"/>
        <v>9</v>
      </c>
      <c r="FB18" s="907">
        <f t="shared" si="39"/>
        <v>9</v>
      </c>
      <c r="FC18" s="907">
        <f t="shared" si="39"/>
        <v>9</v>
      </c>
      <c r="FD18" s="907">
        <f t="shared" si="39"/>
        <v>9</v>
      </c>
      <c r="FE18" s="907">
        <f t="shared" si="39"/>
        <v>9</v>
      </c>
      <c r="FF18" s="907">
        <f t="shared" si="39"/>
        <v>9</v>
      </c>
      <c r="FG18" s="907">
        <f t="shared" si="39"/>
        <v>9</v>
      </c>
      <c r="FH18" s="907">
        <f t="shared" si="39"/>
        <v>9</v>
      </c>
      <c r="FI18" s="907">
        <f t="shared" si="39"/>
        <v>9</v>
      </c>
      <c r="FJ18" s="907">
        <f t="shared" ref="FJ18:FN18" si="40">FJ16-FJ17</f>
        <v>9</v>
      </c>
      <c r="FK18" s="907">
        <f t="shared" si="40"/>
        <v>9</v>
      </c>
      <c r="FL18" s="907">
        <f t="shared" si="40"/>
        <v>9</v>
      </c>
      <c r="FM18" s="907">
        <f t="shared" si="40"/>
        <v>9</v>
      </c>
      <c r="FN18" s="908">
        <f t="shared" si="40"/>
        <v>9</v>
      </c>
      <c r="FO18" s="144" t="s">
        <v>243</v>
      </c>
    </row>
    <row r="19" spans="1:171" x14ac:dyDescent="0.2">
      <c r="B19" s="781" t="s">
        <v>872</v>
      </c>
      <c r="C19" s="1030">
        <v>8</v>
      </c>
      <c r="D19" s="1307">
        <f t="shared" si="8"/>
        <v>3.2786885245901641E-2</v>
      </c>
      <c r="E19" s="1030">
        <v>1386</v>
      </c>
      <c r="F19" s="895">
        <f>COUNTIFS(Rent_Roll[SqFt],'Unit Mix-Reno Schedule'!$E19,Rent_Roll[Unit
Status],'Unit Mix-Reno Schedule'!F$7)</f>
        <v>8</v>
      </c>
      <c r="G19" s="895">
        <f>COUNTIFS(Rent_Roll[SqFt],'Unit Mix-Reno Schedule'!$E19,Rent_Roll[Unit
Status],'Unit Mix-Reno Schedule'!G$7)</f>
        <v>0</v>
      </c>
      <c r="H19" s="151">
        <v>0</v>
      </c>
      <c r="I19" s="705">
        <f t="shared" si="11"/>
        <v>1</v>
      </c>
      <c r="J19" s="225">
        <f t="shared" si="12"/>
        <v>0</v>
      </c>
      <c r="K19" s="225">
        <v>0</v>
      </c>
      <c r="L19" s="896">
        <f>IFERROR(AVERAGEIF(Rent_Roll[SqFt],'Unit Mix-Reno Schedule'!$E19,Rent_Roll[Market
Rent]),0)</f>
        <v>1555</v>
      </c>
      <c r="M19" s="699">
        <f t="shared" si="13"/>
        <v>1.121933621933622</v>
      </c>
      <c r="N19" s="897">
        <f>IFERROR(AVERAGEIFS(Rent_Roll[Total In-Place
Rent],Rent_Roll[SqFt],'Unit Mix-Reno Schedule'!$E19,Rent_Roll[Unit
Status],"Occupied"),0)</f>
        <v>1513.125</v>
      </c>
      <c r="O19" s="699">
        <f t="shared" si="14"/>
        <v>1.0917207792207793</v>
      </c>
      <c r="P19" s="897" cm="1">
        <f t="array" ref="P19">IFERROR(_xlfn.IFS(P$7=90,AVERAGEIFS(Rent_Roll[Total In-Place
Rent],Rent_Roll[SqFt],'Unit Mix-Reno Schedule'!$E19,Rent_Roll[Lease
Start],"&gt;="&amp;'Unit Mix-Reno Schedule'!$P$2),
'Unit Mix-Reno Schedule'!P$7=60,AVERAGEIFS(Rent_Roll[Total In-Place
Rent],Rent_Roll[SqFt],'Unit Mix-Reno Schedule'!$E19,Rent_Roll[Lease
Start],"&gt;="&amp;'Unit Mix-Reno Schedule'!$P$3),
'Unit Mix-Reno Schedule'!P$7=30,AVERAGEIFS(Rent_Roll[Total In-Place
Rent],Rent_Roll[SqFt],'Unit Mix-Reno Schedule'!$E19,Rent_Roll[Lease
Start],"&gt;="&amp;'Unit Mix-Reno Schedule'!$P$4)),"")</f>
        <v>1550</v>
      </c>
      <c r="Q19" s="898" cm="1">
        <f t="array" ref="Q19">_xlfn.IFS(P$7=90,COUNTIFS(Rent_Roll[SqFt],'Unit Mix-Reno Schedule'!$E19,Rent_Roll[Lease
Start],"&gt;="&amp;'Unit Mix-Reno Schedule'!$P$2),
'Unit Mix-Reno Schedule'!P$7=60,COUNTIFS(Rent_Roll[SqFt],'Unit Mix-Reno Schedule'!$E19,Rent_Roll[Lease
Start],"&gt;="&amp;'Unit Mix-Reno Schedule'!$P$3),
'Unit Mix-Reno Schedule'!P$7=30,COUNTIFS(Rent_Roll[SqFt],'Unit Mix-Reno Schedule'!$E19,Rent_Roll[Lease
Start],"&gt;="&amp;'Unit Mix-Reno Schedule'!$P$4))</f>
        <v>2</v>
      </c>
      <c r="S19" s="899">
        <v>1775</v>
      </c>
      <c r="T19" s="699">
        <f t="shared" si="15"/>
        <v>1.2806637806637806</v>
      </c>
      <c r="U19" s="900">
        <v>1800</v>
      </c>
      <c r="V19" s="901">
        <f t="shared" si="16"/>
        <v>1.2987012987012987</v>
      </c>
      <c r="X19" s="721" t="str">
        <f t="shared" si="17"/>
        <v>3x2-S</v>
      </c>
      <c r="Y19" s="151">
        <f>COUNTIFS(Rent_Roll[SqFt],'Unit Mix-Reno Schedule'!E19,Rent_Roll[Unit
Status],"vacant")+COUNTIFS(Rent_Roll[SqFt],'Unit Mix-Reno Schedule'!E19,Rent_Roll[Unit
Status],"admin/down")</f>
        <v>0</v>
      </c>
      <c r="Z19" s="844">
        <f>SUMIFS(Rent_Roll[Market
Rent],Rent_Roll[SqFt],'Unit Mix-Reno Schedule'!E19,Rent_Roll[Unit
Status],"vacant")+SUMIFS(Rent_Roll[Market
Rent],Rent_Roll[SqFt],'Unit Mix-Reno Schedule'!E19,Rent_Roll[Unit
Status],"admin/down")</f>
        <v>0</v>
      </c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157"/>
      <c r="CZ19" s="157"/>
      <c r="DA19" s="157"/>
      <c r="DB19" s="157"/>
      <c r="DC19" s="157"/>
      <c r="DD19" s="157"/>
      <c r="DE19" s="157"/>
      <c r="DF19" s="157"/>
      <c r="DG19" s="157"/>
      <c r="DH19" s="157"/>
      <c r="DI19" s="157"/>
      <c r="DJ19" s="157"/>
      <c r="DK19" s="157"/>
      <c r="DL19" s="157"/>
      <c r="DM19" s="157"/>
      <c r="DN19" s="157"/>
      <c r="DO19" s="157"/>
      <c r="DP19" s="157"/>
      <c r="DQ19" s="157"/>
      <c r="DR19" s="157"/>
      <c r="DS19" s="157"/>
      <c r="DT19" s="157"/>
      <c r="DU19" s="157"/>
      <c r="DV19" s="157"/>
      <c r="DW19" s="157"/>
      <c r="DX19" s="157"/>
      <c r="DY19" s="157"/>
      <c r="DZ19" s="157"/>
      <c r="EA19" s="157"/>
      <c r="EB19" s="157"/>
      <c r="EC19" s="157"/>
      <c r="ED19" s="157"/>
      <c r="EE19" s="157"/>
      <c r="EF19" s="157"/>
      <c r="EG19" s="157"/>
      <c r="EH19" s="157"/>
      <c r="EI19" s="157"/>
      <c r="EJ19" s="157"/>
      <c r="EK19" s="157"/>
      <c r="EL19" s="157"/>
      <c r="EM19" s="157"/>
      <c r="EN19" s="157"/>
      <c r="EO19" s="157"/>
      <c r="EP19" s="157"/>
      <c r="EQ19" s="157"/>
      <c r="ER19" s="157"/>
      <c r="ES19" s="157"/>
      <c r="ET19" s="157"/>
      <c r="EU19" s="157"/>
      <c r="EV19" s="157"/>
      <c r="EW19" s="157"/>
      <c r="EX19" s="157"/>
      <c r="EY19" s="157"/>
      <c r="EZ19" s="157"/>
      <c r="FA19" s="157"/>
      <c r="FB19" s="157"/>
      <c r="FC19" s="157"/>
      <c r="FD19" s="157"/>
      <c r="FE19" s="157"/>
      <c r="FF19" s="157"/>
      <c r="FG19" s="157"/>
      <c r="FH19" s="157"/>
      <c r="FI19" s="157"/>
      <c r="FJ19" s="157"/>
      <c r="FK19" s="157"/>
      <c r="FL19" s="157"/>
      <c r="FM19" s="157"/>
      <c r="FN19" s="157"/>
      <c r="FO19" s="144" t="s">
        <v>243</v>
      </c>
    </row>
    <row r="20" spans="1:171" x14ac:dyDescent="0.2">
      <c r="B20" s="721"/>
      <c r="C20" s="151"/>
      <c r="D20" s="225"/>
      <c r="E20" s="151"/>
      <c r="F20" s="895"/>
      <c r="G20" s="151"/>
      <c r="H20" s="151"/>
      <c r="I20" s="225"/>
      <c r="J20" s="225"/>
      <c r="K20" s="225"/>
      <c r="L20" s="897"/>
      <c r="M20" s="699"/>
      <c r="N20" s="897"/>
      <c r="O20" s="699"/>
      <c r="P20" s="897"/>
      <c r="Q20" s="898"/>
      <c r="S20" s="899"/>
      <c r="T20" s="699" t="str">
        <f t="shared" si="15"/>
        <v/>
      </c>
      <c r="U20" s="900"/>
      <c r="V20" s="901" t="str">
        <f t="shared" ref="V20:V21" si="41">IFERROR(U20/$E20,"")</f>
        <v/>
      </c>
      <c r="X20" s="721"/>
      <c r="Y20" s="151"/>
      <c r="Z20" s="844"/>
      <c r="AI20" s="909" t="s">
        <v>830</v>
      </c>
      <c r="AK20" s="910" t="s">
        <v>831</v>
      </c>
      <c r="AL20" s="911"/>
      <c r="AM20" s="911">
        <f>ROUND(AM15+AM18,0)</f>
        <v>19</v>
      </c>
      <c r="AN20" s="911">
        <f ca="1">ROUND(AN15+AN18,0)</f>
        <v>19</v>
      </c>
      <c r="AO20" s="911">
        <f t="shared" ref="AO20:BR20" ca="1" si="42">ROUND(AO15+AO18,0)</f>
        <v>19</v>
      </c>
      <c r="AP20" s="911">
        <f t="shared" ca="1" si="42"/>
        <v>19</v>
      </c>
      <c r="AQ20" s="911">
        <f t="shared" ca="1" si="42"/>
        <v>19</v>
      </c>
      <c r="AR20" s="911">
        <f t="shared" ca="1" si="42"/>
        <v>19</v>
      </c>
      <c r="AS20" s="911">
        <f t="shared" ca="1" si="42"/>
        <v>19</v>
      </c>
      <c r="AT20" s="911">
        <f t="shared" ca="1" si="42"/>
        <v>19</v>
      </c>
      <c r="AU20" s="911">
        <f t="shared" ca="1" si="42"/>
        <v>19</v>
      </c>
      <c r="AV20" s="911">
        <f t="shared" ca="1" si="42"/>
        <v>19</v>
      </c>
      <c r="AW20" s="911">
        <f t="shared" ca="1" si="42"/>
        <v>19</v>
      </c>
      <c r="AX20" s="911">
        <f t="shared" ca="1" si="42"/>
        <v>19</v>
      </c>
      <c r="AY20" s="911">
        <f t="shared" ca="1" si="42"/>
        <v>20</v>
      </c>
      <c r="AZ20" s="911">
        <f t="shared" ca="1" si="42"/>
        <v>17</v>
      </c>
      <c r="BA20" s="911">
        <f t="shared" ca="1" si="42"/>
        <v>17</v>
      </c>
      <c r="BB20" s="911">
        <f t="shared" ca="1" si="42"/>
        <v>17</v>
      </c>
      <c r="BC20" s="911">
        <f t="shared" ca="1" si="42"/>
        <v>17</v>
      </c>
      <c r="BD20" s="911">
        <f t="shared" ca="1" si="42"/>
        <v>17</v>
      </c>
      <c r="BE20" s="911">
        <f t="shared" ca="1" si="42"/>
        <v>17</v>
      </c>
      <c r="BF20" s="911">
        <f t="shared" ca="1" si="42"/>
        <v>17</v>
      </c>
      <c r="BG20" s="911">
        <f t="shared" ca="1" si="42"/>
        <v>18</v>
      </c>
      <c r="BH20" s="911">
        <f t="shared" ca="1" si="42"/>
        <v>18</v>
      </c>
      <c r="BI20" s="911">
        <f t="shared" ca="1" si="42"/>
        <v>18</v>
      </c>
      <c r="BJ20" s="911">
        <f t="shared" ca="1" si="42"/>
        <v>18</v>
      </c>
      <c r="BK20" s="911">
        <f t="shared" ca="1" si="42"/>
        <v>17</v>
      </c>
      <c r="BL20" s="911">
        <f t="shared" ca="1" si="42"/>
        <v>14</v>
      </c>
      <c r="BM20" s="911">
        <f t="shared" ca="1" si="42"/>
        <v>14</v>
      </c>
      <c r="BN20" s="911">
        <f t="shared" ca="1" si="42"/>
        <v>16</v>
      </c>
      <c r="BO20" s="911">
        <f t="shared" ca="1" si="42"/>
        <v>16</v>
      </c>
      <c r="BP20" s="911">
        <f t="shared" ca="1" si="42"/>
        <v>16</v>
      </c>
      <c r="BQ20" s="911">
        <f t="shared" ca="1" si="42"/>
        <v>16</v>
      </c>
      <c r="BR20" s="911">
        <f t="shared" ca="1" si="42"/>
        <v>16</v>
      </c>
      <c r="BS20" s="911">
        <f t="shared" ref="BS20:CX20" ca="1" si="43">ROUND(BS15+BS18,0)</f>
        <v>16</v>
      </c>
      <c r="BT20" s="911">
        <f t="shared" ca="1" si="43"/>
        <v>21</v>
      </c>
      <c r="BU20" s="911">
        <f t="shared" ca="1" si="43"/>
        <v>21</v>
      </c>
      <c r="BV20" s="911">
        <f t="shared" ca="1" si="43"/>
        <v>21</v>
      </c>
      <c r="BW20" s="911">
        <f t="shared" ca="1" si="43"/>
        <v>21</v>
      </c>
      <c r="BX20" s="911">
        <f t="shared" ca="1" si="43"/>
        <v>21</v>
      </c>
      <c r="BY20" s="911">
        <f t="shared" ca="1" si="43"/>
        <v>21</v>
      </c>
      <c r="BZ20" s="911">
        <f t="shared" ca="1" si="43"/>
        <v>21</v>
      </c>
      <c r="CA20" s="911">
        <f t="shared" ca="1" si="43"/>
        <v>21</v>
      </c>
      <c r="CB20" s="911">
        <f t="shared" ca="1" si="43"/>
        <v>21</v>
      </c>
      <c r="CC20" s="911">
        <f t="shared" ca="1" si="43"/>
        <v>21</v>
      </c>
      <c r="CD20" s="911">
        <f t="shared" ca="1" si="43"/>
        <v>21</v>
      </c>
      <c r="CE20" s="911">
        <f t="shared" ca="1" si="43"/>
        <v>21</v>
      </c>
      <c r="CF20" s="911">
        <f t="shared" ca="1" si="43"/>
        <v>21</v>
      </c>
      <c r="CG20" s="911">
        <f t="shared" ca="1" si="43"/>
        <v>21</v>
      </c>
      <c r="CH20" s="911">
        <f t="shared" ca="1" si="43"/>
        <v>21</v>
      </c>
      <c r="CI20" s="911">
        <f t="shared" ca="1" si="43"/>
        <v>21</v>
      </c>
      <c r="CJ20" s="911">
        <f t="shared" ca="1" si="43"/>
        <v>21</v>
      </c>
      <c r="CK20" s="911">
        <f t="shared" ca="1" si="43"/>
        <v>21</v>
      </c>
      <c r="CL20" s="911">
        <f t="shared" ca="1" si="43"/>
        <v>21</v>
      </c>
      <c r="CM20" s="911">
        <f t="shared" ca="1" si="43"/>
        <v>21</v>
      </c>
      <c r="CN20" s="911">
        <f t="shared" ca="1" si="43"/>
        <v>21</v>
      </c>
      <c r="CO20" s="911">
        <f t="shared" ca="1" si="43"/>
        <v>21</v>
      </c>
      <c r="CP20" s="911">
        <f t="shared" ca="1" si="43"/>
        <v>21</v>
      </c>
      <c r="CQ20" s="911">
        <f t="shared" ca="1" si="43"/>
        <v>21</v>
      </c>
      <c r="CR20" s="911">
        <f t="shared" ca="1" si="43"/>
        <v>21</v>
      </c>
      <c r="CS20" s="911">
        <f t="shared" ca="1" si="43"/>
        <v>21</v>
      </c>
      <c r="CT20" s="911">
        <f t="shared" ca="1" si="43"/>
        <v>21</v>
      </c>
      <c r="CU20" s="911">
        <f t="shared" ca="1" si="43"/>
        <v>21</v>
      </c>
      <c r="CV20" s="911">
        <f t="shared" ca="1" si="43"/>
        <v>21</v>
      </c>
      <c r="CW20" s="911">
        <f t="shared" ca="1" si="43"/>
        <v>21</v>
      </c>
      <c r="CX20" s="911">
        <f t="shared" ca="1" si="43"/>
        <v>21</v>
      </c>
      <c r="CY20" s="911">
        <f t="shared" ref="CY20:ED20" ca="1" si="44">ROUND(CY15+CY18,0)</f>
        <v>21</v>
      </c>
      <c r="CZ20" s="911">
        <f t="shared" ca="1" si="44"/>
        <v>21</v>
      </c>
      <c r="DA20" s="911">
        <f t="shared" ca="1" si="44"/>
        <v>21</v>
      </c>
      <c r="DB20" s="911">
        <f t="shared" ca="1" si="44"/>
        <v>21</v>
      </c>
      <c r="DC20" s="911">
        <f t="shared" ca="1" si="44"/>
        <v>21</v>
      </c>
      <c r="DD20" s="911">
        <f t="shared" ca="1" si="44"/>
        <v>21</v>
      </c>
      <c r="DE20" s="911">
        <f t="shared" ca="1" si="44"/>
        <v>21</v>
      </c>
      <c r="DF20" s="911">
        <f t="shared" ca="1" si="44"/>
        <v>21</v>
      </c>
      <c r="DG20" s="911">
        <f t="shared" ca="1" si="44"/>
        <v>21</v>
      </c>
      <c r="DH20" s="911">
        <f t="shared" ca="1" si="44"/>
        <v>21</v>
      </c>
      <c r="DI20" s="911">
        <f t="shared" ca="1" si="44"/>
        <v>21</v>
      </c>
      <c r="DJ20" s="911">
        <f t="shared" ca="1" si="44"/>
        <v>21</v>
      </c>
      <c r="DK20" s="911">
        <f t="shared" ca="1" si="44"/>
        <v>21</v>
      </c>
      <c r="DL20" s="911">
        <f t="shared" ca="1" si="44"/>
        <v>21</v>
      </c>
      <c r="DM20" s="911">
        <f t="shared" ca="1" si="44"/>
        <v>21</v>
      </c>
      <c r="DN20" s="911">
        <f t="shared" ca="1" si="44"/>
        <v>21</v>
      </c>
      <c r="DO20" s="911">
        <f t="shared" ca="1" si="44"/>
        <v>21</v>
      </c>
      <c r="DP20" s="911">
        <f t="shared" ca="1" si="44"/>
        <v>21</v>
      </c>
      <c r="DQ20" s="911">
        <f t="shared" ca="1" si="44"/>
        <v>21</v>
      </c>
      <c r="DR20" s="911">
        <f t="shared" ca="1" si="44"/>
        <v>21</v>
      </c>
      <c r="DS20" s="911">
        <f t="shared" ca="1" si="44"/>
        <v>21</v>
      </c>
      <c r="DT20" s="911">
        <f t="shared" ca="1" si="44"/>
        <v>21</v>
      </c>
      <c r="DU20" s="911">
        <f t="shared" ca="1" si="44"/>
        <v>21</v>
      </c>
      <c r="DV20" s="911">
        <f t="shared" ca="1" si="44"/>
        <v>21</v>
      </c>
      <c r="DW20" s="911">
        <f t="shared" ca="1" si="44"/>
        <v>21</v>
      </c>
      <c r="DX20" s="911">
        <f t="shared" ca="1" si="44"/>
        <v>21</v>
      </c>
      <c r="DY20" s="911">
        <f t="shared" ca="1" si="44"/>
        <v>21</v>
      </c>
      <c r="DZ20" s="911">
        <f t="shared" ca="1" si="44"/>
        <v>21</v>
      </c>
      <c r="EA20" s="911">
        <f t="shared" ca="1" si="44"/>
        <v>21</v>
      </c>
      <c r="EB20" s="911">
        <f t="shared" ca="1" si="44"/>
        <v>21</v>
      </c>
      <c r="EC20" s="911">
        <f t="shared" ca="1" si="44"/>
        <v>21</v>
      </c>
      <c r="ED20" s="911">
        <f t="shared" ca="1" si="44"/>
        <v>21</v>
      </c>
      <c r="EE20" s="911">
        <f t="shared" ref="EE20:FN20" ca="1" si="45">ROUND(EE15+EE18,0)</f>
        <v>21</v>
      </c>
      <c r="EF20" s="911">
        <f t="shared" ca="1" si="45"/>
        <v>21</v>
      </c>
      <c r="EG20" s="911">
        <f t="shared" ca="1" si="45"/>
        <v>21</v>
      </c>
      <c r="EH20" s="911">
        <f t="shared" ca="1" si="45"/>
        <v>21</v>
      </c>
      <c r="EI20" s="911">
        <f t="shared" ca="1" si="45"/>
        <v>21</v>
      </c>
      <c r="EJ20" s="911">
        <f t="shared" ca="1" si="45"/>
        <v>21</v>
      </c>
      <c r="EK20" s="911">
        <f t="shared" ca="1" si="45"/>
        <v>21</v>
      </c>
      <c r="EL20" s="911">
        <f t="shared" ca="1" si="45"/>
        <v>21</v>
      </c>
      <c r="EM20" s="911">
        <f t="shared" ca="1" si="45"/>
        <v>21</v>
      </c>
      <c r="EN20" s="911">
        <f t="shared" ca="1" si="45"/>
        <v>21</v>
      </c>
      <c r="EO20" s="911">
        <f t="shared" ca="1" si="45"/>
        <v>21</v>
      </c>
      <c r="EP20" s="911">
        <f t="shared" ca="1" si="45"/>
        <v>21</v>
      </c>
      <c r="EQ20" s="911">
        <f t="shared" ca="1" si="45"/>
        <v>21</v>
      </c>
      <c r="ER20" s="911">
        <f t="shared" ca="1" si="45"/>
        <v>21</v>
      </c>
      <c r="ES20" s="911">
        <f t="shared" ca="1" si="45"/>
        <v>21</v>
      </c>
      <c r="ET20" s="911">
        <f t="shared" ca="1" si="45"/>
        <v>21</v>
      </c>
      <c r="EU20" s="911">
        <f t="shared" ca="1" si="45"/>
        <v>21</v>
      </c>
      <c r="EV20" s="911">
        <f t="shared" ca="1" si="45"/>
        <v>21</v>
      </c>
      <c r="EW20" s="911">
        <f t="shared" ca="1" si="45"/>
        <v>21</v>
      </c>
      <c r="EX20" s="911">
        <f t="shared" ca="1" si="45"/>
        <v>21</v>
      </c>
      <c r="EY20" s="911">
        <f t="shared" ca="1" si="45"/>
        <v>21</v>
      </c>
      <c r="EZ20" s="911">
        <f t="shared" ca="1" si="45"/>
        <v>21</v>
      </c>
      <c r="FA20" s="911">
        <f t="shared" ca="1" si="45"/>
        <v>21</v>
      </c>
      <c r="FB20" s="911">
        <f t="shared" ca="1" si="45"/>
        <v>21</v>
      </c>
      <c r="FC20" s="911">
        <f t="shared" ca="1" si="45"/>
        <v>21</v>
      </c>
      <c r="FD20" s="911">
        <f t="shared" ca="1" si="45"/>
        <v>21</v>
      </c>
      <c r="FE20" s="911">
        <f t="shared" ca="1" si="45"/>
        <v>21</v>
      </c>
      <c r="FF20" s="911">
        <f t="shared" ca="1" si="45"/>
        <v>21</v>
      </c>
      <c r="FG20" s="911">
        <f t="shared" ca="1" si="45"/>
        <v>21</v>
      </c>
      <c r="FH20" s="911">
        <f t="shared" ca="1" si="45"/>
        <v>21</v>
      </c>
      <c r="FI20" s="911">
        <f t="shared" ca="1" si="45"/>
        <v>21</v>
      </c>
      <c r="FJ20" s="911">
        <f t="shared" ca="1" si="45"/>
        <v>21</v>
      </c>
      <c r="FK20" s="911">
        <f t="shared" ca="1" si="45"/>
        <v>21</v>
      </c>
      <c r="FL20" s="911">
        <f t="shared" ca="1" si="45"/>
        <v>21</v>
      </c>
      <c r="FM20" s="911">
        <f t="shared" ca="1" si="45"/>
        <v>21</v>
      </c>
      <c r="FN20" s="911">
        <f t="shared" ca="1" si="45"/>
        <v>21</v>
      </c>
      <c r="FO20" s="144" t="s">
        <v>243</v>
      </c>
    </row>
    <row r="21" spans="1:171" ht="15" thickBot="1" x14ac:dyDescent="0.25">
      <c r="B21" s="721"/>
      <c r="C21" s="151"/>
      <c r="D21" s="225"/>
      <c r="E21" s="151"/>
      <c r="F21" s="895"/>
      <c r="G21" s="151"/>
      <c r="H21" s="151"/>
      <c r="I21" s="225"/>
      <c r="J21" s="225"/>
      <c r="K21" s="225"/>
      <c r="L21" s="897"/>
      <c r="M21" s="699"/>
      <c r="N21" s="897"/>
      <c r="O21" s="699"/>
      <c r="P21" s="897"/>
      <c r="Q21" s="898"/>
      <c r="S21" s="899"/>
      <c r="T21" s="699" t="str">
        <f t="shared" si="15"/>
        <v/>
      </c>
      <c r="U21" s="900"/>
      <c r="V21" s="901" t="str">
        <f t="shared" si="41"/>
        <v/>
      </c>
      <c r="X21" s="721"/>
      <c r="Y21" s="151"/>
      <c r="Z21" s="844"/>
      <c r="AI21" s="157">
        <f>SUM(AM21:FN21)</f>
        <v>195</v>
      </c>
      <c r="AJ21" s="144" t="str">
        <f>IF(AI21&lt;=units,"OK","Error")</f>
        <v>OK</v>
      </c>
      <c r="AK21" s="708" t="s">
        <v>832</v>
      </c>
      <c r="AL21" s="912"/>
      <c r="AM21" s="913">
        <v>5</v>
      </c>
      <c r="AN21" s="913">
        <v>5</v>
      </c>
      <c r="AO21" s="913">
        <v>5</v>
      </c>
      <c r="AP21" s="913">
        <v>5</v>
      </c>
      <c r="AQ21" s="913">
        <v>5</v>
      </c>
      <c r="AR21" s="913">
        <v>5</v>
      </c>
      <c r="AS21" s="913">
        <v>5</v>
      </c>
      <c r="AT21" s="913">
        <v>5</v>
      </c>
      <c r="AU21" s="913">
        <v>5</v>
      </c>
      <c r="AV21" s="913">
        <v>5</v>
      </c>
      <c r="AW21" s="913">
        <v>5</v>
      </c>
      <c r="AX21" s="913">
        <v>5</v>
      </c>
      <c r="AY21" s="913">
        <v>8</v>
      </c>
      <c r="AZ21" s="913">
        <v>8</v>
      </c>
      <c r="BA21" s="913">
        <v>8</v>
      </c>
      <c r="BB21" s="913">
        <v>8</v>
      </c>
      <c r="BC21" s="913">
        <v>8</v>
      </c>
      <c r="BD21" s="913">
        <v>8</v>
      </c>
      <c r="BE21" s="913">
        <v>8</v>
      </c>
      <c r="BF21" s="913">
        <v>7</v>
      </c>
      <c r="BG21" s="913">
        <v>7</v>
      </c>
      <c r="BH21" s="913">
        <v>7</v>
      </c>
      <c r="BI21" s="913">
        <v>7</v>
      </c>
      <c r="BJ21" s="913">
        <v>7</v>
      </c>
      <c r="BK21" s="913">
        <v>7</v>
      </c>
      <c r="BL21" s="913">
        <v>7</v>
      </c>
      <c r="BM21" s="913">
        <v>5</v>
      </c>
      <c r="BN21" s="913">
        <v>5</v>
      </c>
      <c r="BO21" s="913">
        <v>5</v>
      </c>
      <c r="BP21" s="913">
        <v>5</v>
      </c>
      <c r="BQ21" s="913">
        <v>5</v>
      </c>
      <c r="BR21" s="913">
        <v>5</v>
      </c>
      <c r="BS21" s="913">
        <v>0</v>
      </c>
      <c r="BT21" s="913">
        <v>0</v>
      </c>
      <c r="BU21" s="913">
        <v>0</v>
      </c>
      <c r="BV21" s="913">
        <v>0</v>
      </c>
      <c r="BW21" s="913">
        <v>0</v>
      </c>
      <c r="BX21" s="913">
        <v>0</v>
      </c>
      <c r="BY21" s="913">
        <v>0</v>
      </c>
      <c r="BZ21" s="913">
        <v>0</v>
      </c>
      <c r="CA21" s="913">
        <v>0</v>
      </c>
      <c r="CB21" s="913">
        <v>0</v>
      </c>
      <c r="CC21" s="913">
        <v>0</v>
      </c>
      <c r="CD21" s="913">
        <v>0</v>
      </c>
      <c r="CE21" s="913">
        <v>0</v>
      </c>
      <c r="CF21" s="913">
        <v>0</v>
      </c>
      <c r="CG21" s="913">
        <v>0</v>
      </c>
      <c r="CH21" s="913">
        <v>0</v>
      </c>
      <c r="CI21" s="913">
        <v>0</v>
      </c>
      <c r="CJ21" s="913">
        <v>0</v>
      </c>
      <c r="CK21" s="913">
        <v>0</v>
      </c>
      <c r="CL21" s="913">
        <v>0</v>
      </c>
      <c r="CM21" s="913">
        <v>0</v>
      </c>
      <c r="CN21" s="913">
        <v>0</v>
      </c>
      <c r="CO21" s="913">
        <v>0</v>
      </c>
      <c r="CP21" s="913">
        <v>0</v>
      </c>
      <c r="CQ21" s="913">
        <v>0</v>
      </c>
      <c r="CR21" s="913">
        <v>0</v>
      </c>
      <c r="CS21" s="913">
        <v>0</v>
      </c>
      <c r="CT21" s="913">
        <v>0</v>
      </c>
      <c r="CU21" s="913">
        <v>0</v>
      </c>
      <c r="CV21" s="913">
        <v>0</v>
      </c>
      <c r="CW21" s="913">
        <v>0</v>
      </c>
      <c r="CX21" s="913">
        <v>0</v>
      </c>
      <c r="CY21" s="913">
        <v>0</v>
      </c>
      <c r="CZ21" s="913">
        <v>0</v>
      </c>
      <c r="DA21" s="913">
        <v>0</v>
      </c>
      <c r="DB21" s="913">
        <v>0</v>
      </c>
      <c r="DC21" s="913">
        <v>0</v>
      </c>
      <c r="DD21" s="913">
        <v>0</v>
      </c>
      <c r="DE21" s="913">
        <v>0</v>
      </c>
      <c r="DF21" s="913">
        <v>0</v>
      </c>
      <c r="DG21" s="913">
        <v>0</v>
      </c>
      <c r="DH21" s="913">
        <v>0</v>
      </c>
      <c r="DI21" s="913">
        <v>0</v>
      </c>
      <c r="DJ21" s="913">
        <v>0</v>
      </c>
      <c r="DK21" s="913">
        <v>0</v>
      </c>
      <c r="DL21" s="913">
        <v>0</v>
      </c>
      <c r="DM21" s="913">
        <v>0</v>
      </c>
      <c r="DN21" s="913">
        <v>0</v>
      </c>
      <c r="DO21" s="913">
        <v>0</v>
      </c>
      <c r="DP21" s="913">
        <v>0</v>
      </c>
      <c r="DQ21" s="913">
        <v>0</v>
      </c>
      <c r="DR21" s="913">
        <v>0</v>
      </c>
      <c r="DS21" s="913">
        <v>0</v>
      </c>
      <c r="DT21" s="913">
        <v>0</v>
      </c>
      <c r="DU21" s="913">
        <v>0</v>
      </c>
      <c r="DV21" s="913">
        <v>0</v>
      </c>
      <c r="DW21" s="913">
        <v>0</v>
      </c>
      <c r="DX21" s="913">
        <v>0</v>
      </c>
      <c r="DY21" s="913">
        <v>0</v>
      </c>
      <c r="DZ21" s="913">
        <v>0</v>
      </c>
      <c r="EA21" s="913">
        <v>0</v>
      </c>
      <c r="EB21" s="913">
        <v>0</v>
      </c>
      <c r="EC21" s="913">
        <v>0</v>
      </c>
      <c r="ED21" s="913">
        <v>0</v>
      </c>
      <c r="EE21" s="913">
        <v>0</v>
      </c>
      <c r="EF21" s="913">
        <v>0</v>
      </c>
      <c r="EG21" s="913">
        <v>0</v>
      </c>
      <c r="EH21" s="913">
        <v>0</v>
      </c>
      <c r="EI21" s="913">
        <v>0</v>
      </c>
      <c r="EJ21" s="913">
        <v>0</v>
      </c>
      <c r="EK21" s="913">
        <v>0</v>
      </c>
      <c r="EL21" s="913">
        <v>0</v>
      </c>
      <c r="EM21" s="913">
        <v>0</v>
      </c>
      <c r="EN21" s="913">
        <v>0</v>
      </c>
      <c r="EO21" s="913">
        <v>0</v>
      </c>
      <c r="EP21" s="913">
        <v>0</v>
      </c>
      <c r="EQ21" s="913">
        <v>0</v>
      </c>
      <c r="ER21" s="913">
        <v>0</v>
      </c>
      <c r="ES21" s="913">
        <v>0</v>
      </c>
      <c r="ET21" s="913">
        <v>0</v>
      </c>
      <c r="EU21" s="913">
        <v>0</v>
      </c>
      <c r="EV21" s="913">
        <v>0</v>
      </c>
      <c r="EW21" s="913">
        <v>0</v>
      </c>
      <c r="EX21" s="913">
        <v>0</v>
      </c>
      <c r="EY21" s="913">
        <v>0</v>
      </c>
      <c r="EZ21" s="913">
        <v>0</v>
      </c>
      <c r="FA21" s="913">
        <v>0</v>
      </c>
      <c r="FB21" s="913">
        <v>0</v>
      </c>
      <c r="FC21" s="913">
        <v>0</v>
      </c>
      <c r="FD21" s="913">
        <v>0</v>
      </c>
      <c r="FE21" s="913">
        <v>0</v>
      </c>
      <c r="FF21" s="913">
        <v>0</v>
      </c>
      <c r="FG21" s="913">
        <v>0</v>
      </c>
      <c r="FH21" s="913">
        <v>0</v>
      </c>
      <c r="FI21" s="913">
        <v>0</v>
      </c>
      <c r="FJ21" s="913">
        <v>0</v>
      </c>
      <c r="FK21" s="913">
        <v>0</v>
      </c>
      <c r="FL21" s="913">
        <v>0</v>
      </c>
      <c r="FM21" s="913">
        <v>0</v>
      </c>
      <c r="FN21" s="913">
        <v>0</v>
      </c>
      <c r="FO21" s="144" t="s">
        <v>243</v>
      </c>
    </row>
    <row r="22" spans="1:171" x14ac:dyDescent="0.2">
      <c r="B22" s="914" t="s">
        <v>322</v>
      </c>
      <c r="C22" s="915">
        <f>SUM(C8:C21)</f>
        <v>244</v>
      </c>
      <c r="D22" s="916"/>
      <c r="E22" s="915">
        <f>IFERROR(SUMPRODUCT(E8:E21,$C$8:$C$21)/units,0)</f>
        <v>956.85245901639348</v>
      </c>
      <c r="F22" s="917">
        <f>SUM(F8:F21)</f>
        <v>234</v>
      </c>
      <c r="G22" s="915">
        <f>SUM(G8:G21)</f>
        <v>10</v>
      </c>
      <c r="H22" s="915">
        <f>SUM(H8:H21)</f>
        <v>0</v>
      </c>
      <c r="I22" s="918">
        <f>IFERROR(SUMPRODUCT(I8:I21,$C$8:$C$21)/units,0)</f>
        <v>0.95901639344262291</v>
      </c>
      <c r="J22" s="918">
        <f>IFERROR(SUMPRODUCT(J8:J21,$C$8:$C$21)/units,0)</f>
        <v>4.0983606557377046E-2</v>
      </c>
      <c r="K22" s="918">
        <f>IFERROR(SUMPRODUCT(K8:K21,$C$8:$C$21)/units,0)</f>
        <v>0</v>
      </c>
      <c r="L22" s="919">
        <f>IFERROR(SUMPRODUCT(L8:L21,$C$8:$C$21)/units,0)</f>
        <v>1316.844262295082</v>
      </c>
      <c r="M22" s="920">
        <f>IFERROR(L22/$E22,0)</f>
        <v>1.3762249862938596</v>
      </c>
      <c r="N22" s="919">
        <f>IFERROR(SUMPRODUCT(N8:N21,$F$8:$F$21)/F22,0)</f>
        <v>1221.7521367521367</v>
      </c>
      <c r="O22" s="920">
        <f>IFERROR(N22/$E22,0)</f>
        <v>1.2768448523485529</v>
      </c>
      <c r="P22" s="919">
        <f>IFERROR(SUMPRODUCT(P8:P21,Q8:Q21)/Q22,0)</f>
        <v>1266.3157894736842</v>
      </c>
      <c r="Q22" s="921">
        <f>SUM(Q8:Q21)</f>
        <v>38</v>
      </c>
      <c r="R22" s="145"/>
      <c r="S22" s="922">
        <f>IFERROR(SUMPRODUCT(S8:S21,$C$8:$C$21)/units,0)</f>
        <v>1404.9180327868853</v>
      </c>
      <c r="T22" s="920">
        <f>IFERROR(S22/$E22,0)</f>
        <v>1.4682702850877194</v>
      </c>
      <c r="U22" s="919">
        <f>IFERROR(SUMPRODUCT(U8:U21,$C$8:$C$21)/units,0)</f>
        <v>1525.7377049180327</v>
      </c>
      <c r="V22" s="923">
        <f>IFERROR(U22/$E22,0)</f>
        <v>1.5945381030701753</v>
      </c>
      <c r="W22" s="145"/>
      <c r="X22" s="914" t="s">
        <v>323</v>
      </c>
      <c r="Y22" s="915">
        <f>SUM(Y8:Y21)</f>
        <v>10</v>
      </c>
      <c r="Z22" s="924">
        <f>SUM(Z8:Z21)</f>
        <v>13595</v>
      </c>
      <c r="AG22" s="593"/>
      <c r="AI22" s="155" t="str">
        <f ca="1">IFERROR(INDEX(AM22:FN22,MATCH("FIX COUNT",AM22:FN22,0)),"")</f>
        <v/>
      </c>
      <c r="AM22" s="301" t="str">
        <f t="shared" ref="AM22:BR22" si="46">IF(AM20&gt;=AM21,"","FIX COUNT")</f>
        <v/>
      </c>
      <c r="AN22" s="301" t="str">
        <f ca="1">IF(AN20&gt;=AN21,"","FIX COUNT")</f>
        <v/>
      </c>
      <c r="AO22" s="301" t="str">
        <f t="shared" ca="1" si="46"/>
        <v/>
      </c>
      <c r="AP22" s="301" t="str">
        <f t="shared" ca="1" si="46"/>
        <v/>
      </c>
      <c r="AQ22" s="301" t="str">
        <f t="shared" ca="1" si="46"/>
        <v/>
      </c>
      <c r="AR22" s="301" t="str">
        <f t="shared" ca="1" si="46"/>
        <v/>
      </c>
      <c r="AS22" s="301" t="str">
        <f t="shared" ca="1" si="46"/>
        <v/>
      </c>
      <c r="AT22" s="301" t="str">
        <f t="shared" ca="1" si="46"/>
        <v/>
      </c>
      <c r="AU22" s="301" t="str">
        <f t="shared" ca="1" si="46"/>
        <v/>
      </c>
      <c r="AV22" s="301" t="str">
        <f t="shared" ca="1" si="46"/>
        <v/>
      </c>
      <c r="AW22" s="301" t="str">
        <f t="shared" ca="1" si="46"/>
        <v/>
      </c>
      <c r="AX22" s="301" t="str">
        <f t="shared" ca="1" si="46"/>
        <v/>
      </c>
      <c r="AY22" s="301" t="str">
        <f t="shared" ca="1" si="46"/>
        <v/>
      </c>
      <c r="AZ22" s="301" t="str">
        <f t="shared" ca="1" si="46"/>
        <v/>
      </c>
      <c r="BA22" s="301" t="str">
        <f t="shared" ca="1" si="46"/>
        <v/>
      </c>
      <c r="BB22" s="301" t="str">
        <f t="shared" ca="1" si="46"/>
        <v/>
      </c>
      <c r="BC22" s="301" t="str">
        <f t="shared" ca="1" si="46"/>
        <v/>
      </c>
      <c r="BD22" s="301" t="str">
        <f t="shared" ca="1" si="46"/>
        <v/>
      </c>
      <c r="BE22" s="301" t="str">
        <f t="shared" ca="1" si="46"/>
        <v/>
      </c>
      <c r="BF22" s="301" t="str">
        <f t="shared" ca="1" si="46"/>
        <v/>
      </c>
      <c r="BG22" s="301" t="str">
        <f t="shared" ca="1" si="46"/>
        <v/>
      </c>
      <c r="BH22" s="301" t="str">
        <f t="shared" ca="1" si="46"/>
        <v/>
      </c>
      <c r="BI22" s="301" t="str">
        <f t="shared" ca="1" si="46"/>
        <v/>
      </c>
      <c r="BJ22" s="301" t="str">
        <f t="shared" ca="1" si="46"/>
        <v/>
      </c>
      <c r="BK22" s="301" t="str">
        <f t="shared" ca="1" si="46"/>
        <v/>
      </c>
      <c r="BL22" s="301" t="str">
        <f t="shared" ca="1" si="46"/>
        <v/>
      </c>
      <c r="BM22" s="301" t="str">
        <f t="shared" ca="1" si="46"/>
        <v/>
      </c>
      <c r="BN22" s="301" t="str">
        <f t="shared" ca="1" si="46"/>
        <v/>
      </c>
      <c r="BO22" s="301" t="str">
        <f t="shared" ca="1" si="46"/>
        <v/>
      </c>
      <c r="BP22" s="301" t="str">
        <f t="shared" ca="1" si="46"/>
        <v/>
      </c>
      <c r="BQ22" s="301" t="str">
        <f t="shared" ca="1" si="46"/>
        <v/>
      </c>
      <c r="BR22" s="301" t="str">
        <f t="shared" ca="1" si="46"/>
        <v/>
      </c>
      <c r="BS22" s="301" t="str">
        <f t="shared" ref="BS22:CX22" ca="1" si="47">IF(BS20&gt;=BS21,"","FIX COUNT")</f>
        <v/>
      </c>
      <c r="BT22" s="301" t="str">
        <f t="shared" ca="1" si="47"/>
        <v/>
      </c>
      <c r="BU22" s="301" t="str">
        <f t="shared" ca="1" si="47"/>
        <v/>
      </c>
      <c r="BV22" s="301" t="str">
        <f t="shared" ca="1" si="47"/>
        <v/>
      </c>
      <c r="BW22" s="301" t="str">
        <f t="shared" ca="1" si="47"/>
        <v/>
      </c>
      <c r="BX22" s="301" t="str">
        <f t="shared" ca="1" si="47"/>
        <v/>
      </c>
      <c r="BY22" s="301" t="str">
        <f t="shared" ca="1" si="47"/>
        <v/>
      </c>
      <c r="BZ22" s="301" t="str">
        <f t="shared" ca="1" si="47"/>
        <v/>
      </c>
      <c r="CA22" s="301" t="str">
        <f t="shared" ca="1" si="47"/>
        <v/>
      </c>
      <c r="CB22" s="301" t="str">
        <f t="shared" ca="1" si="47"/>
        <v/>
      </c>
      <c r="CC22" s="301" t="str">
        <f t="shared" ca="1" si="47"/>
        <v/>
      </c>
      <c r="CD22" s="301" t="str">
        <f t="shared" ca="1" si="47"/>
        <v/>
      </c>
      <c r="CE22" s="301" t="str">
        <f t="shared" ca="1" si="47"/>
        <v/>
      </c>
      <c r="CF22" s="301" t="str">
        <f t="shared" ca="1" si="47"/>
        <v/>
      </c>
      <c r="CG22" s="301" t="str">
        <f t="shared" ca="1" si="47"/>
        <v/>
      </c>
      <c r="CH22" s="301" t="str">
        <f t="shared" ca="1" si="47"/>
        <v/>
      </c>
      <c r="CI22" s="301" t="str">
        <f t="shared" ca="1" si="47"/>
        <v/>
      </c>
      <c r="CJ22" s="301" t="str">
        <f t="shared" ca="1" si="47"/>
        <v/>
      </c>
      <c r="CK22" s="301" t="str">
        <f t="shared" ca="1" si="47"/>
        <v/>
      </c>
      <c r="CL22" s="301" t="str">
        <f t="shared" ca="1" si="47"/>
        <v/>
      </c>
      <c r="CM22" s="301" t="str">
        <f t="shared" ca="1" si="47"/>
        <v/>
      </c>
      <c r="CN22" s="301" t="str">
        <f t="shared" ca="1" si="47"/>
        <v/>
      </c>
      <c r="CO22" s="301" t="str">
        <f t="shared" ca="1" si="47"/>
        <v/>
      </c>
      <c r="CP22" s="301" t="str">
        <f t="shared" ca="1" si="47"/>
        <v/>
      </c>
      <c r="CQ22" s="301" t="str">
        <f t="shared" ca="1" si="47"/>
        <v/>
      </c>
      <c r="CR22" s="301" t="str">
        <f t="shared" ca="1" si="47"/>
        <v/>
      </c>
      <c r="CS22" s="301" t="str">
        <f t="shared" ca="1" si="47"/>
        <v/>
      </c>
      <c r="CT22" s="301" t="str">
        <f t="shared" ca="1" si="47"/>
        <v/>
      </c>
      <c r="CU22" s="301" t="str">
        <f t="shared" ca="1" si="47"/>
        <v/>
      </c>
      <c r="CV22" s="301" t="str">
        <f t="shared" ca="1" si="47"/>
        <v/>
      </c>
      <c r="CW22" s="301" t="str">
        <f t="shared" ca="1" si="47"/>
        <v/>
      </c>
      <c r="CX22" s="301" t="str">
        <f t="shared" ca="1" si="47"/>
        <v/>
      </c>
      <c r="CY22" s="301" t="str">
        <f t="shared" ref="CY22:ED22" ca="1" si="48">IF(CY20&gt;=CY21,"","FIX COUNT")</f>
        <v/>
      </c>
      <c r="CZ22" s="301" t="str">
        <f t="shared" ca="1" si="48"/>
        <v/>
      </c>
      <c r="DA22" s="301" t="str">
        <f t="shared" ca="1" si="48"/>
        <v/>
      </c>
      <c r="DB22" s="301" t="str">
        <f t="shared" ca="1" si="48"/>
        <v/>
      </c>
      <c r="DC22" s="301" t="str">
        <f t="shared" ca="1" si="48"/>
        <v/>
      </c>
      <c r="DD22" s="301" t="str">
        <f t="shared" ca="1" si="48"/>
        <v/>
      </c>
      <c r="DE22" s="301" t="str">
        <f t="shared" ca="1" si="48"/>
        <v/>
      </c>
      <c r="DF22" s="301" t="str">
        <f t="shared" ca="1" si="48"/>
        <v/>
      </c>
      <c r="DG22" s="301" t="str">
        <f t="shared" ca="1" si="48"/>
        <v/>
      </c>
      <c r="DH22" s="301" t="str">
        <f t="shared" ca="1" si="48"/>
        <v/>
      </c>
      <c r="DI22" s="301" t="str">
        <f t="shared" ca="1" si="48"/>
        <v/>
      </c>
      <c r="DJ22" s="301" t="str">
        <f t="shared" ca="1" si="48"/>
        <v/>
      </c>
      <c r="DK22" s="301" t="str">
        <f t="shared" ca="1" si="48"/>
        <v/>
      </c>
      <c r="DL22" s="301" t="str">
        <f t="shared" ca="1" si="48"/>
        <v/>
      </c>
      <c r="DM22" s="301" t="str">
        <f t="shared" ca="1" si="48"/>
        <v/>
      </c>
      <c r="DN22" s="301" t="str">
        <f t="shared" ca="1" si="48"/>
        <v/>
      </c>
      <c r="DO22" s="301" t="str">
        <f t="shared" ca="1" si="48"/>
        <v/>
      </c>
      <c r="DP22" s="301" t="str">
        <f t="shared" ca="1" si="48"/>
        <v/>
      </c>
      <c r="DQ22" s="301" t="str">
        <f t="shared" ca="1" si="48"/>
        <v/>
      </c>
      <c r="DR22" s="301" t="str">
        <f t="shared" ca="1" si="48"/>
        <v/>
      </c>
      <c r="DS22" s="301" t="str">
        <f t="shared" ca="1" si="48"/>
        <v/>
      </c>
      <c r="DT22" s="301" t="str">
        <f t="shared" ca="1" si="48"/>
        <v/>
      </c>
      <c r="DU22" s="301" t="str">
        <f t="shared" ca="1" si="48"/>
        <v/>
      </c>
      <c r="DV22" s="301" t="str">
        <f t="shared" ca="1" si="48"/>
        <v/>
      </c>
      <c r="DW22" s="301" t="str">
        <f t="shared" ca="1" si="48"/>
        <v/>
      </c>
      <c r="DX22" s="301" t="str">
        <f t="shared" ca="1" si="48"/>
        <v/>
      </c>
      <c r="DY22" s="301" t="str">
        <f t="shared" ca="1" si="48"/>
        <v/>
      </c>
      <c r="DZ22" s="301" t="str">
        <f t="shared" ca="1" si="48"/>
        <v/>
      </c>
      <c r="EA22" s="301" t="str">
        <f t="shared" ca="1" si="48"/>
        <v/>
      </c>
      <c r="EB22" s="301" t="str">
        <f t="shared" ca="1" si="48"/>
        <v/>
      </c>
      <c r="EC22" s="301" t="str">
        <f t="shared" ca="1" si="48"/>
        <v/>
      </c>
      <c r="ED22" s="301" t="str">
        <f t="shared" ca="1" si="48"/>
        <v/>
      </c>
      <c r="EE22" s="301" t="str">
        <f t="shared" ref="EE22:FJ22" ca="1" si="49">IF(EE20&gt;=EE21,"","FIX COUNT")</f>
        <v/>
      </c>
      <c r="EF22" s="301" t="str">
        <f t="shared" ca="1" si="49"/>
        <v/>
      </c>
      <c r="EG22" s="301" t="str">
        <f t="shared" ca="1" si="49"/>
        <v/>
      </c>
      <c r="EH22" s="301" t="str">
        <f t="shared" ca="1" si="49"/>
        <v/>
      </c>
      <c r="EI22" s="301" t="str">
        <f t="shared" ca="1" si="49"/>
        <v/>
      </c>
      <c r="EJ22" s="301" t="str">
        <f t="shared" ca="1" si="49"/>
        <v/>
      </c>
      <c r="EK22" s="301" t="str">
        <f t="shared" ca="1" si="49"/>
        <v/>
      </c>
      <c r="EL22" s="301" t="str">
        <f t="shared" ca="1" si="49"/>
        <v/>
      </c>
      <c r="EM22" s="301" t="str">
        <f t="shared" ca="1" si="49"/>
        <v/>
      </c>
      <c r="EN22" s="301" t="str">
        <f t="shared" ca="1" si="49"/>
        <v/>
      </c>
      <c r="EO22" s="301" t="str">
        <f t="shared" ca="1" si="49"/>
        <v/>
      </c>
      <c r="EP22" s="301" t="str">
        <f t="shared" ca="1" si="49"/>
        <v/>
      </c>
      <c r="EQ22" s="301" t="str">
        <f t="shared" ca="1" si="49"/>
        <v/>
      </c>
      <c r="ER22" s="301" t="str">
        <f t="shared" ca="1" si="49"/>
        <v/>
      </c>
      <c r="ES22" s="301" t="str">
        <f t="shared" ca="1" si="49"/>
        <v/>
      </c>
      <c r="ET22" s="301" t="str">
        <f t="shared" ca="1" si="49"/>
        <v/>
      </c>
      <c r="EU22" s="301" t="str">
        <f t="shared" ca="1" si="49"/>
        <v/>
      </c>
      <c r="EV22" s="301" t="str">
        <f t="shared" ca="1" si="49"/>
        <v/>
      </c>
      <c r="EW22" s="301" t="str">
        <f t="shared" ca="1" si="49"/>
        <v/>
      </c>
      <c r="EX22" s="301" t="str">
        <f t="shared" ca="1" si="49"/>
        <v/>
      </c>
      <c r="EY22" s="301" t="str">
        <f t="shared" ca="1" si="49"/>
        <v/>
      </c>
      <c r="EZ22" s="301" t="str">
        <f t="shared" ca="1" si="49"/>
        <v/>
      </c>
      <c r="FA22" s="301" t="str">
        <f t="shared" ca="1" si="49"/>
        <v/>
      </c>
      <c r="FB22" s="301" t="str">
        <f t="shared" ca="1" si="49"/>
        <v/>
      </c>
      <c r="FC22" s="301" t="str">
        <f t="shared" ca="1" si="49"/>
        <v/>
      </c>
      <c r="FD22" s="301" t="str">
        <f t="shared" ca="1" si="49"/>
        <v/>
      </c>
      <c r="FE22" s="301" t="str">
        <f t="shared" ca="1" si="49"/>
        <v/>
      </c>
      <c r="FF22" s="301" t="str">
        <f t="shared" ca="1" si="49"/>
        <v/>
      </c>
      <c r="FG22" s="301" t="str">
        <f t="shared" ca="1" si="49"/>
        <v/>
      </c>
      <c r="FH22" s="301" t="str">
        <f t="shared" ca="1" si="49"/>
        <v/>
      </c>
      <c r="FI22" s="301" t="str">
        <f t="shared" ca="1" si="49"/>
        <v/>
      </c>
      <c r="FJ22" s="301" t="str">
        <f t="shared" ca="1" si="49"/>
        <v/>
      </c>
      <c r="FK22" s="301" t="str">
        <f t="shared" ref="FK22:FN22" ca="1" si="50">IF(FK20&gt;=FK21,"","FIX COUNT")</f>
        <v/>
      </c>
      <c r="FL22" s="301" t="str">
        <f t="shared" ca="1" si="50"/>
        <v/>
      </c>
      <c r="FM22" s="301" t="str">
        <f t="shared" ca="1" si="50"/>
        <v/>
      </c>
      <c r="FN22" s="301" t="str">
        <f t="shared" ca="1" si="50"/>
        <v/>
      </c>
      <c r="FO22" s="144" t="s">
        <v>243</v>
      </c>
    </row>
    <row r="23" spans="1:171" ht="15" thickBot="1" x14ac:dyDescent="0.25">
      <c r="B23" s="925" t="s">
        <v>324</v>
      </c>
      <c r="C23" s="926"/>
      <c r="D23" s="926"/>
      <c r="E23" s="927">
        <f>IFERROR(SUMPRODUCT(E8:E21,$C$8:$C$21),0)</f>
        <v>233472</v>
      </c>
      <c r="F23" s="928"/>
      <c r="G23" s="926"/>
      <c r="H23" s="926"/>
      <c r="I23" s="926"/>
      <c r="J23" s="926"/>
      <c r="K23" s="926"/>
      <c r="L23" s="929">
        <f>IFERROR(SUMPRODUCT(L8:L21,$C$8:$C$21),0)</f>
        <v>321310</v>
      </c>
      <c r="M23" s="930"/>
      <c r="N23" s="931"/>
      <c r="O23" s="930"/>
      <c r="P23" s="931"/>
      <c r="Q23" s="932"/>
      <c r="R23" s="145"/>
      <c r="S23" s="933">
        <f>IFERROR(SUMPRODUCT(S8:S21,$C$8:$C$21),0)</f>
        <v>342800</v>
      </c>
      <c r="T23" s="934"/>
      <c r="U23" s="929">
        <f>IFERROR(SUMPRODUCT(U8:U21,$C$8:$C$21),0)</f>
        <v>372280</v>
      </c>
      <c r="V23" s="935"/>
      <c r="W23" s="145"/>
      <c r="X23" s="936" t="s">
        <v>325</v>
      </c>
      <c r="Y23" s="937"/>
      <c r="Z23" s="938">
        <f>Z22*12</f>
        <v>163140</v>
      </c>
      <c r="AG23" s="593"/>
      <c r="AK23" s="158" t="s">
        <v>326</v>
      </c>
      <c r="AL23" s="939">
        <f>AL79</f>
        <v>0.95901639344262291</v>
      </c>
      <c r="AM23" s="939">
        <f t="shared" ref="AM23:BQ23" ca="1" si="51">AM79</f>
        <v>0.94</v>
      </c>
      <c r="AN23" s="939">
        <f t="shared" ca="1" si="51"/>
        <v>0.94</v>
      </c>
      <c r="AO23" s="939">
        <f t="shared" ca="1" si="51"/>
        <v>0.94</v>
      </c>
      <c r="AP23" s="939">
        <f t="shared" ca="1" si="51"/>
        <v>0.94</v>
      </c>
      <c r="AQ23" s="939">
        <f t="shared" ca="1" si="51"/>
        <v>0.94</v>
      </c>
      <c r="AR23" s="939">
        <f t="shared" ca="1" si="51"/>
        <v>0.94</v>
      </c>
      <c r="AS23" s="939">
        <f t="shared" ca="1" si="51"/>
        <v>0.94</v>
      </c>
      <c r="AT23" s="939">
        <f t="shared" ca="1" si="51"/>
        <v>0.94</v>
      </c>
      <c r="AU23" s="939">
        <f t="shared" ca="1" si="51"/>
        <v>0.94</v>
      </c>
      <c r="AV23" s="939">
        <f t="shared" ca="1" si="51"/>
        <v>0.94</v>
      </c>
      <c r="AW23" s="939">
        <f t="shared" ca="1" si="51"/>
        <v>0.94</v>
      </c>
      <c r="AX23" s="939">
        <f t="shared" ca="1" si="51"/>
        <v>0.94</v>
      </c>
      <c r="AY23" s="939">
        <f t="shared" ca="1" si="51"/>
        <v>0.94</v>
      </c>
      <c r="AZ23" s="939">
        <f t="shared" ca="1" si="51"/>
        <v>0.94000000000000006</v>
      </c>
      <c r="BA23" s="939">
        <f t="shared" ca="1" si="51"/>
        <v>0.94</v>
      </c>
      <c r="BB23" s="939">
        <f t="shared" ca="1" si="51"/>
        <v>0.94</v>
      </c>
      <c r="BC23" s="939">
        <f t="shared" ca="1" si="51"/>
        <v>0.94</v>
      </c>
      <c r="BD23" s="939">
        <f t="shared" ca="1" si="51"/>
        <v>0.94000000000000006</v>
      </c>
      <c r="BE23" s="939">
        <f t="shared" ca="1" si="51"/>
        <v>0.94</v>
      </c>
      <c r="BF23" s="939">
        <f t="shared" ca="1" si="51"/>
        <v>0.94</v>
      </c>
      <c r="BG23" s="939">
        <f t="shared" ca="1" si="51"/>
        <v>0.94</v>
      </c>
      <c r="BH23" s="939">
        <f t="shared" ca="1" si="51"/>
        <v>0.94000000000000006</v>
      </c>
      <c r="BI23" s="939">
        <f t="shared" ca="1" si="51"/>
        <v>0.94</v>
      </c>
      <c r="BJ23" s="939">
        <f t="shared" ca="1" si="51"/>
        <v>0.94</v>
      </c>
      <c r="BK23" s="939">
        <f t="shared" ca="1" si="51"/>
        <v>0.95</v>
      </c>
      <c r="BL23" s="939">
        <f t="shared" ca="1" si="51"/>
        <v>0.95</v>
      </c>
      <c r="BM23" s="939">
        <f t="shared" ca="1" si="51"/>
        <v>0.95</v>
      </c>
      <c r="BN23" s="939">
        <f t="shared" ca="1" si="51"/>
        <v>0.95</v>
      </c>
      <c r="BO23" s="939">
        <f t="shared" ca="1" si="51"/>
        <v>0.95</v>
      </c>
      <c r="BP23" s="939">
        <f t="shared" ca="1" si="51"/>
        <v>0.95</v>
      </c>
      <c r="BQ23" s="939">
        <f t="shared" ca="1" si="51"/>
        <v>0.95</v>
      </c>
      <c r="BR23" s="939">
        <f t="shared" ref="BR23:CW23" ca="1" si="52">BR79</f>
        <v>0.95</v>
      </c>
      <c r="BS23" s="939">
        <f t="shared" ca="1" si="52"/>
        <v>0.95</v>
      </c>
      <c r="BT23" s="939">
        <f t="shared" ca="1" si="52"/>
        <v>0.95</v>
      </c>
      <c r="BU23" s="939">
        <f t="shared" ca="1" si="52"/>
        <v>0.95</v>
      </c>
      <c r="BV23" s="939">
        <f t="shared" ca="1" si="52"/>
        <v>0.95</v>
      </c>
      <c r="BW23" s="939">
        <f t="shared" ca="1" si="52"/>
        <v>0.95</v>
      </c>
      <c r="BX23" s="939">
        <f t="shared" ca="1" si="52"/>
        <v>0.95</v>
      </c>
      <c r="BY23" s="939">
        <f t="shared" ca="1" si="52"/>
        <v>0.95</v>
      </c>
      <c r="BZ23" s="939">
        <f t="shared" ca="1" si="52"/>
        <v>0.95</v>
      </c>
      <c r="CA23" s="939">
        <f t="shared" ca="1" si="52"/>
        <v>0.95</v>
      </c>
      <c r="CB23" s="939">
        <f t="shared" ca="1" si="52"/>
        <v>0.95</v>
      </c>
      <c r="CC23" s="939">
        <f t="shared" ca="1" si="52"/>
        <v>0.95</v>
      </c>
      <c r="CD23" s="939">
        <f t="shared" ca="1" si="52"/>
        <v>0.95</v>
      </c>
      <c r="CE23" s="939">
        <f t="shared" ca="1" si="52"/>
        <v>0.95</v>
      </c>
      <c r="CF23" s="939">
        <f t="shared" ca="1" si="52"/>
        <v>0.95</v>
      </c>
      <c r="CG23" s="939">
        <f t="shared" ca="1" si="52"/>
        <v>0.95</v>
      </c>
      <c r="CH23" s="939">
        <f t="shared" ca="1" si="52"/>
        <v>0.95</v>
      </c>
      <c r="CI23" s="939">
        <f t="shared" ca="1" si="52"/>
        <v>0.95</v>
      </c>
      <c r="CJ23" s="939">
        <f t="shared" ca="1" si="52"/>
        <v>0.95</v>
      </c>
      <c r="CK23" s="939">
        <f t="shared" ca="1" si="52"/>
        <v>0.95</v>
      </c>
      <c r="CL23" s="939">
        <f t="shared" ca="1" si="52"/>
        <v>0.95</v>
      </c>
      <c r="CM23" s="939">
        <f t="shared" ca="1" si="52"/>
        <v>0.95</v>
      </c>
      <c r="CN23" s="939">
        <f t="shared" ca="1" si="52"/>
        <v>0.95</v>
      </c>
      <c r="CO23" s="939">
        <f t="shared" ca="1" si="52"/>
        <v>0.95</v>
      </c>
      <c r="CP23" s="939">
        <f t="shared" ca="1" si="52"/>
        <v>0.95</v>
      </c>
      <c r="CQ23" s="939">
        <f t="shared" ca="1" si="52"/>
        <v>0.95</v>
      </c>
      <c r="CR23" s="939">
        <f t="shared" ca="1" si="52"/>
        <v>0.95</v>
      </c>
      <c r="CS23" s="939">
        <f t="shared" ca="1" si="52"/>
        <v>0.95</v>
      </c>
      <c r="CT23" s="939">
        <f t="shared" ca="1" si="52"/>
        <v>0.95</v>
      </c>
      <c r="CU23" s="939">
        <f t="shared" ca="1" si="52"/>
        <v>0.95</v>
      </c>
      <c r="CV23" s="939">
        <f t="shared" ca="1" si="52"/>
        <v>0.95</v>
      </c>
      <c r="CW23" s="939">
        <f t="shared" ca="1" si="52"/>
        <v>0.95</v>
      </c>
      <c r="CX23" s="939">
        <f t="shared" ref="CX23:EC23" ca="1" si="53">CX79</f>
        <v>0.95</v>
      </c>
      <c r="CY23" s="939">
        <f t="shared" ca="1" si="53"/>
        <v>0.95</v>
      </c>
      <c r="CZ23" s="939">
        <f t="shared" ca="1" si="53"/>
        <v>0.95</v>
      </c>
      <c r="DA23" s="939">
        <f t="shared" ca="1" si="53"/>
        <v>0.95</v>
      </c>
      <c r="DB23" s="939">
        <f t="shared" ca="1" si="53"/>
        <v>0.95</v>
      </c>
      <c r="DC23" s="939">
        <f t="shared" ca="1" si="53"/>
        <v>0.95</v>
      </c>
      <c r="DD23" s="939">
        <f t="shared" ca="1" si="53"/>
        <v>0.95</v>
      </c>
      <c r="DE23" s="939">
        <f t="shared" ca="1" si="53"/>
        <v>0.95</v>
      </c>
      <c r="DF23" s="939">
        <f t="shared" ca="1" si="53"/>
        <v>0.95</v>
      </c>
      <c r="DG23" s="939">
        <f t="shared" ca="1" si="53"/>
        <v>0.95</v>
      </c>
      <c r="DH23" s="939">
        <f t="shared" ca="1" si="53"/>
        <v>0.95</v>
      </c>
      <c r="DI23" s="939">
        <f t="shared" ca="1" si="53"/>
        <v>0.95</v>
      </c>
      <c r="DJ23" s="939">
        <f t="shared" ca="1" si="53"/>
        <v>0.95</v>
      </c>
      <c r="DK23" s="939">
        <f t="shared" ca="1" si="53"/>
        <v>0.95</v>
      </c>
      <c r="DL23" s="939">
        <f t="shared" ca="1" si="53"/>
        <v>0.95</v>
      </c>
      <c r="DM23" s="939">
        <f t="shared" ca="1" si="53"/>
        <v>0.95</v>
      </c>
      <c r="DN23" s="939">
        <f t="shared" ca="1" si="53"/>
        <v>0.95</v>
      </c>
      <c r="DO23" s="939">
        <f t="shared" ca="1" si="53"/>
        <v>0.95</v>
      </c>
      <c r="DP23" s="939">
        <f t="shared" ca="1" si="53"/>
        <v>0.95</v>
      </c>
      <c r="DQ23" s="939">
        <f t="shared" ca="1" si="53"/>
        <v>0.95</v>
      </c>
      <c r="DR23" s="939">
        <f t="shared" ca="1" si="53"/>
        <v>0.95</v>
      </c>
      <c r="DS23" s="939">
        <f t="shared" ca="1" si="53"/>
        <v>0.95</v>
      </c>
      <c r="DT23" s="939">
        <f t="shared" ca="1" si="53"/>
        <v>0.95</v>
      </c>
      <c r="DU23" s="939">
        <f t="shared" ca="1" si="53"/>
        <v>0.95</v>
      </c>
      <c r="DV23" s="939">
        <f t="shared" ca="1" si="53"/>
        <v>0.95</v>
      </c>
      <c r="DW23" s="939">
        <f t="shared" ca="1" si="53"/>
        <v>0.95</v>
      </c>
      <c r="DX23" s="939">
        <f t="shared" ca="1" si="53"/>
        <v>0.95</v>
      </c>
      <c r="DY23" s="939">
        <f t="shared" ca="1" si="53"/>
        <v>0.95</v>
      </c>
      <c r="DZ23" s="939">
        <f t="shared" ca="1" si="53"/>
        <v>0.95</v>
      </c>
      <c r="EA23" s="939">
        <f t="shared" ca="1" si="53"/>
        <v>0.95</v>
      </c>
      <c r="EB23" s="939">
        <f t="shared" ca="1" si="53"/>
        <v>0.95</v>
      </c>
      <c r="EC23" s="939">
        <f t="shared" ca="1" si="53"/>
        <v>0.95</v>
      </c>
      <c r="ED23" s="939">
        <f t="shared" ref="ED23:FN23" ca="1" si="54">ED79</f>
        <v>0.95</v>
      </c>
      <c r="EE23" s="939">
        <f t="shared" ca="1" si="54"/>
        <v>0.95</v>
      </c>
      <c r="EF23" s="939">
        <f t="shared" ca="1" si="54"/>
        <v>0.95</v>
      </c>
      <c r="EG23" s="939">
        <f t="shared" ca="1" si="54"/>
        <v>0.95</v>
      </c>
      <c r="EH23" s="939">
        <f t="shared" ca="1" si="54"/>
        <v>0.95</v>
      </c>
      <c r="EI23" s="939">
        <f t="shared" ca="1" si="54"/>
        <v>0.95</v>
      </c>
      <c r="EJ23" s="939">
        <f t="shared" ca="1" si="54"/>
        <v>0.95</v>
      </c>
      <c r="EK23" s="939">
        <f t="shared" ca="1" si="54"/>
        <v>0.95</v>
      </c>
      <c r="EL23" s="939">
        <f t="shared" ca="1" si="54"/>
        <v>0.95</v>
      </c>
      <c r="EM23" s="939">
        <f t="shared" ca="1" si="54"/>
        <v>0.95</v>
      </c>
      <c r="EN23" s="939">
        <f t="shared" ca="1" si="54"/>
        <v>0.95</v>
      </c>
      <c r="EO23" s="939">
        <f t="shared" ca="1" si="54"/>
        <v>0.95</v>
      </c>
      <c r="EP23" s="939">
        <f t="shared" ca="1" si="54"/>
        <v>0.95</v>
      </c>
      <c r="EQ23" s="939">
        <f t="shared" ca="1" si="54"/>
        <v>0.95</v>
      </c>
      <c r="ER23" s="939">
        <f t="shared" ca="1" si="54"/>
        <v>0.95</v>
      </c>
      <c r="ES23" s="939">
        <f t="shared" ca="1" si="54"/>
        <v>0.95</v>
      </c>
      <c r="ET23" s="939">
        <f t="shared" ca="1" si="54"/>
        <v>0.95</v>
      </c>
      <c r="EU23" s="939">
        <f t="shared" ca="1" si="54"/>
        <v>0.95</v>
      </c>
      <c r="EV23" s="939">
        <f t="shared" ca="1" si="54"/>
        <v>0.95</v>
      </c>
      <c r="EW23" s="939">
        <f t="shared" ca="1" si="54"/>
        <v>0.95</v>
      </c>
      <c r="EX23" s="939">
        <f t="shared" ca="1" si="54"/>
        <v>0.95</v>
      </c>
      <c r="EY23" s="939">
        <f t="shared" ca="1" si="54"/>
        <v>0.95</v>
      </c>
      <c r="EZ23" s="939">
        <f t="shared" ca="1" si="54"/>
        <v>0.95</v>
      </c>
      <c r="FA23" s="939">
        <f t="shared" ca="1" si="54"/>
        <v>0.95</v>
      </c>
      <c r="FB23" s="939">
        <f t="shared" ca="1" si="54"/>
        <v>0.95</v>
      </c>
      <c r="FC23" s="939">
        <f t="shared" ca="1" si="54"/>
        <v>0.95</v>
      </c>
      <c r="FD23" s="939">
        <f t="shared" ca="1" si="54"/>
        <v>0.95</v>
      </c>
      <c r="FE23" s="939">
        <f t="shared" ca="1" si="54"/>
        <v>0.95</v>
      </c>
      <c r="FF23" s="939">
        <f t="shared" ca="1" si="54"/>
        <v>0.95</v>
      </c>
      <c r="FG23" s="939">
        <f t="shared" ca="1" si="54"/>
        <v>0.95</v>
      </c>
      <c r="FH23" s="939">
        <f t="shared" ca="1" si="54"/>
        <v>0.95</v>
      </c>
      <c r="FI23" s="939">
        <f t="shared" ca="1" si="54"/>
        <v>0.95</v>
      </c>
      <c r="FJ23" s="939">
        <f t="shared" ca="1" si="54"/>
        <v>0.95</v>
      </c>
      <c r="FK23" s="939">
        <f t="shared" ca="1" si="54"/>
        <v>0.95</v>
      </c>
      <c r="FL23" s="939">
        <f t="shared" ca="1" si="54"/>
        <v>0.95</v>
      </c>
      <c r="FM23" s="939">
        <f t="shared" ca="1" si="54"/>
        <v>0.95</v>
      </c>
      <c r="FN23" s="939">
        <f t="shared" ca="1" si="54"/>
        <v>0.95</v>
      </c>
      <c r="FO23" s="144" t="s">
        <v>243</v>
      </c>
    </row>
    <row r="24" spans="1:171" ht="15" thickBot="1" x14ac:dyDescent="0.25">
      <c r="B24" s="936" t="s">
        <v>327</v>
      </c>
      <c r="C24" s="940"/>
      <c r="D24" s="940"/>
      <c r="E24" s="940"/>
      <c r="F24" s="941"/>
      <c r="G24" s="940"/>
      <c r="H24" s="940"/>
      <c r="I24" s="940"/>
      <c r="J24" s="940"/>
      <c r="K24" s="940"/>
      <c r="L24" s="942">
        <f>L23*12</f>
        <v>3855720</v>
      </c>
      <c r="M24" s="943"/>
      <c r="N24" s="944"/>
      <c r="O24" s="943"/>
      <c r="P24" s="944"/>
      <c r="Q24" s="945"/>
      <c r="R24" s="145"/>
      <c r="S24" s="946">
        <f>S23*12</f>
        <v>4113600</v>
      </c>
      <c r="T24" s="947"/>
      <c r="U24" s="942">
        <f>U23*12</f>
        <v>4467360</v>
      </c>
      <c r="V24" s="948"/>
      <c r="W24" s="145"/>
      <c r="AG24" s="593"/>
      <c r="AK24" s="878" t="s">
        <v>839</v>
      </c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  <c r="CL24" s="151"/>
      <c r="CM24" s="151"/>
      <c r="CN24" s="151"/>
      <c r="CO24" s="151"/>
      <c r="CP24" s="151"/>
      <c r="CQ24" s="151"/>
      <c r="CR24" s="151"/>
      <c r="CS24" s="151"/>
      <c r="CT24" s="151"/>
      <c r="CU24" s="151"/>
      <c r="CV24" s="151"/>
      <c r="CW24" s="151"/>
      <c r="CX24" s="151"/>
      <c r="CY24" s="151"/>
      <c r="CZ24" s="151"/>
      <c r="DA24" s="151"/>
      <c r="DB24" s="151"/>
      <c r="DC24" s="151"/>
      <c r="DD24" s="151"/>
      <c r="DE24" s="151"/>
      <c r="DF24" s="151"/>
      <c r="DG24" s="151"/>
      <c r="DH24" s="151"/>
      <c r="DI24" s="151"/>
      <c r="DJ24" s="151"/>
      <c r="DK24" s="151"/>
      <c r="DL24" s="151"/>
      <c r="DM24" s="151"/>
      <c r="DN24" s="151"/>
      <c r="DO24" s="151"/>
      <c r="DP24" s="151"/>
      <c r="DQ24" s="151"/>
      <c r="DR24" s="151"/>
      <c r="DS24" s="151"/>
      <c r="DT24" s="151"/>
      <c r="DU24" s="151"/>
      <c r="DV24" s="151"/>
      <c r="DW24" s="151"/>
      <c r="DX24" s="151"/>
      <c r="DY24" s="151"/>
      <c r="DZ24" s="151"/>
      <c r="EA24" s="151"/>
      <c r="EB24" s="151"/>
      <c r="EC24" s="151"/>
      <c r="ED24" s="151"/>
      <c r="EE24" s="151"/>
      <c r="EF24" s="151"/>
      <c r="EG24" s="151"/>
      <c r="EH24" s="151"/>
      <c r="EI24" s="151"/>
      <c r="EJ24" s="151"/>
      <c r="EK24" s="151"/>
      <c r="EL24" s="151"/>
      <c r="EM24" s="151"/>
      <c r="EN24" s="151"/>
      <c r="EO24" s="151"/>
      <c r="EP24" s="151"/>
      <c r="EQ24" s="151"/>
      <c r="ER24" s="151"/>
      <c r="ES24" s="151"/>
      <c r="ET24" s="151"/>
      <c r="EU24" s="151"/>
      <c r="EV24" s="151"/>
      <c r="EW24" s="151"/>
      <c r="EX24" s="151"/>
      <c r="EY24" s="151"/>
      <c r="EZ24" s="151"/>
      <c r="FA24" s="151"/>
      <c r="FB24" s="151"/>
      <c r="FC24" s="151"/>
      <c r="FD24" s="151"/>
      <c r="FE24" s="151"/>
      <c r="FF24" s="151"/>
      <c r="FG24" s="151"/>
      <c r="FH24" s="151"/>
      <c r="FI24" s="151"/>
      <c r="FJ24" s="151"/>
      <c r="FK24" s="151"/>
      <c r="FL24" s="151"/>
      <c r="FM24" s="151"/>
      <c r="FN24" s="151"/>
      <c r="FO24" s="144" t="s">
        <v>243</v>
      </c>
    </row>
    <row r="25" spans="1:171" x14ac:dyDescent="0.2">
      <c r="AK25" s="144" t="s">
        <v>840</v>
      </c>
      <c r="AM25" s="151">
        <f>AL27</f>
        <v>0</v>
      </c>
      <c r="AN25" s="151">
        <f>AM27</f>
        <v>5</v>
      </c>
      <c r="AO25" s="151">
        <f t="shared" ref="AO25:CZ25" si="55">AN27</f>
        <v>10</v>
      </c>
      <c r="AP25" s="151">
        <f t="shared" si="55"/>
        <v>15</v>
      </c>
      <c r="AQ25" s="151">
        <f t="shared" si="55"/>
        <v>20</v>
      </c>
      <c r="AR25" s="151">
        <f t="shared" si="55"/>
        <v>25</v>
      </c>
      <c r="AS25" s="151">
        <f t="shared" si="55"/>
        <v>30</v>
      </c>
      <c r="AT25" s="151">
        <f t="shared" si="55"/>
        <v>35</v>
      </c>
      <c r="AU25" s="151">
        <f t="shared" si="55"/>
        <v>40</v>
      </c>
      <c r="AV25" s="151">
        <f t="shared" si="55"/>
        <v>45</v>
      </c>
      <c r="AW25" s="151">
        <f t="shared" si="55"/>
        <v>50</v>
      </c>
      <c r="AX25" s="151">
        <f t="shared" si="55"/>
        <v>55</v>
      </c>
      <c r="AY25" s="151">
        <f t="shared" si="55"/>
        <v>60</v>
      </c>
      <c r="AZ25" s="151">
        <f t="shared" si="55"/>
        <v>68</v>
      </c>
      <c r="BA25" s="151">
        <f t="shared" si="55"/>
        <v>76</v>
      </c>
      <c r="BB25" s="151">
        <f t="shared" si="55"/>
        <v>84</v>
      </c>
      <c r="BC25" s="151">
        <f t="shared" si="55"/>
        <v>92</v>
      </c>
      <c r="BD25" s="151">
        <f t="shared" si="55"/>
        <v>100</v>
      </c>
      <c r="BE25" s="151">
        <f t="shared" si="55"/>
        <v>108</v>
      </c>
      <c r="BF25" s="151">
        <f t="shared" si="55"/>
        <v>116</v>
      </c>
      <c r="BG25" s="151">
        <f t="shared" si="55"/>
        <v>123</v>
      </c>
      <c r="BH25" s="151">
        <f t="shared" si="55"/>
        <v>130</v>
      </c>
      <c r="BI25" s="151">
        <f t="shared" si="55"/>
        <v>137</v>
      </c>
      <c r="BJ25" s="151">
        <f t="shared" si="55"/>
        <v>144</v>
      </c>
      <c r="BK25" s="151">
        <f t="shared" si="55"/>
        <v>151</v>
      </c>
      <c r="BL25" s="151">
        <f t="shared" si="55"/>
        <v>158</v>
      </c>
      <c r="BM25" s="151">
        <f t="shared" si="55"/>
        <v>165</v>
      </c>
      <c r="BN25" s="151">
        <f t="shared" si="55"/>
        <v>170</v>
      </c>
      <c r="BO25" s="151">
        <f t="shared" si="55"/>
        <v>175</v>
      </c>
      <c r="BP25" s="151">
        <f t="shared" si="55"/>
        <v>180</v>
      </c>
      <c r="BQ25" s="151">
        <f t="shared" si="55"/>
        <v>185</v>
      </c>
      <c r="BR25" s="151">
        <f t="shared" si="55"/>
        <v>190</v>
      </c>
      <c r="BS25" s="151">
        <f t="shared" si="55"/>
        <v>195</v>
      </c>
      <c r="BT25" s="151">
        <f t="shared" si="55"/>
        <v>195</v>
      </c>
      <c r="BU25" s="151">
        <f t="shared" si="55"/>
        <v>195</v>
      </c>
      <c r="BV25" s="151">
        <f t="shared" si="55"/>
        <v>195</v>
      </c>
      <c r="BW25" s="151">
        <f t="shared" si="55"/>
        <v>195</v>
      </c>
      <c r="BX25" s="151">
        <f t="shared" si="55"/>
        <v>195</v>
      </c>
      <c r="BY25" s="151">
        <f t="shared" si="55"/>
        <v>195</v>
      </c>
      <c r="BZ25" s="151">
        <f t="shared" si="55"/>
        <v>195</v>
      </c>
      <c r="CA25" s="151">
        <f t="shared" si="55"/>
        <v>195</v>
      </c>
      <c r="CB25" s="151">
        <f t="shared" si="55"/>
        <v>195</v>
      </c>
      <c r="CC25" s="151">
        <f t="shared" si="55"/>
        <v>195</v>
      </c>
      <c r="CD25" s="151">
        <f t="shared" si="55"/>
        <v>195</v>
      </c>
      <c r="CE25" s="151">
        <f t="shared" si="55"/>
        <v>195</v>
      </c>
      <c r="CF25" s="151">
        <f t="shared" si="55"/>
        <v>195</v>
      </c>
      <c r="CG25" s="151">
        <f t="shared" si="55"/>
        <v>195</v>
      </c>
      <c r="CH25" s="151">
        <f t="shared" si="55"/>
        <v>195</v>
      </c>
      <c r="CI25" s="151">
        <f t="shared" si="55"/>
        <v>195</v>
      </c>
      <c r="CJ25" s="151">
        <f t="shared" si="55"/>
        <v>195</v>
      </c>
      <c r="CK25" s="151">
        <f t="shared" si="55"/>
        <v>195</v>
      </c>
      <c r="CL25" s="151">
        <f t="shared" si="55"/>
        <v>195</v>
      </c>
      <c r="CM25" s="151">
        <f t="shared" si="55"/>
        <v>195</v>
      </c>
      <c r="CN25" s="151">
        <f t="shared" si="55"/>
        <v>195</v>
      </c>
      <c r="CO25" s="151">
        <f t="shared" si="55"/>
        <v>195</v>
      </c>
      <c r="CP25" s="151">
        <f t="shared" si="55"/>
        <v>195</v>
      </c>
      <c r="CQ25" s="151">
        <f t="shared" si="55"/>
        <v>195</v>
      </c>
      <c r="CR25" s="151">
        <f t="shared" si="55"/>
        <v>195</v>
      </c>
      <c r="CS25" s="151">
        <f t="shared" si="55"/>
        <v>195</v>
      </c>
      <c r="CT25" s="151">
        <f t="shared" si="55"/>
        <v>195</v>
      </c>
      <c r="CU25" s="151">
        <f t="shared" si="55"/>
        <v>195</v>
      </c>
      <c r="CV25" s="151">
        <f t="shared" si="55"/>
        <v>195</v>
      </c>
      <c r="CW25" s="151">
        <f t="shared" si="55"/>
        <v>195</v>
      </c>
      <c r="CX25" s="151">
        <f t="shared" si="55"/>
        <v>195</v>
      </c>
      <c r="CY25" s="151">
        <f t="shared" si="55"/>
        <v>195</v>
      </c>
      <c r="CZ25" s="151">
        <f t="shared" si="55"/>
        <v>195</v>
      </c>
      <c r="DA25" s="151">
        <f t="shared" ref="DA25:FL25" si="56">CZ27</f>
        <v>195</v>
      </c>
      <c r="DB25" s="151">
        <f t="shared" si="56"/>
        <v>195</v>
      </c>
      <c r="DC25" s="151">
        <f t="shared" si="56"/>
        <v>195</v>
      </c>
      <c r="DD25" s="151">
        <f t="shared" si="56"/>
        <v>195</v>
      </c>
      <c r="DE25" s="151">
        <f t="shared" si="56"/>
        <v>195</v>
      </c>
      <c r="DF25" s="151">
        <f t="shared" si="56"/>
        <v>195</v>
      </c>
      <c r="DG25" s="151">
        <f t="shared" si="56"/>
        <v>195</v>
      </c>
      <c r="DH25" s="151">
        <f t="shared" si="56"/>
        <v>195</v>
      </c>
      <c r="DI25" s="151">
        <f t="shared" si="56"/>
        <v>195</v>
      </c>
      <c r="DJ25" s="151">
        <f t="shared" si="56"/>
        <v>195</v>
      </c>
      <c r="DK25" s="151">
        <f t="shared" si="56"/>
        <v>195</v>
      </c>
      <c r="DL25" s="151">
        <f t="shared" si="56"/>
        <v>195</v>
      </c>
      <c r="DM25" s="151">
        <f t="shared" si="56"/>
        <v>195</v>
      </c>
      <c r="DN25" s="151">
        <f t="shared" si="56"/>
        <v>195</v>
      </c>
      <c r="DO25" s="151">
        <f t="shared" si="56"/>
        <v>195</v>
      </c>
      <c r="DP25" s="151">
        <f t="shared" si="56"/>
        <v>195</v>
      </c>
      <c r="DQ25" s="151">
        <f t="shared" si="56"/>
        <v>195</v>
      </c>
      <c r="DR25" s="151">
        <f t="shared" si="56"/>
        <v>195</v>
      </c>
      <c r="DS25" s="151">
        <f t="shared" si="56"/>
        <v>195</v>
      </c>
      <c r="DT25" s="151">
        <f t="shared" si="56"/>
        <v>195</v>
      </c>
      <c r="DU25" s="151">
        <f t="shared" si="56"/>
        <v>195</v>
      </c>
      <c r="DV25" s="151">
        <f t="shared" si="56"/>
        <v>195</v>
      </c>
      <c r="DW25" s="151">
        <f t="shared" si="56"/>
        <v>195</v>
      </c>
      <c r="DX25" s="151">
        <f t="shared" si="56"/>
        <v>195</v>
      </c>
      <c r="DY25" s="151">
        <f t="shared" si="56"/>
        <v>195</v>
      </c>
      <c r="DZ25" s="151">
        <f t="shared" si="56"/>
        <v>195</v>
      </c>
      <c r="EA25" s="151">
        <f t="shared" si="56"/>
        <v>195</v>
      </c>
      <c r="EB25" s="151">
        <f t="shared" si="56"/>
        <v>195</v>
      </c>
      <c r="EC25" s="151">
        <f t="shared" si="56"/>
        <v>195</v>
      </c>
      <c r="ED25" s="151">
        <f t="shared" si="56"/>
        <v>195</v>
      </c>
      <c r="EE25" s="151">
        <f t="shared" si="56"/>
        <v>195</v>
      </c>
      <c r="EF25" s="151">
        <f t="shared" si="56"/>
        <v>195</v>
      </c>
      <c r="EG25" s="151">
        <f t="shared" si="56"/>
        <v>195</v>
      </c>
      <c r="EH25" s="151">
        <f t="shared" si="56"/>
        <v>195</v>
      </c>
      <c r="EI25" s="151">
        <f t="shared" si="56"/>
        <v>195</v>
      </c>
      <c r="EJ25" s="151">
        <f t="shared" si="56"/>
        <v>195</v>
      </c>
      <c r="EK25" s="151">
        <f t="shared" si="56"/>
        <v>195</v>
      </c>
      <c r="EL25" s="151">
        <f t="shared" si="56"/>
        <v>195</v>
      </c>
      <c r="EM25" s="151">
        <f t="shared" si="56"/>
        <v>195</v>
      </c>
      <c r="EN25" s="151">
        <f t="shared" si="56"/>
        <v>195</v>
      </c>
      <c r="EO25" s="151">
        <f t="shared" si="56"/>
        <v>195</v>
      </c>
      <c r="EP25" s="151">
        <f t="shared" si="56"/>
        <v>195</v>
      </c>
      <c r="EQ25" s="151">
        <f t="shared" si="56"/>
        <v>195</v>
      </c>
      <c r="ER25" s="151">
        <f t="shared" si="56"/>
        <v>195</v>
      </c>
      <c r="ES25" s="151">
        <f t="shared" si="56"/>
        <v>195</v>
      </c>
      <c r="ET25" s="151">
        <f t="shared" si="56"/>
        <v>195</v>
      </c>
      <c r="EU25" s="151">
        <f t="shared" si="56"/>
        <v>195</v>
      </c>
      <c r="EV25" s="151">
        <f t="shared" si="56"/>
        <v>195</v>
      </c>
      <c r="EW25" s="151">
        <f t="shared" si="56"/>
        <v>195</v>
      </c>
      <c r="EX25" s="151">
        <f t="shared" si="56"/>
        <v>195</v>
      </c>
      <c r="EY25" s="151">
        <f t="shared" si="56"/>
        <v>195</v>
      </c>
      <c r="EZ25" s="151">
        <f t="shared" si="56"/>
        <v>195</v>
      </c>
      <c r="FA25" s="151">
        <f t="shared" si="56"/>
        <v>195</v>
      </c>
      <c r="FB25" s="151">
        <f t="shared" si="56"/>
        <v>195</v>
      </c>
      <c r="FC25" s="151">
        <f t="shared" si="56"/>
        <v>195</v>
      </c>
      <c r="FD25" s="151">
        <f t="shared" si="56"/>
        <v>195</v>
      </c>
      <c r="FE25" s="151">
        <f t="shared" si="56"/>
        <v>195</v>
      </c>
      <c r="FF25" s="151">
        <f t="shared" si="56"/>
        <v>195</v>
      </c>
      <c r="FG25" s="151">
        <f t="shared" si="56"/>
        <v>195</v>
      </c>
      <c r="FH25" s="151">
        <f t="shared" si="56"/>
        <v>195</v>
      </c>
      <c r="FI25" s="151">
        <f t="shared" si="56"/>
        <v>195</v>
      </c>
      <c r="FJ25" s="151">
        <f t="shared" si="56"/>
        <v>195</v>
      </c>
      <c r="FK25" s="151">
        <f t="shared" si="56"/>
        <v>195</v>
      </c>
      <c r="FL25" s="151">
        <f t="shared" si="56"/>
        <v>195</v>
      </c>
      <c r="FM25" s="151">
        <f t="shared" ref="FM25:FN25" si="57">FL27</f>
        <v>195</v>
      </c>
      <c r="FN25" s="151">
        <f t="shared" si="57"/>
        <v>195</v>
      </c>
      <c r="FO25" s="144" t="s">
        <v>243</v>
      </c>
    </row>
    <row r="26" spans="1:171" ht="15" thickBot="1" x14ac:dyDescent="0.25">
      <c r="AI26" s="878" t="s">
        <v>328</v>
      </c>
      <c r="AJ26" s="145"/>
      <c r="AK26" s="144" t="s">
        <v>841</v>
      </c>
      <c r="AM26" s="151">
        <f>AM21</f>
        <v>5</v>
      </c>
      <c r="AN26" s="151">
        <f>AN21</f>
        <v>5</v>
      </c>
      <c r="AO26" s="151">
        <f t="shared" ref="AO26:CZ26" si="58">AO21</f>
        <v>5</v>
      </c>
      <c r="AP26" s="151">
        <f t="shared" si="58"/>
        <v>5</v>
      </c>
      <c r="AQ26" s="151">
        <f t="shared" si="58"/>
        <v>5</v>
      </c>
      <c r="AR26" s="151">
        <f t="shared" si="58"/>
        <v>5</v>
      </c>
      <c r="AS26" s="151">
        <f t="shared" si="58"/>
        <v>5</v>
      </c>
      <c r="AT26" s="151">
        <f t="shared" si="58"/>
        <v>5</v>
      </c>
      <c r="AU26" s="151">
        <f t="shared" si="58"/>
        <v>5</v>
      </c>
      <c r="AV26" s="151">
        <f t="shared" si="58"/>
        <v>5</v>
      </c>
      <c r="AW26" s="151">
        <f t="shared" si="58"/>
        <v>5</v>
      </c>
      <c r="AX26" s="151">
        <f t="shared" si="58"/>
        <v>5</v>
      </c>
      <c r="AY26" s="151">
        <f t="shared" si="58"/>
        <v>8</v>
      </c>
      <c r="AZ26" s="151">
        <f t="shared" si="58"/>
        <v>8</v>
      </c>
      <c r="BA26" s="151">
        <f t="shared" si="58"/>
        <v>8</v>
      </c>
      <c r="BB26" s="151">
        <f t="shared" si="58"/>
        <v>8</v>
      </c>
      <c r="BC26" s="151">
        <f t="shared" si="58"/>
        <v>8</v>
      </c>
      <c r="BD26" s="151">
        <f t="shared" si="58"/>
        <v>8</v>
      </c>
      <c r="BE26" s="151">
        <f t="shared" si="58"/>
        <v>8</v>
      </c>
      <c r="BF26" s="151">
        <f t="shared" si="58"/>
        <v>7</v>
      </c>
      <c r="BG26" s="151">
        <f t="shared" si="58"/>
        <v>7</v>
      </c>
      <c r="BH26" s="151">
        <f t="shared" si="58"/>
        <v>7</v>
      </c>
      <c r="BI26" s="151">
        <f t="shared" si="58"/>
        <v>7</v>
      </c>
      <c r="BJ26" s="151">
        <f t="shared" si="58"/>
        <v>7</v>
      </c>
      <c r="BK26" s="151">
        <f t="shared" si="58"/>
        <v>7</v>
      </c>
      <c r="BL26" s="151">
        <f t="shared" si="58"/>
        <v>7</v>
      </c>
      <c r="BM26" s="151">
        <f t="shared" si="58"/>
        <v>5</v>
      </c>
      <c r="BN26" s="151">
        <f t="shared" si="58"/>
        <v>5</v>
      </c>
      <c r="BO26" s="151">
        <f t="shared" si="58"/>
        <v>5</v>
      </c>
      <c r="BP26" s="151">
        <f t="shared" si="58"/>
        <v>5</v>
      </c>
      <c r="BQ26" s="151">
        <f t="shared" si="58"/>
        <v>5</v>
      </c>
      <c r="BR26" s="151">
        <f t="shared" si="58"/>
        <v>5</v>
      </c>
      <c r="BS26" s="151">
        <f t="shared" si="58"/>
        <v>0</v>
      </c>
      <c r="BT26" s="151">
        <f t="shared" si="58"/>
        <v>0</v>
      </c>
      <c r="BU26" s="151">
        <f t="shared" si="58"/>
        <v>0</v>
      </c>
      <c r="BV26" s="151">
        <f t="shared" si="58"/>
        <v>0</v>
      </c>
      <c r="BW26" s="151">
        <f t="shared" si="58"/>
        <v>0</v>
      </c>
      <c r="BX26" s="151">
        <f t="shared" si="58"/>
        <v>0</v>
      </c>
      <c r="BY26" s="151">
        <f t="shared" si="58"/>
        <v>0</v>
      </c>
      <c r="BZ26" s="151">
        <f t="shared" si="58"/>
        <v>0</v>
      </c>
      <c r="CA26" s="151">
        <f t="shared" si="58"/>
        <v>0</v>
      </c>
      <c r="CB26" s="151">
        <f t="shared" si="58"/>
        <v>0</v>
      </c>
      <c r="CC26" s="151">
        <f t="shared" si="58"/>
        <v>0</v>
      </c>
      <c r="CD26" s="151">
        <f t="shared" si="58"/>
        <v>0</v>
      </c>
      <c r="CE26" s="151">
        <f t="shared" si="58"/>
        <v>0</v>
      </c>
      <c r="CF26" s="151">
        <f t="shared" si="58"/>
        <v>0</v>
      </c>
      <c r="CG26" s="151">
        <f t="shared" si="58"/>
        <v>0</v>
      </c>
      <c r="CH26" s="151">
        <f t="shared" si="58"/>
        <v>0</v>
      </c>
      <c r="CI26" s="151">
        <f t="shared" si="58"/>
        <v>0</v>
      </c>
      <c r="CJ26" s="151">
        <f t="shared" si="58"/>
        <v>0</v>
      </c>
      <c r="CK26" s="151">
        <f t="shared" si="58"/>
        <v>0</v>
      </c>
      <c r="CL26" s="151">
        <f t="shared" si="58"/>
        <v>0</v>
      </c>
      <c r="CM26" s="151">
        <f t="shared" si="58"/>
        <v>0</v>
      </c>
      <c r="CN26" s="151">
        <f t="shared" si="58"/>
        <v>0</v>
      </c>
      <c r="CO26" s="151">
        <f t="shared" si="58"/>
        <v>0</v>
      </c>
      <c r="CP26" s="151">
        <f t="shared" si="58"/>
        <v>0</v>
      </c>
      <c r="CQ26" s="151">
        <f t="shared" si="58"/>
        <v>0</v>
      </c>
      <c r="CR26" s="151">
        <f t="shared" si="58"/>
        <v>0</v>
      </c>
      <c r="CS26" s="151">
        <f t="shared" si="58"/>
        <v>0</v>
      </c>
      <c r="CT26" s="151">
        <f t="shared" si="58"/>
        <v>0</v>
      </c>
      <c r="CU26" s="151">
        <f t="shared" si="58"/>
        <v>0</v>
      </c>
      <c r="CV26" s="151">
        <f t="shared" si="58"/>
        <v>0</v>
      </c>
      <c r="CW26" s="151">
        <f t="shared" si="58"/>
        <v>0</v>
      </c>
      <c r="CX26" s="151">
        <f t="shared" si="58"/>
        <v>0</v>
      </c>
      <c r="CY26" s="151">
        <f t="shared" si="58"/>
        <v>0</v>
      </c>
      <c r="CZ26" s="151">
        <f t="shared" si="58"/>
        <v>0</v>
      </c>
      <c r="DA26" s="151">
        <f t="shared" ref="DA26:FL26" si="59">DA21</f>
        <v>0</v>
      </c>
      <c r="DB26" s="151">
        <f t="shared" si="59"/>
        <v>0</v>
      </c>
      <c r="DC26" s="151">
        <f t="shared" si="59"/>
        <v>0</v>
      </c>
      <c r="DD26" s="151">
        <f t="shared" si="59"/>
        <v>0</v>
      </c>
      <c r="DE26" s="151">
        <f t="shared" si="59"/>
        <v>0</v>
      </c>
      <c r="DF26" s="151">
        <f t="shared" si="59"/>
        <v>0</v>
      </c>
      <c r="DG26" s="151">
        <f t="shared" si="59"/>
        <v>0</v>
      </c>
      <c r="DH26" s="151">
        <f t="shared" si="59"/>
        <v>0</v>
      </c>
      <c r="DI26" s="151">
        <f t="shared" si="59"/>
        <v>0</v>
      </c>
      <c r="DJ26" s="151">
        <f t="shared" si="59"/>
        <v>0</v>
      </c>
      <c r="DK26" s="151">
        <f t="shared" si="59"/>
        <v>0</v>
      </c>
      <c r="DL26" s="151">
        <f t="shared" si="59"/>
        <v>0</v>
      </c>
      <c r="DM26" s="151">
        <f t="shared" si="59"/>
        <v>0</v>
      </c>
      <c r="DN26" s="151">
        <f t="shared" si="59"/>
        <v>0</v>
      </c>
      <c r="DO26" s="151">
        <f t="shared" si="59"/>
        <v>0</v>
      </c>
      <c r="DP26" s="151">
        <f t="shared" si="59"/>
        <v>0</v>
      </c>
      <c r="DQ26" s="151">
        <f t="shared" si="59"/>
        <v>0</v>
      </c>
      <c r="DR26" s="151">
        <f t="shared" si="59"/>
        <v>0</v>
      </c>
      <c r="DS26" s="151">
        <f t="shared" si="59"/>
        <v>0</v>
      </c>
      <c r="DT26" s="151">
        <f t="shared" si="59"/>
        <v>0</v>
      </c>
      <c r="DU26" s="151">
        <f t="shared" si="59"/>
        <v>0</v>
      </c>
      <c r="DV26" s="151">
        <f t="shared" si="59"/>
        <v>0</v>
      </c>
      <c r="DW26" s="151">
        <f t="shared" si="59"/>
        <v>0</v>
      </c>
      <c r="DX26" s="151">
        <f t="shared" si="59"/>
        <v>0</v>
      </c>
      <c r="DY26" s="151">
        <f t="shared" si="59"/>
        <v>0</v>
      </c>
      <c r="DZ26" s="151">
        <f t="shared" si="59"/>
        <v>0</v>
      </c>
      <c r="EA26" s="151">
        <f t="shared" si="59"/>
        <v>0</v>
      </c>
      <c r="EB26" s="151">
        <f t="shared" si="59"/>
        <v>0</v>
      </c>
      <c r="EC26" s="151">
        <f t="shared" si="59"/>
        <v>0</v>
      </c>
      <c r="ED26" s="151">
        <f t="shared" si="59"/>
        <v>0</v>
      </c>
      <c r="EE26" s="151">
        <f t="shared" si="59"/>
        <v>0</v>
      </c>
      <c r="EF26" s="151">
        <f t="shared" si="59"/>
        <v>0</v>
      </c>
      <c r="EG26" s="151">
        <f t="shared" si="59"/>
        <v>0</v>
      </c>
      <c r="EH26" s="151">
        <f t="shared" si="59"/>
        <v>0</v>
      </c>
      <c r="EI26" s="151">
        <f t="shared" si="59"/>
        <v>0</v>
      </c>
      <c r="EJ26" s="151">
        <f t="shared" si="59"/>
        <v>0</v>
      </c>
      <c r="EK26" s="151">
        <f t="shared" si="59"/>
        <v>0</v>
      </c>
      <c r="EL26" s="151">
        <f t="shared" si="59"/>
        <v>0</v>
      </c>
      <c r="EM26" s="151">
        <f t="shared" si="59"/>
        <v>0</v>
      </c>
      <c r="EN26" s="151">
        <f t="shared" si="59"/>
        <v>0</v>
      </c>
      <c r="EO26" s="151">
        <f t="shared" si="59"/>
        <v>0</v>
      </c>
      <c r="EP26" s="151">
        <f t="shared" si="59"/>
        <v>0</v>
      </c>
      <c r="EQ26" s="151">
        <f t="shared" si="59"/>
        <v>0</v>
      </c>
      <c r="ER26" s="151">
        <f t="shared" si="59"/>
        <v>0</v>
      </c>
      <c r="ES26" s="151">
        <f t="shared" si="59"/>
        <v>0</v>
      </c>
      <c r="ET26" s="151">
        <f t="shared" si="59"/>
        <v>0</v>
      </c>
      <c r="EU26" s="151">
        <f t="shared" si="59"/>
        <v>0</v>
      </c>
      <c r="EV26" s="151">
        <f t="shared" si="59"/>
        <v>0</v>
      </c>
      <c r="EW26" s="151">
        <f t="shared" si="59"/>
        <v>0</v>
      </c>
      <c r="EX26" s="151">
        <f t="shared" si="59"/>
        <v>0</v>
      </c>
      <c r="EY26" s="151">
        <f t="shared" si="59"/>
        <v>0</v>
      </c>
      <c r="EZ26" s="151">
        <f t="shared" si="59"/>
        <v>0</v>
      </c>
      <c r="FA26" s="151">
        <f t="shared" si="59"/>
        <v>0</v>
      </c>
      <c r="FB26" s="151">
        <f t="shared" si="59"/>
        <v>0</v>
      </c>
      <c r="FC26" s="151">
        <f t="shared" si="59"/>
        <v>0</v>
      </c>
      <c r="FD26" s="151">
        <f t="shared" si="59"/>
        <v>0</v>
      </c>
      <c r="FE26" s="151">
        <f t="shared" si="59"/>
        <v>0</v>
      </c>
      <c r="FF26" s="151">
        <f t="shared" si="59"/>
        <v>0</v>
      </c>
      <c r="FG26" s="151">
        <f t="shared" si="59"/>
        <v>0</v>
      </c>
      <c r="FH26" s="151">
        <f t="shared" si="59"/>
        <v>0</v>
      </c>
      <c r="FI26" s="151">
        <f t="shared" si="59"/>
        <v>0</v>
      </c>
      <c r="FJ26" s="151">
        <f t="shared" si="59"/>
        <v>0</v>
      </c>
      <c r="FK26" s="151">
        <f t="shared" si="59"/>
        <v>0</v>
      </c>
      <c r="FL26" s="151">
        <f t="shared" si="59"/>
        <v>0</v>
      </c>
      <c r="FM26" s="151">
        <f t="shared" ref="FM26:FN26" si="60">FM21</f>
        <v>0</v>
      </c>
      <c r="FN26" s="151">
        <f t="shared" si="60"/>
        <v>0</v>
      </c>
      <c r="FO26" s="144" t="s">
        <v>243</v>
      </c>
    </row>
    <row r="27" spans="1:171" s="145" customFormat="1" x14ac:dyDescent="0.2">
      <c r="A27" s="144"/>
      <c r="B27" s="883" t="s">
        <v>236</v>
      </c>
      <c r="C27" s="949"/>
      <c r="D27" s="950" t="s">
        <v>96</v>
      </c>
      <c r="E27" s="950" t="s">
        <v>232</v>
      </c>
      <c r="F27" s="951" t="s">
        <v>280</v>
      </c>
      <c r="G27" s="950" t="s">
        <v>329</v>
      </c>
      <c r="H27" s="885" t="s">
        <v>330</v>
      </c>
      <c r="I27" s="886"/>
      <c r="J27" s="952" t="s">
        <v>78</v>
      </c>
      <c r="K27" s="953" t="s">
        <v>331</v>
      </c>
      <c r="M27" s="883" t="s">
        <v>332</v>
      </c>
      <c r="N27" s="949"/>
      <c r="O27" s="950" t="s">
        <v>96</v>
      </c>
      <c r="P27" s="950" t="s">
        <v>232</v>
      </c>
      <c r="Q27" s="950" t="s">
        <v>333</v>
      </c>
      <c r="R27" s="950"/>
      <c r="S27" s="1382" t="s">
        <v>334</v>
      </c>
      <c r="T27" s="1386"/>
      <c r="U27" s="1382" t="s">
        <v>334</v>
      </c>
      <c r="V27" s="1384"/>
      <c r="W27" s="158"/>
      <c r="X27" s="954" t="s">
        <v>335</v>
      </c>
      <c r="Y27" s="1383" t="s">
        <v>336</v>
      </c>
      <c r="Z27" s="1383"/>
      <c r="AA27" s="1382" t="s">
        <v>293</v>
      </c>
      <c r="AB27" s="1383"/>
      <c r="AC27" s="1383"/>
      <c r="AD27" s="1382" t="s">
        <v>337</v>
      </c>
      <c r="AE27" s="1383"/>
      <c r="AF27" s="1384"/>
      <c r="AG27" s="955"/>
      <c r="AH27" s="955"/>
      <c r="AI27" s="157">
        <f>MAX(AM27:FN27)</f>
        <v>195</v>
      </c>
      <c r="AJ27" s="144" t="str">
        <f>IF(AI27=AI21,"OK","ERROR")</f>
        <v>OK</v>
      </c>
      <c r="AK27" s="145" t="s">
        <v>842</v>
      </c>
      <c r="AL27" s="882"/>
      <c r="AM27" s="882">
        <f>SUM(AM25:AM26)</f>
        <v>5</v>
      </c>
      <c r="AN27" s="882">
        <f>SUM(AN25:AN26)</f>
        <v>10</v>
      </c>
      <c r="AO27" s="882">
        <f t="shared" ref="AO27:CZ27" si="61">SUM(AO25:AO26)</f>
        <v>15</v>
      </c>
      <c r="AP27" s="882">
        <f t="shared" si="61"/>
        <v>20</v>
      </c>
      <c r="AQ27" s="882">
        <f t="shared" si="61"/>
        <v>25</v>
      </c>
      <c r="AR27" s="882">
        <f t="shared" si="61"/>
        <v>30</v>
      </c>
      <c r="AS27" s="882">
        <f t="shared" si="61"/>
        <v>35</v>
      </c>
      <c r="AT27" s="882">
        <f t="shared" si="61"/>
        <v>40</v>
      </c>
      <c r="AU27" s="882">
        <f t="shared" si="61"/>
        <v>45</v>
      </c>
      <c r="AV27" s="882">
        <f t="shared" si="61"/>
        <v>50</v>
      </c>
      <c r="AW27" s="882">
        <f t="shared" si="61"/>
        <v>55</v>
      </c>
      <c r="AX27" s="882">
        <f t="shared" si="61"/>
        <v>60</v>
      </c>
      <c r="AY27" s="882">
        <f t="shared" si="61"/>
        <v>68</v>
      </c>
      <c r="AZ27" s="882">
        <f t="shared" si="61"/>
        <v>76</v>
      </c>
      <c r="BA27" s="882">
        <f t="shared" si="61"/>
        <v>84</v>
      </c>
      <c r="BB27" s="882">
        <f t="shared" si="61"/>
        <v>92</v>
      </c>
      <c r="BC27" s="882">
        <f t="shared" si="61"/>
        <v>100</v>
      </c>
      <c r="BD27" s="882">
        <f t="shared" si="61"/>
        <v>108</v>
      </c>
      <c r="BE27" s="882">
        <f t="shared" si="61"/>
        <v>116</v>
      </c>
      <c r="BF27" s="882">
        <f t="shared" si="61"/>
        <v>123</v>
      </c>
      <c r="BG27" s="882">
        <f t="shared" si="61"/>
        <v>130</v>
      </c>
      <c r="BH27" s="882">
        <f t="shared" si="61"/>
        <v>137</v>
      </c>
      <c r="BI27" s="882">
        <f t="shared" si="61"/>
        <v>144</v>
      </c>
      <c r="BJ27" s="882">
        <f t="shared" si="61"/>
        <v>151</v>
      </c>
      <c r="BK27" s="882">
        <f t="shared" si="61"/>
        <v>158</v>
      </c>
      <c r="BL27" s="882">
        <f t="shared" si="61"/>
        <v>165</v>
      </c>
      <c r="BM27" s="882">
        <f t="shared" si="61"/>
        <v>170</v>
      </c>
      <c r="BN27" s="882">
        <f t="shared" si="61"/>
        <v>175</v>
      </c>
      <c r="BO27" s="882">
        <f t="shared" si="61"/>
        <v>180</v>
      </c>
      <c r="BP27" s="882">
        <f t="shared" si="61"/>
        <v>185</v>
      </c>
      <c r="BQ27" s="882">
        <f t="shared" si="61"/>
        <v>190</v>
      </c>
      <c r="BR27" s="882">
        <f t="shared" si="61"/>
        <v>195</v>
      </c>
      <c r="BS27" s="882">
        <f t="shared" si="61"/>
        <v>195</v>
      </c>
      <c r="BT27" s="882">
        <f t="shared" si="61"/>
        <v>195</v>
      </c>
      <c r="BU27" s="882">
        <f t="shared" si="61"/>
        <v>195</v>
      </c>
      <c r="BV27" s="882">
        <f t="shared" si="61"/>
        <v>195</v>
      </c>
      <c r="BW27" s="882">
        <f t="shared" si="61"/>
        <v>195</v>
      </c>
      <c r="BX27" s="882">
        <f t="shared" si="61"/>
        <v>195</v>
      </c>
      <c r="BY27" s="882">
        <f t="shared" si="61"/>
        <v>195</v>
      </c>
      <c r="BZ27" s="882">
        <f t="shared" si="61"/>
        <v>195</v>
      </c>
      <c r="CA27" s="882">
        <f t="shared" si="61"/>
        <v>195</v>
      </c>
      <c r="CB27" s="882">
        <f t="shared" si="61"/>
        <v>195</v>
      </c>
      <c r="CC27" s="882">
        <f t="shared" si="61"/>
        <v>195</v>
      </c>
      <c r="CD27" s="882">
        <f t="shared" si="61"/>
        <v>195</v>
      </c>
      <c r="CE27" s="882">
        <f t="shared" si="61"/>
        <v>195</v>
      </c>
      <c r="CF27" s="882">
        <f t="shared" si="61"/>
        <v>195</v>
      </c>
      <c r="CG27" s="882">
        <f t="shared" si="61"/>
        <v>195</v>
      </c>
      <c r="CH27" s="882">
        <f t="shared" si="61"/>
        <v>195</v>
      </c>
      <c r="CI27" s="882">
        <f t="shared" si="61"/>
        <v>195</v>
      </c>
      <c r="CJ27" s="882">
        <f t="shared" si="61"/>
        <v>195</v>
      </c>
      <c r="CK27" s="882">
        <f t="shared" si="61"/>
        <v>195</v>
      </c>
      <c r="CL27" s="882">
        <f t="shared" si="61"/>
        <v>195</v>
      </c>
      <c r="CM27" s="882">
        <f t="shared" si="61"/>
        <v>195</v>
      </c>
      <c r="CN27" s="882">
        <f t="shared" si="61"/>
        <v>195</v>
      </c>
      <c r="CO27" s="882">
        <f t="shared" si="61"/>
        <v>195</v>
      </c>
      <c r="CP27" s="882">
        <f t="shared" si="61"/>
        <v>195</v>
      </c>
      <c r="CQ27" s="882">
        <f t="shared" si="61"/>
        <v>195</v>
      </c>
      <c r="CR27" s="882">
        <f t="shared" si="61"/>
        <v>195</v>
      </c>
      <c r="CS27" s="882">
        <f t="shared" si="61"/>
        <v>195</v>
      </c>
      <c r="CT27" s="882">
        <f t="shared" si="61"/>
        <v>195</v>
      </c>
      <c r="CU27" s="882">
        <f t="shared" si="61"/>
        <v>195</v>
      </c>
      <c r="CV27" s="882">
        <f t="shared" si="61"/>
        <v>195</v>
      </c>
      <c r="CW27" s="882">
        <f t="shared" si="61"/>
        <v>195</v>
      </c>
      <c r="CX27" s="882">
        <f t="shared" si="61"/>
        <v>195</v>
      </c>
      <c r="CY27" s="882">
        <f t="shared" si="61"/>
        <v>195</v>
      </c>
      <c r="CZ27" s="882">
        <f t="shared" si="61"/>
        <v>195</v>
      </c>
      <c r="DA27" s="882">
        <f t="shared" ref="DA27:FL27" si="62">SUM(DA25:DA26)</f>
        <v>195</v>
      </c>
      <c r="DB27" s="882">
        <f t="shared" si="62"/>
        <v>195</v>
      </c>
      <c r="DC27" s="882">
        <f t="shared" si="62"/>
        <v>195</v>
      </c>
      <c r="DD27" s="882">
        <f t="shared" si="62"/>
        <v>195</v>
      </c>
      <c r="DE27" s="882">
        <f t="shared" si="62"/>
        <v>195</v>
      </c>
      <c r="DF27" s="882">
        <f t="shared" si="62"/>
        <v>195</v>
      </c>
      <c r="DG27" s="882">
        <f t="shared" si="62"/>
        <v>195</v>
      </c>
      <c r="DH27" s="882">
        <f t="shared" si="62"/>
        <v>195</v>
      </c>
      <c r="DI27" s="882">
        <f t="shared" si="62"/>
        <v>195</v>
      </c>
      <c r="DJ27" s="882">
        <f t="shared" si="62"/>
        <v>195</v>
      </c>
      <c r="DK27" s="882">
        <f t="shared" si="62"/>
        <v>195</v>
      </c>
      <c r="DL27" s="882">
        <f t="shared" si="62"/>
        <v>195</v>
      </c>
      <c r="DM27" s="882">
        <f t="shared" si="62"/>
        <v>195</v>
      </c>
      <c r="DN27" s="882">
        <f t="shared" si="62"/>
        <v>195</v>
      </c>
      <c r="DO27" s="882">
        <f t="shared" si="62"/>
        <v>195</v>
      </c>
      <c r="DP27" s="882">
        <f t="shared" si="62"/>
        <v>195</v>
      </c>
      <c r="DQ27" s="882">
        <f t="shared" si="62"/>
        <v>195</v>
      </c>
      <c r="DR27" s="882">
        <f t="shared" si="62"/>
        <v>195</v>
      </c>
      <c r="DS27" s="882">
        <f t="shared" si="62"/>
        <v>195</v>
      </c>
      <c r="DT27" s="882">
        <f t="shared" si="62"/>
        <v>195</v>
      </c>
      <c r="DU27" s="882">
        <f t="shared" si="62"/>
        <v>195</v>
      </c>
      <c r="DV27" s="882">
        <f t="shared" si="62"/>
        <v>195</v>
      </c>
      <c r="DW27" s="882">
        <f t="shared" si="62"/>
        <v>195</v>
      </c>
      <c r="DX27" s="882">
        <f t="shared" si="62"/>
        <v>195</v>
      </c>
      <c r="DY27" s="882">
        <f t="shared" si="62"/>
        <v>195</v>
      </c>
      <c r="DZ27" s="882">
        <f t="shared" si="62"/>
        <v>195</v>
      </c>
      <c r="EA27" s="882">
        <f t="shared" si="62"/>
        <v>195</v>
      </c>
      <c r="EB27" s="882">
        <f t="shared" si="62"/>
        <v>195</v>
      </c>
      <c r="EC27" s="882">
        <f t="shared" si="62"/>
        <v>195</v>
      </c>
      <c r="ED27" s="882">
        <f t="shared" si="62"/>
        <v>195</v>
      </c>
      <c r="EE27" s="882">
        <f t="shared" si="62"/>
        <v>195</v>
      </c>
      <c r="EF27" s="882">
        <f t="shared" si="62"/>
        <v>195</v>
      </c>
      <c r="EG27" s="882">
        <f t="shared" si="62"/>
        <v>195</v>
      </c>
      <c r="EH27" s="882">
        <f t="shared" si="62"/>
        <v>195</v>
      </c>
      <c r="EI27" s="882">
        <f t="shared" si="62"/>
        <v>195</v>
      </c>
      <c r="EJ27" s="882">
        <f t="shared" si="62"/>
        <v>195</v>
      </c>
      <c r="EK27" s="882">
        <f t="shared" si="62"/>
        <v>195</v>
      </c>
      <c r="EL27" s="882">
        <f t="shared" si="62"/>
        <v>195</v>
      </c>
      <c r="EM27" s="882">
        <f t="shared" si="62"/>
        <v>195</v>
      </c>
      <c r="EN27" s="882">
        <f t="shared" si="62"/>
        <v>195</v>
      </c>
      <c r="EO27" s="882">
        <f t="shared" si="62"/>
        <v>195</v>
      </c>
      <c r="EP27" s="882">
        <f t="shared" si="62"/>
        <v>195</v>
      </c>
      <c r="EQ27" s="882">
        <f t="shared" si="62"/>
        <v>195</v>
      </c>
      <c r="ER27" s="882">
        <f t="shared" si="62"/>
        <v>195</v>
      </c>
      <c r="ES27" s="882">
        <f t="shared" si="62"/>
        <v>195</v>
      </c>
      <c r="ET27" s="882">
        <f t="shared" si="62"/>
        <v>195</v>
      </c>
      <c r="EU27" s="882">
        <f t="shared" si="62"/>
        <v>195</v>
      </c>
      <c r="EV27" s="882">
        <f t="shared" si="62"/>
        <v>195</v>
      </c>
      <c r="EW27" s="882">
        <f t="shared" si="62"/>
        <v>195</v>
      </c>
      <c r="EX27" s="882">
        <f t="shared" si="62"/>
        <v>195</v>
      </c>
      <c r="EY27" s="882">
        <f t="shared" si="62"/>
        <v>195</v>
      </c>
      <c r="EZ27" s="882">
        <f t="shared" si="62"/>
        <v>195</v>
      </c>
      <c r="FA27" s="882">
        <f t="shared" si="62"/>
        <v>195</v>
      </c>
      <c r="FB27" s="882">
        <f t="shared" si="62"/>
        <v>195</v>
      </c>
      <c r="FC27" s="882">
        <f t="shared" si="62"/>
        <v>195</v>
      </c>
      <c r="FD27" s="882">
        <f t="shared" si="62"/>
        <v>195</v>
      </c>
      <c r="FE27" s="882">
        <f t="shared" si="62"/>
        <v>195</v>
      </c>
      <c r="FF27" s="882">
        <f t="shared" si="62"/>
        <v>195</v>
      </c>
      <c r="FG27" s="882">
        <f t="shared" si="62"/>
        <v>195</v>
      </c>
      <c r="FH27" s="882">
        <f t="shared" si="62"/>
        <v>195</v>
      </c>
      <c r="FI27" s="882">
        <f t="shared" si="62"/>
        <v>195</v>
      </c>
      <c r="FJ27" s="882">
        <f t="shared" si="62"/>
        <v>195</v>
      </c>
      <c r="FK27" s="882">
        <f t="shared" si="62"/>
        <v>195</v>
      </c>
      <c r="FL27" s="882">
        <f t="shared" si="62"/>
        <v>195</v>
      </c>
      <c r="FM27" s="882">
        <f t="shared" ref="FM27:FN27" si="63">SUM(FM25:FM26)</f>
        <v>195</v>
      </c>
      <c r="FN27" s="882">
        <f t="shared" si="63"/>
        <v>195</v>
      </c>
      <c r="FO27" s="144" t="s">
        <v>243</v>
      </c>
    </row>
    <row r="28" spans="1:171" s="145" customFormat="1" ht="15" thickBot="1" x14ac:dyDescent="0.25">
      <c r="A28" s="144"/>
      <c r="B28" s="888" t="s">
        <v>172</v>
      </c>
      <c r="C28" s="889" t="s">
        <v>305</v>
      </c>
      <c r="D28" s="889" t="s">
        <v>310</v>
      </c>
      <c r="E28" s="889" t="s">
        <v>310</v>
      </c>
      <c r="F28" s="956" t="s">
        <v>338</v>
      </c>
      <c r="G28" s="889" t="s">
        <v>339</v>
      </c>
      <c r="H28" s="890" t="s">
        <v>338</v>
      </c>
      <c r="I28" s="889" t="s">
        <v>339</v>
      </c>
      <c r="J28" s="889" t="s">
        <v>340</v>
      </c>
      <c r="K28" s="957" t="s">
        <v>310</v>
      </c>
      <c r="M28" s="888" t="s">
        <v>172</v>
      </c>
      <c r="N28" s="889" t="s">
        <v>305</v>
      </c>
      <c r="O28" s="889" t="s">
        <v>310</v>
      </c>
      <c r="P28" s="889" t="s">
        <v>310</v>
      </c>
      <c r="Q28" s="889" t="s">
        <v>310</v>
      </c>
      <c r="R28" s="889"/>
      <c r="S28" s="890" t="s">
        <v>341</v>
      </c>
      <c r="T28" s="889" t="s">
        <v>342</v>
      </c>
      <c r="U28" s="890" t="s">
        <v>343</v>
      </c>
      <c r="V28" s="892" t="s">
        <v>344</v>
      </c>
      <c r="W28" s="158"/>
      <c r="X28" s="958" t="s">
        <v>345</v>
      </c>
      <c r="Y28" s="889" t="s">
        <v>346</v>
      </c>
      <c r="Z28" s="889" t="s">
        <v>310</v>
      </c>
      <c r="AA28" s="890" t="s">
        <v>346</v>
      </c>
      <c r="AB28" s="889" t="s">
        <v>310</v>
      </c>
      <c r="AC28" s="889" t="s">
        <v>171</v>
      </c>
      <c r="AD28" s="890" t="s">
        <v>346</v>
      </c>
      <c r="AE28" s="889" t="s">
        <v>310</v>
      </c>
      <c r="AF28" s="892" t="s">
        <v>171</v>
      </c>
      <c r="AG28" s="955"/>
      <c r="AH28" s="955"/>
      <c r="AI28" s="144"/>
      <c r="AK28" s="144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1"/>
      <c r="CH28" s="151"/>
      <c r="CI28" s="151"/>
      <c r="CJ28" s="151"/>
      <c r="CK28" s="151"/>
      <c r="CL28" s="151"/>
      <c r="CM28" s="151"/>
      <c r="CN28" s="151"/>
      <c r="CO28" s="151"/>
      <c r="CP28" s="151"/>
      <c r="CQ28" s="151"/>
      <c r="CR28" s="151"/>
      <c r="CS28" s="151"/>
      <c r="CT28" s="151"/>
      <c r="CU28" s="151"/>
      <c r="CV28" s="151"/>
      <c r="CW28" s="151"/>
      <c r="CX28" s="151"/>
      <c r="CY28" s="151"/>
      <c r="CZ28" s="151"/>
      <c r="DA28" s="151"/>
      <c r="DB28" s="151"/>
      <c r="DC28" s="151"/>
      <c r="DD28" s="151"/>
      <c r="DE28" s="151"/>
      <c r="DF28" s="151"/>
      <c r="DG28" s="151"/>
      <c r="DH28" s="151"/>
      <c r="DI28" s="151"/>
      <c r="DJ28" s="151"/>
      <c r="DK28" s="151"/>
      <c r="DL28" s="151"/>
      <c r="DM28" s="151"/>
      <c r="DN28" s="151"/>
      <c r="DO28" s="151"/>
      <c r="DP28" s="151"/>
      <c r="DQ28" s="151"/>
      <c r="DR28" s="151"/>
      <c r="DS28" s="151"/>
      <c r="DT28" s="151"/>
      <c r="DU28" s="151"/>
      <c r="DV28" s="151"/>
      <c r="DW28" s="151"/>
      <c r="DX28" s="151"/>
      <c r="DY28" s="151"/>
      <c r="DZ28" s="151"/>
      <c r="EA28" s="151"/>
      <c r="EB28" s="151"/>
      <c r="EC28" s="151"/>
      <c r="ED28" s="151"/>
      <c r="EE28" s="151"/>
      <c r="EF28" s="151"/>
      <c r="EG28" s="151"/>
      <c r="EH28" s="151"/>
      <c r="EI28" s="151"/>
      <c r="EJ28" s="151"/>
      <c r="EK28" s="151"/>
      <c r="EL28" s="151"/>
      <c r="EM28" s="151"/>
      <c r="EN28" s="151"/>
      <c r="EO28" s="151"/>
      <c r="EP28" s="151"/>
      <c r="EQ28" s="151"/>
      <c r="ER28" s="151"/>
      <c r="ES28" s="151"/>
      <c r="ET28" s="151"/>
      <c r="EU28" s="151"/>
      <c r="EV28" s="151"/>
      <c r="EW28" s="151"/>
      <c r="EX28" s="151"/>
      <c r="EY28" s="151"/>
      <c r="EZ28" s="151"/>
      <c r="FA28" s="151"/>
      <c r="FB28" s="151"/>
      <c r="FC28" s="151"/>
      <c r="FD28" s="151"/>
      <c r="FE28" s="151"/>
      <c r="FF28" s="151"/>
      <c r="FG28" s="151"/>
      <c r="FH28" s="151"/>
      <c r="FI28" s="151"/>
      <c r="FJ28" s="151"/>
      <c r="FK28" s="151"/>
      <c r="FL28" s="151"/>
      <c r="FM28" s="151"/>
      <c r="FN28" s="151"/>
      <c r="FO28" s="144" t="s">
        <v>243</v>
      </c>
    </row>
    <row r="29" spans="1:171" x14ac:dyDescent="0.2">
      <c r="B29" s="721" t="str">
        <f>B8</f>
        <v>1x1</v>
      </c>
      <c r="C29" s="151">
        <f>F8</f>
        <v>37</v>
      </c>
      <c r="D29" s="550">
        <f>IFERROR(AVERAGEIFS(Rent_Roll[Market
Rent],Rent_Roll[SqFt],'Unit Mix-Reno Schedule'!$E8,Rent_Roll[Unit
Status],"Occupied"),0)</f>
        <v>1082.0270270270271</v>
      </c>
      <c r="E29" s="550">
        <f>N8</f>
        <v>1027.2972972972973</v>
      </c>
      <c r="F29" s="897">
        <f>IFERROR(E29-D29,"")</f>
        <v>-54.729729729729797</v>
      </c>
      <c r="G29" s="225">
        <f>IFERROR(-F29/D29,"")</f>
        <v>5.0580741850880538E-2</v>
      </c>
      <c r="H29" s="897">
        <v>0</v>
      </c>
      <c r="I29" s="225">
        <v>0</v>
      </c>
      <c r="J29" s="550">
        <v>0</v>
      </c>
      <c r="K29" s="959">
        <f>IFERROR(D29+F29+H29+J29,"")</f>
        <v>1027.2972972972973</v>
      </c>
      <c r="M29" s="721" t="str">
        <f>B29</f>
        <v>1x1</v>
      </c>
      <c r="N29" s="151">
        <f>C8</f>
        <v>38</v>
      </c>
      <c r="O29" s="550">
        <f>L8</f>
        <v>1081.8421052631579</v>
      </c>
      <c r="P29" s="550">
        <f>N8</f>
        <v>1027.2972972972973</v>
      </c>
      <c r="Q29" s="550">
        <f t="shared" ref="Q29:Q40" si="64">IF(ISNUMBER(U8),U8,"")</f>
        <v>1175</v>
      </c>
      <c r="R29" s="550"/>
      <c r="S29" s="897">
        <f t="shared" ref="S29:S42" si="65">IFERROR(Q29-O29,"")</f>
        <v>93.157894736842081</v>
      </c>
      <c r="T29" s="225">
        <f t="shared" ref="T29:T43" si="66">IFERROR(S29/O29,"")</f>
        <v>8.611043541717342E-2</v>
      </c>
      <c r="U29" s="897">
        <f t="shared" ref="U29:U42" si="67">IFERROR(Q29-P29,"")</f>
        <v>147.70270270270271</v>
      </c>
      <c r="V29" s="960">
        <f t="shared" ref="V29:V43" si="68">IFERROR(U29/P29,"")</f>
        <v>0.14377795317021838</v>
      </c>
      <c r="X29" s="961" t="str">
        <f>M29</f>
        <v>1x1</v>
      </c>
      <c r="Y29" s="151">
        <f>N29</f>
        <v>38</v>
      </c>
      <c r="Z29" s="550" cm="1">
        <f t="array" ref="Z29">IFERROR(AVERAGEIFS(Rent_Roll[Total In-Place
Rent],Rent_Roll[Floor-
plan],_xlfn.ANCHORARRAY('Unit Mix-Reno Schedule'!X29),Rent_Roll[Unit
Status],"occupied",Rent_Roll[Renovation
Status],""),0)</f>
        <v>1067.471264367816</v>
      </c>
      <c r="AA29" s="895" cm="1">
        <f t="array" ref="AA29">COUNTIFS(Rent_Roll[Floor-
plan],_xlfn.ANCHORARRAY('Unit Mix-Reno Schedule'!X29),Rent_Roll[Unit
Status],"occupied",Rent_Roll[Renovation
Status],"partial")</f>
        <v>0</v>
      </c>
      <c r="AB29" s="550" cm="1">
        <f t="array" ref="AB29">IFERROR(AVERAGEIFS(Rent_Roll[Total In-Place
Rent],Rent_Roll[Floor-
plan],_xlfn.ANCHORARRAY('Unit Mix-Reno Schedule'!X29),Rent_Roll[Unit
Status],"occupied",Rent_Roll[Renovation
Status],"partial"),0)</f>
        <v>0</v>
      </c>
      <c r="AC29" s="550" cm="1">
        <f t="array" ref="AC29">IF(_xlfn.ANCHORARRAY(AA29)=0,0,_xlfn.ANCHORARRAY(AB29)-_xlfn.ANCHORARRAY(Z29))</f>
        <v>0</v>
      </c>
      <c r="AD29" s="895" cm="1">
        <f t="array" ref="AD29">COUNTIFS(Rent_Roll[Floor-
plan],_xlfn.ANCHORARRAY('Unit Mix-Reno Schedule'!X29),Rent_Roll[Unit
Status],"occupied",Rent_Roll[Renovation
Status],"renovated")</f>
        <v>0</v>
      </c>
      <c r="AE29" s="550" cm="1">
        <f t="array" ref="AE29">IFERROR(AVERAGEIFS(Rent_Roll[Total In-Place
Rent],Rent_Roll[Floor-
plan],_xlfn.ANCHORARRAY('Unit Mix-Reno Schedule'!X29),Rent_Roll[Unit
Status],"occupied",Rent_Roll[Renovation
Status],"renovated"),0)</f>
        <v>0</v>
      </c>
      <c r="AF29" s="844" cm="1">
        <f t="array" ref="AF29">IF(_xlfn.ANCHORARRAY(AD29)=0,0,_xlfn.ANCHORARRAY(AE29)-_xlfn.ANCHORARRAY(Z29))</f>
        <v>0</v>
      </c>
      <c r="AI29" s="878" t="s">
        <v>347</v>
      </c>
      <c r="AK29" s="144" t="s">
        <v>843</v>
      </c>
      <c r="AM29" s="151">
        <f t="shared" ref="AM29:BR29" si="69">AL31</f>
        <v>0</v>
      </c>
      <c r="AN29" s="151">
        <f t="shared" ca="1" si="69"/>
        <v>0</v>
      </c>
      <c r="AO29" s="151">
        <f t="shared" ca="1" si="69"/>
        <v>5</v>
      </c>
      <c r="AP29" s="151">
        <f t="shared" ca="1" si="69"/>
        <v>10</v>
      </c>
      <c r="AQ29" s="151">
        <f t="shared" ca="1" si="69"/>
        <v>15</v>
      </c>
      <c r="AR29" s="151">
        <f t="shared" ca="1" si="69"/>
        <v>20</v>
      </c>
      <c r="AS29" s="151">
        <f t="shared" ca="1" si="69"/>
        <v>25</v>
      </c>
      <c r="AT29" s="151">
        <f t="shared" ca="1" si="69"/>
        <v>30</v>
      </c>
      <c r="AU29" s="151">
        <f t="shared" ca="1" si="69"/>
        <v>35</v>
      </c>
      <c r="AV29" s="151">
        <f t="shared" ca="1" si="69"/>
        <v>40</v>
      </c>
      <c r="AW29" s="151">
        <f t="shared" ca="1" si="69"/>
        <v>45</v>
      </c>
      <c r="AX29" s="151">
        <f t="shared" ca="1" si="69"/>
        <v>50</v>
      </c>
      <c r="AY29" s="151">
        <f t="shared" ca="1" si="69"/>
        <v>55</v>
      </c>
      <c r="AZ29" s="151">
        <f t="shared" ca="1" si="69"/>
        <v>60</v>
      </c>
      <c r="BA29" s="151">
        <f t="shared" ca="1" si="69"/>
        <v>68</v>
      </c>
      <c r="BB29" s="151">
        <f t="shared" ca="1" si="69"/>
        <v>76</v>
      </c>
      <c r="BC29" s="151">
        <f t="shared" ca="1" si="69"/>
        <v>84</v>
      </c>
      <c r="BD29" s="151">
        <f t="shared" ca="1" si="69"/>
        <v>92</v>
      </c>
      <c r="BE29" s="151">
        <f t="shared" ca="1" si="69"/>
        <v>100</v>
      </c>
      <c r="BF29" s="151">
        <f t="shared" ca="1" si="69"/>
        <v>108</v>
      </c>
      <c r="BG29" s="151">
        <f t="shared" ca="1" si="69"/>
        <v>116</v>
      </c>
      <c r="BH29" s="151">
        <f t="shared" ca="1" si="69"/>
        <v>123</v>
      </c>
      <c r="BI29" s="151">
        <f t="shared" ca="1" si="69"/>
        <v>130</v>
      </c>
      <c r="BJ29" s="151">
        <f t="shared" ca="1" si="69"/>
        <v>137</v>
      </c>
      <c r="BK29" s="151">
        <f t="shared" ca="1" si="69"/>
        <v>144</v>
      </c>
      <c r="BL29" s="151">
        <f t="shared" ca="1" si="69"/>
        <v>151</v>
      </c>
      <c r="BM29" s="151">
        <f t="shared" ca="1" si="69"/>
        <v>158</v>
      </c>
      <c r="BN29" s="151">
        <f t="shared" ca="1" si="69"/>
        <v>165</v>
      </c>
      <c r="BO29" s="151">
        <f t="shared" ca="1" si="69"/>
        <v>170</v>
      </c>
      <c r="BP29" s="151">
        <f t="shared" ca="1" si="69"/>
        <v>175</v>
      </c>
      <c r="BQ29" s="151">
        <f t="shared" ca="1" si="69"/>
        <v>180</v>
      </c>
      <c r="BR29" s="151">
        <f t="shared" ca="1" si="69"/>
        <v>185</v>
      </c>
      <c r="BS29" s="151">
        <f t="shared" ref="BS29:CX29" ca="1" si="70">BR31</f>
        <v>190</v>
      </c>
      <c r="BT29" s="151">
        <f t="shared" ca="1" si="70"/>
        <v>195</v>
      </c>
      <c r="BU29" s="151">
        <f t="shared" ca="1" si="70"/>
        <v>195</v>
      </c>
      <c r="BV29" s="151">
        <f t="shared" ca="1" si="70"/>
        <v>195</v>
      </c>
      <c r="BW29" s="151">
        <f t="shared" ca="1" si="70"/>
        <v>195</v>
      </c>
      <c r="BX29" s="151">
        <f t="shared" ca="1" si="70"/>
        <v>195</v>
      </c>
      <c r="BY29" s="151">
        <f t="shared" ca="1" si="70"/>
        <v>195</v>
      </c>
      <c r="BZ29" s="151">
        <f t="shared" ca="1" si="70"/>
        <v>195</v>
      </c>
      <c r="CA29" s="151">
        <f t="shared" ca="1" si="70"/>
        <v>195</v>
      </c>
      <c r="CB29" s="151">
        <f t="shared" ca="1" si="70"/>
        <v>195</v>
      </c>
      <c r="CC29" s="151">
        <f t="shared" ca="1" si="70"/>
        <v>195</v>
      </c>
      <c r="CD29" s="151">
        <f t="shared" ca="1" si="70"/>
        <v>195</v>
      </c>
      <c r="CE29" s="151">
        <f t="shared" ca="1" si="70"/>
        <v>195</v>
      </c>
      <c r="CF29" s="151">
        <f t="shared" ca="1" si="70"/>
        <v>195</v>
      </c>
      <c r="CG29" s="151">
        <f t="shared" ca="1" si="70"/>
        <v>195</v>
      </c>
      <c r="CH29" s="151">
        <f t="shared" ca="1" si="70"/>
        <v>195</v>
      </c>
      <c r="CI29" s="151">
        <f t="shared" ca="1" si="70"/>
        <v>195</v>
      </c>
      <c r="CJ29" s="151">
        <f t="shared" ca="1" si="70"/>
        <v>195</v>
      </c>
      <c r="CK29" s="151">
        <f t="shared" ca="1" si="70"/>
        <v>195</v>
      </c>
      <c r="CL29" s="151">
        <f t="shared" ca="1" si="70"/>
        <v>195</v>
      </c>
      <c r="CM29" s="151">
        <f t="shared" ca="1" si="70"/>
        <v>195</v>
      </c>
      <c r="CN29" s="151">
        <f t="shared" ca="1" si="70"/>
        <v>195</v>
      </c>
      <c r="CO29" s="151">
        <f t="shared" ca="1" si="70"/>
        <v>195</v>
      </c>
      <c r="CP29" s="151">
        <f t="shared" ca="1" si="70"/>
        <v>195</v>
      </c>
      <c r="CQ29" s="151">
        <f t="shared" ca="1" si="70"/>
        <v>195</v>
      </c>
      <c r="CR29" s="151">
        <f t="shared" ca="1" si="70"/>
        <v>195</v>
      </c>
      <c r="CS29" s="151">
        <f t="shared" ca="1" si="70"/>
        <v>195</v>
      </c>
      <c r="CT29" s="151">
        <f t="shared" ca="1" si="70"/>
        <v>195</v>
      </c>
      <c r="CU29" s="151">
        <f t="shared" ca="1" si="70"/>
        <v>195</v>
      </c>
      <c r="CV29" s="151">
        <f t="shared" ca="1" si="70"/>
        <v>195</v>
      </c>
      <c r="CW29" s="151">
        <f t="shared" ca="1" si="70"/>
        <v>195</v>
      </c>
      <c r="CX29" s="151">
        <f t="shared" ca="1" si="70"/>
        <v>195</v>
      </c>
      <c r="CY29" s="151">
        <f t="shared" ref="CY29:ED29" ca="1" si="71">CX31</f>
        <v>195</v>
      </c>
      <c r="CZ29" s="151">
        <f t="shared" ca="1" si="71"/>
        <v>195</v>
      </c>
      <c r="DA29" s="151">
        <f t="shared" ca="1" si="71"/>
        <v>195</v>
      </c>
      <c r="DB29" s="151">
        <f t="shared" ca="1" si="71"/>
        <v>195</v>
      </c>
      <c r="DC29" s="151">
        <f t="shared" ca="1" si="71"/>
        <v>195</v>
      </c>
      <c r="DD29" s="151">
        <f t="shared" ca="1" si="71"/>
        <v>195</v>
      </c>
      <c r="DE29" s="151">
        <f t="shared" ca="1" si="71"/>
        <v>195</v>
      </c>
      <c r="DF29" s="151">
        <f t="shared" ca="1" si="71"/>
        <v>195</v>
      </c>
      <c r="DG29" s="151">
        <f t="shared" ca="1" si="71"/>
        <v>195</v>
      </c>
      <c r="DH29" s="151">
        <f t="shared" ca="1" si="71"/>
        <v>195</v>
      </c>
      <c r="DI29" s="151">
        <f t="shared" ca="1" si="71"/>
        <v>195</v>
      </c>
      <c r="DJ29" s="151">
        <f t="shared" ca="1" si="71"/>
        <v>195</v>
      </c>
      <c r="DK29" s="151">
        <f t="shared" ca="1" si="71"/>
        <v>195</v>
      </c>
      <c r="DL29" s="151">
        <f t="shared" ca="1" si="71"/>
        <v>195</v>
      </c>
      <c r="DM29" s="151">
        <f t="shared" ca="1" si="71"/>
        <v>195</v>
      </c>
      <c r="DN29" s="151">
        <f t="shared" ca="1" si="71"/>
        <v>195</v>
      </c>
      <c r="DO29" s="151">
        <f t="shared" ca="1" si="71"/>
        <v>195</v>
      </c>
      <c r="DP29" s="151">
        <f t="shared" ca="1" si="71"/>
        <v>195</v>
      </c>
      <c r="DQ29" s="151">
        <f t="shared" ca="1" si="71"/>
        <v>195</v>
      </c>
      <c r="DR29" s="151">
        <f t="shared" ca="1" si="71"/>
        <v>195</v>
      </c>
      <c r="DS29" s="151">
        <f t="shared" ca="1" si="71"/>
        <v>195</v>
      </c>
      <c r="DT29" s="151">
        <f t="shared" ca="1" si="71"/>
        <v>195</v>
      </c>
      <c r="DU29" s="151">
        <f t="shared" ca="1" si="71"/>
        <v>195</v>
      </c>
      <c r="DV29" s="151">
        <f t="shared" ca="1" si="71"/>
        <v>195</v>
      </c>
      <c r="DW29" s="151">
        <f t="shared" ca="1" si="71"/>
        <v>195</v>
      </c>
      <c r="DX29" s="151">
        <f t="shared" ca="1" si="71"/>
        <v>195</v>
      </c>
      <c r="DY29" s="151">
        <f t="shared" ca="1" si="71"/>
        <v>195</v>
      </c>
      <c r="DZ29" s="151">
        <f t="shared" ca="1" si="71"/>
        <v>195</v>
      </c>
      <c r="EA29" s="151">
        <f t="shared" ca="1" si="71"/>
        <v>195</v>
      </c>
      <c r="EB29" s="151">
        <f t="shared" ca="1" si="71"/>
        <v>195</v>
      </c>
      <c r="EC29" s="151">
        <f t="shared" ca="1" si="71"/>
        <v>195</v>
      </c>
      <c r="ED29" s="151">
        <f t="shared" ca="1" si="71"/>
        <v>195</v>
      </c>
      <c r="EE29" s="151">
        <f t="shared" ref="EE29:FN29" ca="1" si="72">ED31</f>
        <v>195</v>
      </c>
      <c r="EF29" s="151">
        <f t="shared" ca="1" si="72"/>
        <v>195</v>
      </c>
      <c r="EG29" s="151">
        <f t="shared" ca="1" si="72"/>
        <v>195</v>
      </c>
      <c r="EH29" s="151">
        <f t="shared" ca="1" si="72"/>
        <v>195</v>
      </c>
      <c r="EI29" s="151">
        <f t="shared" ca="1" si="72"/>
        <v>195</v>
      </c>
      <c r="EJ29" s="151">
        <f t="shared" ca="1" si="72"/>
        <v>195</v>
      </c>
      <c r="EK29" s="151">
        <f t="shared" ca="1" si="72"/>
        <v>195</v>
      </c>
      <c r="EL29" s="151">
        <f t="shared" ca="1" si="72"/>
        <v>195</v>
      </c>
      <c r="EM29" s="151">
        <f t="shared" ca="1" si="72"/>
        <v>195</v>
      </c>
      <c r="EN29" s="151">
        <f t="shared" ca="1" si="72"/>
        <v>195</v>
      </c>
      <c r="EO29" s="151">
        <f t="shared" ca="1" si="72"/>
        <v>195</v>
      </c>
      <c r="EP29" s="151">
        <f t="shared" ca="1" si="72"/>
        <v>195</v>
      </c>
      <c r="EQ29" s="151">
        <f t="shared" ca="1" si="72"/>
        <v>195</v>
      </c>
      <c r="ER29" s="151">
        <f t="shared" ca="1" si="72"/>
        <v>195</v>
      </c>
      <c r="ES29" s="151">
        <f t="shared" ca="1" si="72"/>
        <v>195</v>
      </c>
      <c r="ET29" s="151">
        <f t="shared" ca="1" si="72"/>
        <v>195</v>
      </c>
      <c r="EU29" s="151">
        <f t="shared" ca="1" si="72"/>
        <v>195</v>
      </c>
      <c r="EV29" s="151">
        <f t="shared" ca="1" si="72"/>
        <v>195</v>
      </c>
      <c r="EW29" s="151">
        <f t="shared" ca="1" si="72"/>
        <v>195</v>
      </c>
      <c r="EX29" s="151">
        <f t="shared" ca="1" si="72"/>
        <v>195</v>
      </c>
      <c r="EY29" s="151">
        <f t="shared" ca="1" si="72"/>
        <v>195</v>
      </c>
      <c r="EZ29" s="151">
        <f t="shared" ca="1" si="72"/>
        <v>195</v>
      </c>
      <c r="FA29" s="151">
        <f t="shared" ca="1" si="72"/>
        <v>195</v>
      </c>
      <c r="FB29" s="151">
        <f t="shared" ca="1" si="72"/>
        <v>195</v>
      </c>
      <c r="FC29" s="151">
        <f t="shared" ca="1" si="72"/>
        <v>195</v>
      </c>
      <c r="FD29" s="151">
        <f t="shared" ca="1" si="72"/>
        <v>195</v>
      </c>
      <c r="FE29" s="151">
        <f t="shared" ca="1" si="72"/>
        <v>195</v>
      </c>
      <c r="FF29" s="151">
        <f t="shared" ca="1" si="72"/>
        <v>195</v>
      </c>
      <c r="FG29" s="151">
        <f t="shared" ca="1" si="72"/>
        <v>195</v>
      </c>
      <c r="FH29" s="151">
        <f t="shared" ca="1" si="72"/>
        <v>195</v>
      </c>
      <c r="FI29" s="151">
        <f t="shared" ca="1" si="72"/>
        <v>195</v>
      </c>
      <c r="FJ29" s="151">
        <f t="shared" ca="1" si="72"/>
        <v>195</v>
      </c>
      <c r="FK29" s="151">
        <f t="shared" ca="1" si="72"/>
        <v>195</v>
      </c>
      <c r="FL29" s="151">
        <f t="shared" ca="1" si="72"/>
        <v>195</v>
      </c>
      <c r="FM29" s="151">
        <f t="shared" ca="1" si="72"/>
        <v>195</v>
      </c>
      <c r="FN29" s="151">
        <f t="shared" ca="1" si="72"/>
        <v>195</v>
      </c>
      <c r="FO29" s="144" t="s">
        <v>243</v>
      </c>
    </row>
    <row r="30" spans="1:171" x14ac:dyDescent="0.2">
      <c r="B30" s="721" t="str">
        <f t="shared" ref="B30:B40" si="73">B9</f>
        <v>1x1</v>
      </c>
      <c r="C30" s="151">
        <f t="shared" ref="C30:C40" si="74">F9</f>
        <v>12</v>
      </c>
      <c r="D30" s="550">
        <f>IFERROR(AVERAGEIFS(Rent_Roll[Market
Rent],Rent_Roll[SqFt],'Unit Mix-Reno Schedule'!$E9,Rent_Roll[Unit
Status],"Occupied"),0)</f>
        <v>1135</v>
      </c>
      <c r="E30" s="550">
        <f t="shared" ref="E30:E40" si="75">N9</f>
        <v>1049.5833333333333</v>
      </c>
      <c r="F30" s="897">
        <f t="shared" ref="F30:F40" si="76">IFERROR(E30-D30,"")</f>
        <v>-85.416666666666742</v>
      </c>
      <c r="G30" s="225">
        <f t="shared" ref="G30:G40" si="77">IFERROR(-F30/D30,"")</f>
        <v>7.5256975036710791E-2</v>
      </c>
      <c r="H30" s="897">
        <v>0</v>
      </c>
      <c r="I30" s="225">
        <v>0</v>
      </c>
      <c r="J30" s="550">
        <v>0</v>
      </c>
      <c r="K30" s="959">
        <f t="shared" ref="K30:K40" si="78">IFERROR(D30+F30+H30+J30,"")</f>
        <v>1049.5833333333333</v>
      </c>
      <c r="M30" s="721" t="str">
        <f t="shared" ref="M30:M40" si="79">B30</f>
        <v>1x1</v>
      </c>
      <c r="N30" s="151">
        <f t="shared" ref="N30:N40" si="80">C9</f>
        <v>12</v>
      </c>
      <c r="O30" s="550">
        <f t="shared" ref="O30:O40" si="81">L9</f>
        <v>1135</v>
      </c>
      <c r="P30" s="550">
        <f t="shared" ref="P30:P40" si="82">N9</f>
        <v>1049.5833333333333</v>
      </c>
      <c r="Q30" s="550">
        <f t="shared" si="64"/>
        <v>1295</v>
      </c>
      <c r="R30" s="550"/>
      <c r="S30" s="897">
        <f t="shared" si="65"/>
        <v>160</v>
      </c>
      <c r="T30" s="225">
        <f t="shared" si="66"/>
        <v>0.14096916299559473</v>
      </c>
      <c r="U30" s="897">
        <f t="shared" si="67"/>
        <v>245.41666666666674</v>
      </c>
      <c r="V30" s="960">
        <f t="shared" si="68"/>
        <v>0.23382294561333872</v>
      </c>
      <c r="X30" s="961" t="str">
        <f t="shared" ref="X30:X40" si="83">M30</f>
        <v>1x1</v>
      </c>
      <c r="Y30" s="151">
        <f t="shared" ref="Y30:Y40" si="84">N30</f>
        <v>12</v>
      </c>
      <c r="Z30" s="550"/>
      <c r="AA30" s="895"/>
      <c r="AB30" s="550"/>
      <c r="AC30" s="550"/>
      <c r="AD30" s="895"/>
      <c r="AE30" s="550"/>
      <c r="AF30" s="844"/>
      <c r="AI30" s="962">
        <v>1</v>
      </c>
      <c r="AK30" s="144" t="s">
        <v>844</v>
      </c>
      <c r="AM30" s="151">
        <f t="shared" ref="AM30:BR30" ca="1" si="85">IF(ISNUMBER(OFFSET(AM21,,-$AI$30)),OFFSET(AM21,,-$AI$30),0)</f>
        <v>0</v>
      </c>
      <c r="AN30" s="151">
        <f t="shared" ca="1" si="85"/>
        <v>5</v>
      </c>
      <c r="AO30" s="151">
        <f t="shared" ca="1" si="85"/>
        <v>5</v>
      </c>
      <c r="AP30" s="151">
        <f t="shared" ca="1" si="85"/>
        <v>5</v>
      </c>
      <c r="AQ30" s="151">
        <f t="shared" ca="1" si="85"/>
        <v>5</v>
      </c>
      <c r="AR30" s="151">
        <f t="shared" ca="1" si="85"/>
        <v>5</v>
      </c>
      <c r="AS30" s="151">
        <f t="shared" ca="1" si="85"/>
        <v>5</v>
      </c>
      <c r="AT30" s="151">
        <f t="shared" ca="1" si="85"/>
        <v>5</v>
      </c>
      <c r="AU30" s="151">
        <f t="shared" ca="1" si="85"/>
        <v>5</v>
      </c>
      <c r="AV30" s="151">
        <f t="shared" ca="1" si="85"/>
        <v>5</v>
      </c>
      <c r="AW30" s="151">
        <f t="shared" ca="1" si="85"/>
        <v>5</v>
      </c>
      <c r="AX30" s="151">
        <f t="shared" ca="1" si="85"/>
        <v>5</v>
      </c>
      <c r="AY30" s="151">
        <f t="shared" ca="1" si="85"/>
        <v>5</v>
      </c>
      <c r="AZ30" s="151">
        <f t="shared" ca="1" si="85"/>
        <v>8</v>
      </c>
      <c r="BA30" s="151">
        <f t="shared" ca="1" si="85"/>
        <v>8</v>
      </c>
      <c r="BB30" s="151">
        <f t="shared" ca="1" si="85"/>
        <v>8</v>
      </c>
      <c r="BC30" s="151">
        <f t="shared" ca="1" si="85"/>
        <v>8</v>
      </c>
      <c r="BD30" s="151">
        <f t="shared" ca="1" si="85"/>
        <v>8</v>
      </c>
      <c r="BE30" s="151">
        <f t="shared" ca="1" si="85"/>
        <v>8</v>
      </c>
      <c r="BF30" s="151">
        <f t="shared" ca="1" si="85"/>
        <v>8</v>
      </c>
      <c r="BG30" s="151">
        <f t="shared" ca="1" si="85"/>
        <v>7</v>
      </c>
      <c r="BH30" s="151">
        <f t="shared" ca="1" si="85"/>
        <v>7</v>
      </c>
      <c r="BI30" s="151">
        <f t="shared" ca="1" si="85"/>
        <v>7</v>
      </c>
      <c r="BJ30" s="151">
        <f t="shared" ca="1" si="85"/>
        <v>7</v>
      </c>
      <c r="BK30" s="151">
        <f t="shared" ca="1" si="85"/>
        <v>7</v>
      </c>
      <c r="BL30" s="151">
        <f t="shared" ca="1" si="85"/>
        <v>7</v>
      </c>
      <c r="BM30" s="151">
        <f t="shared" ca="1" si="85"/>
        <v>7</v>
      </c>
      <c r="BN30" s="151">
        <f t="shared" ca="1" si="85"/>
        <v>5</v>
      </c>
      <c r="BO30" s="151">
        <f t="shared" ca="1" si="85"/>
        <v>5</v>
      </c>
      <c r="BP30" s="151">
        <f t="shared" ca="1" si="85"/>
        <v>5</v>
      </c>
      <c r="BQ30" s="151">
        <f t="shared" ca="1" si="85"/>
        <v>5</v>
      </c>
      <c r="BR30" s="151">
        <f t="shared" ca="1" si="85"/>
        <v>5</v>
      </c>
      <c r="BS30" s="151">
        <f t="shared" ref="BS30:CX30" ca="1" si="86">IF(ISNUMBER(OFFSET(BS21,,-$AI$30)),OFFSET(BS21,,-$AI$30),0)</f>
        <v>5</v>
      </c>
      <c r="BT30" s="151">
        <f t="shared" ca="1" si="86"/>
        <v>0</v>
      </c>
      <c r="BU30" s="151">
        <f t="shared" ca="1" si="86"/>
        <v>0</v>
      </c>
      <c r="BV30" s="151">
        <f t="shared" ca="1" si="86"/>
        <v>0</v>
      </c>
      <c r="BW30" s="151">
        <f t="shared" ca="1" si="86"/>
        <v>0</v>
      </c>
      <c r="BX30" s="151">
        <f t="shared" ca="1" si="86"/>
        <v>0</v>
      </c>
      <c r="BY30" s="151">
        <f t="shared" ca="1" si="86"/>
        <v>0</v>
      </c>
      <c r="BZ30" s="151">
        <f t="shared" ca="1" si="86"/>
        <v>0</v>
      </c>
      <c r="CA30" s="151">
        <f t="shared" ca="1" si="86"/>
        <v>0</v>
      </c>
      <c r="CB30" s="151">
        <f t="shared" ca="1" si="86"/>
        <v>0</v>
      </c>
      <c r="CC30" s="151">
        <f t="shared" ca="1" si="86"/>
        <v>0</v>
      </c>
      <c r="CD30" s="151">
        <f t="shared" ca="1" si="86"/>
        <v>0</v>
      </c>
      <c r="CE30" s="151">
        <f t="shared" ca="1" si="86"/>
        <v>0</v>
      </c>
      <c r="CF30" s="151">
        <f t="shared" ca="1" si="86"/>
        <v>0</v>
      </c>
      <c r="CG30" s="151">
        <f t="shared" ca="1" si="86"/>
        <v>0</v>
      </c>
      <c r="CH30" s="151">
        <f t="shared" ca="1" si="86"/>
        <v>0</v>
      </c>
      <c r="CI30" s="151">
        <f t="shared" ca="1" si="86"/>
        <v>0</v>
      </c>
      <c r="CJ30" s="151">
        <f t="shared" ca="1" si="86"/>
        <v>0</v>
      </c>
      <c r="CK30" s="151">
        <f t="shared" ca="1" si="86"/>
        <v>0</v>
      </c>
      <c r="CL30" s="151">
        <f t="shared" ca="1" si="86"/>
        <v>0</v>
      </c>
      <c r="CM30" s="151">
        <f t="shared" ca="1" si="86"/>
        <v>0</v>
      </c>
      <c r="CN30" s="151">
        <f t="shared" ca="1" si="86"/>
        <v>0</v>
      </c>
      <c r="CO30" s="151">
        <f t="shared" ca="1" si="86"/>
        <v>0</v>
      </c>
      <c r="CP30" s="151">
        <f t="shared" ca="1" si="86"/>
        <v>0</v>
      </c>
      <c r="CQ30" s="151">
        <f t="shared" ca="1" si="86"/>
        <v>0</v>
      </c>
      <c r="CR30" s="151">
        <f t="shared" ca="1" si="86"/>
        <v>0</v>
      </c>
      <c r="CS30" s="151">
        <f t="shared" ca="1" si="86"/>
        <v>0</v>
      </c>
      <c r="CT30" s="151">
        <f t="shared" ca="1" si="86"/>
        <v>0</v>
      </c>
      <c r="CU30" s="151">
        <f t="shared" ca="1" si="86"/>
        <v>0</v>
      </c>
      <c r="CV30" s="151">
        <f t="shared" ca="1" si="86"/>
        <v>0</v>
      </c>
      <c r="CW30" s="151">
        <f t="shared" ca="1" si="86"/>
        <v>0</v>
      </c>
      <c r="CX30" s="151">
        <f t="shared" ca="1" si="86"/>
        <v>0</v>
      </c>
      <c r="CY30" s="151">
        <f t="shared" ref="CY30:ED30" ca="1" si="87">IF(ISNUMBER(OFFSET(CY21,,-$AI$30)),OFFSET(CY21,,-$AI$30),0)</f>
        <v>0</v>
      </c>
      <c r="CZ30" s="151">
        <f t="shared" ca="1" si="87"/>
        <v>0</v>
      </c>
      <c r="DA30" s="151">
        <f t="shared" ca="1" si="87"/>
        <v>0</v>
      </c>
      <c r="DB30" s="151">
        <f t="shared" ca="1" si="87"/>
        <v>0</v>
      </c>
      <c r="DC30" s="151">
        <f t="shared" ca="1" si="87"/>
        <v>0</v>
      </c>
      <c r="DD30" s="151">
        <f t="shared" ca="1" si="87"/>
        <v>0</v>
      </c>
      <c r="DE30" s="151">
        <f t="shared" ca="1" si="87"/>
        <v>0</v>
      </c>
      <c r="DF30" s="151">
        <f t="shared" ca="1" si="87"/>
        <v>0</v>
      </c>
      <c r="DG30" s="151">
        <f t="shared" ca="1" si="87"/>
        <v>0</v>
      </c>
      <c r="DH30" s="151">
        <f t="shared" ca="1" si="87"/>
        <v>0</v>
      </c>
      <c r="DI30" s="151">
        <f t="shared" ca="1" si="87"/>
        <v>0</v>
      </c>
      <c r="DJ30" s="151">
        <f t="shared" ca="1" si="87"/>
        <v>0</v>
      </c>
      <c r="DK30" s="151">
        <f t="shared" ca="1" si="87"/>
        <v>0</v>
      </c>
      <c r="DL30" s="151">
        <f t="shared" ca="1" si="87"/>
        <v>0</v>
      </c>
      <c r="DM30" s="151">
        <f t="shared" ca="1" si="87"/>
        <v>0</v>
      </c>
      <c r="DN30" s="151">
        <f t="shared" ca="1" si="87"/>
        <v>0</v>
      </c>
      <c r="DO30" s="151">
        <f t="shared" ca="1" si="87"/>
        <v>0</v>
      </c>
      <c r="DP30" s="151">
        <f t="shared" ca="1" si="87"/>
        <v>0</v>
      </c>
      <c r="DQ30" s="151">
        <f t="shared" ca="1" si="87"/>
        <v>0</v>
      </c>
      <c r="DR30" s="151">
        <f t="shared" ca="1" si="87"/>
        <v>0</v>
      </c>
      <c r="DS30" s="151">
        <f t="shared" ca="1" si="87"/>
        <v>0</v>
      </c>
      <c r="DT30" s="151">
        <f t="shared" ca="1" si="87"/>
        <v>0</v>
      </c>
      <c r="DU30" s="151">
        <f t="shared" ca="1" si="87"/>
        <v>0</v>
      </c>
      <c r="DV30" s="151">
        <f t="shared" ca="1" si="87"/>
        <v>0</v>
      </c>
      <c r="DW30" s="151">
        <f t="shared" ca="1" si="87"/>
        <v>0</v>
      </c>
      <c r="DX30" s="151">
        <f t="shared" ca="1" si="87"/>
        <v>0</v>
      </c>
      <c r="DY30" s="151">
        <f t="shared" ca="1" si="87"/>
        <v>0</v>
      </c>
      <c r="DZ30" s="151">
        <f t="shared" ca="1" si="87"/>
        <v>0</v>
      </c>
      <c r="EA30" s="151">
        <f t="shared" ca="1" si="87"/>
        <v>0</v>
      </c>
      <c r="EB30" s="151">
        <f t="shared" ca="1" si="87"/>
        <v>0</v>
      </c>
      <c r="EC30" s="151">
        <f t="shared" ca="1" si="87"/>
        <v>0</v>
      </c>
      <c r="ED30" s="151">
        <f t="shared" ca="1" si="87"/>
        <v>0</v>
      </c>
      <c r="EE30" s="151">
        <f t="shared" ref="EE30:FN30" ca="1" si="88">IF(ISNUMBER(OFFSET(EE21,,-$AI$30)),OFFSET(EE21,,-$AI$30),0)</f>
        <v>0</v>
      </c>
      <c r="EF30" s="151">
        <f t="shared" ca="1" si="88"/>
        <v>0</v>
      </c>
      <c r="EG30" s="151">
        <f t="shared" ca="1" si="88"/>
        <v>0</v>
      </c>
      <c r="EH30" s="151">
        <f t="shared" ca="1" si="88"/>
        <v>0</v>
      </c>
      <c r="EI30" s="151">
        <f t="shared" ca="1" si="88"/>
        <v>0</v>
      </c>
      <c r="EJ30" s="151">
        <f t="shared" ca="1" si="88"/>
        <v>0</v>
      </c>
      <c r="EK30" s="151">
        <f t="shared" ca="1" si="88"/>
        <v>0</v>
      </c>
      <c r="EL30" s="151">
        <f t="shared" ca="1" si="88"/>
        <v>0</v>
      </c>
      <c r="EM30" s="151">
        <f t="shared" ca="1" si="88"/>
        <v>0</v>
      </c>
      <c r="EN30" s="151">
        <f t="shared" ca="1" si="88"/>
        <v>0</v>
      </c>
      <c r="EO30" s="151">
        <f t="shared" ca="1" si="88"/>
        <v>0</v>
      </c>
      <c r="EP30" s="151">
        <f t="shared" ca="1" si="88"/>
        <v>0</v>
      </c>
      <c r="EQ30" s="151">
        <f t="shared" ca="1" si="88"/>
        <v>0</v>
      </c>
      <c r="ER30" s="151">
        <f t="shared" ca="1" si="88"/>
        <v>0</v>
      </c>
      <c r="ES30" s="151">
        <f t="shared" ca="1" si="88"/>
        <v>0</v>
      </c>
      <c r="ET30" s="151">
        <f t="shared" ca="1" si="88"/>
        <v>0</v>
      </c>
      <c r="EU30" s="151">
        <f t="shared" ca="1" si="88"/>
        <v>0</v>
      </c>
      <c r="EV30" s="151">
        <f t="shared" ca="1" si="88"/>
        <v>0</v>
      </c>
      <c r="EW30" s="151">
        <f t="shared" ca="1" si="88"/>
        <v>0</v>
      </c>
      <c r="EX30" s="151">
        <f t="shared" ca="1" si="88"/>
        <v>0</v>
      </c>
      <c r="EY30" s="151">
        <f t="shared" ca="1" si="88"/>
        <v>0</v>
      </c>
      <c r="EZ30" s="151">
        <f t="shared" ca="1" si="88"/>
        <v>0</v>
      </c>
      <c r="FA30" s="151">
        <f t="shared" ca="1" si="88"/>
        <v>0</v>
      </c>
      <c r="FB30" s="151">
        <f t="shared" ca="1" si="88"/>
        <v>0</v>
      </c>
      <c r="FC30" s="151">
        <f t="shared" ca="1" si="88"/>
        <v>0</v>
      </c>
      <c r="FD30" s="151">
        <f t="shared" ca="1" si="88"/>
        <v>0</v>
      </c>
      <c r="FE30" s="151">
        <f t="shared" ca="1" si="88"/>
        <v>0</v>
      </c>
      <c r="FF30" s="151">
        <f t="shared" ca="1" si="88"/>
        <v>0</v>
      </c>
      <c r="FG30" s="151">
        <f t="shared" ca="1" si="88"/>
        <v>0</v>
      </c>
      <c r="FH30" s="151">
        <f t="shared" ca="1" si="88"/>
        <v>0</v>
      </c>
      <c r="FI30" s="151">
        <f t="shared" ca="1" si="88"/>
        <v>0</v>
      </c>
      <c r="FJ30" s="151">
        <f t="shared" ca="1" si="88"/>
        <v>0</v>
      </c>
      <c r="FK30" s="151">
        <f t="shared" ca="1" si="88"/>
        <v>0</v>
      </c>
      <c r="FL30" s="151">
        <f t="shared" ca="1" si="88"/>
        <v>0</v>
      </c>
      <c r="FM30" s="151">
        <f t="shared" ca="1" si="88"/>
        <v>0</v>
      </c>
      <c r="FN30" s="151">
        <f t="shared" ca="1" si="88"/>
        <v>0</v>
      </c>
      <c r="FO30" s="144" t="s">
        <v>243</v>
      </c>
    </row>
    <row r="31" spans="1:171" x14ac:dyDescent="0.2">
      <c r="B31" s="721" t="str">
        <f t="shared" si="73"/>
        <v>1x1</v>
      </c>
      <c r="C31" s="151">
        <f t="shared" si="74"/>
        <v>24</v>
      </c>
      <c r="D31" s="550">
        <f>IFERROR(AVERAGEIFS(Rent_Roll[Market
Rent],Rent_Roll[SqFt],'Unit Mix-Reno Schedule'!$E10,Rent_Roll[Unit
Status],"Occupied"),0)</f>
        <v>1162.5</v>
      </c>
      <c r="E31" s="550">
        <f t="shared" si="75"/>
        <v>1058.9583333333333</v>
      </c>
      <c r="F31" s="897">
        <f t="shared" si="76"/>
        <v>-103.54166666666674</v>
      </c>
      <c r="G31" s="225">
        <f t="shared" si="77"/>
        <v>8.9068100358423011E-2</v>
      </c>
      <c r="H31" s="897">
        <v>0</v>
      </c>
      <c r="I31" s="225">
        <v>0</v>
      </c>
      <c r="J31" s="550">
        <v>0</v>
      </c>
      <c r="K31" s="959">
        <f t="shared" si="78"/>
        <v>1058.9583333333333</v>
      </c>
      <c r="M31" s="721" t="str">
        <f t="shared" si="79"/>
        <v>1x1</v>
      </c>
      <c r="N31" s="151">
        <f t="shared" si="80"/>
        <v>24</v>
      </c>
      <c r="O31" s="550">
        <f t="shared" si="81"/>
        <v>1162.5</v>
      </c>
      <c r="P31" s="550">
        <f t="shared" si="82"/>
        <v>1058.9583333333333</v>
      </c>
      <c r="Q31" s="550">
        <f t="shared" si="64"/>
        <v>1335</v>
      </c>
      <c r="R31" s="550"/>
      <c r="S31" s="897">
        <f t="shared" si="65"/>
        <v>172.5</v>
      </c>
      <c r="T31" s="225">
        <f t="shared" si="66"/>
        <v>0.14838709677419354</v>
      </c>
      <c r="U31" s="897">
        <f t="shared" si="67"/>
        <v>276.04166666666674</v>
      </c>
      <c r="V31" s="960">
        <f t="shared" si="68"/>
        <v>0.26067283100531191</v>
      </c>
      <c r="X31" s="961" t="str">
        <f t="shared" si="83"/>
        <v>1x1</v>
      </c>
      <c r="Y31" s="151">
        <f t="shared" si="84"/>
        <v>24</v>
      </c>
      <c r="Z31" s="550"/>
      <c r="AA31" s="895"/>
      <c r="AB31" s="550"/>
      <c r="AC31" s="550"/>
      <c r="AD31" s="895"/>
      <c r="AE31" s="550"/>
      <c r="AF31" s="844"/>
      <c r="AK31" s="145" t="s">
        <v>845</v>
      </c>
      <c r="AL31" s="882"/>
      <c r="AM31" s="882">
        <f t="shared" ref="AM31:BR31" ca="1" si="89">SUM(AM29:AM30)</f>
        <v>0</v>
      </c>
      <c r="AN31" s="882">
        <f t="shared" ca="1" si="89"/>
        <v>5</v>
      </c>
      <c r="AO31" s="882">
        <f t="shared" ca="1" si="89"/>
        <v>10</v>
      </c>
      <c r="AP31" s="882">
        <f t="shared" ca="1" si="89"/>
        <v>15</v>
      </c>
      <c r="AQ31" s="882">
        <f t="shared" ca="1" si="89"/>
        <v>20</v>
      </c>
      <c r="AR31" s="882">
        <f t="shared" ca="1" si="89"/>
        <v>25</v>
      </c>
      <c r="AS31" s="882">
        <f t="shared" ca="1" si="89"/>
        <v>30</v>
      </c>
      <c r="AT31" s="882">
        <f t="shared" ca="1" si="89"/>
        <v>35</v>
      </c>
      <c r="AU31" s="882">
        <f t="shared" ca="1" si="89"/>
        <v>40</v>
      </c>
      <c r="AV31" s="882">
        <f t="shared" ca="1" si="89"/>
        <v>45</v>
      </c>
      <c r="AW31" s="882">
        <f t="shared" ca="1" si="89"/>
        <v>50</v>
      </c>
      <c r="AX31" s="882">
        <f t="shared" ca="1" si="89"/>
        <v>55</v>
      </c>
      <c r="AY31" s="882">
        <f t="shared" ca="1" si="89"/>
        <v>60</v>
      </c>
      <c r="AZ31" s="882">
        <f t="shared" ca="1" si="89"/>
        <v>68</v>
      </c>
      <c r="BA31" s="882">
        <f t="shared" ca="1" si="89"/>
        <v>76</v>
      </c>
      <c r="BB31" s="882">
        <f t="shared" ca="1" si="89"/>
        <v>84</v>
      </c>
      <c r="BC31" s="882">
        <f t="shared" ca="1" si="89"/>
        <v>92</v>
      </c>
      <c r="BD31" s="882">
        <f t="shared" ca="1" si="89"/>
        <v>100</v>
      </c>
      <c r="BE31" s="882">
        <f t="shared" ca="1" si="89"/>
        <v>108</v>
      </c>
      <c r="BF31" s="882">
        <f t="shared" ca="1" si="89"/>
        <v>116</v>
      </c>
      <c r="BG31" s="882">
        <f t="shared" ca="1" si="89"/>
        <v>123</v>
      </c>
      <c r="BH31" s="882">
        <f t="shared" ca="1" si="89"/>
        <v>130</v>
      </c>
      <c r="BI31" s="882">
        <f t="shared" ca="1" si="89"/>
        <v>137</v>
      </c>
      <c r="BJ31" s="882">
        <f t="shared" ca="1" si="89"/>
        <v>144</v>
      </c>
      <c r="BK31" s="882">
        <f t="shared" ca="1" si="89"/>
        <v>151</v>
      </c>
      <c r="BL31" s="882">
        <f t="shared" ca="1" si="89"/>
        <v>158</v>
      </c>
      <c r="BM31" s="882">
        <f t="shared" ca="1" si="89"/>
        <v>165</v>
      </c>
      <c r="BN31" s="882">
        <f t="shared" ca="1" si="89"/>
        <v>170</v>
      </c>
      <c r="BO31" s="882">
        <f t="shared" ca="1" si="89"/>
        <v>175</v>
      </c>
      <c r="BP31" s="882">
        <f t="shared" ca="1" si="89"/>
        <v>180</v>
      </c>
      <c r="BQ31" s="882">
        <f t="shared" ca="1" si="89"/>
        <v>185</v>
      </c>
      <c r="BR31" s="882">
        <f t="shared" ca="1" si="89"/>
        <v>190</v>
      </c>
      <c r="BS31" s="882">
        <f t="shared" ref="BS31:CX31" ca="1" si="90">SUM(BS29:BS30)</f>
        <v>195</v>
      </c>
      <c r="BT31" s="882">
        <f t="shared" ca="1" si="90"/>
        <v>195</v>
      </c>
      <c r="BU31" s="882">
        <f t="shared" ca="1" si="90"/>
        <v>195</v>
      </c>
      <c r="BV31" s="882">
        <f t="shared" ca="1" si="90"/>
        <v>195</v>
      </c>
      <c r="BW31" s="882">
        <f t="shared" ca="1" si="90"/>
        <v>195</v>
      </c>
      <c r="BX31" s="882">
        <f t="shared" ca="1" si="90"/>
        <v>195</v>
      </c>
      <c r="BY31" s="882">
        <f t="shared" ca="1" si="90"/>
        <v>195</v>
      </c>
      <c r="BZ31" s="882">
        <f t="shared" ca="1" si="90"/>
        <v>195</v>
      </c>
      <c r="CA31" s="882">
        <f t="shared" ca="1" si="90"/>
        <v>195</v>
      </c>
      <c r="CB31" s="882">
        <f t="shared" ca="1" si="90"/>
        <v>195</v>
      </c>
      <c r="CC31" s="882">
        <f t="shared" ca="1" si="90"/>
        <v>195</v>
      </c>
      <c r="CD31" s="882">
        <f t="shared" ca="1" si="90"/>
        <v>195</v>
      </c>
      <c r="CE31" s="882">
        <f t="shared" ca="1" si="90"/>
        <v>195</v>
      </c>
      <c r="CF31" s="882">
        <f t="shared" ca="1" si="90"/>
        <v>195</v>
      </c>
      <c r="CG31" s="882">
        <f t="shared" ca="1" si="90"/>
        <v>195</v>
      </c>
      <c r="CH31" s="882">
        <f t="shared" ca="1" si="90"/>
        <v>195</v>
      </c>
      <c r="CI31" s="882">
        <f t="shared" ca="1" si="90"/>
        <v>195</v>
      </c>
      <c r="CJ31" s="882">
        <f t="shared" ca="1" si="90"/>
        <v>195</v>
      </c>
      <c r="CK31" s="882">
        <f t="shared" ca="1" si="90"/>
        <v>195</v>
      </c>
      <c r="CL31" s="882">
        <f t="shared" ca="1" si="90"/>
        <v>195</v>
      </c>
      <c r="CM31" s="882">
        <f t="shared" ca="1" si="90"/>
        <v>195</v>
      </c>
      <c r="CN31" s="882">
        <f t="shared" ca="1" si="90"/>
        <v>195</v>
      </c>
      <c r="CO31" s="882">
        <f t="shared" ca="1" si="90"/>
        <v>195</v>
      </c>
      <c r="CP31" s="882">
        <f t="shared" ca="1" si="90"/>
        <v>195</v>
      </c>
      <c r="CQ31" s="882">
        <f t="shared" ca="1" si="90"/>
        <v>195</v>
      </c>
      <c r="CR31" s="882">
        <f t="shared" ca="1" si="90"/>
        <v>195</v>
      </c>
      <c r="CS31" s="882">
        <f t="shared" ca="1" si="90"/>
        <v>195</v>
      </c>
      <c r="CT31" s="882">
        <f t="shared" ca="1" si="90"/>
        <v>195</v>
      </c>
      <c r="CU31" s="882">
        <f t="shared" ca="1" si="90"/>
        <v>195</v>
      </c>
      <c r="CV31" s="882">
        <f t="shared" ca="1" si="90"/>
        <v>195</v>
      </c>
      <c r="CW31" s="882">
        <f t="shared" ca="1" si="90"/>
        <v>195</v>
      </c>
      <c r="CX31" s="882">
        <f t="shared" ca="1" si="90"/>
        <v>195</v>
      </c>
      <c r="CY31" s="882">
        <f t="shared" ref="CY31:ED31" ca="1" si="91">SUM(CY29:CY30)</f>
        <v>195</v>
      </c>
      <c r="CZ31" s="882">
        <f t="shared" ca="1" si="91"/>
        <v>195</v>
      </c>
      <c r="DA31" s="882">
        <f t="shared" ca="1" si="91"/>
        <v>195</v>
      </c>
      <c r="DB31" s="882">
        <f t="shared" ca="1" si="91"/>
        <v>195</v>
      </c>
      <c r="DC31" s="882">
        <f t="shared" ca="1" si="91"/>
        <v>195</v>
      </c>
      <c r="DD31" s="882">
        <f t="shared" ca="1" si="91"/>
        <v>195</v>
      </c>
      <c r="DE31" s="882">
        <f t="shared" ca="1" si="91"/>
        <v>195</v>
      </c>
      <c r="DF31" s="882">
        <f t="shared" ca="1" si="91"/>
        <v>195</v>
      </c>
      <c r="DG31" s="882">
        <f t="shared" ca="1" si="91"/>
        <v>195</v>
      </c>
      <c r="DH31" s="882">
        <f t="shared" ca="1" si="91"/>
        <v>195</v>
      </c>
      <c r="DI31" s="882">
        <f t="shared" ca="1" si="91"/>
        <v>195</v>
      </c>
      <c r="DJ31" s="882">
        <f t="shared" ca="1" si="91"/>
        <v>195</v>
      </c>
      <c r="DK31" s="882">
        <f t="shared" ca="1" si="91"/>
        <v>195</v>
      </c>
      <c r="DL31" s="882">
        <f t="shared" ca="1" si="91"/>
        <v>195</v>
      </c>
      <c r="DM31" s="882">
        <f t="shared" ca="1" si="91"/>
        <v>195</v>
      </c>
      <c r="DN31" s="882">
        <f t="shared" ca="1" si="91"/>
        <v>195</v>
      </c>
      <c r="DO31" s="882">
        <f t="shared" ca="1" si="91"/>
        <v>195</v>
      </c>
      <c r="DP31" s="882">
        <f t="shared" ca="1" si="91"/>
        <v>195</v>
      </c>
      <c r="DQ31" s="882">
        <f t="shared" ca="1" si="91"/>
        <v>195</v>
      </c>
      <c r="DR31" s="882">
        <f t="shared" ca="1" si="91"/>
        <v>195</v>
      </c>
      <c r="DS31" s="882">
        <f t="shared" ca="1" si="91"/>
        <v>195</v>
      </c>
      <c r="DT31" s="882">
        <f t="shared" ca="1" si="91"/>
        <v>195</v>
      </c>
      <c r="DU31" s="882">
        <f t="shared" ca="1" si="91"/>
        <v>195</v>
      </c>
      <c r="DV31" s="882">
        <f t="shared" ca="1" si="91"/>
        <v>195</v>
      </c>
      <c r="DW31" s="882">
        <f t="shared" ca="1" si="91"/>
        <v>195</v>
      </c>
      <c r="DX31" s="882">
        <f t="shared" ca="1" si="91"/>
        <v>195</v>
      </c>
      <c r="DY31" s="882">
        <f t="shared" ca="1" si="91"/>
        <v>195</v>
      </c>
      <c r="DZ31" s="882">
        <f t="shared" ca="1" si="91"/>
        <v>195</v>
      </c>
      <c r="EA31" s="882">
        <f t="shared" ca="1" si="91"/>
        <v>195</v>
      </c>
      <c r="EB31" s="882">
        <f t="shared" ca="1" si="91"/>
        <v>195</v>
      </c>
      <c r="EC31" s="882">
        <f t="shared" ca="1" si="91"/>
        <v>195</v>
      </c>
      <c r="ED31" s="882">
        <f t="shared" ca="1" si="91"/>
        <v>195</v>
      </c>
      <c r="EE31" s="882">
        <f t="shared" ref="EE31:FJ31" ca="1" si="92">SUM(EE29:EE30)</f>
        <v>195</v>
      </c>
      <c r="EF31" s="882">
        <f t="shared" ca="1" si="92"/>
        <v>195</v>
      </c>
      <c r="EG31" s="882">
        <f t="shared" ca="1" si="92"/>
        <v>195</v>
      </c>
      <c r="EH31" s="882">
        <f t="shared" ca="1" si="92"/>
        <v>195</v>
      </c>
      <c r="EI31" s="882">
        <f t="shared" ca="1" si="92"/>
        <v>195</v>
      </c>
      <c r="EJ31" s="882">
        <f t="shared" ca="1" si="92"/>
        <v>195</v>
      </c>
      <c r="EK31" s="882">
        <f t="shared" ca="1" si="92"/>
        <v>195</v>
      </c>
      <c r="EL31" s="882">
        <f t="shared" ca="1" si="92"/>
        <v>195</v>
      </c>
      <c r="EM31" s="882">
        <f t="shared" ca="1" si="92"/>
        <v>195</v>
      </c>
      <c r="EN31" s="882">
        <f t="shared" ca="1" si="92"/>
        <v>195</v>
      </c>
      <c r="EO31" s="882">
        <f t="shared" ca="1" si="92"/>
        <v>195</v>
      </c>
      <c r="EP31" s="882">
        <f t="shared" ca="1" si="92"/>
        <v>195</v>
      </c>
      <c r="EQ31" s="882">
        <f t="shared" ca="1" si="92"/>
        <v>195</v>
      </c>
      <c r="ER31" s="882">
        <f t="shared" ca="1" si="92"/>
        <v>195</v>
      </c>
      <c r="ES31" s="882">
        <f t="shared" ca="1" si="92"/>
        <v>195</v>
      </c>
      <c r="ET31" s="882">
        <f t="shared" ca="1" si="92"/>
        <v>195</v>
      </c>
      <c r="EU31" s="882">
        <f t="shared" ca="1" si="92"/>
        <v>195</v>
      </c>
      <c r="EV31" s="882">
        <f t="shared" ca="1" si="92"/>
        <v>195</v>
      </c>
      <c r="EW31" s="882">
        <f t="shared" ca="1" si="92"/>
        <v>195</v>
      </c>
      <c r="EX31" s="882">
        <f t="shared" ca="1" si="92"/>
        <v>195</v>
      </c>
      <c r="EY31" s="882">
        <f t="shared" ca="1" si="92"/>
        <v>195</v>
      </c>
      <c r="EZ31" s="882">
        <f t="shared" ca="1" si="92"/>
        <v>195</v>
      </c>
      <c r="FA31" s="882">
        <f t="shared" ca="1" si="92"/>
        <v>195</v>
      </c>
      <c r="FB31" s="882">
        <f t="shared" ca="1" si="92"/>
        <v>195</v>
      </c>
      <c r="FC31" s="882">
        <f t="shared" ca="1" si="92"/>
        <v>195</v>
      </c>
      <c r="FD31" s="882">
        <f t="shared" ca="1" si="92"/>
        <v>195</v>
      </c>
      <c r="FE31" s="882">
        <f t="shared" ca="1" si="92"/>
        <v>195</v>
      </c>
      <c r="FF31" s="882">
        <f t="shared" ca="1" si="92"/>
        <v>195</v>
      </c>
      <c r="FG31" s="882">
        <f t="shared" ca="1" si="92"/>
        <v>195</v>
      </c>
      <c r="FH31" s="882">
        <f t="shared" ca="1" si="92"/>
        <v>195</v>
      </c>
      <c r="FI31" s="882">
        <f t="shared" ca="1" si="92"/>
        <v>195</v>
      </c>
      <c r="FJ31" s="882">
        <f t="shared" ca="1" si="92"/>
        <v>195</v>
      </c>
      <c r="FK31" s="882">
        <f t="shared" ref="FK31:FN31" ca="1" si="93">SUM(FK29:FK30)</f>
        <v>195</v>
      </c>
      <c r="FL31" s="882">
        <f t="shared" ca="1" si="93"/>
        <v>195</v>
      </c>
      <c r="FM31" s="882">
        <f t="shared" ca="1" si="93"/>
        <v>195</v>
      </c>
      <c r="FN31" s="882">
        <f t="shared" ca="1" si="93"/>
        <v>195</v>
      </c>
      <c r="FO31" s="144" t="s">
        <v>243</v>
      </c>
    </row>
    <row r="32" spans="1:171" x14ac:dyDescent="0.2">
      <c r="B32" s="721" t="str">
        <f t="shared" si="73"/>
        <v>1x1-S</v>
      </c>
      <c r="C32" s="151">
        <f t="shared" si="74"/>
        <v>2</v>
      </c>
      <c r="D32" s="550">
        <f>IFERROR(AVERAGEIFS(Rent_Roll[Market
Rent],Rent_Roll[SqFt],'Unit Mix-Reno Schedule'!$E11,Rent_Roll[Unit
Status],"Occupied"),0)</f>
        <v>1155</v>
      </c>
      <c r="E32" s="550">
        <f t="shared" si="75"/>
        <v>1132.5</v>
      </c>
      <c r="F32" s="897">
        <f t="shared" si="76"/>
        <v>-22.5</v>
      </c>
      <c r="G32" s="225">
        <f t="shared" si="77"/>
        <v>1.948051948051948E-2</v>
      </c>
      <c r="H32" s="897">
        <v>0</v>
      </c>
      <c r="I32" s="225">
        <v>0</v>
      </c>
      <c r="J32" s="550">
        <v>0</v>
      </c>
      <c r="K32" s="959">
        <f t="shared" si="78"/>
        <v>1132.5</v>
      </c>
      <c r="M32" s="721" t="str">
        <f t="shared" si="79"/>
        <v>1x1-S</v>
      </c>
      <c r="N32" s="151">
        <f t="shared" si="80"/>
        <v>2</v>
      </c>
      <c r="O32" s="550">
        <f t="shared" si="81"/>
        <v>1155</v>
      </c>
      <c r="P32" s="550">
        <f t="shared" si="82"/>
        <v>1132.5</v>
      </c>
      <c r="Q32" s="550">
        <f t="shared" si="64"/>
        <v>1350</v>
      </c>
      <c r="R32" s="550"/>
      <c r="S32" s="897">
        <f t="shared" si="65"/>
        <v>195</v>
      </c>
      <c r="T32" s="225">
        <f t="shared" si="66"/>
        <v>0.16883116883116883</v>
      </c>
      <c r="U32" s="897">
        <f t="shared" si="67"/>
        <v>217.5</v>
      </c>
      <c r="V32" s="960">
        <f t="shared" si="68"/>
        <v>0.19205298013245034</v>
      </c>
      <c r="X32" s="961" t="str">
        <f t="shared" si="83"/>
        <v>1x1-S</v>
      </c>
      <c r="Y32" s="151">
        <f t="shared" si="84"/>
        <v>2</v>
      </c>
      <c r="Z32" s="550"/>
      <c r="AA32" s="895"/>
      <c r="AB32" s="550"/>
      <c r="AC32" s="550"/>
      <c r="AD32" s="895"/>
      <c r="AE32" s="550"/>
      <c r="AF32" s="844"/>
      <c r="FO32" s="144" t="s">
        <v>243</v>
      </c>
    </row>
    <row r="33" spans="2:171" x14ac:dyDescent="0.2">
      <c r="B33" s="721" t="str">
        <f t="shared" si="73"/>
        <v>1x1</v>
      </c>
      <c r="C33" s="151">
        <f t="shared" si="74"/>
        <v>4</v>
      </c>
      <c r="D33" s="550">
        <f>IFERROR(AVERAGEIFS(Rent_Roll[Market
Rent],Rent_Roll[SqFt],'Unit Mix-Reno Schedule'!$E12,Rent_Roll[Unit
Status],"Occupied"),0)</f>
        <v>1270</v>
      </c>
      <c r="E33" s="550">
        <f t="shared" si="75"/>
        <v>1231.25</v>
      </c>
      <c r="F33" s="897">
        <f t="shared" si="76"/>
        <v>-38.75</v>
      </c>
      <c r="G33" s="225">
        <f t="shared" si="77"/>
        <v>3.0511811023622049E-2</v>
      </c>
      <c r="H33" s="897">
        <v>0</v>
      </c>
      <c r="I33" s="225">
        <v>0</v>
      </c>
      <c r="J33" s="550">
        <v>0</v>
      </c>
      <c r="K33" s="959">
        <f t="shared" si="78"/>
        <v>1231.25</v>
      </c>
      <c r="M33" s="721" t="str">
        <f t="shared" si="79"/>
        <v>1x1</v>
      </c>
      <c r="N33" s="151">
        <f t="shared" si="80"/>
        <v>4</v>
      </c>
      <c r="O33" s="550">
        <f t="shared" si="81"/>
        <v>1270</v>
      </c>
      <c r="P33" s="550">
        <f t="shared" si="82"/>
        <v>1231.25</v>
      </c>
      <c r="Q33" s="550">
        <f t="shared" si="64"/>
        <v>1375</v>
      </c>
      <c r="R33" s="550"/>
      <c r="S33" s="897">
        <f t="shared" si="65"/>
        <v>105</v>
      </c>
      <c r="T33" s="225">
        <f t="shared" si="66"/>
        <v>8.2677165354330714E-2</v>
      </c>
      <c r="U33" s="897">
        <f t="shared" si="67"/>
        <v>143.75</v>
      </c>
      <c r="V33" s="960">
        <f t="shared" si="68"/>
        <v>0.116751269035533</v>
      </c>
      <c r="X33" s="961" t="str">
        <f t="shared" si="83"/>
        <v>1x1</v>
      </c>
      <c r="Y33" s="151">
        <f t="shared" si="84"/>
        <v>4</v>
      </c>
      <c r="Z33" s="550"/>
      <c r="AA33" s="895"/>
      <c r="AB33" s="550"/>
      <c r="AC33" s="550"/>
      <c r="AD33" s="895"/>
      <c r="AE33" s="550"/>
      <c r="AF33" s="844"/>
      <c r="AS33" s="963"/>
      <c r="AT33" s="963"/>
      <c r="AU33" s="151"/>
      <c r="AV33" s="151"/>
      <c r="AW33" s="963"/>
      <c r="AX33" s="963"/>
      <c r="AY33" s="151"/>
      <c r="AZ33" s="151"/>
      <c r="BA33" s="151"/>
      <c r="BB33" s="151"/>
      <c r="BC33" s="151"/>
      <c r="BD33" s="151"/>
      <c r="BE33" s="151"/>
      <c r="BF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1"/>
      <c r="CH33" s="151"/>
      <c r="CI33" s="151"/>
      <c r="CJ33" s="151"/>
      <c r="CK33" s="151"/>
      <c r="CL33" s="151"/>
      <c r="CM33" s="151"/>
      <c r="CN33" s="151"/>
      <c r="CO33" s="151"/>
      <c r="CP33" s="151"/>
      <c r="CQ33" s="151"/>
      <c r="CR33" s="151"/>
      <c r="CS33" s="151"/>
      <c r="CT33" s="151"/>
      <c r="CU33" s="151"/>
      <c r="CV33" s="151"/>
      <c r="CW33" s="151"/>
      <c r="CX33" s="151"/>
      <c r="CY33" s="151"/>
      <c r="CZ33" s="151"/>
      <c r="DA33" s="151"/>
      <c r="DB33" s="151"/>
      <c r="DC33" s="151"/>
      <c r="DD33" s="151"/>
      <c r="DE33" s="151"/>
      <c r="DF33" s="151"/>
      <c r="DG33" s="151"/>
      <c r="DH33" s="151"/>
      <c r="DI33" s="151"/>
      <c r="DJ33" s="151"/>
      <c r="DK33" s="151"/>
      <c r="DL33" s="151"/>
      <c r="DM33" s="151"/>
      <c r="DN33" s="151"/>
      <c r="DO33" s="151"/>
      <c r="DP33" s="151"/>
      <c r="DQ33" s="151"/>
      <c r="DR33" s="151"/>
      <c r="DS33" s="151"/>
      <c r="DT33" s="151"/>
      <c r="DU33" s="151"/>
      <c r="DV33" s="151"/>
      <c r="DW33" s="151"/>
      <c r="DX33" s="151"/>
      <c r="DY33" s="151"/>
      <c r="DZ33" s="151"/>
      <c r="EA33" s="151"/>
      <c r="EB33" s="151"/>
      <c r="EC33" s="151"/>
      <c r="ED33" s="151"/>
      <c r="EE33" s="151"/>
      <c r="EF33" s="151"/>
      <c r="EG33" s="151"/>
      <c r="EH33" s="151"/>
      <c r="EI33" s="151"/>
      <c r="EJ33" s="151"/>
      <c r="EK33" s="151"/>
      <c r="EL33" s="151"/>
      <c r="EM33" s="151"/>
      <c r="EN33" s="151"/>
      <c r="EO33" s="151"/>
      <c r="EP33" s="151"/>
      <c r="EQ33" s="151"/>
      <c r="ER33" s="151"/>
      <c r="ES33" s="151"/>
      <c r="ET33" s="151"/>
      <c r="EU33" s="151"/>
      <c r="EV33" s="151"/>
      <c r="EW33" s="151"/>
      <c r="EX33" s="151"/>
      <c r="EY33" s="151"/>
      <c r="EZ33" s="151"/>
      <c r="FA33" s="151"/>
      <c r="FB33" s="151"/>
      <c r="FC33" s="151"/>
      <c r="FD33" s="151"/>
      <c r="FE33" s="151"/>
      <c r="FF33" s="151"/>
      <c r="FG33" s="151"/>
      <c r="FH33" s="151"/>
      <c r="FI33" s="151"/>
      <c r="FJ33" s="151"/>
      <c r="FK33" s="151"/>
      <c r="FL33" s="151"/>
      <c r="FM33" s="151"/>
      <c r="FN33" s="151"/>
      <c r="FO33" s="144" t="s">
        <v>243</v>
      </c>
    </row>
    <row r="34" spans="2:171" x14ac:dyDescent="0.2">
      <c r="B34" s="721" t="str">
        <f t="shared" si="73"/>
        <v>1x1-S</v>
      </c>
      <c r="C34" s="151">
        <f t="shared" si="74"/>
        <v>4</v>
      </c>
      <c r="D34" s="550">
        <f>IFERROR(AVERAGEIFS(Rent_Roll[Market
Rent],Rent_Roll[SqFt],'Unit Mix-Reno Schedule'!$E13,Rent_Roll[Unit
Status],"Occupied"),0)</f>
        <v>1250</v>
      </c>
      <c r="E34" s="550">
        <f t="shared" si="75"/>
        <v>1145</v>
      </c>
      <c r="F34" s="897">
        <f t="shared" si="76"/>
        <v>-105</v>
      </c>
      <c r="G34" s="225">
        <f t="shared" si="77"/>
        <v>8.4000000000000005E-2</v>
      </c>
      <c r="H34" s="897">
        <v>0</v>
      </c>
      <c r="I34" s="225">
        <v>0</v>
      </c>
      <c r="J34" s="550">
        <v>0</v>
      </c>
      <c r="K34" s="959">
        <f t="shared" si="78"/>
        <v>1145</v>
      </c>
      <c r="M34" s="721" t="str">
        <f t="shared" si="79"/>
        <v>1x1-S</v>
      </c>
      <c r="N34" s="151">
        <f t="shared" si="80"/>
        <v>4</v>
      </c>
      <c r="O34" s="550">
        <f t="shared" si="81"/>
        <v>1250</v>
      </c>
      <c r="P34" s="550">
        <f t="shared" si="82"/>
        <v>1145</v>
      </c>
      <c r="Q34" s="550">
        <f t="shared" si="64"/>
        <v>1400</v>
      </c>
      <c r="R34" s="550"/>
      <c r="S34" s="897">
        <f t="shared" si="65"/>
        <v>150</v>
      </c>
      <c r="T34" s="225">
        <f t="shared" si="66"/>
        <v>0.12</v>
      </c>
      <c r="U34" s="897">
        <f t="shared" si="67"/>
        <v>255</v>
      </c>
      <c r="V34" s="960">
        <f t="shared" si="68"/>
        <v>0.22270742358078602</v>
      </c>
      <c r="X34" s="961" t="str">
        <f t="shared" si="83"/>
        <v>1x1-S</v>
      </c>
      <c r="Y34" s="151">
        <f t="shared" si="84"/>
        <v>4</v>
      </c>
      <c r="Z34" s="550"/>
      <c r="AA34" s="895"/>
      <c r="AB34" s="550"/>
      <c r="AC34" s="550"/>
      <c r="AD34" s="895"/>
      <c r="AE34" s="550"/>
      <c r="AF34" s="844"/>
      <c r="AK34" s="878" t="s">
        <v>350</v>
      </c>
      <c r="AU34" s="151"/>
      <c r="AV34" s="151"/>
      <c r="AW34" s="151"/>
      <c r="AX34" s="151"/>
      <c r="AY34" s="151"/>
      <c r="AZ34" s="151"/>
      <c r="BA34" s="151"/>
      <c r="BB34" s="151"/>
      <c r="BC34" s="151"/>
      <c r="BD34" s="151"/>
      <c r="BE34" s="151"/>
      <c r="BF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51"/>
      <c r="CF34" s="151"/>
      <c r="CG34" s="151"/>
      <c r="CH34" s="151"/>
      <c r="CI34" s="151"/>
      <c r="CJ34" s="151"/>
      <c r="CK34" s="151"/>
      <c r="CL34" s="151"/>
      <c r="CM34" s="151"/>
      <c r="CN34" s="151"/>
      <c r="CO34" s="151"/>
      <c r="CP34" s="151"/>
      <c r="CQ34" s="151"/>
      <c r="CR34" s="151"/>
      <c r="CS34" s="151"/>
      <c r="CT34" s="151"/>
      <c r="CU34" s="151"/>
      <c r="CV34" s="151"/>
      <c r="CW34" s="151"/>
      <c r="CX34" s="151"/>
      <c r="CY34" s="151"/>
      <c r="CZ34" s="151"/>
      <c r="DA34" s="151"/>
      <c r="DB34" s="151"/>
      <c r="DC34" s="151"/>
      <c r="DD34" s="151"/>
      <c r="DE34" s="151"/>
      <c r="DF34" s="151"/>
      <c r="DG34" s="151"/>
      <c r="DH34" s="151"/>
      <c r="DI34" s="151"/>
      <c r="DJ34" s="151"/>
      <c r="DK34" s="151"/>
      <c r="DL34" s="151"/>
      <c r="DM34" s="151"/>
      <c r="DN34" s="151"/>
      <c r="DO34" s="151"/>
      <c r="DP34" s="151"/>
      <c r="DQ34" s="151"/>
      <c r="DR34" s="151"/>
      <c r="DS34" s="151"/>
      <c r="DT34" s="151"/>
      <c r="DU34" s="151"/>
      <c r="DV34" s="151"/>
      <c r="DW34" s="151"/>
      <c r="DX34" s="151"/>
      <c r="DY34" s="151"/>
      <c r="DZ34" s="151"/>
      <c r="EA34" s="151"/>
      <c r="EB34" s="151"/>
      <c r="EC34" s="151"/>
      <c r="ED34" s="151"/>
      <c r="EE34" s="151"/>
      <c r="EF34" s="151"/>
      <c r="EG34" s="151"/>
      <c r="EH34" s="151"/>
      <c r="EI34" s="151"/>
      <c r="EJ34" s="151"/>
      <c r="EK34" s="151"/>
      <c r="EL34" s="151"/>
      <c r="EM34" s="151"/>
      <c r="EN34" s="151"/>
      <c r="EO34" s="151"/>
      <c r="EP34" s="151"/>
      <c r="EQ34" s="151"/>
      <c r="ER34" s="151"/>
      <c r="ES34" s="151"/>
      <c r="ET34" s="151"/>
      <c r="EU34" s="151"/>
      <c r="EV34" s="151"/>
      <c r="EW34" s="151"/>
      <c r="EX34" s="151"/>
      <c r="EY34" s="151"/>
      <c r="EZ34" s="151"/>
      <c r="FA34" s="151"/>
      <c r="FB34" s="151"/>
      <c r="FC34" s="151"/>
      <c r="FD34" s="151"/>
      <c r="FE34" s="151"/>
      <c r="FF34" s="151"/>
      <c r="FG34" s="151"/>
      <c r="FH34" s="151"/>
      <c r="FI34" s="151"/>
      <c r="FJ34" s="151"/>
      <c r="FK34" s="151"/>
      <c r="FL34" s="151"/>
      <c r="FM34" s="151"/>
      <c r="FN34" s="151"/>
      <c r="FO34" s="144" t="s">
        <v>243</v>
      </c>
    </row>
    <row r="35" spans="2:171" x14ac:dyDescent="0.2">
      <c r="B35" s="721" t="str">
        <f t="shared" si="73"/>
        <v>1x1</v>
      </c>
      <c r="C35" s="151">
        <f t="shared" si="74"/>
        <v>10</v>
      </c>
      <c r="D35" s="550">
        <f>IFERROR(AVERAGEIFS(Rent_Roll[Market
Rent],Rent_Roll[SqFt],'Unit Mix-Reno Schedule'!$E14,Rent_Roll[Unit
Status],"Occupied"),0)</f>
        <v>1304</v>
      </c>
      <c r="E35" s="550">
        <f t="shared" si="75"/>
        <v>1192.5</v>
      </c>
      <c r="F35" s="897">
        <f t="shared" si="76"/>
        <v>-111.5</v>
      </c>
      <c r="G35" s="225">
        <f t="shared" si="77"/>
        <v>8.5506134969325159E-2</v>
      </c>
      <c r="H35" s="897">
        <v>0</v>
      </c>
      <c r="I35" s="225">
        <v>0</v>
      </c>
      <c r="J35" s="550">
        <v>0</v>
      </c>
      <c r="K35" s="959">
        <f t="shared" si="78"/>
        <v>1192.5</v>
      </c>
      <c r="M35" s="721" t="str">
        <f t="shared" si="79"/>
        <v>1x1</v>
      </c>
      <c r="N35" s="151">
        <f t="shared" si="80"/>
        <v>10</v>
      </c>
      <c r="O35" s="550">
        <f t="shared" si="81"/>
        <v>1304</v>
      </c>
      <c r="P35" s="550">
        <f t="shared" si="82"/>
        <v>1192.5</v>
      </c>
      <c r="Q35" s="550">
        <f t="shared" si="64"/>
        <v>1500</v>
      </c>
      <c r="R35" s="550"/>
      <c r="S35" s="897">
        <f t="shared" si="65"/>
        <v>196</v>
      </c>
      <c r="T35" s="225">
        <f t="shared" si="66"/>
        <v>0.15030674846625766</v>
      </c>
      <c r="U35" s="897">
        <f t="shared" si="67"/>
        <v>307.5</v>
      </c>
      <c r="V35" s="960">
        <f t="shared" si="68"/>
        <v>0.25786163522012578</v>
      </c>
      <c r="X35" s="961" t="str">
        <f t="shared" si="83"/>
        <v>1x1</v>
      </c>
      <c r="Y35" s="151">
        <f t="shared" si="84"/>
        <v>10</v>
      </c>
      <c r="Z35" s="550"/>
      <c r="AA35" s="895"/>
      <c r="AB35" s="550"/>
      <c r="AC35" s="550"/>
      <c r="AD35" s="895"/>
      <c r="AE35" s="550"/>
      <c r="AF35" s="844"/>
      <c r="AK35" s="223" t="s">
        <v>351</v>
      </c>
      <c r="AL35" s="964">
        <f>$L$22</f>
        <v>1316.844262295082</v>
      </c>
      <c r="AM35" s="964">
        <f>AL35*(1+AM11)</f>
        <v>1395.8549180327871</v>
      </c>
      <c r="AN35" s="964">
        <f t="shared" ref="AN35:BR35" si="94">AM35*(1+AN11)</f>
        <v>1395.8549180327871</v>
      </c>
      <c r="AO35" s="964">
        <f t="shared" si="94"/>
        <v>1395.8549180327871</v>
      </c>
      <c r="AP35" s="964">
        <f t="shared" si="94"/>
        <v>1395.8549180327871</v>
      </c>
      <c r="AQ35" s="964">
        <f t="shared" si="94"/>
        <v>1395.8549180327871</v>
      </c>
      <c r="AR35" s="964">
        <f t="shared" si="94"/>
        <v>1395.8549180327871</v>
      </c>
      <c r="AS35" s="964">
        <f t="shared" si="94"/>
        <v>1395.8549180327871</v>
      </c>
      <c r="AT35" s="964">
        <f t="shared" si="94"/>
        <v>1395.8549180327871</v>
      </c>
      <c r="AU35" s="964">
        <f t="shared" si="94"/>
        <v>1395.8549180327871</v>
      </c>
      <c r="AV35" s="964">
        <f t="shared" si="94"/>
        <v>1395.8549180327871</v>
      </c>
      <c r="AW35" s="964">
        <f t="shared" si="94"/>
        <v>1395.8549180327871</v>
      </c>
      <c r="AX35" s="964">
        <f t="shared" si="94"/>
        <v>1395.8549180327871</v>
      </c>
      <c r="AY35" s="964">
        <f t="shared" si="94"/>
        <v>1465.6476639344264</v>
      </c>
      <c r="AZ35" s="964">
        <f t="shared" si="94"/>
        <v>1465.6476639344264</v>
      </c>
      <c r="BA35" s="964">
        <f t="shared" si="94"/>
        <v>1465.6476639344264</v>
      </c>
      <c r="BB35" s="964">
        <f t="shared" si="94"/>
        <v>1465.6476639344264</v>
      </c>
      <c r="BC35" s="964">
        <f t="shared" si="94"/>
        <v>1465.6476639344264</v>
      </c>
      <c r="BD35" s="964">
        <f t="shared" si="94"/>
        <v>1465.6476639344264</v>
      </c>
      <c r="BE35" s="964">
        <f t="shared" si="94"/>
        <v>1465.6476639344264</v>
      </c>
      <c r="BF35" s="964">
        <f t="shared" si="94"/>
        <v>1465.6476639344264</v>
      </c>
      <c r="BG35" s="964">
        <f t="shared" si="94"/>
        <v>1465.6476639344264</v>
      </c>
      <c r="BH35" s="964">
        <f t="shared" si="94"/>
        <v>1465.6476639344264</v>
      </c>
      <c r="BI35" s="964">
        <f t="shared" si="94"/>
        <v>1465.6476639344264</v>
      </c>
      <c r="BJ35" s="964">
        <f t="shared" si="94"/>
        <v>1465.6476639344264</v>
      </c>
      <c r="BK35" s="964">
        <f t="shared" si="94"/>
        <v>1538.9300471311478</v>
      </c>
      <c r="BL35" s="964">
        <f t="shared" si="94"/>
        <v>1538.9300471311478</v>
      </c>
      <c r="BM35" s="964">
        <f t="shared" si="94"/>
        <v>1538.9300471311478</v>
      </c>
      <c r="BN35" s="964">
        <f t="shared" si="94"/>
        <v>1538.9300471311478</v>
      </c>
      <c r="BO35" s="964">
        <f t="shared" si="94"/>
        <v>1538.9300471311478</v>
      </c>
      <c r="BP35" s="964">
        <f t="shared" si="94"/>
        <v>1538.9300471311478</v>
      </c>
      <c r="BQ35" s="964">
        <f t="shared" si="94"/>
        <v>1538.9300471311478</v>
      </c>
      <c r="BR35" s="964">
        <f t="shared" si="94"/>
        <v>1538.9300471311478</v>
      </c>
      <c r="BS35" s="964">
        <f t="shared" ref="BS35:CX35" si="95">BR35*(1+BS11)</f>
        <v>1538.9300471311478</v>
      </c>
      <c r="BT35" s="964">
        <f t="shared" si="95"/>
        <v>1538.9300471311478</v>
      </c>
      <c r="BU35" s="964">
        <f t="shared" si="95"/>
        <v>1538.9300471311478</v>
      </c>
      <c r="BV35" s="964">
        <f t="shared" si="95"/>
        <v>1538.9300471311478</v>
      </c>
      <c r="BW35" s="964">
        <f t="shared" si="95"/>
        <v>1600.4872490163939</v>
      </c>
      <c r="BX35" s="964">
        <f t="shared" si="95"/>
        <v>1600.4872490163939</v>
      </c>
      <c r="BY35" s="964">
        <f t="shared" si="95"/>
        <v>1600.4872490163939</v>
      </c>
      <c r="BZ35" s="964">
        <f t="shared" si="95"/>
        <v>1600.4872490163939</v>
      </c>
      <c r="CA35" s="964">
        <f t="shared" si="95"/>
        <v>1600.4872490163939</v>
      </c>
      <c r="CB35" s="964">
        <f t="shared" si="95"/>
        <v>1600.4872490163939</v>
      </c>
      <c r="CC35" s="964">
        <f t="shared" si="95"/>
        <v>1600.4872490163939</v>
      </c>
      <c r="CD35" s="964">
        <f t="shared" si="95"/>
        <v>1600.4872490163939</v>
      </c>
      <c r="CE35" s="964">
        <f t="shared" si="95"/>
        <v>1600.4872490163939</v>
      </c>
      <c r="CF35" s="964">
        <f t="shared" si="95"/>
        <v>1600.4872490163939</v>
      </c>
      <c r="CG35" s="964">
        <f t="shared" si="95"/>
        <v>1600.4872490163939</v>
      </c>
      <c r="CH35" s="964">
        <f t="shared" si="95"/>
        <v>1600.4872490163939</v>
      </c>
      <c r="CI35" s="964">
        <f t="shared" si="95"/>
        <v>1664.5067389770497</v>
      </c>
      <c r="CJ35" s="964">
        <f t="shared" si="95"/>
        <v>1664.5067389770497</v>
      </c>
      <c r="CK35" s="964">
        <f t="shared" si="95"/>
        <v>1664.5067389770497</v>
      </c>
      <c r="CL35" s="964">
        <f t="shared" si="95"/>
        <v>1664.5067389770497</v>
      </c>
      <c r="CM35" s="964">
        <f t="shared" si="95"/>
        <v>1664.5067389770497</v>
      </c>
      <c r="CN35" s="964">
        <f t="shared" si="95"/>
        <v>1664.5067389770497</v>
      </c>
      <c r="CO35" s="964">
        <f t="shared" si="95"/>
        <v>1664.5067389770497</v>
      </c>
      <c r="CP35" s="964">
        <f t="shared" si="95"/>
        <v>1664.5067389770497</v>
      </c>
      <c r="CQ35" s="964">
        <f t="shared" si="95"/>
        <v>1664.5067389770497</v>
      </c>
      <c r="CR35" s="964">
        <f t="shared" si="95"/>
        <v>1664.5067389770497</v>
      </c>
      <c r="CS35" s="964">
        <f t="shared" si="95"/>
        <v>1664.5067389770497</v>
      </c>
      <c r="CT35" s="964">
        <f t="shared" si="95"/>
        <v>1664.5067389770497</v>
      </c>
      <c r="CU35" s="964">
        <f t="shared" si="95"/>
        <v>1731.0870085361319</v>
      </c>
      <c r="CV35" s="964">
        <f t="shared" si="95"/>
        <v>1731.0870085361319</v>
      </c>
      <c r="CW35" s="964">
        <f t="shared" si="95"/>
        <v>1731.0870085361319</v>
      </c>
      <c r="CX35" s="964">
        <f t="shared" si="95"/>
        <v>1731.0870085361319</v>
      </c>
      <c r="CY35" s="964">
        <f t="shared" ref="CY35:ED35" si="96">CX35*(1+CY11)</f>
        <v>1731.0870085361319</v>
      </c>
      <c r="CZ35" s="964">
        <f t="shared" si="96"/>
        <v>1731.0870085361319</v>
      </c>
      <c r="DA35" s="964">
        <f t="shared" si="96"/>
        <v>1731.0870085361319</v>
      </c>
      <c r="DB35" s="964">
        <f t="shared" si="96"/>
        <v>1731.0870085361319</v>
      </c>
      <c r="DC35" s="964">
        <f t="shared" si="96"/>
        <v>1731.0870085361319</v>
      </c>
      <c r="DD35" s="964">
        <f t="shared" si="96"/>
        <v>1731.0870085361319</v>
      </c>
      <c r="DE35" s="964">
        <f t="shared" si="96"/>
        <v>1731.0870085361319</v>
      </c>
      <c r="DF35" s="964">
        <f t="shared" si="96"/>
        <v>1731.0870085361319</v>
      </c>
      <c r="DG35" s="964">
        <f t="shared" si="96"/>
        <v>1800.3304888775772</v>
      </c>
      <c r="DH35" s="964">
        <f t="shared" si="96"/>
        <v>1800.3304888775772</v>
      </c>
      <c r="DI35" s="964">
        <f t="shared" si="96"/>
        <v>1800.3304888775772</v>
      </c>
      <c r="DJ35" s="964">
        <f t="shared" si="96"/>
        <v>1800.3304888775772</v>
      </c>
      <c r="DK35" s="964">
        <f t="shared" si="96"/>
        <v>1800.3304888775772</v>
      </c>
      <c r="DL35" s="964">
        <f t="shared" si="96"/>
        <v>1800.3304888775772</v>
      </c>
      <c r="DM35" s="964">
        <f t="shared" si="96"/>
        <v>1800.3304888775772</v>
      </c>
      <c r="DN35" s="964">
        <f t="shared" si="96"/>
        <v>1800.3304888775772</v>
      </c>
      <c r="DO35" s="964">
        <f t="shared" si="96"/>
        <v>1800.3304888775772</v>
      </c>
      <c r="DP35" s="964">
        <f t="shared" si="96"/>
        <v>1800.3304888775772</v>
      </c>
      <c r="DQ35" s="964">
        <f t="shared" si="96"/>
        <v>1800.3304888775772</v>
      </c>
      <c r="DR35" s="964">
        <f t="shared" si="96"/>
        <v>1800.3304888775772</v>
      </c>
      <c r="DS35" s="964">
        <f t="shared" si="96"/>
        <v>1872.3437084326804</v>
      </c>
      <c r="DT35" s="964">
        <f t="shared" si="96"/>
        <v>1872.3437084326804</v>
      </c>
      <c r="DU35" s="964">
        <f t="shared" si="96"/>
        <v>1872.3437084326804</v>
      </c>
      <c r="DV35" s="964">
        <f t="shared" si="96"/>
        <v>1872.3437084326804</v>
      </c>
      <c r="DW35" s="964">
        <f t="shared" si="96"/>
        <v>1872.3437084326804</v>
      </c>
      <c r="DX35" s="964">
        <f t="shared" si="96"/>
        <v>1872.3437084326804</v>
      </c>
      <c r="DY35" s="964">
        <f t="shared" si="96"/>
        <v>1872.3437084326804</v>
      </c>
      <c r="DZ35" s="964">
        <f t="shared" si="96"/>
        <v>1872.3437084326804</v>
      </c>
      <c r="EA35" s="964">
        <f t="shared" si="96"/>
        <v>1872.3437084326804</v>
      </c>
      <c r="EB35" s="964">
        <f t="shared" si="96"/>
        <v>1872.3437084326804</v>
      </c>
      <c r="EC35" s="964">
        <f t="shared" si="96"/>
        <v>1872.3437084326804</v>
      </c>
      <c r="ED35" s="964">
        <f t="shared" si="96"/>
        <v>1872.3437084326804</v>
      </c>
      <c r="EE35" s="964">
        <f t="shared" ref="EE35:FN35" si="97">ED35*(1+EE11)</f>
        <v>1947.2374567699876</v>
      </c>
      <c r="EF35" s="964">
        <f t="shared" si="97"/>
        <v>1947.2374567699876</v>
      </c>
      <c r="EG35" s="964">
        <f t="shared" si="97"/>
        <v>1947.2374567699876</v>
      </c>
      <c r="EH35" s="964">
        <f t="shared" si="97"/>
        <v>1947.2374567699876</v>
      </c>
      <c r="EI35" s="964">
        <f t="shared" si="97"/>
        <v>1947.2374567699876</v>
      </c>
      <c r="EJ35" s="964">
        <f t="shared" si="97"/>
        <v>1947.2374567699876</v>
      </c>
      <c r="EK35" s="964">
        <f t="shared" si="97"/>
        <v>1947.2374567699876</v>
      </c>
      <c r="EL35" s="964">
        <f t="shared" si="97"/>
        <v>1947.2374567699876</v>
      </c>
      <c r="EM35" s="964">
        <f t="shared" si="97"/>
        <v>1947.2374567699876</v>
      </c>
      <c r="EN35" s="964">
        <f t="shared" si="97"/>
        <v>1947.2374567699876</v>
      </c>
      <c r="EO35" s="964">
        <f t="shared" si="97"/>
        <v>1947.2374567699876</v>
      </c>
      <c r="EP35" s="964">
        <f t="shared" si="97"/>
        <v>1947.2374567699876</v>
      </c>
      <c r="EQ35" s="964">
        <f t="shared" si="97"/>
        <v>2005.6545804730872</v>
      </c>
      <c r="ER35" s="964">
        <f t="shared" si="97"/>
        <v>2005.6545804730872</v>
      </c>
      <c r="ES35" s="964">
        <f t="shared" si="97"/>
        <v>2005.6545804730872</v>
      </c>
      <c r="ET35" s="964">
        <f t="shared" si="97"/>
        <v>2005.6545804730872</v>
      </c>
      <c r="EU35" s="964">
        <f t="shared" si="97"/>
        <v>2005.6545804730872</v>
      </c>
      <c r="EV35" s="964">
        <f t="shared" si="97"/>
        <v>2005.6545804730872</v>
      </c>
      <c r="EW35" s="964">
        <f t="shared" si="97"/>
        <v>2005.6545804730872</v>
      </c>
      <c r="EX35" s="964">
        <f t="shared" si="97"/>
        <v>2005.6545804730872</v>
      </c>
      <c r="EY35" s="964">
        <f t="shared" si="97"/>
        <v>2005.6545804730872</v>
      </c>
      <c r="EZ35" s="964">
        <f t="shared" si="97"/>
        <v>2005.6545804730872</v>
      </c>
      <c r="FA35" s="964">
        <f t="shared" si="97"/>
        <v>2005.6545804730872</v>
      </c>
      <c r="FB35" s="964">
        <f t="shared" si="97"/>
        <v>2005.6545804730872</v>
      </c>
      <c r="FC35" s="964">
        <f t="shared" si="97"/>
        <v>2065.8242178872797</v>
      </c>
      <c r="FD35" s="964">
        <f t="shared" si="97"/>
        <v>2065.8242178872797</v>
      </c>
      <c r="FE35" s="964">
        <f t="shared" si="97"/>
        <v>2065.8242178872797</v>
      </c>
      <c r="FF35" s="964">
        <f t="shared" si="97"/>
        <v>2065.8242178872797</v>
      </c>
      <c r="FG35" s="964">
        <f t="shared" si="97"/>
        <v>2065.8242178872797</v>
      </c>
      <c r="FH35" s="964">
        <f t="shared" si="97"/>
        <v>2065.8242178872797</v>
      </c>
      <c r="FI35" s="964">
        <f t="shared" si="97"/>
        <v>2065.8242178872797</v>
      </c>
      <c r="FJ35" s="964">
        <f t="shared" si="97"/>
        <v>2065.8242178872797</v>
      </c>
      <c r="FK35" s="964">
        <f t="shared" si="97"/>
        <v>2065.8242178872797</v>
      </c>
      <c r="FL35" s="964">
        <f t="shared" si="97"/>
        <v>2065.8242178872797</v>
      </c>
      <c r="FM35" s="964">
        <f t="shared" si="97"/>
        <v>2065.8242178872797</v>
      </c>
      <c r="FN35" s="964">
        <f t="shared" si="97"/>
        <v>2065.8242178872797</v>
      </c>
      <c r="FO35" s="144" t="s">
        <v>243</v>
      </c>
    </row>
    <row r="36" spans="2:171" x14ac:dyDescent="0.2">
      <c r="B36" s="721" t="str">
        <f t="shared" si="73"/>
        <v>1x1-S</v>
      </c>
      <c r="C36" s="151">
        <f t="shared" si="74"/>
        <v>2</v>
      </c>
      <c r="D36" s="550">
        <f>IFERROR(AVERAGEIFS(Rent_Roll[Market
Rent],Rent_Roll[SqFt],'Unit Mix-Reno Schedule'!$E15,Rent_Roll[Unit
Status],"Occupied"),0)</f>
        <v>1420</v>
      </c>
      <c r="E36" s="550">
        <f t="shared" si="75"/>
        <v>1327.5</v>
      </c>
      <c r="F36" s="897">
        <f t="shared" si="76"/>
        <v>-92.5</v>
      </c>
      <c r="G36" s="225">
        <f t="shared" si="77"/>
        <v>6.5140845070422532E-2</v>
      </c>
      <c r="H36" s="897">
        <v>0</v>
      </c>
      <c r="I36" s="225">
        <v>0</v>
      </c>
      <c r="J36" s="550">
        <v>0</v>
      </c>
      <c r="K36" s="959">
        <f t="shared" si="78"/>
        <v>1327.5</v>
      </c>
      <c r="M36" s="721" t="str">
        <f t="shared" si="79"/>
        <v>1x1-S</v>
      </c>
      <c r="N36" s="151">
        <f t="shared" si="80"/>
        <v>2</v>
      </c>
      <c r="O36" s="550">
        <f t="shared" si="81"/>
        <v>1420</v>
      </c>
      <c r="P36" s="550">
        <f t="shared" si="82"/>
        <v>1327.5</v>
      </c>
      <c r="Q36" s="550">
        <f t="shared" si="64"/>
        <v>1555</v>
      </c>
      <c r="R36" s="550"/>
      <c r="S36" s="897">
        <f t="shared" si="65"/>
        <v>135</v>
      </c>
      <c r="T36" s="225">
        <f t="shared" si="66"/>
        <v>9.5070422535211266E-2</v>
      </c>
      <c r="U36" s="897">
        <f t="shared" si="67"/>
        <v>227.5</v>
      </c>
      <c r="V36" s="960">
        <f t="shared" si="68"/>
        <v>0.17137476459510359</v>
      </c>
      <c r="X36" s="961" t="str">
        <f t="shared" si="83"/>
        <v>1x1-S</v>
      </c>
      <c r="Y36" s="151">
        <f t="shared" si="84"/>
        <v>2</v>
      </c>
      <c r="Z36" s="550"/>
      <c r="AA36" s="895"/>
      <c r="AB36" s="550"/>
      <c r="AC36" s="550"/>
      <c r="AD36" s="895"/>
      <c r="AE36" s="550"/>
      <c r="AF36" s="844"/>
      <c r="AK36" s="145" t="s">
        <v>352</v>
      </c>
      <c r="AL36" s="734">
        <f t="shared" ref="AL36:BQ36" si="98">AL35*units</f>
        <v>321310</v>
      </c>
      <c r="AM36" s="734">
        <f t="shared" si="98"/>
        <v>340588.60000000003</v>
      </c>
      <c r="AN36" s="734">
        <f>AN35*units</f>
        <v>340588.60000000003</v>
      </c>
      <c r="AO36" s="734">
        <f>AO35*units</f>
        <v>340588.60000000003</v>
      </c>
      <c r="AP36" s="734">
        <f t="shared" si="98"/>
        <v>340588.60000000003</v>
      </c>
      <c r="AQ36" s="734">
        <f t="shared" si="98"/>
        <v>340588.60000000003</v>
      </c>
      <c r="AR36" s="734">
        <f t="shared" si="98"/>
        <v>340588.60000000003</v>
      </c>
      <c r="AS36" s="734">
        <f t="shared" si="98"/>
        <v>340588.60000000003</v>
      </c>
      <c r="AT36" s="734">
        <f t="shared" si="98"/>
        <v>340588.60000000003</v>
      </c>
      <c r="AU36" s="734">
        <f t="shared" si="98"/>
        <v>340588.60000000003</v>
      </c>
      <c r="AV36" s="734">
        <f t="shared" si="98"/>
        <v>340588.60000000003</v>
      </c>
      <c r="AW36" s="734">
        <f t="shared" si="98"/>
        <v>340588.60000000003</v>
      </c>
      <c r="AX36" s="734">
        <f t="shared" si="98"/>
        <v>340588.60000000003</v>
      </c>
      <c r="AY36" s="734">
        <f t="shared" si="98"/>
        <v>357618.03</v>
      </c>
      <c r="AZ36" s="734">
        <f t="shared" si="98"/>
        <v>357618.03</v>
      </c>
      <c r="BA36" s="734">
        <f t="shared" si="98"/>
        <v>357618.03</v>
      </c>
      <c r="BB36" s="734">
        <f t="shared" si="98"/>
        <v>357618.03</v>
      </c>
      <c r="BC36" s="734">
        <f t="shared" si="98"/>
        <v>357618.03</v>
      </c>
      <c r="BD36" s="734">
        <f t="shared" si="98"/>
        <v>357618.03</v>
      </c>
      <c r="BE36" s="734">
        <f t="shared" si="98"/>
        <v>357618.03</v>
      </c>
      <c r="BF36" s="734">
        <f t="shared" si="98"/>
        <v>357618.03</v>
      </c>
      <c r="BG36" s="734">
        <f t="shared" si="98"/>
        <v>357618.03</v>
      </c>
      <c r="BH36" s="734">
        <f t="shared" si="98"/>
        <v>357618.03</v>
      </c>
      <c r="BI36" s="734">
        <f t="shared" si="98"/>
        <v>357618.03</v>
      </c>
      <c r="BJ36" s="734">
        <f t="shared" si="98"/>
        <v>357618.03</v>
      </c>
      <c r="BK36" s="734">
        <f t="shared" si="98"/>
        <v>375498.93150000006</v>
      </c>
      <c r="BL36" s="734">
        <f t="shared" si="98"/>
        <v>375498.93150000006</v>
      </c>
      <c r="BM36" s="734">
        <f t="shared" si="98"/>
        <v>375498.93150000006</v>
      </c>
      <c r="BN36" s="734">
        <f t="shared" si="98"/>
        <v>375498.93150000006</v>
      </c>
      <c r="BO36" s="734">
        <f t="shared" si="98"/>
        <v>375498.93150000006</v>
      </c>
      <c r="BP36" s="734">
        <f t="shared" si="98"/>
        <v>375498.93150000006</v>
      </c>
      <c r="BQ36" s="734">
        <f t="shared" si="98"/>
        <v>375498.93150000006</v>
      </c>
      <c r="BR36" s="734">
        <f t="shared" ref="BR36:CW36" si="99">BR35*units</f>
        <v>375498.93150000006</v>
      </c>
      <c r="BS36" s="734">
        <f t="shared" si="99"/>
        <v>375498.93150000006</v>
      </c>
      <c r="BT36" s="734">
        <f t="shared" si="99"/>
        <v>375498.93150000006</v>
      </c>
      <c r="BU36" s="734">
        <f t="shared" si="99"/>
        <v>375498.93150000006</v>
      </c>
      <c r="BV36" s="734">
        <f t="shared" si="99"/>
        <v>375498.93150000006</v>
      </c>
      <c r="BW36" s="734">
        <f t="shared" si="99"/>
        <v>390518.88876000012</v>
      </c>
      <c r="BX36" s="734">
        <f t="shared" si="99"/>
        <v>390518.88876000012</v>
      </c>
      <c r="BY36" s="734">
        <f t="shared" si="99"/>
        <v>390518.88876000012</v>
      </c>
      <c r="BZ36" s="734">
        <f t="shared" si="99"/>
        <v>390518.88876000012</v>
      </c>
      <c r="CA36" s="734">
        <f t="shared" si="99"/>
        <v>390518.88876000012</v>
      </c>
      <c r="CB36" s="734">
        <f t="shared" si="99"/>
        <v>390518.88876000012</v>
      </c>
      <c r="CC36" s="734">
        <f t="shared" si="99"/>
        <v>390518.88876000012</v>
      </c>
      <c r="CD36" s="734">
        <f t="shared" si="99"/>
        <v>390518.88876000012</v>
      </c>
      <c r="CE36" s="734">
        <f t="shared" si="99"/>
        <v>390518.88876000012</v>
      </c>
      <c r="CF36" s="734">
        <f t="shared" si="99"/>
        <v>390518.88876000012</v>
      </c>
      <c r="CG36" s="734">
        <f t="shared" si="99"/>
        <v>390518.88876000012</v>
      </c>
      <c r="CH36" s="734">
        <f t="shared" si="99"/>
        <v>390518.88876000012</v>
      </c>
      <c r="CI36" s="734">
        <f t="shared" si="99"/>
        <v>406139.64431040012</v>
      </c>
      <c r="CJ36" s="734">
        <f t="shared" si="99"/>
        <v>406139.64431040012</v>
      </c>
      <c r="CK36" s="734">
        <f t="shared" si="99"/>
        <v>406139.64431040012</v>
      </c>
      <c r="CL36" s="734">
        <f t="shared" si="99"/>
        <v>406139.64431040012</v>
      </c>
      <c r="CM36" s="734">
        <f t="shared" si="99"/>
        <v>406139.64431040012</v>
      </c>
      <c r="CN36" s="734">
        <f t="shared" si="99"/>
        <v>406139.64431040012</v>
      </c>
      <c r="CO36" s="734">
        <f t="shared" si="99"/>
        <v>406139.64431040012</v>
      </c>
      <c r="CP36" s="734">
        <f t="shared" si="99"/>
        <v>406139.64431040012</v>
      </c>
      <c r="CQ36" s="734">
        <f t="shared" si="99"/>
        <v>406139.64431040012</v>
      </c>
      <c r="CR36" s="734">
        <f t="shared" si="99"/>
        <v>406139.64431040012</v>
      </c>
      <c r="CS36" s="734">
        <f t="shared" si="99"/>
        <v>406139.64431040012</v>
      </c>
      <c r="CT36" s="734">
        <f t="shared" si="99"/>
        <v>406139.64431040012</v>
      </c>
      <c r="CU36" s="734">
        <f t="shared" si="99"/>
        <v>422385.23008281615</v>
      </c>
      <c r="CV36" s="734">
        <f t="shared" si="99"/>
        <v>422385.23008281615</v>
      </c>
      <c r="CW36" s="734">
        <f t="shared" si="99"/>
        <v>422385.23008281615</v>
      </c>
      <c r="CX36" s="734">
        <f t="shared" ref="CX36:EC36" si="100">CX35*units</f>
        <v>422385.23008281615</v>
      </c>
      <c r="CY36" s="734">
        <f t="shared" si="100"/>
        <v>422385.23008281615</v>
      </c>
      <c r="CZ36" s="734">
        <f t="shared" si="100"/>
        <v>422385.23008281615</v>
      </c>
      <c r="DA36" s="734">
        <f t="shared" si="100"/>
        <v>422385.23008281615</v>
      </c>
      <c r="DB36" s="734">
        <f t="shared" si="100"/>
        <v>422385.23008281615</v>
      </c>
      <c r="DC36" s="734">
        <f t="shared" si="100"/>
        <v>422385.23008281615</v>
      </c>
      <c r="DD36" s="734">
        <f t="shared" si="100"/>
        <v>422385.23008281615</v>
      </c>
      <c r="DE36" s="734">
        <f t="shared" si="100"/>
        <v>422385.23008281615</v>
      </c>
      <c r="DF36" s="734">
        <f t="shared" si="100"/>
        <v>422385.23008281615</v>
      </c>
      <c r="DG36" s="734">
        <f t="shared" si="100"/>
        <v>439280.6392861288</v>
      </c>
      <c r="DH36" s="734">
        <f t="shared" si="100"/>
        <v>439280.6392861288</v>
      </c>
      <c r="DI36" s="734">
        <f t="shared" si="100"/>
        <v>439280.6392861288</v>
      </c>
      <c r="DJ36" s="734">
        <f t="shared" si="100"/>
        <v>439280.6392861288</v>
      </c>
      <c r="DK36" s="734">
        <f t="shared" si="100"/>
        <v>439280.6392861288</v>
      </c>
      <c r="DL36" s="734">
        <f t="shared" si="100"/>
        <v>439280.6392861288</v>
      </c>
      <c r="DM36" s="734">
        <f t="shared" si="100"/>
        <v>439280.6392861288</v>
      </c>
      <c r="DN36" s="734">
        <f t="shared" si="100"/>
        <v>439280.6392861288</v>
      </c>
      <c r="DO36" s="734">
        <f t="shared" si="100"/>
        <v>439280.6392861288</v>
      </c>
      <c r="DP36" s="734">
        <f t="shared" si="100"/>
        <v>439280.6392861288</v>
      </c>
      <c r="DQ36" s="734">
        <f t="shared" si="100"/>
        <v>439280.6392861288</v>
      </c>
      <c r="DR36" s="734">
        <f t="shared" si="100"/>
        <v>439280.6392861288</v>
      </c>
      <c r="DS36" s="734">
        <f t="shared" si="100"/>
        <v>456851.86485757399</v>
      </c>
      <c r="DT36" s="734">
        <f t="shared" si="100"/>
        <v>456851.86485757399</v>
      </c>
      <c r="DU36" s="734">
        <f t="shared" si="100"/>
        <v>456851.86485757399</v>
      </c>
      <c r="DV36" s="734">
        <f t="shared" si="100"/>
        <v>456851.86485757399</v>
      </c>
      <c r="DW36" s="734">
        <f t="shared" si="100"/>
        <v>456851.86485757399</v>
      </c>
      <c r="DX36" s="734">
        <f t="shared" si="100"/>
        <v>456851.86485757399</v>
      </c>
      <c r="DY36" s="734">
        <f t="shared" si="100"/>
        <v>456851.86485757399</v>
      </c>
      <c r="DZ36" s="734">
        <f t="shared" si="100"/>
        <v>456851.86485757399</v>
      </c>
      <c r="EA36" s="734">
        <f t="shared" si="100"/>
        <v>456851.86485757399</v>
      </c>
      <c r="EB36" s="734">
        <f t="shared" si="100"/>
        <v>456851.86485757399</v>
      </c>
      <c r="EC36" s="734">
        <f t="shared" si="100"/>
        <v>456851.86485757399</v>
      </c>
      <c r="ED36" s="734">
        <f t="shared" ref="ED36:FI36" si="101">ED35*units</f>
        <v>456851.86485757399</v>
      </c>
      <c r="EE36" s="734">
        <f t="shared" si="101"/>
        <v>475125.93945187697</v>
      </c>
      <c r="EF36" s="734">
        <f t="shared" si="101"/>
        <v>475125.93945187697</v>
      </c>
      <c r="EG36" s="734">
        <f t="shared" si="101"/>
        <v>475125.93945187697</v>
      </c>
      <c r="EH36" s="734">
        <f t="shared" si="101"/>
        <v>475125.93945187697</v>
      </c>
      <c r="EI36" s="734">
        <f t="shared" si="101"/>
        <v>475125.93945187697</v>
      </c>
      <c r="EJ36" s="734">
        <f t="shared" si="101"/>
        <v>475125.93945187697</v>
      </c>
      <c r="EK36" s="734">
        <f t="shared" si="101"/>
        <v>475125.93945187697</v>
      </c>
      <c r="EL36" s="734">
        <f t="shared" si="101"/>
        <v>475125.93945187697</v>
      </c>
      <c r="EM36" s="734">
        <f t="shared" si="101"/>
        <v>475125.93945187697</v>
      </c>
      <c r="EN36" s="734">
        <f t="shared" si="101"/>
        <v>475125.93945187697</v>
      </c>
      <c r="EO36" s="734">
        <f t="shared" si="101"/>
        <v>475125.93945187697</v>
      </c>
      <c r="EP36" s="734">
        <f t="shared" si="101"/>
        <v>475125.93945187697</v>
      </c>
      <c r="EQ36" s="734">
        <f t="shared" si="101"/>
        <v>489379.71763543331</v>
      </c>
      <c r="ER36" s="734">
        <f t="shared" si="101"/>
        <v>489379.71763543331</v>
      </c>
      <c r="ES36" s="734">
        <f t="shared" si="101"/>
        <v>489379.71763543331</v>
      </c>
      <c r="ET36" s="734">
        <f t="shared" si="101"/>
        <v>489379.71763543331</v>
      </c>
      <c r="EU36" s="734">
        <f t="shared" si="101"/>
        <v>489379.71763543331</v>
      </c>
      <c r="EV36" s="734">
        <f t="shared" si="101"/>
        <v>489379.71763543331</v>
      </c>
      <c r="EW36" s="734">
        <f t="shared" si="101"/>
        <v>489379.71763543331</v>
      </c>
      <c r="EX36" s="734">
        <f t="shared" si="101"/>
        <v>489379.71763543331</v>
      </c>
      <c r="EY36" s="734">
        <f t="shared" si="101"/>
        <v>489379.71763543331</v>
      </c>
      <c r="EZ36" s="734">
        <f t="shared" si="101"/>
        <v>489379.71763543331</v>
      </c>
      <c r="FA36" s="734">
        <f t="shared" si="101"/>
        <v>489379.71763543331</v>
      </c>
      <c r="FB36" s="734">
        <f t="shared" si="101"/>
        <v>489379.71763543331</v>
      </c>
      <c r="FC36" s="734">
        <f t="shared" si="101"/>
        <v>504061.10916449624</v>
      </c>
      <c r="FD36" s="734">
        <f t="shared" si="101"/>
        <v>504061.10916449624</v>
      </c>
      <c r="FE36" s="734">
        <f t="shared" si="101"/>
        <v>504061.10916449624</v>
      </c>
      <c r="FF36" s="734">
        <f t="shared" si="101"/>
        <v>504061.10916449624</v>
      </c>
      <c r="FG36" s="734">
        <f t="shared" si="101"/>
        <v>504061.10916449624</v>
      </c>
      <c r="FH36" s="734">
        <f t="shared" si="101"/>
        <v>504061.10916449624</v>
      </c>
      <c r="FI36" s="734">
        <f t="shared" si="101"/>
        <v>504061.10916449624</v>
      </c>
      <c r="FJ36" s="734">
        <f t="shared" ref="FJ36:FN36" si="102">FJ35*units</f>
        <v>504061.10916449624</v>
      </c>
      <c r="FK36" s="734">
        <f t="shared" si="102"/>
        <v>504061.10916449624</v>
      </c>
      <c r="FL36" s="734">
        <f t="shared" si="102"/>
        <v>504061.10916449624</v>
      </c>
      <c r="FM36" s="734">
        <f t="shared" si="102"/>
        <v>504061.10916449624</v>
      </c>
      <c r="FN36" s="734">
        <f t="shared" si="102"/>
        <v>504061.10916449624</v>
      </c>
      <c r="FO36" s="144" t="s">
        <v>243</v>
      </c>
    </row>
    <row r="37" spans="2:171" x14ac:dyDescent="0.2">
      <c r="B37" s="721" t="str">
        <f t="shared" si="73"/>
        <v>2x2</v>
      </c>
      <c r="C37" s="151">
        <f t="shared" si="74"/>
        <v>81</v>
      </c>
      <c r="D37" s="550">
        <f>IFERROR(AVERAGEIFS(Rent_Roll[Market
Rent],Rent_Roll[SqFt],'Unit Mix-Reno Schedule'!$E16,Rent_Roll[Unit
Status],"Occupied"),0)</f>
        <v>1373.7037037037037</v>
      </c>
      <c r="E37" s="550">
        <f t="shared" si="75"/>
        <v>1271.6666666666667</v>
      </c>
      <c r="F37" s="897">
        <f t="shared" si="76"/>
        <v>-102.03703703703695</v>
      </c>
      <c r="G37" s="225">
        <f t="shared" si="77"/>
        <v>7.42787813426799E-2</v>
      </c>
      <c r="H37" s="897">
        <v>0</v>
      </c>
      <c r="I37" s="225">
        <v>0</v>
      </c>
      <c r="J37" s="550">
        <v>0</v>
      </c>
      <c r="K37" s="959">
        <f t="shared" si="78"/>
        <v>1271.6666666666667</v>
      </c>
      <c r="M37" s="721" t="str">
        <f t="shared" si="79"/>
        <v>2x2</v>
      </c>
      <c r="N37" s="151">
        <f t="shared" si="80"/>
        <v>88</v>
      </c>
      <c r="O37" s="550">
        <f t="shared" si="81"/>
        <v>1373.9772727272727</v>
      </c>
      <c r="P37" s="550">
        <f t="shared" si="82"/>
        <v>1271.6666666666667</v>
      </c>
      <c r="Q37" s="550">
        <f t="shared" si="64"/>
        <v>1650</v>
      </c>
      <c r="R37" s="550"/>
      <c r="S37" s="897">
        <f t="shared" si="65"/>
        <v>276.02272727272725</v>
      </c>
      <c r="T37" s="225">
        <f t="shared" si="66"/>
        <v>0.20089322636671902</v>
      </c>
      <c r="U37" s="897">
        <f t="shared" si="67"/>
        <v>378.33333333333326</v>
      </c>
      <c r="V37" s="960">
        <f t="shared" si="68"/>
        <v>0.29750982961992128</v>
      </c>
      <c r="X37" s="961" t="str">
        <f t="shared" si="83"/>
        <v>2x2</v>
      </c>
      <c r="Y37" s="151">
        <f t="shared" si="84"/>
        <v>88</v>
      </c>
      <c r="Z37" s="550"/>
      <c r="AA37" s="895"/>
      <c r="AB37" s="550"/>
      <c r="AC37" s="550"/>
      <c r="AD37" s="895"/>
      <c r="AE37" s="550"/>
      <c r="AF37" s="844"/>
      <c r="AL37" s="550"/>
      <c r="AM37" s="550"/>
      <c r="AN37" s="550"/>
      <c r="AO37" s="550"/>
      <c r="AP37" s="550"/>
      <c r="AQ37" s="550"/>
      <c r="AR37" s="550"/>
      <c r="AS37" s="550"/>
      <c r="AT37" s="550"/>
      <c r="AU37" s="550"/>
      <c r="AV37" s="550"/>
      <c r="AW37" s="550"/>
      <c r="AX37" s="550"/>
      <c r="AY37" s="550"/>
      <c r="AZ37" s="550"/>
      <c r="BA37" s="550"/>
      <c r="BB37" s="550"/>
      <c r="BC37" s="550"/>
      <c r="BD37" s="550"/>
      <c r="BE37" s="550"/>
      <c r="BF37" s="550"/>
      <c r="BG37" s="550"/>
      <c r="BH37" s="550"/>
      <c r="BI37" s="550"/>
      <c r="BJ37" s="550"/>
      <c r="BK37" s="550"/>
      <c r="BL37" s="550"/>
      <c r="BM37" s="550"/>
      <c r="BN37" s="550"/>
      <c r="BO37" s="550"/>
      <c r="BP37" s="550"/>
      <c r="BQ37" s="550"/>
      <c r="BR37" s="550"/>
      <c r="BS37" s="550"/>
      <c r="BT37" s="550"/>
      <c r="BU37" s="550"/>
      <c r="BV37" s="550"/>
      <c r="BW37" s="550"/>
      <c r="BX37" s="550"/>
      <c r="BY37" s="550"/>
      <c r="BZ37" s="550"/>
      <c r="CA37" s="550"/>
      <c r="CB37" s="550"/>
      <c r="CC37" s="550"/>
      <c r="CD37" s="550"/>
      <c r="CE37" s="550"/>
      <c r="CF37" s="550"/>
      <c r="CG37" s="550"/>
      <c r="CH37" s="550"/>
      <c r="CI37" s="550"/>
      <c r="CJ37" s="550"/>
      <c r="CK37" s="550"/>
      <c r="CL37" s="550"/>
      <c r="CM37" s="550"/>
      <c r="CN37" s="550"/>
      <c r="CO37" s="550"/>
      <c r="CP37" s="550"/>
      <c r="CQ37" s="550"/>
      <c r="CR37" s="550"/>
      <c r="CS37" s="550"/>
      <c r="CT37" s="550"/>
      <c r="CU37" s="550"/>
      <c r="CV37" s="550"/>
      <c r="CW37" s="550"/>
      <c r="CX37" s="550"/>
      <c r="CY37" s="550"/>
      <c r="CZ37" s="550"/>
      <c r="DA37" s="550"/>
      <c r="DB37" s="550"/>
      <c r="DC37" s="550"/>
      <c r="DD37" s="550"/>
      <c r="DE37" s="550"/>
      <c r="DF37" s="550"/>
      <c r="DG37" s="550"/>
      <c r="DH37" s="550"/>
      <c r="DI37" s="550"/>
      <c r="DJ37" s="550"/>
      <c r="DK37" s="550"/>
      <c r="DL37" s="550"/>
      <c r="DM37" s="550"/>
      <c r="DN37" s="550"/>
      <c r="DO37" s="550"/>
      <c r="DP37" s="550"/>
      <c r="DQ37" s="550"/>
      <c r="DR37" s="550"/>
      <c r="DS37" s="550"/>
      <c r="DT37" s="550"/>
      <c r="DU37" s="550"/>
      <c r="DV37" s="550"/>
      <c r="DW37" s="550"/>
      <c r="DX37" s="550"/>
      <c r="DY37" s="550"/>
      <c r="DZ37" s="550"/>
      <c r="EA37" s="550"/>
      <c r="EB37" s="550"/>
      <c r="EC37" s="550"/>
      <c r="ED37" s="550"/>
      <c r="EE37" s="550"/>
      <c r="EF37" s="550"/>
      <c r="EG37" s="550"/>
      <c r="EH37" s="550"/>
      <c r="EI37" s="550"/>
      <c r="EJ37" s="550"/>
      <c r="EK37" s="550"/>
      <c r="EL37" s="550"/>
      <c r="EM37" s="550"/>
      <c r="EN37" s="550"/>
      <c r="EO37" s="550"/>
      <c r="EP37" s="550"/>
      <c r="EQ37" s="550"/>
      <c r="ER37" s="550"/>
      <c r="ES37" s="550"/>
      <c r="ET37" s="550"/>
      <c r="EU37" s="550"/>
      <c r="EV37" s="550"/>
      <c r="EW37" s="550"/>
      <c r="EX37" s="550"/>
      <c r="EY37" s="550"/>
      <c r="EZ37" s="550"/>
      <c r="FA37" s="550"/>
      <c r="FB37" s="550"/>
      <c r="FC37" s="550"/>
      <c r="FD37" s="550"/>
      <c r="FE37" s="550"/>
      <c r="FF37" s="550"/>
      <c r="FG37" s="550"/>
      <c r="FH37" s="550"/>
      <c r="FI37" s="550"/>
      <c r="FJ37" s="550"/>
      <c r="FK37" s="550"/>
      <c r="FL37" s="550"/>
      <c r="FM37" s="550"/>
      <c r="FN37" s="550"/>
      <c r="FO37" s="144" t="s">
        <v>243</v>
      </c>
    </row>
    <row r="38" spans="2:171" x14ac:dyDescent="0.2">
      <c r="B38" s="721" t="str">
        <f t="shared" si="73"/>
        <v>2x2-S</v>
      </c>
      <c r="C38" s="151">
        <f t="shared" si="74"/>
        <v>30</v>
      </c>
      <c r="D38" s="550">
        <f>IFERROR(AVERAGEIFS(Rent_Roll[Market
Rent],Rent_Roll[SqFt],'Unit Mix-Reno Schedule'!$E17,Rent_Roll[Unit
Status],"Occupied"),0)</f>
        <v>1450.6666666666667</v>
      </c>
      <c r="E38" s="550">
        <f t="shared" si="75"/>
        <v>1325.5</v>
      </c>
      <c r="F38" s="897">
        <f t="shared" si="76"/>
        <v>-125.16666666666674</v>
      </c>
      <c r="G38" s="225">
        <f t="shared" si="77"/>
        <v>8.6282169117647106E-2</v>
      </c>
      <c r="H38" s="897">
        <v>0</v>
      </c>
      <c r="I38" s="225">
        <v>0</v>
      </c>
      <c r="J38" s="550">
        <v>0</v>
      </c>
      <c r="K38" s="959">
        <f t="shared" si="78"/>
        <v>1325.5</v>
      </c>
      <c r="M38" s="721" t="str">
        <f t="shared" si="79"/>
        <v>2x2-S</v>
      </c>
      <c r="N38" s="151">
        <f t="shared" si="80"/>
        <v>32</v>
      </c>
      <c r="O38" s="550">
        <f t="shared" si="81"/>
        <v>1450</v>
      </c>
      <c r="P38" s="550">
        <f t="shared" si="82"/>
        <v>1325.5</v>
      </c>
      <c r="Q38" s="550">
        <f t="shared" si="64"/>
        <v>1670</v>
      </c>
      <c r="R38" s="550"/>
      <c r="S38" s="897">
        <f t="shared" si="65"/>
        <v>220</v>
      </c>
      <c r="T38" s="225">
        <f t="shared" si="66"/>
        <v>0.15172413793103448</v>
      </c>
      <c r="U38" s="897">
        <f t="shared" si="67"/>
        <v>344.5</v>
      </c>
      <c r="V38" s="960">
        <f t="shared" si="68"/>
        <v>0.25990192380233873</v>
      </c>
      <c r="X38" s="961" t="str">
        <f t="shared" si="83"/>
        <v>2x2-S</v>
      </c>
      <c r="Y38" s="151">
        <f t="shared" si="84"/>
        <v>32</v>
      </c>
      <c r="Z38" s="550"/>
      <c r="AA38" s="895"/>
      <c r="AB38" s="550"/>
      <c r="AC38" s="550"/>
      <c r="AD38" s="895"/>
      <c r="AE38" s="550"/>
      <c r="AF38" s="844"/>
      <c r="AK38" s="223" t="s">
        <v>846</v>
      </c>
      <c r="AL38" s="964">
        <v>0</v>
      </c>
      <c r="AM38" s="964">
        <f>$U$43*(1+AM$11)</f>
        <v>320.65015654999263</v>
      </c>
      <c r="AN38" s="964">
        <f>AM38*(1+AN$11)</f>
        <v>320.65015654999263</v>
      </c>
      <c r="AO38" s="964">
        <f t="shared" ref="AO38:CZ38" si="103">AN38*(1+AO$11)</f>
        <v>320.65015654999263</v>
      </c>
      <c r="AP38" s="964">
        <f t="shared" si="103"/>
        <v>320.65015654999263</v>
      </c>
      <c r="AQ38" s="964">
        <f t="shared" si="103"/>
        <v>320.65015654999263</v>
      </c>
      <c r="AR38" s="964">
        <f t="shared" si="103"/>
        <v>320.65015654999263</v>
      </c>
      <c r="AS38" s="964">
        <f t="shared" si="103"/>
        <v>320.65015654999263</v>
      </c>
      <c r="AT38" s="964">
        <f t="shared" si="103"/>
        <v>320.65015654999263</v>
      </c>
      <c r="AU38" s="964">
        <f t="shared" si="103"/>
        <v>320.65015654999263</v>
      </c>
      <c r="AV38" s="964">
        <f t="shared" si="103"/>
        <v>320.65015654999263</v>
      </c>
      <c r="AW38" s="964">
        <f t="shared" si="103"/>
        <v>320.65015654999263</v>
      </c>
      <c r="AX38" s="965">
        <f t="shared" si="103"/>
        <v>320.65015654999263</v>
      </c>
      <c r="AY38" s="964">
        <f>AX38*(1+AY$11)</f>
        <v>336.6826643774923</v>
      </c>
      <c r="AZ38" s="964">
        <f t="shared" si="103"/>
        <v>336.6826643774923</v>
      </c>
      <c r="BA38" s="964">
        <f t="shared" si="103"/>
        <v>336.6826643774923</v>
      </c>
      <c r="BB38" s="964">
        <f t="shared" si="103"/>
        <v>336.6826643774923</v>
      </c>
      <c r="BC38" s="964">
        <f t="shared" si="103"/>
        <v>336.6826643774923</v>
      </c>
      <c r="BD38" s="964">
        <f t="shared" si="103"/>
        <v>336.6826643774923</v>
      </c>
      <c r="BE38" s="964">
        <f t="shared" si="103"/>
        <v>336.6826643774923</v>
      </c>
      <c r="BF38" s="964">
        <f t="shared" si="103"/>
        <v>336.6826643774923</v>
      </c>
      <c r="BG38" s="964">
        <f t="shared" si="103"/>
        <v>336.6826643774923</v>
      </c>
      <c r="BH38" s="964">
        <f t="shared" si="103"/>
        <v>336.6826643774923</v>
      </c>
      <c r="BI38" s="964">
        <f t="shared" si="103"/>
        <v>336.6826643774923</v>
      </c>
      <c r="BJ38" s="964">
        <f t="shared" si="103"/>
        <v>336.6826643774923</v>
      </c>
      <c r="BK38" s="964">
        <f t="shared" si="103"/>
        <v>353.51679759636693</v>
      </c>
      <c r="BL38" s="964">
        <f t="shared" si="103"/>
        <v>353.51679759636693</v>
      </c>
      <c r="BM38" s="964">
        <f t="shared" si="103"/>
        <v>353.51679759636693</v>
      </c>
      <c r="BN38" s="964">
        <f t="shared" si="103"/>
        <v>353.51679759636693</v>
      </c>
      <c r="BO38" s="964">
        <f t="shared" si="103"/>
        <v>353.51679759636693</v>
      </c>
      <c r="BP38" s="964">
        <f t="shared" si="103"/>
        <v>353.51679759636693</v>
      </c>
      <c r="BQ38" s="964">
        <f t="shared" si="103"/>
        <v>353.51679759636693</v>
      </c>
      <c r="BR38" s="964">
        <f t="shared" si="103"/>
        <v>353.51679759636693</v>
      </c>
      <c r="BS38" s="964">
        <f t="shared" si="103"/>
        <v>353.51679759636693</v>
      </c>
      <c r="BT38" s="964">
        <f t="shared" si="103"/>
        <v>353.51679759636693</v>
      </c>
      <c r="BU38" s="964">
        <f t="shared" si="103"/>
        <v>353.51679759636693</v>
      </c>
      <c r="BV38" s="964">
        <f t="shared" si="103"/>
        <v>353.51679759636693</v>
      </c>
      <c r="BW38" s="964">
        <f t="shared" si="103"/>
        <v>367.65746950022162</v>
      </c>
      <c r="BX38" s="964">
        <f t="shared" si="103"/>
        <v>367.65746950022162</v>
      </c>
      <c r="BY38" s="964">
        <f t="shared" si="103"/>
        <v>367.65746950022162</v>
      </c>
      <c r="BZ38" s="964">
        <f t="shared" si="103"/>
        <v>367.65746950022162</v>
      </c>
      <c r="CA38" s="964">
        <f t="shared" si="103"/>
        <v>367.65746950022162</v>
      </c>
      <c r="CB38" s="964">
        <f t="shared" si="103"/>
        <v>367.65746950022162</v>
      </c>
      <c r="CC38" s="964">
        <f t="shared" si="103"/>
        <v>367.65746950022162</v>
      </c>
      <c r="CD38" s="964">
        <f t="shared" si="103"/>
        <v>367.65746950022162</v>
      </c>
      <c r="CE38" s="964">
        <f t="shared" si="103"/>
        <v>367.65746950022162</v>
      </c>
      <c r="CF38" s="964">
        <f t="shared" si="103"/>
        <v>367.65746950022162</v>
      </c>
      <c r="CG38" s="964">
        <f t="shared" si="103"/>
        <v>367.65746950022162</v>
      </c>
      <c r="CH38" s="964">
        <f t="shared" si="103"/>
        <v>367.65746950022162</v>
      </c>
      <c r="CI38" s="964">
        <f t="shared" si="103"/>
        <v>382.36376828023049</v>
      </c>
      <c r="CJ38" s="964">
        <f t="shared" si="103"/>
        <v>382.36376828023049</v>
      </c>
      <c r="CK38" s="964">
        <f t="shared" si="103"/>
        <v>382.36376828023049</v>
      </c>
      <c r="CL38" s="964">
        <f t="shared" si="103"/>
        <v>382.36376828023049</v>
      </c>
      <c r="CM38" s="964">
        <f t="shared" si="103"/>
        <v>382.36376828023049</v>
      </c>
      <c r="CN38" s="964">
        <f t="shared" si="103"/>
        <v>382.36376828023049</v>
      </c>
      <c r="CO38" s="964">
        <f t="shared" si="103"/>
        <v>382.36376828023049</v>
      </c>
      <c r="CP38" s="964">
        <f t="shared" si="103"/>
        <v>382.36376828023049</v>
      </c>
      <c r="CQ38" s="964">
        <f t="shared" si="103"/>
        <v>382.36376828023049</v>
      </c>
      <c r="CR38" s="964">
        <f t="shared" si="103"/>
        <v>382.36376828023049</v>
      </c>
      <c r="CS38" s="964">
        <f t="shared" si="103"/>
        <v>382.36376828023049</v>
      </c>
      <c r="CT38" s="964">
        <f t="shared" si="103"/>
        <v>382.36376828023049</v>
      </c>
      <c r="CU38" s="964">
        <f t="shared" si="103"/>
        <v>397.65831901143974</v>
      </c>
      <c r="CV38" s="964">
        <f t="shared" si="103"/>
        <v>397.65831901143974</v>
      </c>
      <c r="CW38" s="964">
        <f t="shared" si="103"/>
        <v>397.65831901143974</v>
      </c>
      <c r="CX38" s="964">
        <f t="shared" si="103"/>
        <v>397.65831901143974</v>
      </c>
      <c r="CY38" s="964">
        <f t="shared" si="103"/>
        <v>397.65831901143974</v>
      </c>
      <c r="CZ38" s="964">
        <f t="shared" si="103"/>
        <v>397.65831901143974</v>
      </c>
      <c r="DA38" s="964">
        <f t="shared" ref="DA38:FL38" si="104">CZ38*(1+DA$11)</f>
        <v>397.65831901143974</v>
      </c>
      <c r="DB38" s="964">
        <f t="shared" si="104"/>
        <v>397.65831901143974</v>
      </c>
      <c r="DC38" s="964">
        <f t="shared" si="104"/>
        <v>397.65831901143974</v>
      </c>
      <c r="DD38" s="964">
        <f t="shared" si="104"/>
        <v>397.65831901143974</v>
      </c>
      <c r="DE38" s="964">
        <f t="shared" si="104"/>
        <v>397.65831901143974</v>
      </c>
      <c r="DF38" s="964">
        <f t="shared" si="104"/>
        <v>397.65831901143974</v>
      </c>
      <c r="DG38" s="964">
        <f t="shared" si="104"/>
        <v>413.56465177189733</v>
      </c>
      <c r="DH38" s="964">
        <f t="shared" si="104"/>
        <v>413.56465177189733</v>
      </c>
      <c r="DI38" s="964">
        <f t="shared" si="104"/>
        <v>413.56465177189733</v>
      </c>
      <c r="DJ38" s="964">
        <f t="shared" si="104"/>
        <v>413.56465177189733</v>
      </c>
      <c r="DK38" s="964">
        <f t="shared" si="104"/>
        <v>413.56465177189733</v>
      </c>
      <c r="DL38" s="964">
        <f t="shared" si="104"/>
        <v>413.56465177189733</v>
      </c>
      <c r="DM38" s="964">
        <f t="shared" si="104"/>
        <v>413.56465177189733</v>
      </c>
      <c r="DN38" s="964">
        <f t="shared" si="104"/>
        <v>413.56465177189733</v>
      </c>
      <c r="DO38" s="964">
        <f t="shared" si="104"/>
        <v>413.56465177189733</v>
      </c>
      <c r="DP38" s="964">
        <f t="shared" si="104"/>
        <v>413.56465177189733</v>
      </c>
      <c r="DQ38" s="964">
        <f t="shared" si="104"/>
        <v>413.56465177189733</v>
      </c>
      <c r="DR38" s="964">
        <f t="shared" si="104"/>
        <v>413.56465177189733</v>
      </c>
      <c r="DS38" s="964">
        <f t="shared" si="104"/>
        <v>430.10723784277326</v>
      </c>
      <c r="DT38" s="964">
        <f t="shared" si="104"/>
        <v>430.10723784277326</v>
      </c>
      <c r="DU38" s="964">
        <f t="shared" si="104"/>
        <v>430.10723784277326</v>
      </c>
      <c r="DV38" s="964">
        <f t="shared" si="104"/>
        <v>430.10723784277326</v>
      </c>
      <c r="DW38" s="964">
        <f t="shared" si="104"/>
        <v>430.10723784277326</v>
      </c>
      <c r="DX38" s="964">
        <f t="shared" si="104"/>
        <v>430.10723784277326</v>
      </c>
      <c r="DY38" s="964">
        <f t="shared" si="104"/>
        <v>430.10723784277326</v>
      </c>
      <c r="DZ38" s="964">
        <f t="shared" si="104"/>
        <v>430.10723784277326</v>
      </c>
      <c r="EA38" s="964">
        <f t="shared" si="104"/>
        <v>430.10723784277326</v>
      </c>
      <c r="EB38" s="964">
        <f t="shared" si="104"/>
        <v>430.10723784277326</v>
      </c>
      <c r="EC38" s="964">
        <f t="shared" si="104"/>
        <v>430.10723784277326</v>
      </c>
      <c r="ED38" s="964">
        <f t="shared" si="104"/>
        <v>430.10723784277326</v>
      </c>
      <c r="EE38" s="964">
        <f t="shared" si="104"/>
        <v>447.31152735648419</v>
      </c>
      <c r="EF38" s="964">
        <f t="shared" si="104"/>
        <v>447.31152735648419</v>
      </c>
      <c r="EG38" s="964">
        <f t="shared" si="104"/>
        <v>447.31152735648419</v>
      </c>
      <c r="EH38" s="964">
        <f t="shared" si="104"/>
        <v>447.31152735648419</v>
      </c>
      <c r="EI38" s="964">
        <f t="shared" si="104"/>
        <v>447.31152735648419</v>
      </c>
      <c r="EJ38" s="964">
        <f t="shared" si="104"/>
        <v>447.31152735648419</v>
      </c>
      <c r="EK38" s="964">
        <f t="shared" si="104"/>
        <v>447.31152735648419</v>
      </c>
      <c r="EL38" s="964">
        <f t="shared" si="104"/>
        <v>447.31152735648419</v>
      </c>
      <c r="EM38" s="964">
        <f t="shared" si="104"/>
        <v>447.31152735648419</v>
      </c>
      <c r="EN38" s="964">
        <f t="shared" si="104"/>
        <v>447.31152735648419</v>
      </c>
      <c r="EO38" s="964">
        <f t="shared" si="104"/>
        <v>447.31152735648419</v>
      </c>
      <c r="EP38" s="964">
        <f t="shared" si="104"/>
        <v>447.31152735648419</v>
      </c>
      <c r="EQ38" s="964">
        <f t="shared" si="104"/>
        <v>460.73087317717875</v>
      </c>
      <c r="ER38" s="964">
        <f t="shared" si="104"/>
        <v>460.73087317717875</v>
      </c>
      <c r="ES38" s="964">
        <f t="shared" si="104"/>
        <v>460.73087317717875</v>
      </c>
      <c r="ET38" s="964">
        <f t="shared" si="104"/>
        <v>460.73087317717875</v>
      </c>
      <c r="EU38" s="964">
        <f t="shared" si="104"/>
        <v>460.73087317717875</v>
      </c>
      <c r="EV38" s="964">
        <f t="shared" si="104"/>
        <v>460.73087317717875</v>
      </c>
      <c r="EW38" s="964">
        <f t="shared" si="104"/>
        <v>460.73087317717875</v>
      </c>
      <c r="EX38" s="964">
        <f t="shared" si="104"/>
        <v>460.73087317717875</v>
      </c>
      <c r="EY38" s="964">
        <f t="shared" si="104"/>
        <v>460.73087317717875</v>
      </c>
      <c r="EZ38" s="964">
        <f t="shared" si="104"/>
        <v>460.73087317717875</v>
      </c>
      <c r="FA38" s="964">
        <f t="shared" si="104"/>
        <v>460.73087317717875</v>
      </c>
      <c r="FB38" s="964">
        <f t="shared" si="104"/>
        <v>460.73087317717875</v>
      </c>
      <c r="FC38" s="964">
        <f t="shared" si="104"/>
        <v>474.55279937249412</v>
      </c>
      <c r="FD38" s="964">
        <f t="shared" si="104"/>
        <v>474.55279937249412</v>
      </c>
      <c r="FE38" s="964">
        <f t="shared" si="104"/>
        <v>474.55279937249412</v>
      </c>
      <c r="FF38" s="964">
        <f t="shared" si="104"/>
        <v>474.55279937249412</v>
      </c>
      <c r="FG38" s="964">
        <f t="shared" si="104"/>
        <v>474.55279937249412</v>
      </c>
      <c r="FH38" s="964">
        <f t="shared" si="104"/>
        <v>474.55279937249412</v>
      </c>
      <c r="FI38" s="964">
        <f t="shared" si="104"/>
        <v>474.55279937249412</v>
      </c>
      <c r="FJ38" s="964">
        <f t="shared" si="104"/>
        <v>474.55279937249412</v>
      </c>
      <c r="FK38" s="964">
        <f t="shared" si="104"/>
        <v>474.55279937249412</v>
      </c>
      <c r="FL38" s="964">
        <f t="shared" si="104"/>
        <v>474.55279937249412</v>
      </c>
      <c r="FM38" s="964">
        <f t="shared" ref="FM38:FN38" si="105">FL38*(1+FM$11)</f>
        <v>474.55279937249412</v>
      </c>
      <c r="FN38" s="964">
        <f t="shared" si="105"/>
        <v>474.55279937249412</v>
      </c>
      <c r="FO38" s="144" t="s">
        <v>243</v>
      </c>
    </row>
    <row r="39" spans="2:171" ht="15" thickBot="1" x14ac:dyDescent="0.25">
      <c r="B39" s="721" t="str">
        <f t="shared" si="73"/>
        <v>3x2</v>
      </c>
      <c r="C39" s="151">
        <f t="shared" si="74"/>
        <v>20</v>
      </c>
      <c r="D39" s="550">
        <f>IFERROR(AVERAGEIFS(Rent_Roll[Market
Rent],Rent_Roll[SqFt],'Unit Mix-Reno Schedule'!$E18,Rent_Roll[Unit
Status],"Occupied"),0)</f>
        <v>1533</v>
      </c>
      <c r="E39" s="550">
        <f t="shared" si="75"/>
        <v>1432.25</v>
      </c>
      <c r="F39" s="897">
        <f t="shared" si="76"/>
        <v>-100.75</v>
      </c>
      <c r="G39" s="225">
        <f t="shared" si="77"/>
        <v>6.5720808871493799E-2</v>
      </c>
      <c r="H39" s="897">
        <v>0</v>
      </c>
      <c r="I39" s="225">
        <v>0</v>
      </c>
      <c r="J39" s="550">
        <v>0</v>
      </c>
      <c r="K39" s="959">
        <f t="shared" si="78"/>
        <v>1432.25</v>
      </c>
      <c r="M39" s="721" t="str">
        <f t="shared" si="79"/>
        <v>3x2</v>
      </c>
      <c r="N39" s="151">
        <f t="shared" si="80"/>
        <v>20</v>
      </c>
      <c r="O39" s="550">
        <f t="shared" si="81"/>
        <v>1533</v>
      </c>
      <c r="P39" s="550">
        <f t="shared" si="82"/>
        <v>1432.25</v>
      </c>
      <c r="Q39" s="550">
        <f t="shared" si="64"/>
        <v>1755</v>
      </c>
      <c r="R39" s="550"/>
      <c r="S39" s="897">
        <f t="shared" si="65"/>
        <v>222</v>
      </c>
      <c r="T39" s="225">
        <f t="shared" si="66"/>
        <v>0.14481409001956946</v>
      </c>
      <c r="U39" s="897">
        <f t="shared" si="67"/>
        <v>322.75</v>
      </c>
      <c r="V39" s="960">
        <f t="shared" si="68"/>
        <v>0.22534473730144877</v>
      </c>
      <c r="X39" s="961" t="str">
        <f t="shared" si="83"/>
        <v>3x2</v>
      </c>
      <c r="Y39" s="151">
        <f t="shared" si="84"/>
        <v>20</v>
      </c>
      <c r="Z39" s="550"/>
      <c r="AA39" s="895"/>
      <c r="AB39" s="550"/>
      <c r="AC39" s="550"/>
      <c r="AD39" s="895"/>
      <c r="AE39" s="550"/>
      <c r="AF39" s="844"/>
      <c r="AK39" s="144" t="s">
        <v>847</v>
      </c>
      <c r="AL39" s="550">
        <v>0</v>
      </c>
      <c r="AM39" s="550">
        <f ca="1">AM38*AM31</f>
        <v>0</v>
      </c>
      <c r="AN39" s="550">
        <f ca="1">AN38*AN31</f>
        <v>1603.250782749963</v>
      </c>
      <c r="AO39" s="550">
        <f ca="1">AO38*AO31</f>
        <v>3206.5015654999261</v>
      </c>
      <c r="AP39" s="550">
        <f t="shared" ref="AP39:BR39" ca="1" si="106">AP38*AP31</f>
        <v>4809.7523482498891</v>
      </c>
      <c r="AQ39" s="550">
        <f t="shared" ca="1" si="106"/>
        <v>6413.0031309998521</v>
      </c>
      <c r="AR39" s="550">
        <f t="shared" ca="1" si="106"/>
        <v>8016.2539137498161</v>
      </c>
      <c r="AS39" s="550">
        <f t="shared" ca="1" si="106"/>
        <v>9619.5046964997782</v>
      </c>
      <c r="AT39" s="550">
        <f t="shared" ca="1" si="106"/>
        <v>11222.755479249741</v>
      </c>
      <c r="AU39" s="550">
        <f t="shared" ca="1" si="106"/>
        <v>12826.006261999704</v>
      </c>
      <c r="AV39" s="550">
        <f t="shared" ca="1" si="106"/>
        <v>14429.257044749669</v>
      </c>
      <c r="AW39" s="550">
        <f t="shared" ca="1" si="106"/>
        <v>16032.507827499632</v>
      </c>
      <c r="AX39" s="550">
        <f t="shared" ca="1" si="106"/>
        <v>17635.758610249595</v>
      </c>
      <c r="AY39" s="550">
        <f ca="1">AY38*AY31</f>
        <v>20200.959862649539</v>
      </c>
      <c r="AZ39" s="550">
        <f t="shared" ca="1" si="106"/>
        <v>22894.421177669476</v>
      </c>
      <c r="BA39" s="550">
        <f t="shared" ca="1" si="106"/>
        <v>25587.882492689416</v>
      </c>
      <c r="BB39" s="550">
        <f t="shared" ca="1" si="106"/>
        <v>28281.343807709352</v>
      </c>
      <c r="BC39" s="550">
        <f t="shared" ca="1" si="106"/>
        <v>30974.805122729293</v>
      </c>
      <c r="BD39" s="550">
        <f t="shared" ca="1" si="106"/>
        <v>33668.266437749233</v>
      </c>
      <c r="BE39" s="550">
        <f t="shared" ca="1" si="106"/>
        <v>36361.727752769169</v>
      </c>
      <c r="BF39" s="550">
        <f t="shared" ca="1" si="106"/>
        <v>39055.189067789106</v>
      </c>
      <c r="BG39" s="550">
        <f t="shared" ca="1" si="106"/>
        <v>41411.967718431551</v>
      </c>
      <c r="BH39" s="550">
        <f t="shared" ca="1" si="106"/>
        <v>43768.746369073997</v>
      </c>
      <c r="BI39" s="550">
        <f t="shared" ca="1" si="106"/>
        <v>46125.525019716442</v>
      </c>
      <c r="BJ39" s="550">
        <f t="shared" ca="1" si="106"/>
        <v>48482.303670358888</v>
      </c>
      <c r="BK39" s="550">
        <f t="shared" ca="1" si="106"/>
        <v>53381.036437051407</v>
      </c>
      <c r="BL39" s="550">
        <f t="shared" ca="1" si="106"/>
        <v>55855.654020225971</v>
      </c>
      <c r="BM39" s="550">
        <f t="shared" ca="1" si="106"/>
        <v>58330.271603400543</v>
      </c>
      <c r="BN39" s="550">
        <f t="shared" ca="1" si="106"/>
        <v>60097.85559138238</v>
      </c>
      <c r="BO39" s="550">
        <f t="shared" ca="1" si="106"/>
        <v>61865.439579364211</v>
      </c>
      <c r="BP39" s="550">
        <f t="shared" ca="1" si="106"/>
        <v>63633.023567346048</v>
      </c>
      <c r="BQ39" s="550">
        <f t="shared" ca="1" si="106"/>
        <v>65400.607555327879</v>
      </c>
      <c r="BR39" s="550">
        <f t="shared" ca="1" si="106"/>
        <v>67168.191543309717</v>
      </c>
      <c r="BS39" s="550">
        <f t="shared" ref="BS39:CX39" ca="1" si="107">BS38*BS31</f>
        <v>68935.775531291554</v>
      </c>
      <c r="BT39" s="550">
        <f t="shared" ca="1" si="107"/>
        <v>68935.775531291554</v>
      </c>
      <c r="BU39" s="550">
        <f t="shared" ca="1" si="107"/>
        <v>68935.775531291554</v>
      </c>
      <c r="BV39" s="550">
        <f t="shared" ca="1" si="107"/>
        <v>68935.775531291554</v>
      </c>
      <c r="BW39" s="550">
        <f t="shared" ca="1" si="107"/>
        <v>71693.206552543212</v>
      </c>
      <c r="BX39" s="550">
        <f t="shared" ca="1" si="107"/>
        <v>71693.206552543212</v>
      </c>
      <c r="BY39" s="550">
        <f t="shared" ca="1" si="107"/>
        <v>71693.206552543212</v>
      </c>
      <c r="BZ39" s="550">
        <f t="shared" ca="1" si="107"/>
        <v>71693.206552543212</v>
      </c>
      <c r="CA39" s="550">
        <f t="shared" ca="1" si="107"/>
        <v>71693.206552543212</v>
      </c>
      <c r="CB39" s="550">
        <f ca="1">CB38*CB31</f>
        <v>71693.206552543212</v>
      </c>
      <c r="CC39" s="550">
        <f t="shared" ca="1" si="107"/>
        <v>71693.206552543212</v>
      </c>
      <c r="CD39" s="550">
        <f t="shared" ca="1" si="107"/>
        <v>71693.206552543212</v>
      </c>
      <c r="CE39" s="550">
        <f t="shared" ca="1" si="107"/>
        <v>71693.206552543212</v>
      </c>
      <c r="CF39" s="550">
        <f t="shared" ca="1" si="107"/>
        <v>71693.206552543212</v>
      </c>
      <c r="CG39" s="550">
        <f t="shared" ca="1" si="107"/>
        <v>71693.206552543212</v>
      </c>
      <c r="CH39" s="550">
        <f t="shared" ca="1" si="107"/>
        <v>71693.206552543212</v>
      </c>
      <c r="CI39" s="550">
        <f t="shared" ca="1" si="107"/>
        <v>74560.934814644948</v>
      </c>
      <c r="CJ39" s="550">
        <f t="shared" ca="1" si="107"/>
        <v>74560.934814644948</v>
      </c>
      <c r="CK39" s="550">
        <f t="shared" ca="1" si="107"/>
        <v>74560.934814644948</v>
      </c>
      <c r="CL39" s="550">
        <f t="shared" ca="1" si="107"/>
        <v>74560.934814644948</v>
      </c>
      <c r="CM39" s="550">
        <f t="shared" ca="1" si="107"/>
        <v>74560.934814644948</v>
      </c>
      <c r="CN39" s="550">
        <f t="shared" ca="1" si="107"/>
        <v>74560.934814644948</v>
      </c>
      <c r="CO39" s="550">
        <f t="shared" ca="1" si="107"/>
        <v>74560.934814644948</v>
      </c>
      <c r="CP39" s="550">
        <f t="shared" ca="1" si="107"/>
        <v>74560.934814644948</v>
      </c>
      <c r="CQ39" s="550">
        <f t="shared" ca="1" si="107"/>
        <v>74560.934814644948</v>
      </c>
      <c r="CR39" s="550">
        <f t="shared" ca="1" si="107"/>
        <v>74560.934814644948</v>
      </c>
      <c r="CS39" s="550">
        <f t="shared" ca="1" si="107"/>
        <v>74560.934814644948</v>
      </c>
      <c r="CT39" s="550">
        <f t="shared" ca="1" si="107"/>
        <v>74560.934814644948</v>
      </c>
      <c r="CU39" s="550">
        <f t="shared" ca="1" si="107"/>
        <v>77543.372207230743</v>
      </c>
      <c r="CV39" s="550">
        <f t="shared" ca="1" si="107"/>
        <v>77543.372207230743</v>
      </c>
      <c r="CW39" s="550">
        <f t="shared" ca="1" si="107"/>
        <v>77543.372207230743</v>
      </c>
      <c r="CX39" s="550">
        <f t="shared" ca="1" si="107"/>
        <v>77543.372207230743</v>
      </c>
      <c r="CY39" s="550">
        <f t="shared" ref="CY39:ED39" ca="1" si="108">CY38*CY31</f>
        <v>77543.372207230743</v>
      </c>
      <c r="CZ39" s="550">
        <f t="shared" ca="1" si="108"/>
        <v>77543.372207230743</v>
      </c>
      <c r="DA39" s="550">
        <f t="shared" ca="1" si="108"/>
        <v>77543.372207230743</v>
      </c>
      <c r="DB39" s="550">
        <f t="shared" ca="1" si="108"/>
        <v>77543.372207230743</v>
      </c>
      <c r="DC39" s="550">
        <f t="shared" ca="1" si="108"/>
        <v>77543.372207230743</v>
      </c>
      <c r="DD39" s="550">
        <f t="shared" ca="1" si="108"/>
        <v>77543.372207230743</v>
      </c>
      <c r="DE39" s="550">
        <f t="shared" ca="1" si="108"/>
        <v>77543.372207230743</v>
      </c>
      <c r="DF39" s="550">
        <f t="shared" ca="1" si="108"/>
        <v>77543.372207230743</v>
      </c>
      <c r="DG39" s="550">
        <f t="shared" ca="1" si="108"/>
        <v>80645.107095519983</v>
      </c>
      <c r="DH39" s="550">
        <f t="shared" ca="1" si="108"/>
        <v>80645.107095519983</v>
      </c>
      <c r="DI39" s="550">
        <f t="shared" ca="1" si="108"/>
        <v>80645.107095519983</v>
      </c>
      <c r="DJ39" s="550">
        <f t="shared" ca="1" si="108"/>
        <v>80645.107095519983</v>
      </c>
      <c r="DK39" s="550">
        <f t="shared" ca="1" si="108"/>
        <v>80645.107095519983</v>
      </c>
      <c r="DL39" s="550">
        <f t="shared" ca="1" si="108"/>
        <v>80645.107095519983</v>
      </c>
      <c r="DM39" s="550">
        <f t="shared" ca="1" si="108"/>
        <v>80645.107095519983</v>
      </c>
      <c r="DN39" s="550">
        <f t="shared" ca="1" si="108"/>
        <v>80645.107095519983</v>
      </c>
      <c r="DO39" s="550">
        <f t="shared" ca="1" si="108"/>
        <v>80645.107095519983</v>
      </c>
      <c r="DP39" s="550">
        <f t="shared" ca="1" si="108"/>
        <v>80645.107095519983</v>
      </c>
      <c r="DQ39" s="550">
        <f t="shared" ca="1" si="108"/>
        <v>80645.107095519983</v>
      </c>
      <c r="DR39" s="550">
        <f t="shared" ca="1" si="108"/>
        <v>80645.107095519983</v>
      </c>
      <c r="DS39" s="550">
        <f t="shared" ca="1" si="108"/>
        <v>83870.911379340789</v>
      </c>
      <c r="DT39" s="550">
        <f t="shared" ca="1" si="108"/>
        <v>83870.911379340789</v>
      </c>
      <c r="DU39" s="550">
        <f t="shared" ca="1" si="108"/>
        <v>83870.911379340789</v>
      </c>
      <c r="DV39" s="550">
        <f t="shared" ca="1" si="108"/>
        <v>83870.911379340789</v>
      </c>
      <c r="DW39" s="550">
        <f t="shared" ca="1" si="108"/>
        <v>83870.911379340789</v>
      </c>
      <c r="DX39" s="550">
        <f t="shared" ca="1" si="108"/>
        <v>83870.911379340789</v>
      </c>
      <c r="DY39" s="550">
        <f t="shared" ca="1" si="108"/>
        <v>83870.911379340789</v>
      </c>
      <c r="DZ39" s="550">
        <f t="shared" ca="1" si="108"/>
        <v>83870.911379340789</v>
      </c>
      <c r="EA39" s="550">
        <f t="shared" ca="1" si="108"/>
        <v>83870.911379340789</v>
      </c>
      <c r="EB39" s="550">
        <f t="shared" ca="1" si="108"/>
        <v>83870.911379340789</v>
      </c>
      <c r="EC39" s="550">
        <f t="shared" ca="1" si="108"/>
        <v>83870.911379340789</v>
      </c>
      <c r="ED39" s="550">
        <f t="shared" ca="1" si="108"/>
        <v>83870.911379340789</v>
      </c>
      <c r="EE39" s="550">
        <f t="shared" ref="EE39:FJ39" ca="1" si="109">EE38*EE31</f>
        <v>87225.747834514419</v>
      </c>
      <c r="EF39" s="550">
        <f t="shared" ca="1" si="109"/>
        <v>87225.747834514419</v>
      </c>
      <c r="EG39" s="550">
        <f t="shared" ca="1" si="109"/>
        <v>87225.747834514419</v>
      </c>
      <c r="EH39" s="550">
        <f t="shared" ca="1" si="109"/>
        <v>87225.747834514419</v>
      </c>
      <c r="EI39" s="550">
        <f t="shared" ca="1" si="109"/>
        <v>87225.747834514419</v>
      </c>
      <c r="EJ39" s="550">
        <f t="shared" ca="1" si="109"/>
        <v>87225.747834514419</v>
      </c>
      <c r="EK39" s="550">
        <f t="shared" ca="1" si="109"/>
        <v>87225.747834514419</v>
      </c>
      <c r="EL39" s="550">
        <f t="shared" ca="1" si="109"/>
        <v>87225.747834514419</v>
      </c>
      <c r="EM39" s="550">
        <f t="shared" ca="1" si="109"/>
        <v>87225.747834514419</v>
      </c>
      <c r="EN39" s="550">
        <f t="shared" ca="1" si="109"/>
        <v>87225.747834514419</v>
      </c>
      <c r="EO39" s="550">
        <f t="shared" ca="1" si="109"/>
        <v>87225.747834514419</v>
      </c>
      <c r="EP39" s="550">
        <f t="shared" ca="1" si="109"/>
        <v>87225.747834514419</v>
      </c>
      <c r="EQ39" s="550">
        <f t="shared" ca="1" si="109"/>
        <v>89842.520269549859</v>
      </c>
      <c r="ER39" s="550">
        <f t="shared" ca="1" si="109"/>
        <v>89842.520269549859</v>
      </c>
      <c r="ES39" s="550">
        <f t="shared" ca="1" si="109"/>
        <v>89842.520269549859</v>
      </c>
      <c r="ET39" s="550">
        <f t="shared" ca="1" si="109"/>
        <v>89842.520269549859</v>
      </c>
      <c r="EU39" s="550">
        <f t="shared" ca="1" si="109"/>
        <v>89842.520269549859</v>
      </c>
      <c r="EV39" s="550">
        <f t="shared" ca="1" si="109"/>
        <v>89842.520269549859</v>
      </c>
      <c r="EW39" s="550">
        <f t="shared" ca="1" si="109"/>
        <v>89842.520269549859</v>
      </c>
      <c r="EX39" s="550">
        <f t="shared" ca="1" si="109"/>
        <v>89842.520269549859</v>
      </c>
      <c r="EY39" s="550">
        <f t="shared" ca="1" si="109"/>
        <v>89842.520269549859</v>
      </c>
      <c r="EZ39" s="550">
        <f t="shared" ca="1" si="109"/>
        <v>89842.520269549859</v>
      </c>
      <c r="FA39" s="550">
        <f t="shared" ca="1" si="109"/>
        <v>89842.520269549859</v>
      </c>
      <c r="FB39" s="550">
        <f t="shared" ca="1" si="109"/>
        <v>89842.520269549859</v>
      </c>
      <c r="FC39" s="550">
        <f t="shared" ca="1" si="109"/>
        <v>92537.795877636352</v>
      </c>
      <c r="FD39" s="550">
        <f t="shared" ca="1" si="109"/>
        <v>92537.795877636352</v>
      </c>
      <c r="FE39" s="550">
        <f t="shared" ca="1" si="109"/>
        <v>92537.795877636352</v>
      </c>
      <c r="FF39" s="550">
        <f t="shared" ca="1" si="109"/>
        <v>92537.795877636352</v>
      </c>
      <c r="FG39" s="550">
        <f t="shared" ca="1" si="109"/>
        <v>92537.795877636352</v>
      </c>
      <c r="FH39" s="550">
        <f t="shared" ca="1" si="109"/>
        <v>92537.795877636352</v>
      </c>
      <c r="FI39" s="550">
        <f t="shared" ca="1" si="109"/>
        <v>92537.795877636352</v>
      </c>
      <c r="FJ39" s="550">
        <f t="shared" ca="1" si="109"/>
        <v>92537.795877636352</v>
      </c>
      <c r="FK39" s="550">
        <f t="shared" ref="FK39:FN39" ca="1" si="110">FK38*FK31</f>
        <v>92537.795877636352</v>
      </c>
      <c r="FL39" s="550">
        <f t="shared" ca="1" si="110"/>
        <v>92537.795877636352</v>
      </c>
      <c r="FM39" s="550">
        <f t="shared" ca="1" si="110"/>
        <v>92537.795877636352</v>
      </c>
      <c r="FN39" s="550">
        <f t="shared" ca="1" si="110"/>
        <v>92537.795877636352</v>
      </c>
      <c r="FO39" s="144" t="s">
        <v>243</v>
      </c>
    </row>
    <row r="40" spans="2:171" x14ac:dyDescent="0.2">
      <c r="B40" s="721" t="str">
        <f t="shared" si="73"/>
        <v>3x2-S</v>
      </c>
      <c r="C40" s="151">
        <f t="shared" si="74"/>
        <v>8</v>
      </c>
      <c r="D40" s="550">
        <f>IFERROR(AVERAGEIFS(Rent_Roll[Market
Rent],Rent_Roll[SqFt],'Unit Mix-Reno Schedule'!$E19,Rent_Roll[Unit
Status],"Occupied"),0)</f>
        <v>1555</v>
      </c>
      <c r="E40" s="550">
        <f t="shared" si="75"/>
        <v>1513.125</v>
      </c>
      <c r="F40" s="897">
        <f t="shared" si="76"/>
        <v>-41.875</v>
      </c>
      <c r="G40" s="225">
        <f t="shared" si="77"/>
        <v>2.6929260450160773E-2</v>
      </c>
      <c r="H40" s="897">
        <v>0</v>
      </c>
      <c r="I40" s="225">
        <v>0</v>
      </c>
      <c r="J40" s="550">
        <v>0</v>
      </c>
      <c r="K40" s="959">
        <f t="shared" si="78"/>
        <v>1513.125</v>
      </c>
      <c r="M40" s="721" t="str">
        <f t="shared" si="79"/>
        <v>3x2-S</v>
      </c>
      <c r="N40" s="151">
        <f t="shared" si="80"/>
        <v>8</v>
      </c>
      <c r="O40" s="550">
        <f t="shared" si="81"/>
        <v>1555</v>
      </c>
      <c r="P40" s="550">
        <f t="shared" si="82"/>
        <v>1513.125</v>
      </c>
      <c r="Q40" s="550">
        <f t="shared" si="64"/>
        <v>1800</v>
      </c>
      <c r="R40" s="550"/>
      <c r="S40" s="897">
        <f t="shared" si="65"/>
        <v>245</v>
      </c>
      <c r="T40" s="225">
        <f t="shared" si="66"/>
        <v>0.15755627009646303</v>
      </c>
      <c r="U40" s="897">
        <f t="shared" si="67"/>
        <v>286.875</v>
      </c>
      <c r="V40" s="960">
        <f t="shared" si="68"/>
        <v>0.1895910780669145</v>
      </c>
      <c r="X40" s="961" t="str">
        <f t="shared" si="83"/>
        <v>3x2-S</v>
      </c>
      <c r="Y40" s="151">
        <f t="shared" si="84"/>
        <v>8</v>
      </c>
      <c r="Z40" s="550"/>
      <c r="AA40" s="895"/>
      <c r="AB40" s="550"/>
      <c r="AC40" s="550"/>
      <c r="AD40" s="895"/>
      <c r="AE40" s="550"/>
      <c r="AF40" s="844"/>
      <c r="AK40" s="966" t="s">
        <v>353</v>
      </c>
      <c r="AL40" s="967">
        <f t="shared" ref="AL40" si="111">AL36+AL39</f>
        <v>321310</v>
      </c>
      <c r="AM40" s="967">
        <f t="shared" ref="AM40:BR40" ca="1" si="112">AM36+AM39</f>
        <v>340588.60000000003</v>
      </c>
      <c r="AN40" s="967">
        <f ca="1">AN36+AN39</f>
        <v>342191.85078275</v>
      </c>
      <c r="AO40" s="967">
        <f t="shared" ca="1" si="112"/>
        <v>343795.10156549996</v>
      </c>
      <c r="AP40" s="967">
        <f t="shared" ca="1" si="112"/>
        <v>345398.35234824993</v>
      </c>
      <c r="AQ40" s="967">
        <f t="shared" ca="1" si="112"/>
        <v>347001.60313099989</v>
      </c>
      <c r="AR40" s="967">
        <f t="shared" ca="1" si="112"/>
        <v>348604.85391374986</v>
      </c>
      <c r="AS40" s="967">
        <f t="shared" ca="1" si="112"/>
        <v>350208.10469649982</v>
      </c>
      <c r="AT40" s="967">
        <f t="shared" ca="1" si="112"/>
        <v>351811.35547924979</v>
      </c>
      <c r="AU40" s="967">
        <f t="shared" ca="1" si="112"/>
        <v>353414.60626199975</v>
      </c>
      <c r="AV40" s="967">
        <f t="shared" ca="1" si="112"/>
        <v>355017.85704474972</v>
      </c>
      <c r="AW40" s="967">
        <f t="shared" ca="1" si="112"/>
        <v>356621.10782749968</v>
      </c>
      <c r="AX40" s="967">
        <f t="shared" ca="1" si="112"/>
        <v>358224.35861024965</v>
      </c>
      <c r="AY40" s="967">
        <f ca="1">AY36+AY39</f>
        <v>377818.98986264959</v>
      </c>
      <c r="AZ40" s="967">
        <f t="shared" ca="1" si="112"/>
        <v>380512.45117766951</v>
      </c>
      <c r="BA40" s="967">
        <f t="shared" ca="1" si="112"/>
        <v>383205.91249268944</v>
      </c>
      <c r="BB40" s="967">
        <f t="shared" ca="1" si="112"/>
        <v>385899.37380770937</v>
      </c>
      <c r="BC40" s="967">
        <f t="shared" ca="1" si="112"/>
        <v>388592.8351227293</v>
      </c>
      <c r="BD40" s="967">
        <f t="shared" ca="1" si="112"/>
        <v>391286.29643774929</v>
      </c>
      <c r="BE40" s="967">
        <f t="shared" ca="1" si="112"/>
        <v>393979.75775276922</v>
      </c>
      <c r="BF40" s="967">
        <f t="shared" ca="1" si="112"/>
        <v>396673.21906778915</v>
      </c>
      <c r="BG40" s="967">
        <f t="shared" ca="1" si="112"/>
        <v>399029.99771843158</v>
      </c>
      <c r="BH40" s="967">
        <f t="shared" ca="1" si="112"/>
        <v>401386.77636907401</v>
      </c>
      <c r="BI40" s="967">
        <f t="shared" ca="1" si="112"/>
        <v>403743.5550197165</v>
      </c>
      <c r="BJ40" s="967">
        <f t="shared" ca="1" si="112"/>
        <v>406100.33367035893</v>
      </c>
      <c r="BK40" s="967">
        <f t="shared" ca="1" si="112"/>
        <v>428879.96793705149</v>
      </c>
      <c r="BL40" s="967">
        <f t="shared" ca="1" si="112"/>
        <v>431354.58552022604</v>
      </c>
      <c r="BM40" s="967">
        <f t="shared" ca="1" si="112"/>
        <v>433829.20310340059</v>
      </c>
      <c r="BN40" s="967">
        <f t="shared" ca="1" si="112"/>
        <v>435596.78709138243</v>
      </c>
      <c r="BO40" s="967">
        <f t="shared" ca="1" si="112"/>
        <v>437364.37107936427</v>
      </c>
      <c r="BP40" s="967">
        <f t="shared" ca="1" si="112"/>
        <v>439131.95506734611</v>
      </c>
      <c r="BQ40" s="967">
        <f t="shared" ca="1" si="112"/>
        <v>440899.53905532794</v>
      </c>
      <c r="BR40" s="967">
        <f t="shared" ca="1" si="112"/>
        <v>442667.12304330978</v>
      </c>
      <c r="BS40" s="967">
        <f t="shared" ref="BS40:CX40" ca="1" si="113">BS36+BS39</f>
        <v>444434.70703129162</v>
      </c>
      <c r="BT40" s="967">
        <f t="shared" ca="1" si="113"/>
        <v>444434.70703129162</v>
      </c>
      <c r="BU40" s="967">
        <f t="shared" ca="1" si="113"/>
        <v>444434.70703129162</v>
      </c>
      <c r="BV40" s="967">
        <f t="shared" ca="1" si="113"/>
        <v>444434.70703129162</v>
      </c>
      <c r="BW40" s="967">
        <f t="shared" ca="1" si="113"/>
        <v>462212.09531254333</v>
      </c>
      <c r="BX40" s="967">
        <f t="shared" ca="1" si="113"/>
        <v>462212.09531254333</v>
      </c>
      <c r="BY40" s="967">
        <f t="shared" ca="1" si="113"/>
        <v>462212.09531254333</v>
      </c>
      <c r="BZ40" s="967">
        <f t="shared" ca="1" si="113"/>
        <v>462212.09531254333</v>
      </c>
      <c r="CA40" s="967">
        <f t="shared" ca="1" si="113"/>
        <v>462212.09531254333</v>
      </c>
      <c r="CB40" s="967">
        <f ca="1">CB36+CB39</f>
        <v>462212.09531254333</v>
      </c>
      <c r="CC40" s="967">
        <f t="shared" ca="1" si="113"/>
        <v>462212.09531254333</v>
      </c>
      <c r="CD40" s="967">
        <f t="shared" ca="1" si="113"/>
        <v>462212.09531254333</v>
      </c>
      <c r="CE40" s="967">
        <f t="shared" ca="1" si="113"/>
        <v>462212.09531254333</v>
      </c>
      <c r="CF40" s="967">
        <f t="shared" ca="1" si="113"/>
        <v>462212.09531254333</v>
      </c>
      <c r="CG40" s="967">
        <f t="shared" ca="1" si="113"/>
        <v>462212.09531254333</v>
      </c>
      <c r="CH40" s="967">
        <f t="shared" ca="1" si="113"/>
        <v>462212.09531254333</v>
      </c>
      <c r="CI40" s="967">
        <f t="shared" ca="1" si="113"/>
        <v>480700.5791250451</v>
      </c>
      <c r="CJ40" s="967">
        <f t="shared" ca="1" si="113"/>
        <v>480700.5791250451</v>
      </c>
      <c r="CK40" s="967">
        <f t="shared" ca="1" si="113"/>
        <v>480700.5791250451</v>
      </c>
      <c r="CL40" s="967">
        <f t="shared" ca="1" si="113"/>
        <v>480700.5791250451</v>
      </c>
      <c r="CM40" s="967">
        <f t="shared" ca="1" si="113"/>
        <v>480700.5791250451</v>
      </c>
      <c r="CN40" s="967">
        <f t="shared" ca="1" si="113"/>
        <v>480700.5791250451</v>
      </c>
      <c r="CO40" s="967">
        <f t="shared" ca="1" si="113"/>
        <v>480700.5791250451</v>
      </c>
      <c r="CP40" s="967">
        <f t="shared" ca="1" si="113"/>
        <v>480700.5791250451</v>
      </c>
      <c r="CQ40" s="967">
        <f t="shared" ca="1" si="113"/>
        <v>480700.5791250451</v>
      </c>
      <c r="CR40" s="967">
        <f t="shared" ca="1" si="113"/>
        <v>480700.5791250451</v>
      </c>
      <c r="CS40" s="967">
        <f t="shared" ca="1" si="113"/>
        <v>480700.5791250451</v>
      </c>
      <c r="CT40" s="967">
        <f t="shared" ca="1" si="113"/>
        <v>480700.5791250451</v>
      </c>
      <c r="CU40" s="967">
        <f t="shared" ca="1" si="113"/>
        <v>499928.60229004687</v>
      </c>
      <c r="CV40" s="967">
        <f t="shared" ca="1" si="113"/>
        <v>499928.60229004687</v>
      </c>
      <c r="CW40" s="967">
        <f t="shared" ca="1" si="113"/>
        <v>499928.60229004687</v>
      </c>
      <c r="CX40" s="967">
        <f t="shared" ca="1" si="113"/>
        <v>499928.60229004687</v>
      </c>
      <c r="CY40" s="967">
        <f t="shared" ref="CY40:ED40" ca="1" si="114">CY36+CY39</f>
        <v>499928.60229004687</v>
      </c>
      <c r="CZ40" s="967">
        <f t="shared" ca="1" si="114"/>
        <v>499928.60229004687</v>
      </c>
      <c r="DA40" s="967">
        <f t="shared" ca="1" si="114"/>
        <v>499928.60229004687</v>
      </c>
      <c r="DB40" s="967">
        <f t="shared" ca="1" si="114"/>
        <v>499928.60229004687</v>
      </c>
      <c r="DC40" s="967">
        <f t="shared" ca="1" si="114"/>
        <v>499928.60229004687</v>
      </c>
      <c r="DD40" s="967">
        <f t="shared" ca="1" si="114"/>
        <v>499928.60229004687</v>
      </c>
      <c r="DE40" s="967">
        <f t="shared" ca="1" si="114"/>
        <v>499928.60229004687</v>
      </c>
      <c r="DF40" s="967">
        <f t="shared" ca="1" si="114"/>
        <v>499928.60229004687</v>
      </c>
      <c r="DG40" s="967">
        <f t="shared" ca="1" si="114"/>
        <v>519925.74638164882</v>
      </c>
      <c r="DH40" s="967">
        <f t="shared" ca="1" si="114"/>
        <v>519925.74638164882</v>
      </c>
      <c r="DI40" s="967">
        <f t="shared" ca="1" si="114"/>
        <v>519925.74638164882</v>
      </c>
      <c r="DJ40" s="967">
        <f t="shared" ca="1" si="114"/>
        <v>519925.74638164882</v>
      </c>
      <c r="DK40" s="967">
        <f t="shared" ca="1" si="114"/>
        <v>519925.74638164882</v>
      </c>
      <c r="DL40" s="967">
        <f t="shared" ca="1" si="114"/>
        <v>519925.74638164882</v>
      </c>
      <c r="DM40" s="967">
        <f t="shared" ca="1" si="114"/>
        <v>519925.74638164882</v>
      </c>
      <c r="DN40" s="967">
        <f t="shared" ca="1" si="114"/>
        <v>519925.74638164882</v>
      </c>
      <c r="DO40" s="967">
        <f t="shared" ca="1" si="114"/>
        <v>519925.74638164882</v>
      </c>
      <c r="DP40" s="967">
        <f t="shared" ca="1" si="114"/>
        <v>519925.74638164882</v>
      </c>
      <c r="DQ40" s="967">
        <f t="shared" ca="1" si="114"/>
        <v>519925.74638164882</v>
      </c>
      <c r="DR40" s="967">
        <f t="shared" ca="1" si="114"/>
        <v>519925.74638164882</v>
      </c>
      <c r="DS40" s="967">
        <f t="shared" ca="1" si="114"/>
        <v>540722.7762369148</v>
      </c>
      <c r="DT40" s="967">
        <f t="shared" ca="1" si="114"/>
        <v>540722.7762369148</v>
      </c>
      <c r="DU40" s="967">
        <f t="shared" ca="1" si="114"/>
        <v>540722.7762369148</v>
      </c>
      <c r="DV40" s="967">
        <f t="shared" ca="1" si="114"/>
        <v>540722.7762369148</v>
      </c>
      <c r="DW40" s="967">
        <f t="shared" ca="1" si="114"/>
        <v>540722.7762369148</v>
      </c>
      <c r="DX40" s="967">
        <f t="shared" ca="1" si="114"/>
        <v>540722.7762369148</v>
      </c>
      <c r="DY40" s="967">
        <f t="shared" ca="1" si="114"/>
        <v>540722.7762369148</v>
      </c>
      <c r="DZ40" s="967">
        <f t="shared" ca="1" si="114"/>
        <v>540722.7762369148</v>
      </c>
      <c r="EA40" s="967">
        <f t="shared" ca="1" si="114"/>
        <v>540722.7762369148</v>
      </c>
      <c r="EB40" s="967">
        <f t="shared" ca="1" si="114"/>
        <v>540722.7762369148</v>
      </c>
      <c r="EC40" s="967">
        <f t="shared" ca="1" si="114"/>
        <v>540722.7762369148</v>
      </c>
      <c r="ED40" s="967">
        <f t="shared" ca="1" si="114"/>
        <v>540722.7762369148</v>
      </c>
      <c r="EE40" s="967">
        <f t="shared" ref="EE40:FJ40" ca="1" si="115">EE36+EE39</f>
        <v>562351.68728639139</v>
      </c>
      <c r="EF40" s="967">
        <f t="shared" ca="1" si="115"/>
        <v>562351.68728639139</v>
      </c>
      <c r="EG40" s="967">
        <f t="shared" ca="1" si="115"/>
        <v>562351.68728639139</v>
      </c>
      <c r="EH40" s="967">
        <f t="shared" ca="1" si="115"/>
        <v>562351.68728639139</v>
      </c>
      <c r="EI40" s="967">
        <f t="shared" ca="1" si="115"/>
        <v>562351.68728639139</v>
      </c>
      <c r="EJ40" s="967">
        <f t="shared" ca="1" si="115"/>
        <v>562351.68728639139</v>
      </c>
      <c r="EK40" s="967">
        <f t="shared" ca="1" si="115"/>
        <v>562351.68728639139</v>
      </c>
      <c r="EL40" s="967">
        <f t="shared" ca="1" si="115"/>
        <v>562351.68728639139</v>
      </c>
      <c r="EM40" s="967">
        <f t="shared" ca="1" si="115"/>
        <v>562351.68728639139</v>
      </c>
      <c r="EN40" s="967">
        <f t="shared" ca="1" si="115"/>
        <v>562351.68728639139</v>
      </c>
      <c r="EO40" s="967">
        <f t="shared" ca="1" si="115"/>
        <v>562351.68728639139</v>
      </c>
      <c r="EP40" s="967">
        <f t="shared" ca="1" si="115"/>
        <v>562351.68728639139</v>
      </c>
      <c r="EQ40" s="967">
        <f t="shared" ca="1" si="115"/>
        <v>579222.23790498311</v>
      </c>
      <c r="ER40" s="967">
        <f t="shared" ca="1" si="115"/>
        <v>579222.23790498311</v>
      </c>
      <c r="ES40" s="967">
        <f t="shared" ca="1" si="115"/>
        <v>579222.23790498311</v>
      </c>
      <c r="ET40" s="967">
        <f t="shared" ca="1" si="115"/>
        <v>579222.23790498311</v>
      </c>
      <c r="EU40" s="967">
        <f t="shared" ca="1" si="115"/>
        <v>579222.23790498311</v>
      </c>
      <c r="EV40" s="967">
        <f t="shared" ca="1" si="115"/>
        <v>579222.23790498311</v>
      </c>
      <c r="EW40" s="967">
        <f t="shared" ca="1" si="115"/>
        <v>579222.23790498311</v>
      </c>
      <c r="EX40" s="967">
        <f t="shared" ca="1" si="115"/>
        <v>579222.23790498311</v>
      </c>
      <c r="EY40" s="967">
        <f t="shared" ca="1" si="115"/>
        <v>579222.23790498311</v>
      </c>
      <c r="EZ40" s="967">
        <f t="shared" ca="1" si="115"/>
        <v>579222.23790498311</v>
      </c>
      <c r="FA40" s="967">
        <f t="shared" ca="1" si="115"/>
        <v>579222.23790498311</v>
      </c>
      <c r="FB40" s="967">
        <f t="shared" ca="1" si="115"/>
        <v>579222.23790498311</v>
      </c>
      <c r="FC40" s="967">
        <f t="shared" ca="1" si="115"/>
        <v>596598.9050421326</v>
      </c>
      <c r="FD40" s="967">
        <f t="shared" ca="1" si="115"/>
        <v>596598.9050421326</v>
      </c>
      <c r="FE40" s="967">
        <f t="shared" ca="1" si="115"/>
        <v>596598.9050421326</v>
      </c>
      <c r="FF40" s="967">
        <f t="shared" ca="1" si="115"/>
        <v>596598.9050421326</v>
      </c>
      <c r="FG40" s="967">
        <f t="shared" ca="1" si="115"/>
        <v>596598.9050421326</v>
      </c>
      <c r="FH40" s="967">
        <f t="shared" ca="1" si="115"/>
        <v>596598.9050421326</v>
      </c>
      <c r="FI40" s="967">
        <f t="shared" ca="1" si="115"/>
        <v>596598.9050421326</v>
      </c>
      <c r="FJ40" s="967">
        <f t="shared" ca="1" si="115"/>
        <v>596598.9050421326</v>
      </c>
      <c r="FK40" s="967">
        <f t="shared" ref="FK40:FN40" ca="1" si="116">FK36+FK39</f>
        <v>596598.9050421326</v>
      </c>
      <c r="FL40" s="967">
        <f t="shared" ca="1" si="116"/>
        <v>596598.9050421326</v>
      </c>
      <c r="FM40" s="967">
        <f t="shared" ca="1" si="116"/>
        <v>596598.9050421326</v>
      </c>
      <c r="FN40" s="967">
        <f t="shared" ca="1" si="116"/>
        <v>596598.9050421326</v>
      </c>
      <c r="FO40" s="144" t="s">
        <v>243</v>
      </c>
    </row>
    <row r="41" spans="2:171" x14ac:dyDescent="0.2">
      <c r="B41" s="721"/>
      <c r="C41" s="151"/>
      <c r="D41" s="550"/>
      <c r="E41" s="550"/>
      <c r="F41" s="897"/>
      <c r="G41" s="225"/>
      <c r="H41" s="897"/>
      <c r="I41" s="225"/>
      <c r="J41" s="550"/>
      <c r="K41" s="959"/>
      <c r="M41" s="721"/>
      <c r="N41" s="151"/>
      <c r="O41" s="550"/>
      <c r="P41" s="550"/>
      <c r="Q41" s="550" t="str">
        <f t="shared" ref="Q41:Q42" si="117">IF(ISNUMBER(U20),U20,"")</f>
        <v/>
      </c>
      <c r="R41" s="550"/>
      <c r="S41" s="897" t="str">
        <f t="shared" si="65"/>
        <v/>
      </c>
      <c r="T41" s="225" t="str">
        <f t="shared" si="66"/>
        <v/>
      </c>
      <c r="U41" s="897" t="str">
        <f t="shared" si="67"/>
        <v/>
      </c>
      <c r="V41" s="960" t="str">
        <f t="shared" si="68"/>
        <v/>
      </c>
      <c r="X41" s="961"/>
      <c r="Y41" s="151"/>
      <c r="Z41" s="550"/>
      <c r="AA41" s="895"/>
      <c r="AB41" s="550"/>
      <c r="AC41" s="550"/>
      <c r="AD41" s="895"/>
      <c r="AE41" s="550"/>
      <c r="AF41" s="844"/>
      <c r="FO41" s="145" t="s">
        <v>243</v>
      </c>
    </row>
    <row r="42" spans="2:171" ht="15" thickBot="1" x14ac:dyDescent="0.25">
      <c r="B42" s="721"/>
      <c r="C42" s="151"/>
      <c r="D42" s="550"/>
      <c r="E42" s="550"/>
      <c r="F42" s="897"/>
      <c r="G42" s="225"/>
      <c r="H42" s="897"/>
      <c r="I42" s="225"/>
      <c r="J42" s="550"/>
      <c r="K42" s="959"/>
      <c r="M42" s="721"/>
      <c r="N42" s="151"/>
      <c r="O42" s="550"/>
      <c r="P42" s="550"/>
      <c r="Q42" s="550" t="str">
        <f t="shared" si="117"/>
        <v/>
      </c>
      <c r="R42" s="550"/>
      <c r="S42" s="897" t="str">
        <f t="shared" si="65"/>
        <v/>
      </c>
      <c r="T42" s="225" t="str">
        <f t="shared" si="66"/>
        <v/>
      </c>
      <c r="U42" s="897" t="str">
        <f t="shared" si="67"/>
        <v/>
      </c>
      <c r="V42" s="960" t="str">
        <f t="shared" si="68"/>
        <v/>
      </c>
      <c r="X42" s="961"/>
      <c r="Y42" s="151"/>
      <c r="Z42" s="550"/>
      <c r="AA42" s="895"/>
      <c r="AB42" s="550"/>
      <c r="AC42" s="550"/>
      <c r="AD42" s="895"/>
      <c r="AE42" s="550"/>
      <c r="AF42" s="844"/>
      <c r="AL42" s="550"/>
      <c r="AM42" s="550"/>
      <c r="AN42" s="550"/>
      <c r="AO42" s="550"/>
      <c r="AP42" s="550"/>
      <c r="AQ42" s="550"/>
      <c r="AR42" s="550"/>
      <c r="AS42" s="550"/>
      <c r="AT42" s="550"/>
      <c r="AU42" s="968"/>
      <c r="AV42" s="550"/>
      <c r="AW42" s="550"/>
      <c r="AX42" s="550"/>
      <c r="AY42" s="550"/>
      <c r="AZ42" s="550"/>
      <c r="BA42" s="550"/>
      <c r="BB42" s="550"/>
      <c r="BC42" s="550"/>
      <c r="BD42" s="550"/>
      <c r="BE42" s="550"/>
      <c r="BF42" s="550"/>
      <c r="BG42" s="550"/>
      <c r="BH42" s="550"/>
      <c r="BI42" s="550"/>
      <c r="BJ42" s="550"/>
      <c r="BK42" s="550"/>
      <c r="BL42" s="550"/>
      <c r="BM42" s="550"/>
      <c r="BN42" s="550"/>
      <c r="BO42" s="550"/>
      <c r="BP42" s="550"/>
      <c r="BQ42" s="550"/>
      <c r="BR42" s="550"/>
      <c r="BS42" s="550"/>
      <c r="BT42" s="550"/>
      <c r="BU42" s="550"/>
      <c r="BV42" s="550"/>
      <c r="BW42" s="550"/>
      <c r="BX42" s="550"/>
      <c r="BY42" s="550"/>
      <c r="BZ42" s="550"/>
      <c r="CA42" s="550"/>
      <c r="CB42" s="550"/>
      <c r="CC42" s="550"/>
      <c r="CD42" s="550"/>
      <c r="CE42" s="550"/>
      <c r="CF42" s="550"/>
      <c r="CG42" s="550"/>
      <c r="CH42" s="550"/>
      <c r="CI42" s="550"/>
      <c r="CJ42" s="550"/>
      <c r="CK42" s="550"/>
      <c r="CL42" s="550"/>
      <c r="CM42" s="550"/>
      <c r="CN42" s="550"/>
      <c r="CO42" s="550"/>
      <c r="CP42" s="550"/>
      <c r="CQ42" s="550"/>
      <c r="CR42" s="550"/>
      <c r="CS42" s="550"/>
      <c r="CT42" s="550"/>
      <c r="CU42" s="550"/>
      <c r="CV42" s="550"/>
      <c r="CW42" s="550"/>
      <c r="CX42" s="550"/>
      <c r="CY42" s="550"/>
      <c r="CZ42" s="550"/>
      <c r="DA42" s="550"/>
      <c r="DB42" s="550"/>
      <c r="DC42" s="550"/>
      <c r="DD42" s="550"/>
      <c r="DE42" s="550"/>
      <c r="DF42" s="550"/>
      <c r="DG42" s="550"/>
      <c r="DH42" s="550"/>
      <c r="DI42" s="550"/>
      <c r="DJ42" s="550"/>
      <c r="DK42" s="550"/>
      <c r="DL42" s="550"/>
      <c r="DM42" s="550"/>
      <c r="DN42" s="550"/>
      <c r="DO42" s="550"/>
      <c r="DP42" s="550"/>
      <c r="DQ42" s="550"/>
      <c r="DR42" s="550"/>
      <c r="DS42" s="550"/>
      <c r="DT42" s="550"/>
      <c r="DU42" s="550"/>
      <c r="DV42" s="550"/>
      <c r="DW42" s="550"/>
      <c r="DX42" s="550"/>
      <c r="DY42" s="550"/>
      <c r="DZ42" s="550"/>
      <c r="EA42" s="550"/>
      <c r="EB42" s="550"/>
      <c r="EC42" s="550"/>
      <c r="ED42" s="550"/>
      <c r="EE42" s="550"/>
      <c r="EF42" s="550"/>
      <c r="EG42" s="550"/>
      <c r="EH42" s="550"/>
      <c r="EI42" s="550"/>
      <c r="EJ42" s="550"/>
      <c r="EK42" s="550"/>
      <c r="EL42" s="550"/>
      <c r="EM42" s="550"/>
      <c r="EN42" s="550"/>
      <c r="EO42" s="550"/>
      <c r="EP42" s="550"/>
      <c r="EQ42" s="550"/>
      <c r="ER42" s="550"/>
      <c r="ES42" s="550"/>
      <c r="ET42" s="550"/>
      <c r="EU42" s="550"/>
      <c r="EV42" s="550"/>
      <c r="EW42" s="550"/>
      <c r="EX42" s="550"/>
      <c r="EY42" s="550"/>
      <c r="EZ42" s="550"/>
      <c r="FA42" s="550"/>
      <c r="FB42" s="550"/>
      <c r="FC42" s="550"/>
      <c r="FD42" s="550"/>
      <c r="FE42" s="550"/>
      <c r="FF42" s="550"/>
      <c r="FG42" s="550"/>
      <c r="FH42" s="550"/>
      <c r="FI42" s="550"/>
      <c r="FJ42" s="550"/>
      <c r="FK42" s="550"/>
      <c r="FL42" s="550"/>
      <c r="FM42" s="550"/>
      <c r="FN42" s="550"/>
      <c r="FO42" s="144" t="s">
        <v>243</v>
      </c>
    </row>
    <row r="43" spans="2:171" x14ac:dyDescent="0.2">
      <c r="B43" s="914" t="s">
        <v>322</v>
      </c>
      <c r="C43" s="915">
        <f>SUM(C29:C42)</f>
        <v>234</v>
      </c>
      <c r="D43" s="969">
        <f>IFERROR(SUMPRODUCT(D29:D42,$C$29:$C$42)/$C$43,0)</f>
        <v>1315.0213675213674</v>
      </c>
      <c r="E43" s="969">
        <f>IFERROR(SUMPRODUCT(E29:E42,$C$29:$C$42)/$C$43,0)</f>
        <v>1221.7521367521367</v>
      </c>
      <c r="F43" s="919">
        <f>IFERROR(SUMPRODUCT(F29:F42,$C$29:$C$42)/$C$43,0)</f>
        <v>-93.269230769230774</v>
      </c>
      <c r="G43" s="918">
        <f>IFERROR(-F43/D43,0)</f>
        <v>7.092601920608356E-2</v>
      </c>
      <c r="H43" s="919">
        <f>IFERROR(SUMPRODUCT(H29:H42,$C$29:$C$42)/$C$43,0)</f>
        <v>0</v>
      </c>
      <c r="I43" s="918">
        <f>IFERROR(-H43/E43,0)</f>
        <v>0</v>
      </c>
      <c r="J43" s="919">
        <f>IFERROR(SUMPRODUCT(J29:J42,$C$29:$C$42)/$C$43,0)</f>
        <v>0</v>
      </c>
      <c r="K43" s="970">
        <f>IFERROR(SUMPRODUCT(K29:K42,$C$29:$C$42)/$C$43,0)</f>
        <v>1221.7521367521367</v>
      </c>
      <c r="M43" s="914" t="s">
        <v>322</v>
      </c>
      <c r="N43" s="915">
        <f>SUM(N29:N42)</f>
        <v>244</v>
      </c>
      <c r="O43" s="969">
        <f>IFERROR(SUMPRODUCT(O29:O42,$N$29:$N$42)/$N$43,0)</f>
        <v>1316.844262295082</v>
      </c>
      <c r="P43" s="969">
        <f>IFERROR(SUMPRODUCT(P29:P42,$N$29:$N$42)/$N$43,0)</f>
        <v>1223.2375572293606</v>
      </c>
      <c r="Q43" s="969">
        <f>IFERROR(SUMPRODUCT(Q29:Q42,$N$29:$N$42)/$N$43,0)</f>
        <v>1525.7377049180327</v>
      </c>
      <c r="R43" s="969"/>
      <c r="S43" s="919">
        <f>IFERROR(SUMPRODUCT(S29:S42,$N$29:$N$42)/$N$43,0)</f>
        <v>208.89344262295083</v>
      </c>
      <c r="T43" s="918">
        <f t="shared" si="66"/>
        <v>0.15863185086053966</v>
      </c>
      <c r="U43" s="919">
        <f>IFERROR(SUMPRODUCT(U29:U42,$N$29:$N$42)/$N$43,0)</f>
        <v>302.50014768867226</v>
      </c>
      <c r="V43" s="971">
        <f t="shared" si="68"/>
        <v>0.24729468605741362</v>
      </c>
      <c r="X43" s="972" t="s">
        <v>237</v>
      </c>
      <c r="Y43" s="915">
        <f>SUM(Y29:Y42)</f>
        <v>244</v>
      </c>
      <c r="Z43" s="969">
        <f>IFERROR(SUMPRODUCT(Z29:Z42,$Y$29:$Y$42)/$Y$43,0)</f>
        <v>166.2455247785943</v>
      </c>
      <c r="AA43" s="917">
        <f>SUM(AA29:AA42)</f>
        <v>0</v>
      </c>
      <c r="AB43" s="969">
        <f>IFERROR(SUMPRODUCT(AB29:AB42,$AA$29:$AA$42)/$AA$43,0)</f>
        <v>0</v>
      </c>
      <c r="AC43" s="969">
        <f>IFERROR(SUMPRODUCT(AC29:AC42,$AA$29:$AA$42)/$AA$43,0)</f>
        <v>0</v>
      </c>
      <c r="AD43" s="917">
        <f>SUM(AD29:AD42)</f>
        <v>0</v>
      </c>
      <c r="AE43" s="969">
        <f>IFERROR(SUMPRODUCT(AE29:AE42,$AD$29:$AD$42)/$AD$43,0)</f>
        <v>0</v>
      </c>
      <c r="AF43" s="924">
        <f>IFERROR(SUMPRODUCT(AF29:AF42,$AD$29:$AD$42)/$AD$43,0)</f>
        <v>0</v>
      </c>
      <c r="AK43" s="878" t="s">
        <v>354</v>
      </c>
      <c r="AU43" s="151"/>
      <c r="AV43" s="151"/>
      <c r="AW43" s="151"/>
      <c r="AX43" s="151"/>
      <c r="AY43" s="151"/>
      <c r="AZ43" s="151"/>
      <c r="BA43" s="151"/>
      <c r="BB43" s="151"/>
      <c r="BC43" s="151"/>
      <c r="BD43" s="151"/>
      <c r="BE43" s="151"/>
      <c r="BF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151"/>
      <c r="CH43" s="151"/>
      <c r="CI43" s="151"/>
      <c r="CJ43" s="151"/>
      <c r="CK43" s="151"/>
      <c r="CL43" s="151"/>
      <c r="CM43" s="151"/>
      <c r="CN43" s="151"/>
      <c r="CO43" s="151"/>
      <c r="CP43" s="151"/>
      <c r="CQ43" s="151"/>
      <c r="CR43" s="151"/>
      <c r="CS43" s="151"/>
      <c r="CT43" s="151"/>
      <c r="CU43" s="151"/>
      <c r="CV43" s="151"/>
      <c r="CW43" s="151"/>
      <c r="CX43" s="151"/>
      <c r="CY43" s="151"/>
      <c r="CZ43" s="151"/>
      <c r="DA43" s="151"/>
      <c r="DB43" s="151"/>
      <c r="DC43" s="151"/>
      <c r="DD43" s="151"/>
      <c r="DE43" s="151"/>
      <c r="DF43" s="151"/>
      <c r="DG43" s="151"/>
      <c r="DH43" s="151"/>
      <c r="DI43" s="151"/>
      <c r="DJ43" s="151"/>
      <c r="DK43" s="151"/>
      <c r="DL43" s="151"/>
      <c r="DM43" s="151"/>
      <c r="DN43" s="151"/>
      <c r="DO43" s="151"/>
      <c r="DP43" s="151"/>
      <c r="DQ43" s="151"/>
      <c r="DR43" s="151"/>
      <c r="DS43" s="151"/>
      <c r="DT43" s="151"/>
      <c r="DU43" s="151"/>
      <c r="DV43" s="151"/>
      <c r="DW43" s="151"/>
      <c r="DX43" s="151"/>
      <c r="DY43" s="151"/>
      <c r="DZ43" s="151"/>
      <c r="EA43" s="151"/>
      <c r="EB43" s="151"/>
      <c r="EC43" s="151"/>
      <c r="ED43" s="151"/>
      <c r="EE43" s="151"/>
      <c r="EF43" s="151"/>
      <c r="EG43" s="151"/>
      <c r="EH43" s="151"/>
      <c r="EI43" s="151"/>
      <c r="EJ43" s="151"/>
      <c r="EK43" s="151"/>
      <c r="EL43" s="151"/>
      <c r="EM43" s="151"/>
      <c r="EN43" s="151"/>
      <c r="EO43" s="151"/>
      <c r="EP43" s="151"/>
      <c r="EQ43" s="151"/>
      <c r="ER43" s="151"/>
      <c r="ES43" s="151"/>
      <c r="ET43" s="151"/>
      <c r="EU43" s="151"/>
      <c r="EV43" s="151"/>
      <c r="EW43" s="151"/>
      <c r="EX43" s="151"/>
      <c r="EY43" s="151"/>
      <c r="EZ43" s="151"/>
      <c r="FA43" s="151"/>
      <c r="FB43" s="151"/>
      <c r="FC43" s="151"/>
      <c r="FD43" s="151"/>
      <c r="FE43" s="151"/>
      <c r="FF43" s="151"/>
      <c r="FG43" s="151"/>
      <c r="FH43" s="151"/>
      <c r="FI43" s="151"/>
      <c r="FJ43" s="151"/>
      <c r="FK43" s="151"/>
      <c r="FL43" s="151"/>
      <c r="FM43" s="151"/>
      <c r="FN43" s="151"/>
      <c r="FO43" s="144" t="s">
        <v>243</v>
      </c>
    </row>
    <row r="44" spans="2:171" x14ac:dyDescent="0.2">
      <c r="B44" s="925" t="s">
        <v>324</v>
      </c>
      <c r="C44" s="926"/>
      <c r="D44" s="973">
        <f>IFERROR(SUMPRODUCT(D29:D42,$C$29:$C$42),0)</f>
        <v>307715</v>
      </c>
      <c r="E44" s="973">
        <f>IFERROR(SUMPRODUCT(E29:E42,$C$29:$C$42),0)</f>
        <v>285890</v>
      </c>
      <c r="F44" s="929">
        <f>IFERROR(SUMPRODUCT(F29:F42,$C$29:$C$42),0)</f>
        <v>-21825</v>
      </c>
      <c r="G44" s="974"/>
      <c r="H44" s="929">
        <f>IFERROR(SUMPRODUCT(H29:H42,$C$29:$C$42),0)</f>
        <v>0</v>
      </c>
      <c r="I44" s="926"/>
      <c r="J44" s="929">
        <f>IFERROR(SUMPRODUCT(J29:J42,$C$29:$C$42),0)</f>
        <v>0</v>
      </c>
      <c r="K44" s="975">
        <f>IFERROR(SUMPRODUCT(K29:K42,$C$29:$C$42),0)</f>
        <v>285890</v>
      </c>
      <c r="M44" s="925" t="s">
        <v>324</v>
      </c>
      <c r="N44" s="926"/>
      <c r="O44" s="973">
        <f>IFERROR(SUMPRODUCT(O29:O42,$N$29:$N$42),0)</f>
        <v>321310</v>
      </c>
      <c r="P44" s="973">
        <f>IFERROR(SUMPRODUCT(P29:P42,$N$29:$N$42),0)</f>
        <v>298469.96396396396</v>
      </c>
      <c r="Q44" s="973">
        <f>IFERROR(SUMPRODUCT(Q29:Q42,$N$29:$N$42),0)</f>
        <v>372280</v>
      </c>
      <c r="R44" s="973"/>
      <c r="S44" s="929">
        <f>IFERROR(SUMPRODUCT(S29:S42,$N$29:$N$42),0)</f>
        <v>50970</v>
      </c>
      <c r="T44" s="926"/>
      <c r="U44" s="929">
        <f>IFERROR(SUMPRODUCT(U29:U42,$N$29:$N$42),0)</f>
        <v>73810.036036036036</v>
      </c>
      <c r="V44" s="932"/>
      <c r="X44" s="925" t="s">
        <v>324</v>
      </c>
      <c r="Y44" s="976"/>
      <c r="Z44" s="973">
        <f>IFERROR(SUMPRODUCT(Z29:Z42,$Y$29:$Y$42),0)</f>
        <v>40563.908045977012</v>
      </c>
      <c r="AA44" s="929"/>
      <c r="AB44" s="973">
        <f>IFERROR(SUMPRODUCT(AB29:AB42,$AA$29:$AA$42),0)</f>
        <v>0</v>
      </c>
      <c r="AC44" s="973"/>
      <c r="AD44" s="929"/>
      <c r="AE44" s="973">
        <f>IFERROR(SUMPRODUCT(AE29:AE42,$AD$29:$AD$42),0)</f>
        <v>0</v>
      </c>
      <c r="AF44" s="977"/>
      <c r="AK44" s="144" t="s">
        <v>355</v>
      </c>
      <c r="AM44" s="151">
        <f t="shared" ref="AM44" si="118">AL47</f>
        <v>0</v>
      </c>
      <c r="AN44" s="151">
        <f ca="1">AM47</f>
        <v>5</v>
      </c>
      <c r="AO44" s="151">
        <f t="shared" ref="AO44:BS44" ca="1" si="119">AN47</f>
        <v>5</v>
      </c>
      <c r="AP44" s="151">
        <f t="shared" ca="1" si="119"/>
        <v>5</v>
      </c>
      <c r="AQ44" s="151">
        <f t="shared" ca="1" si="119"/>
        <v>5</v>
      </c>
      <c r="AR44" s="151">
        <f t="shared" ca="1" si="119"/>
        <v>5</v>
      </c>
      <c r="AS44" s="151">
        <f t="shared" ca="1" si="119"/>
        <v>5</v>
      </c>
      <c r="AT44" s="151">
        <f t="shared" ca="1" si="119"/>
        <v>5</v>
      </c>
      <c r="AU44" s="151">
        <f t="shared" ca="1" si="119"/>
        <v>5</v>
      </c>
      <c r="AV44" s="151">
        <f t="shared" ca="1" si="119"/>
        <v>5</v>
      </c>
      <c r="AW44" s="151">
        <f t="shared" ca="1" si="119"/>
        <v>5</v>
      </c>
      <c r="AX44" s="151">
        <f t="shared" ca="1" si="119"/>
        <v>5</v>
      </c>
      <c r="AY44" s="151">
        <f t="shared" ca="1" si="119"/>
        <v>5</v>
      </c>
      <c r="AZ44" s="151">
        <f t="shared" ca="1" si="119"/>
        <v>8</v>
      </c>
      <c r="BA44" s="151">
        <f t="shared" ca="1" si="119"/>
        <v>8</v>
      </c>
      <c r="BB44" s="151">
        <f t="shared" ca="1" si="119"/>
        <v>8</v>
      </c>
      <c r="BC44" s="151">
        <f t="shared" ca="1" si="119"/>
        <v>8</v>
      </c>
      <c r="BD44" s="151">
        <f t="shared" ca="1" si="119"/>
        <v>8</v>
      </c>
      <c r="BE44" s="151">
        <f t="shared" ca="1" si="119"/>
        <v>8</v>
      </c>
      <c r="BF44" s="151">
        <f t="shared" ca="1" si="119"/>
        <v>8</v>
      </c>
      <c r="BG44" s="151">
        <f t="shared" ca="1" si="119"/>
        <v>7</v>
      </c>
      <c r="BH44" s="151">
        <f t="shared" ca="1" si="119"/>
        <v>7</v>
      </c>
      <c r="BI44" s="151">
        <f t="shared" ca="1" si="119"/>
        <v>7</v>
      </c>
      <c r="BJ44" s="151">
        <f t="shared" ca="1" si="119"/>
        <v>7</v>
      </c>
      <c r="BK44" s="151">
        <f t="shared" ca="1" si="119"/>
        <v>7</v>
      </c>
      <c r="BL44" s="151">
        <f t="shared" ca="1" si="119"/>
        <v>7</v>
      </c>
      <c r="BM44" s="151">
        <f t="shared" ca="1" si="119"/>
        <v>7</v>
      </c>
      <c r="BN44" s="151">
        <f t="shared" ca="1" si="119"/>
        <v>5</v>
      </c>
      <c r="BO44" s="151">
        <f t="shared" ca="1" si="119"/>
        <v>5</v>
      </c>
      <c r="BP44" s="151">
        <f t="shared" ca="1" si="119"/>
        <v>5</v>
      </c>
      <c r="BQ44" s="151">
        <f t="shared" ca="1" si="119"/>
        <v>5</v>
      </c>
      <c r="BR44" s="151">
        <f t="shared" ca="1" si="119"/>
        <v>5</v>
      </c>
      <c r="BS44" s="151">
        <f t="shared" ca="1" si="119"/>
        <v>5</v>
      </c>
      <c r="BT44" s="151">
        <f t="shared" ref="BT44:CY44" ca="1" si="120">BS47</f>
        <v>0</v>
      </c>
      <c r="BU44" s="151">
        <f t="shared" ca="1" si="120"/>
        <v>0</v>
      </c>
      <c r="BV44" s="151">
        <f t="shared" ca="1" si="120"/>
        <v>0</v>
      </c>
      <c r="BW44" s="151">
        <f t="shared" ca="1" si="120"/>
        <v>0</v>
      </c>
      <c r="BX44" s="151">
        <f t="shared" ca="1" si="120"/>
        <v>0</v>
      </c>
      <c r="BY44" s="151">
        <f t="shared" ca="1" si="120"/>
        <v>0</v>
      </c>
      <c r="BZ44" s="151">
        <f t="shared" ca="1" si="120"/>
        <v>0</v>
      </c>
      <c r="CA44" s="151">
        <f t="shared" ca="1" si="120"/>
        <v>0</v>
      </c>
      <c r="CB44" s="151">
        <f t="shared" ca="1" si="120"/>
        <v>0</v>
      </c>
      <c r="CC44" s="151">
        <f t="shared" ca="1" si="120"/>
        <v>0</v>
      </c>
      <c r="CD44" s="151">
        <f t="shared" ca="1" si="120"/>
        <v>0</v>
      </c>
      <c r="CE44" s="151">
        <f t="shared" ca="1" si="120"/>
        <v>0</v>
      </c>
      <c r="CF44" s="151">
        <f t="shared" ca="1" si="120"/>
        <v>0</v>
      </c>
      <c r="CG44" s="151">
        <f t="shared" ca="1" si="120"/>
        <v>0</v>
      </c>
      <c r="CH44" s="151">
        <f t="shared" ca="1" si="120"/>
        <v>0</v>
      </c>
      <c r="CI44" s="151">
        <f t="shared" ca="1" si="120"/>
        <v>0</v>
      </c>
      <c r="CJ44" s="151">
        <f t="shared" ca="1" si="120"/>
        <v>0</v>
      </c>
      <c r="CK44" s="151">
        <f t="shared" ca="1" si="120"/>
        <v>0</v>
      </c>
      <c r="CL44" s="151">
        <f t="shared" ca="1" si="120"/>
        <v>0</v>
      </c>
      <c r="CM44" s="151">
        <f t="shared" ca="1" si="120"/>
        <v>0</v>
      </c>
      <c r="CN44" s="151">
        <f t="shared" ca="1" si="120"/>
        <v>0</v>
      </c>
      <c r="CO44" s="151">
        <f t="shared" ca="1" si="120"/>
        <v>0</v>
      </c>
      <c r="CP44" s="151">
        <f t="shared" ca="1" si="120"/>
        <v>0</v>
      </c>
      <c r="CQ44" s="151">
        <f t="shared" ca="1" si="120"/>
        <v>0</v>
      </c>
      <c r="CR44" s="151">
        <f t="shared" ca="1" si="120"/>
        <v>0</v>
      </c>
      <c r="CS44" s="151">
        <f t="shared" ca="1" si="120"/>
        <v>0</v>
      </c>
      <c r="CT44" s="151">
        <f t="shared" ca="1" si="120"/>
        <v>0</v>
      </c>
      <c r="CU44" s="151">
        <f t="shared" ca="1" si="120"/>
        <v>0</v>
      </c>
      <c r="CV44" s="151">
        <f t="shared" ca="1" si="120"/>
        <v>0</v>
      </c>
      <c r="CW44" s="151">
        <f t="shared" ca="1" si="120"/>
        <v>0</v>
      </c>
      <c r="CX44" s="151">
        <f t="shared" ca="1" si="120"/>
        <v>0</v>
      </c>
      <c r="CY44" s="151">
        <f t="shared" ca="1" si="120"/>
        <v>0</v>
      </c>
      <c r="CZ44" s="151">
        <f t="shared" ref="CZ44:EE44" ca="1" si="121">CY47</f>
        <v>0</v>
      </c>
      <c r="DA44" s="151">
        <f t="shared" ca="1" si="121"/>
        <v>0</v>
      </c>
      <c r="DB44" s="151">
        <f t="shared" ca="1" si="121"/>
        <v>0</v>
      </c>
      <c r="DC44" s="151">
        <f t="shared" ca="1" si="121"/>
        <v>0</v>
      </c>
      <c r="DD44" s="151">
        <f t="shared" ca="1" si="121"/>
        <v>0</v>
      </c>
      <c r="DE44" s="151">
        <f t="shared" ca="1" si="121"/>
        <v>0</v>
      </c>
      <c r="DF44" s="151">
        <f t="shared" ca="1" si="121"/>
        <v>0</v>
      </c>
      <c r="DG44" s="151">
        <f t="shared" ca="1" si="121"/>
        <v>0</v>
      </c>
      <c r="DH44" s="151">
        <f t="shared" ca="1" si="121"/>
        <v>0</v>
      </c>
      <c r="DI44" s="151">
        <f t="shared" ca="1" si="121"/>
        <v>0</v>
      </c>
      <c r="DJ44" s="151">
        <f t="shared" ca="1" si="121"/>
        <v>0</v>
      </c>
      <c r="DK44" s="151">
        <f t="shared" ca="1" si="121"/>
        <v>0</v>
      </c>
      <c r="DL44" s="151">
        <f t="shared" ca="1" si="121"/>
        <v>0</v>
      </c>
      <c r="DM44" s="151">
        <f t="shared" ca="1" si="121"/>
        <v>0</v>
      </c>
      <c r="DN44" s="151">
        <f t="shared" ca="1" si="121"/>
        <v>0</v>
      </c>
      <c r="DO44" s="151">
        <f t="shared" ca="1" si="121"/>
        <v>0</v>
      </c>
      <c r="DP44" s="151">
        <f t="shared" ca="1" si="121"/>
        <v>0</v>
      </c>
      <c r="DQ44" s="151">
        <f t="shared" ca="1" si="121"/>
        <v>0</v>
      </c>
      <c r="DR44" s="151">
        <f t="shared" ca="1" si="121"/>
        <v>0</v>
      </c>
      <c r="DS44" s="151">
        <f t="shared" ca="1" si="121"/>
        <v>0</v>
      </c>
      <c r="DT44" s="151">
        <f t="shared" ca="1" si="121"/>
        <v>0</v>
      </c>
      <c r="DU44" s="151">
        <f t="shared" ca="1" si="121"/>
        <v>0</v>
      </c>
      <c r="DV44" s="151">
        <f t="shared" ca="1" si="121"/>
        <v>0</v>
      </c>
      <c r="DW44" s="151">
        <f t="shared" ca="1" si="121"/>
        <v>0</v>
      </c>
      <c r="DX44" s="151">
        <f t="shared" ca="1" si="121"/>
        <v>0</v>
      </c>
      <c r="DY44" s="151">
        <f t="shared" ca="1" si="121"/>
        <v>0</v>
      </c>
      <c r="DZ44" s="151">
        <f t="shared" ca="1" si="121"/>
        <v>0</v>
      </c>
      <c r="EA44" s="151">
        <f t="shared" ca="1" si="121"/>
        <v>0</v>
      </c>
      <c r="EB44" s="151">
        <f t="shared" ca="1" si="121"/>
        <v>0</v>
      </c>
      <c r="EC44" s="151">
        <f t="shared" ca="1" si="121"/>
        <v>0</v>
      </c>
      <c r="ED44" s="151">
        <f t="shared" ca="1" si="121"/>
        <v>0</v>
      </c>
      <c r="EE44" s="151">
        <f t="shared" ca="1" si="121"/>
        <v>0</v>
      </c>
      <c r="EF44" s="151">
        <f t="shared" ref="EF44:FN44" ca="1" si="122">EE47</f>
        <v>0</v>
      </c>
      <c r="EG44" s="151">
        <f t="shared" ca="1" si="122"/>
        <v>0</v>
      </c>
      <c r="EH44" s="151">
        <f t="shared" ca="1" si="122"/>
        <v>0</v>
      </c>
      <c r="EI44" s="151">
        <f t="shared" ca="1" si="122"/>
        <v>0</v>
      </c>
      <c r="EJ44" s="151">
        <f t="shared" ca="1" si="122"/>
        <v>0</v>
      </c>
      <c r="EK44" s="151">
        <f t="shared" ca="1" si="122"/>
        <v>0</v>
      </c>
      <c r="EL44" s="151">
        <f t="shared" ca="1" si="122"/>
        <v>0</v>
      </c>
      <c r="EM44" s="151">
        <f t="shared" ca="1" si="122"/>
        <v>0</v>
      </c>
      <c r="EN44" s="151">
        <f t="shared" ca="1" si="122"/>
        <v>0</v>
      </c>
      <c r="EO44" s="151">
        <f t="shared" ca="1" si="122"/>
        <v>0</v>
      </c>
      <c r="EP44" s="151">
        <f t="shared" ca="1" si="122"/>
        <v>0</v>
      </c>
      <c r="EQ44" s="151">
        <f t="shared" ca="1" si="122"/>
        <v>0</v>
      </c>
      <c r="ER44" s="151">
        <f t="shared" ca="1" si="122"/>
        <v>0</v>
      </c>
      <c r="ES44" s="151">
        <f t="shared" ca="1" si="122"/>
        <v>0</v>
      </c>
      <c r="ET44" s="151">
        <f t="shared" ca="1" si="122"/>
        <v>0</v>
      </c>
      <c r="EU44" s="151">
        <f t="shared" ca="1" si="122"/>
        <v>0</v>
      </c>
      <c r="EV44" s="151">
        <f t="shared" ca="1" si="122"/>
        <v>0</v>
      </c>
      <c r="EW44" s="151">
        <f t="shared" ca="1" si="122"/>
        <v>0</v>
      </c>
      <c r="EX44" s="151">
        <f t="shared" ca="1" si="122"/>
        <v>0</v>
      </c>
      <c r="EY44" s="151">
        <f t="shared" ca="1" si="122"/>
        <v>0</v>
      </c>
      <c r="EZ44" s="151">
        <f t="shared" ca="1" si="122"/>
        <v>0</v>
      </c>
      <c r="FA44" s="151">
        <f t="shared" ca="1" si="122"/>
        <v>0</v>
      </c>
      <c r="FB44" s="151">
        <f t="shared" ca="1" si="122"/>
        <v>0</v>
      </c>
      <c r="FC44" s="151">
        <f t="shared" ca="1" si="122"/>
        <v>0</v>
      </c>
      <c r="FD44" s="151">
        <f t="shared" ca="1" si="122"/>
        <v>0</v>
      </c>
      <c r="FE44" s="151">
        <f t="shared" ca="1" si="122"/>
        <v>0</v>
      </c>
      <c r="FF44" s="151">
        <f t="shared" ca="1" si="122"/>
        <v>0</v>
      </c>
      <c r="FG44" s="151">
        <f t="shared" ca="1" si="122"/>
        <v>0</v>
      </c>
      <c r="FH44" s="151">
        <f t="shared" ca="1" si="122"/>
        <v>0</v>
      </c>
      <c r="FI44" s="151">
        <f t="shared" ca="1" si="122"/>
        <v>0</v>
      </c>
      <c r="FJ44" s="151">
        <f t="shared" ca="1" si="122"/>
        <v>0</v>
      </c>
      <c r="FK44" s="151">
        <f t="shared" ca="1" si="122"/>
        <v>0</v>
      </c>
      <c r="FL44" s="151">
        <f t="shared" ca="1" si="122"/>
        <v>0</v>
      </c>
      <c r="FM44" s="151">
        <f t="shared" ca="1" si="122"/>
        <v>0</v>
      </c>
      <c r="FN44" s="151">
        <f t="shared" ca="1" si="122"/>
        <v>0</v>
      </c>
      <c r="FO44" s="144" t="s">
        <v>243</v>
      </c>
    </row>
    <row r="45" spans="2:171" ht="15" thickBot="1" x14ac:dyDescent="0.25">
      <c r="B45" s="936" t="s">
        <v>327</v>
      </c>
      <c r="C45" s="940"/>
      <c r="D45" s="978">
        <f>D44*12</f>
        <v>3692580</v>
      </c>
      <c r="E45" s="978">
        <f>E44*12</f>
        <v>3430680</v>
      </c>
      <c r="F45" s="942">
        <f>F44*12</f>
        <v>-261900</v>
      </c>
      <c r="G45" s="940"/>
      <c r="H45" s="942">
        <f>H44*12</f>
        <v>0</v>
      </c>
      <c r="I45" s="940"/>
      <c r="J45" s="942">
        <f>J44*12</f>
        <v>0</v>
      </c>
      <c r="K45" s="979">
        <f>K44*12</f>
        <v>3430680</v>
      </c>
      <c r="M45" s="936" t="s">
        <v>327</v>
      </c>
      <c r="N45" s="940"/>
      <c r="O45" s="978">
        <f>O44*12</f>
        <v>3855720</v>
      </c>
      <c r="P45" s="978">
        <f>P44*12</f>
        <v>3581639.5675675673</v>
      </c>
      <c r="Q45" s="978">
        <f>Q44*12</f>
        <v>4467360</v>
      </c>
      <c r="R45" s="978"/>
      <c r="S45" s="942">
        <f>S44*12</f>
        <v>611640</v>
      </c>
      <c r="T45" s="940"/>
      <c r="U45" s="942">
        <f>U44*12</f>
        <v>885720.43243243243</v>
      </c>
      <c r="V45" s="945"/>
      <c r="X45" s="936" t="s">
        <v>327</v>
      </c>
      <c r="Y45" s="937"/>
      <c r="Z45" s="978">
        <f>Z44*12</f>
        <v>486766.89655172417</v>
      </c>
      <c r="AA45" s="942"/>
      <c r="AB45" s="978">
        <f>AB44*12</f>
        <v>0</v>
      </c>
      <c r="AC45" s="978"/>
      <c r="AD45" s="942"/>
      <c r="AE45" s="978">
        <f>AE44*12</f>
        <v>0</v>
      </c>
      <c r="AF45" s="938"/>
      <c r="AK45" s="144" t="s">
        <v>250</v>
      </c>
      <c r="AM45" s="151">
        <f>AM21</f>
        <v>5</v>
      </c>
      <c r="AN45" s="151">
        <f>AN21</f>
        <v>5</v>
      </c>
      <c r="AO45" s="151">
        <f t="shared" ref="AO45:CY45" si="123">AO21</f>
        <v>5</v>
      </c>
      <c r="AP45" s="151">
        <f t="shared" si="123"/>
        <v>5</v>
      </c>
      <c r="AQ45" s="151">
        <f t="shared" si="123"/>
        <v>5</v>
      </c>
      <c r="AR45" s="151">
        <f t="shared" si="123"/>
        <v>5</v>
      </c>
      <c r="AS45" s="151">
        <f t="shared" si="123"/>
        <v>5</v>
      </c>
      <c r="AT45" s="151">
        <f t="shared" si="123"/>
        <v>5</v>
      </c>
      <c r="AU45" s="151">
        <f t="shared" si="123"/>
        <v>5</v>
      </c>
      <c r="AV45" s="151">
        <f t="shared" si="123"/>
        <v>5</v>
      </c>
      <c r="AW45" s="151">
        <f t="shared" si="123"/>
        <v>5</v>
      </c>
      <c r="AX45" s="151">
        <f t="shared" si="123"/>
        <v>5</v>
      </c>
      <c r="AY45" s="151">
        <f t="shared" si="123"/>
        <v>8</v>
      </c>
      <c r="AZ45" s="151">
        <f t="shared" si="123"/>
        <v>8</v>
      </c>
      <c r="BA45" s="151">
        <f t="shared" si="123"/>
        <v>8</v>
      </c>
      <c r="BB45" s="151">
        <f t="shared" si="123"/>
        <v>8</v>
      </c>
      <c r="BC45" s="151">
        <f t="shared" si="123"/>
        <v>8</v>
      </c>
      <c r="BD45" s="151">
        <f t="shared" si="123"/>
        <v>8</v>
      </c>
      <c r="BE45" s="151">
        <f t="shared" si="123"/>
        <v>8</v>
      </c>
      <c r="BF45" s="151">
        <f t="shared" si="123"/>
        <v>7</v>
      </c>
      <c r="BG45" s="151">
        <f t="shared" si="123"/>
        <v>7</v>
      </c>
      <c r="BH45" s="151">
        <f t="shared" si="123"/>
        <v>7</v>
      </c>
      <c r="BI45" s="151">
        <f t="shared" si="123"/>
        <v>7</v>
      </c>
      <c r="BJ45" s="151">
        <f t="shared" si="123"/>
        <v>7</v>
      </c>
      <c r="BK45" s="151">
        <f t="shared" si="123"/>
        <v>7</v>
      </c>
      <c r="BL45" s="151">
        <f t="shared" si="123"/>
        <v>7</v>
      </c>
      <c r="BM45" s="151">
        <f t="shared" si="123"/>
        <v>5</v>
      </c>
      <c r="BN45" s="151">
        <f t="shared" si="123"/>
        <v>5</v>
      </c>
      <c r="BO45" s="151">
        <f t="shared" si="123"/>
        <v>5</v>
      </c>
      <c r="BP45" s="151">
        <f t="shared" si="123"/>
        <v>5</v>
      </c>
      <c r="BQ45" s="151">
        <f t="shared" si="123"/>
        <v>5</v>
      </c>
      <c r="BR45" s="151">
        <f t="shared" si="123"/>
        <v>5</v>
      </c>
      <c r="BS45" s="151">
        <f t="shared" si="123"/>
        <v>0</v>
      </c>
      <c r="BT45" s="151">
        <f t="shared" si="123"/>
        <v>0</v>
      </c>
      <c r="BU45" s="151">
        <f t="shared" si="123"/>
        <v>0</v>
      </c>
      <c r="BV45" s="151">
        <f t="shared" si="123"/>
        <v>0</v>
      </c>
      <c r="BW45" s="151">
        <f t="shared" si="123"/>
        <v>0</v>
      </c>
      <c r="BX45" s="151">
        <f t="shared" si="123"/>
        <v>0</v>
      </c>
      <c r="BY45" s="151">
        <f t="shared" si="123"/>
        <v>0</v>
      </c>
      <c r="BZ45" s="151">
        <f t="shared" si="123"/>
        <v>0</v>
      </c>
      <c r="CA45" s="151">
        <f t="shared" si="123"/>
        <v>0</v>
      </c>
      <c r="CB45" s="151">
        <f t="shared" si="123"/>
        <v>0</v>
      </c>
      <c r="CC45" s="151">
        <f t="shared" si="123"/>
        <v>0</v>
      </c>
      <c r="CD45" s="151">
        <f t="shared" si="123"/>
        <v>0</v>
      </c>
      <c r="CE45" s="151">
        <f t="shared" si="123"/>
        <v>0</v>
      </c>
      <c r="CF45" s="151">
        <f t="shared" si="123"/>
        <v>0</v>
      </c>
      <c r="CG45" s="151">
        <f t="shared" si="123"/>
        <v>0</v>
      </c>
      <c r="CH45" s="151">
        <f t="shared" si="123"/>
        <v>0</v>
      </c>
      <c r="CI45" s="151">
        <f t="shared" si="123"/>
        <v>0</v>
      </c>
      <c r="CJ45" s="151">
        <f t="shared" si="123"/>
        <v>0</v>
      </c>
      <c r="CK45" s="151">
        <f t="shared" si="123"/>
        <v>0</v>
      </c>
      <c r="CL45" s="151">
        <f t="shared" si="123"/>
        <v>0</v>
      </c>
      <c r="CM45" s="151">
        <f t="shared" si="123"/>
        <v>0</v>
      </c>
      <c r="CN45" s="151">
        <f t="shared" si="123"/>
        <v>0</v>
      </c>
      <c r="CO45" s="151">
        <f t="shared" si="123"/>
        <v>0</v>
      </c>
      <c r="CP45" s="151">
        <f t="shared" si="123"/>
        <v>0</v>
      </c>
      <c r="CQ45" s="151">
        <f t="shared" si="123"/>
        <v>0</v>
      </c>
      <c r="CR45" s="151">
        <f t="shared" si="123"/>
        <v>0</v>
      </c>
      <c r="CS45" s="151">
        <f t="shared" si="123"/>
        <v>0</v>
      </c>
      <c r="CT45" s="151">
        <f t="shared" si="123"/>
        <v>0</v>
      </c>
      <c r="CU45" s="151">
        <f t="shared" si="123"/>
        <v>0</v>
      </c>
      <c r="CV45" s="151">
        <f t="shared" si="123"/>
        <v>0</v>
      </c>
      <c r="CW45" s="151">
        <f t="shared" si="123"/>
        <v>0</v>
      </c>
      <c r="CX45" s="151">
        <f t="shared" si="123"/>
        <v>0</v>
      </c>
      <c r="CY45" s="151">
        <f t="shared" si="123"/>
        <v>0</v>
      </c>
      <c r="CZ45" s="151">
        <f t="shared" ref="CZ45:FK45" si="124">CZ21</f>
        <v>0</v>
      </c>
      <c r="DA45" s="151">
        <f t="shared" si="124"/>
        <v>0</v>
      </c>
      <c r="DB45" s="151">
        <f t="shared" si="124"/>
        <v>0</v>
      </c>
      <c r="DC45" s="151">
        <f t="shared" si="124"/>
        <v>0</v>
      </c>
      <c r="DD45" s="151">
        <f t="shared" si="124"/>
        <v>0</v>
      </c>
      <c r="DE45" s="151">
        <f t="shared" si="124"/>
        <v>0</v>
      </c>
      <c r="DF45" s="151">
        <f t="shared" si="124"/>
        <v>0</v>
      </c>
      <c r="DG45" s="151">
        <f t="shared" si="124"/>
        <v>0</v>
      </c>
      <c r="DH45" s="151">
        <f t="shared" si="124"/>
        <v>0</v>
      </c>
      <c r="DI45" s="151">
        <f t="shared" si="124"/>
        <v>0</v>
      </c>
      <c r="DJ45" s="151">
        <f t="shared" si="124"/>
        <v>0</v>
      </c>
      <c r="DK45" s="151">
        <f t="shared" si="124"/>
        <v>0</v>
      </c>
      <c r="DL45" s="151">
        <f t="shared" si="124"/>
        <v>0</v>
      </c>
      <c r="DM45" s="151">
        <f t="shared" si="124"/>
        <v>0</v>
      </c>
      <c r="DN45" s="151">
        <f t="shared" si="124"/>
        <v>0</v>
      </c>
      <c r="DO45" s="151">
        <f t="shared" si="124"/>
        <v>0</v>
      </c>
      <c r="DP45" s="151">
        <f t="shared" si="124"/>
        <v>0</v>
      </c>
      <c r="DQ45" s="151">
        <f t="shared" si="124"/>
        <v>0</v>
      </c>
      <c r="DR45" s="151">
        <f t="shared" si="124"/>
        <v>0</v>
      </c>
      <c r="DS45" s="151">
        <f t="shared" si="124"/>
        <v>0</v>
      </c>
      <c r="DT45" s="151">
        <f t="shared" si="124"/>
        <v>0</v>
      </c>
      <c r="DU45" s="151">
        <f t="shared" si="124"/>
        <v>0</v>
      </c>
      <c r="DV45" s="151">
        <f t="shared" si="124"/>
        <v>0</v>
      </c>
      <c r="DW45" s="151">
        <f t="shared" si="124"/>
        <v>0</v>
      </c>
      <c r="DX45" s="151">
        <f t="shared" si="124"/>
        <v>0</v>
      </c>
      <c r="DY45" s="151">
        <f t="shared" si="124"/>
        <v>0</v>
      </c>
      <c r="DZ45" s="151">
        <f t="shared" si="124"/>
        <v>0</v>
      </c>
      <c r="EA45" s="151">
        <f t="shared" si="124"/>
        <v>0</v>
      </c>
      <c r="EB45" s="151">
        <f t="shared" si="124"/>
        <v>0</v>
      </c>
      <c r="EC45" s="151">
        <f t="shared" si="124"/>
        <v>0</v>
      </c>
      <c r="ED45" s="151">
        <f t="shared" si="124"/>
        <v>0</v>
      </c>
      <c r="EE45" s="151">
        <f t="shared" si="124"/>
        <v>0</v>
      </c>
      <c r="EF45" s="151">
        <f t="shared" si="124"/>
        <v>0</v>
      </c>
      <c r="EG45" s="151">
        <f t="shared" si="124"/>
        <v>0</v>
      </c>
      <c r="EH45" s="151">
        <f t="shared" si="124"/>
        <v>0</v>
      </c>
      <c r="EI45" s="151">
        <f t="shared" si="124"/>
        <v>0</v>
      </c>
      <c r="EJ45" s="151">
        <f t="shared" si="124"/>
        <v>0</v>
      </c>
      <c r="EK45" s="151">
        <f t="shared" si="124"/>
        <v>0</v>
      </c>
      <c r="EL45" s="151">
        <f t="shared" si="124"/>
        <v>0</v>
      </c>
      <c r="EM45" s="151">
        <f t="shared" si="124"/>
        <v>0</v>
      </c>
      <c r="EN45" s="151">
        <f t="shared" si="124"/>
        <v>0</v>
      </c>
      <c r="EO45" s="151">
        <f t="shared" si="124"/>
        <v>0</v>
      </c>
      <c r="EP45" s="151">
        <f t="shared" si="124"/>
        <v>0</v>
      </c>
      <c r="EQ45" s="151">
        <f t="shared" si="124"/>
        <v>0</v>
      </c>
      <c r="ER45" s="151">
        <f t="shared" si="124"/>
        <v>0</v>
      </c>
      <c r="ES45" s="151">
        <f t="shared" si="124"/>
        <v>0</v>
      </c>
      <c r="ET45" s="151">
        <f t="shared" si="124"/>
        <v>0</v>
      </c>
      <c r="EU45" s="151">
        <f t="shared" si="124"/>
        <v>0</v>
      </c>
      <c r="EV45" s="151">
        <f t="shared" si="124"/>
        <v>0</v>
      </c>
      <c r="EW45" s="151">
        <f t="shared" si="124"/>
        <v>0</v>
      </c>
      <c r="EX45" s="151">
        <f t="shared" si="124"/>
        <v>0</v>
      </c>
      <c r="EY45" s="151">
        <f t="shared" si="124"/>
        <v>0</v>
      </c>
      <c r="EZ45" s="151">
        <f t="shared" si="124"/>
        <v>0</v>
      </c>
      <c r="FA45" s="151">
        <f t="shared" si="124"/>
        <v>0</v>
      </c>
      <c r="FB45" s="151">
        <f t="shared" si="124"/>
        <v>0</v>
      </c>
      <c r="FC45" s="151">
        <f t="shared" si="124"/>
        <v>0</v>
      </c>
      <c r="FD45" s="151">
        <f t="shared" si="124"/>
        <v>0</v>
      </c>
      <c r="FE45" s="151">
        <f t="shared" si="124"/>
        <v>0</v>
      </c>
      <c r="FF45" s="151">
        <f t="shared" si="124"/>
        <v>0</v>
      </c>
      <c r="FG45" s="151">
        <f t="shared" si="124"/>
        <v>0</v>
      </c>
      <c r="FH45" s="151">
        <f t="shared" si="124"/>
        <v>0</v>
      </c>
      <c r="FI45" s="151">
        <f t="shared" si="124"/>
        <v>0</v>
      </c>
      <c r="FJ45" s="151">
        <f t="shared" si="124"/>
        <v>0</v>
      </c>
      <c r="FK45" s="151">
        <f t="shared" si="124"/>
        <v>0</v>
      </c>
      <c r="FL45" s="151">
        <f t="shared" ref="FL45:FN45" si="125">FL21</f>
        <v>0</v>
      </c>
      <c r="FM45" s="151">
        <f t="shared" si="125"/>
        <v>0</v>
      </c>
      <c r="FN45" s="151">
        <f t="shared" si="125"/>
        <v>0</v>
      </c>
      <c r="FO45" s="144" t="s">
        <v>243</v>
      </c>
    </row>
    <row r="46" spans="2:171" x14ac:dyDescent="0.2">
      <c r="D46" s="550"/>
      <c r="E46" s="550"/>
      <c r="F46" s="550"/>
      <c r="AK46" s="144" t="s">
        <v>348</v>
      </c>
      <c r="AM46" s="151">
        <f ca="1">AM30</f>
        <v>0</v>
      </c>
      <c r="AN46" s="151">
        <f ca="1">AN30</f>
        <v>5</v>
      </c>
      <c r="AO46" s="151">
        <f t="shared" ref="AO46:BR46" ca="1" si="126">AO30</f>
        <v>5</v>
      </c>
      <c r="AP46" s="151">
        <f t="shared" ca="1" si="126"/>
        <v>5</v>
      </c>
      <c r="AQ46" s="151">
        <f t="shared" ca="1" si="126"/>
        <v>5</v>
      </c>
      <c r="AR46" s="151">
        <f t="shared" ca="1" si="126"/>
        <v>5</v>
      </c>
      <c r="AS46" s="151">
        <f t="shared" ca="1" si="126"/>
        <v>5</v>
      </c>
      <c r="AT46" s="151">
        <f t="shared" ca="1" si="126"/>
        <v>5</v>
      </c>
      <c r="AU46" s="151">
        <f t="shared" ca="1" si="126"/>
        <v>5</v>
      </c>
      <c r="AV46" s="151">
        <f t="shared" ca="1" si="126"/>
        <v>5</v>
      </c>
      <c r="AW46" s="151">
        <f t="shared" ca="1" si="126"/>
        <v>5</v>
      </c>
      <c r="AX46" s="151">
        <f t="shared" ca="1" si="126"/>
        <v>5</v>
      </c>
      <c r="AY46" s="151">
        <f t="shared" ca="1" si="126"/>
        <v>5</v>
      </c>
      <c r="AZ46" s="151">
        <f t="shared" ca="1" si="126"/>
        <v>8</v>
      </c>
      <c r="BA46" s="151">
        <f t="shared" ca="1" si="126"/>
        <v>8</v>
      </c>
      <c r="BB46" s="151">
        <f t="shared" ca="1" si="126"/>
        <v>8</v>
      </c>
      <c r="BC46" s="151">
        <f t="shared" ca="1" si="126"/>
        <v>8</v>
      </c>
      <c r="BD46" s="151">
        <f t="shared" ca="1" si="126"/>
        <v>8</v>
      </c>
      <c r="BE46" s="151">
        <f t="shared" ca="1" si="126"/>
        <v>8</v>
      </c>
      <c r="BF46" s="151">
        <f t="shared" ca="1" si="126"/>
        <v>8</v>
      </c>
      <c r="BG46" s="151">
        <f t="shared" ca="1" si="126"/>
        <v>7</v>
      </c>
      <c r="BH46" s="151">
        <f t="shared" ca="1" si="126"/>
        <v>7</v>
      </c>
      <c r="BI46" s="151">
        <f t="shared" ca="1" si="126"/>
        <v>7</v>
      </c>
      <c r="BJ46" s="151">
        <f t="shared" ca="1" si="126"/>
        <v>7</v>
      </c>
      <c r="BK46" s="151">
        <f t="shared" ca="1" si="126"/>
        <v>7</v>
      </c>
      <c r="BL46" s="151">
        <f t="shared" ca="1" si="126"/>
        <v>7</v>
      </c>
      <c r="BM46" s="151">
        <f t="shared" ca="1" si="126"/>
        <v>7</v>
      </c>
      <c r="BN46" s="151">
        <f t="shared" ca="1" si="126"/>
        <v>5</v>
      </c>
      <c r="BO46" s="151">
        <f t="shared" ca="1" si="126"/>
        <v>5</v>
      </c>
      <c r="BP46" s="151">
        <f t="shared" ca="1" si="126"/>
        <v>5</v>
      </c>
      <c r="BQ46" s="151">
        <f t="shared" ca="1" si="126"/>
        <v>5</v>
      </c>
      <c r="BR46" s="151">
        <f t="shared" ca="1" si="126"/>
        <v>5</v>
      </c>
      <c r="BS46" s="151">
        <f t="shared" ref="BS46:CX46" ca="1" si="127">BS30</f>
        <v>5</v>
      </c>
      <c r="BT46" s="151">
        <f t="shared" ca="1" si="127"/>
        <v>0</v>
      </c>
      <c r="BU46" s="151">
        <f t="shared" ca="1" si="127"/>
        <v>0</v>
      </c>
      <c r="BV46" s="151">
        <f t="shared" ca="1" si="127"/>
        <v>0</v>
      </c>
      <c r="BW46" s="151">
        <f t="shared" ca="1" si="127"/>
        <v>0</v>
      </c>
      <c r="BX46" s="151">
        <f t="shared" ca="1" si="127"/>
        <v>0</v>
      </c>
      <c r="BY46" s="151">
        <f t="shared" ca="1" si="127"/>
        <v>0</v>
      </c>
      <c r="BZ46" s="151">
        <f t="shared" ca="1" si="127"/>
        <v>0</v>
      </c>
      <c r="CA46" s="151">
        <f t="shared" ca="1" si="127"/>
        <v>0</v>
      </c>
      <c r="CB46" s="151">
        <f t="shared" ca="1" si="127"/>
        <v>0</v>
      </c>
      <c r="CC46" s="151">
        <f t="shared" ca="1" si="127"/>
        <v>0</v>
      </c>
      <c r="CD46" s="151">
        <f t="shared" ca="1" si="127"/>
        <v>0</v>
      </c>
      <c r="CE46" s="151">
        <f t="shared" ca="1" si="127"/>
        <v>0</v>
      </c>
      <c r="CF46" s="151">
        <f t="shared" ca="1" si="127"/>
        <v>0</v>
      </c>
      <c r="CG46" s="151">
        <f t="shared" ca="1" si="127"/>
        <v>0</v>
      </c>
      <c r="CH46" s="151">
        <f t="shared" ca="1" si="127"/>
        <v>0</v>
      </c>
      <c r="CI46" s="151">
        <f t="shared" ca="1" si="127"/>
        <v>0</v>
      </c>
      <c r="CJ46" s="151">
        <f t="shared" ca="1" si="127"/>
        <v>0</v>
      </c>
      <c r="CK46" s="151">
        <f t="shared" ca="1" si="127"/>
        <v>0</v>
      </c>
      <c r="CL46" s="151">
        <f t="shared" ca="1" si="127"/>
        <v>0</v>
      </c>
      <c r="CM46" s="151">
        <f t="shared" ca="1" si="127"/>
        <v>0</v>
      </c>
      <c r="CN46" s="151">
        <f t="shared" ca="1" si="127"/>
        <v>0</v>
      </c>
      <c r="CO46" s="151">
        <f t="shared" ca="1" si="127"/>
        <v>0</v>
      </c>
      <c r="CP46" s="151">
        <f t="shared" ca="1" si="127"/>
        <v>0</v>
      </c>
      <c r="CQ46" s="151">
        <f t="shared" ca="1" si="127"/>
        <v>0</v>
      </c>
      <c r="CR46" s="151">
        <f t="shared" ca="1" si="127"/>
        <v>0</v>
      </c>
      <c r="CS46" s="151">
        <f t="shared" ca="1" si="127"/>
        <v>0</v>
      </c>
      <c r="CT46" s="151">
        <f t="shared" ca="1" si="127"/>
        <v>0</v>
      </c>
      <c r="CU46" s="151">
        <f t="shared" ca="1" si="127"/>
        <v>0</v>
      </c>
      <c r="CV46" s="151">
        <f t="shared" ca="1" si="127"/>
        <v>0</v>
      </c>
      <c r="CW46" s="151">
        <f t="shared" ca="1" si="127"/>
        <v>0</v>
      </c>
      <c r="CX46" s="151">
        <f t="shared" ca="1" si="127"/>
        <v>0</v>
      </c>
      <c r="CY46" s="151">
        <f t="shared" ref="CY46:ED46" ca="1" si="128">CY30</f>
        <v>0</v>
      </c>
      <c r="CZ46" s="151">
        <f t="shared" ca="1" si="128"/>
        <v>0</v>
      </c>
      <c r="DA46" s="151">
        <f t="shared" ca="1" si="128"/>
        <v>0</v>
      </c>
      <c r="DB46" s="151">
        <f t="shared" ca="1" si="128"/>
        <v>0</v>
      </c>
      <c r="DC46" s="151">
        <f t="shared" ca="1" si="128"/>
        <v>0</v>
      </c>
      <c r="DD46" s="151">
        <f t="shared" ca="1" si="128"/>
        <v>0</v>
      </c>
      <c r="DE46" s="151">
        <f t="shared" ca="1" si="128"/>
        <v>0</v>
      </c>
      <c r="DF46" s="151">
        <f t="shared" ca="1" si="128"/>
        <v>0</v>
      </c>
      <c r="DG46" s="151">
        <f t="shared" ca="1" si="128"/>
        <v>0</v>
      </c>
      <c r="DH46" s="151">
        <f t="shared" ca="1" si="128"/>
        <v>0</v>
      </c>
      <c r="DI46" s="151">
        <f t="shared" ca="1" si="128"/>
        <v>0</v>
      </c>
      <c r="DJ46" s="151">
        <f t="shared" ca="1" si="128"/>
        <v>0</v>
      </c>
      <c r="DK46" s="151">
        <f t="shared" ca="1" si="128"/>
        <v>0</v>
      </c>
      <c r="DL46" s="151">
        <f t="shared" ca="1" si="128"/>
        <v>0</v>
      </c>
      <c r="DM46" s="151">
        <f t="shared" ca="1" si="128"/>
        <v>0</v>
      </c>
      <c r="DN46" s="151">
        <f t="shared" ca="1" si="128"/>
        <v>0</v>
      </c>
      <c r="DO46" s="151">
        <f t="shared" ca="1" si="128"/>
        <v>0</v>
      </c>
      <c r="DP46" s="151">
        <f t="shared" ca="1" si="128"/>
        <v>0</v>
      </c>
      <c r="DQ46" s="151">
        <f t="shared" ca="1" si="128"/>
        <v>0</v>
      </c>
      <c r="DR46" s="151">
        <f t="shared" ca="1" si="128"/>
        <v>0</v>
      </c>
      <c r="DS46" s="151">
        <f t="shared" ca="1" si="128"/>
        <v>0</v>
      </c>
      <c r="DT46" s="151">
        <f t="shared" ca="1" si="128"/>
        <v>0</v>
      </c>
      <c r="DU46" s="151">
        <f t="shared" ca="1" si="128"/>
        <v>0</v>
      </c>
      <c r="DV46" s="151">
        <f t="shared" ca="1" si="128"/>
        <v>0</v>
      </c>
      <c r="DW46" s="151">
        <f t="shared" ca="1" si="128"/>
        <v>0</v>
      </c>
      <c r="DX46" s="151">
        <f t="shared" ca="1" si="128"/>
        <v>0</v>
      </c>
      <c r="DY46" s="151">
        <f t="shared" ca="1" si="128"/>
        <v>0</v>
      </c>
      <c r="DZ46" s="151">
        <f t="shared" ca="1" si="128"/>
        <v>0</v>
      </c>
      <c r="EA46" s="151">
        <f t="shared" ca="1" si="128"/>
        <v>0</v>
      </c>
      <c r="EB46" s="151">
        <f t="shared" ca="1" si="128"/>
        <v>0</v>
      </c>
      <c r="EC46" s="151">
        <f t="shared" ca="1" si="128"/>
        <v>0</v>
      </c>
      <c r="ED46" s="151">
        <f t="shared" ca="1" si="128"/>
        <v>0</v>
      </c>
      <c r="EE46" s="151">
        <f t="shared" ref="EE46:FN46" ca="1" si="129">EE30</f>
        <v>0</v>
      </c>
      <c r="EF46" s="151">
        <f t="shared" ca="1" si="129"/>
        <v>0</v>
      </c>
      <c r="EG46" s="151">
        <f t="shared" ca="1" si="129"/>
        <v>0</v>
      </c>
      <c r="EH46" s="151">
        <f t="shared" ca="1" si="129"/>
        <v>0</v>
      </c>
      <c r="EI46" s="151">
        <f t="shared" ca="1" si="129"/>
        <v>0</v>
      </c>
      <c r="EJ46" s="151">
        <f t="shared" ca="1" si="129"/>
        <v>0</v>
      </c>
      <c r="EK46" s="151">
        <f t="shared" ca="1" si="129"/>
        <v>0</v>
      </c>
      <c r="EL46" s="151">
        <f t="shared" ca="1" si="129"/>
        <v>0</v>
      </c>
      <c r="EM46" s="151">
        <f t="shared" ca="1" si="129"/>
        <v>0</v>
      </c>
      <c r="EN46" s="151">
        <f t="shared" ca="1" si="129"/>
        <v>0</v>
      </c>
      <c r="EO46" s="151">
        <f t="shared" ca="1" si="129"/>
        <v>0</v>
      </c>
      <c r="EP46" s="151">
        <f t="shared" ca="1" si="129"/>
        <v>0</v>
      </c>
      <c r="EQ46" s="151">
        <f t="shared" ca="1" si="129"/>
        <v>0</v>
      </c>
      <c r="ER46" s="151">
        <f t="shared" ca="1" si="129"/>
        <v>0</v>
      </c>
      <c r="ES46" s="151">
        <f t="shared" ca="1" si="129"/>
        <v>0</v>
      </c>
      <c r="ET46" s="151">
        <f t="shared" ca="1" si="129"/>
        <v>0</v>
      </c>
      <c r="EU46" s="151">
        <f t="shared" ca="1" si="129"/>
        <v>0</v>
      </c>
      <c r="EV46" s="151">
        <f t="shared" ca="1" si="129"/>
        <v>0</v>
      </c>
      <c r="EW46" s="151">
        <f t="shared" ca="1" si="129"/>
        <v>0</v>
      </c>
      <c r="EX46" s="151">
        <f t="shared" ca="1" si="129"/>
        <v>0</v>
      </c>
      <c r="EY46" s="151">
        <f t="shared" ca="1" si="129"/>
        <v>0</v>
      </c>
      <c r="EZ46" s="151">
        <f t="shared" ca="1" si="129"/>
        <v>0</v>
      </c>
      <c r="FA46" s="151">
        <f t="shared" ca="1" si="129"/>
        <v>0</v>
      </c>
      <c r="FB46" s="151">
        <f t="shared" ca="1" si="129"/>
        <v>0</v>
      </c>
      <c r="FC46" s="151">
        <f t="shared" ca="1" si="129"/>
        <v>0</v>
      </c>
      <c r="FD46" s="151">
        <f t="shared" ca="1" si="129"/>
        <v>0</v>
      </c>
      <c r="FE46" s="151">
        <f t="shared" ca="1" si="129"/>
        <v>0</v>
      </c>
      <c r="FF46" s="151">
        <f t="shared" ca="1" si="129"/>
        <v>0</v>
      </c>
      <c r="FG46" s="151">
        <f t="shared" ca="1" si="129"/>
        <v>0</v>
      </c>
      <c r="FH46" s="151">
        <f t="shared" ca="1" si="129"/>
        <v>0</v>
      </c>
      <c r="FI46" s="151">
        <f t="shared" ca="1" si="129"/>
        <v>0</v>
      </c>
      <c r="FJ46" s="151">
        <f t="shared" ca="1" si="129"/>
        <v>0</v>
      </c>
      <c r="FK46" s="151">
        <f t="shared" ca="1" si="129"/>
        <v>0</v>
      </c>
      <c r="FL46" s="151">
        <f t="shared" ca="1" si="129"/>
        <v>0</v>
      </c>
      <c r="FM46" s="151">
        <f t="shared" ca="1" si="129"/>
        <v>0</v>
      </c>
      <c r="FN46" s="151">
        <f t="shared" ca="1" si="129"/>
        <v>0</v>
      </c>
      <c r="FO46" s="144" t="s">
        <v>243</v>
      </c>
    </row>
    <row r="47" spans="2:171" ht="15" thickBot="1" x14ac:dyDescent="0.25">
      <c r="D47" s="550"/>
      <c r="E47" s="550"/>
      <c r="F47" s="550"/>
      <c r="AK47" s="145" t="s">
        <v>356</v>
      </c>
      <c r="AL47" s="882"/>
      <c r="AM47" s="882">
        <f ca="1">AM44+AM45-AM46</f>
        <v>5</v>
      </c>
      <c r="AN47" s="882">
        <f ca="1">AN44+AN45-AN46</f>
        <v>5</v>
      </c>
      <c r="AO47" s="882">
        <f t="shared" ref="AO47:BR47" ca="1" si="130">AO44+AO45-AO46</f>
        <v>5</v>
      </c>
      <c r="AP47" s="882">
        <f t="shared" ca="1" si="130"/>
        <v>5</v>
      </c>
      <c r="AQ47" s="882">
        <f t="shared" ca="1" si="130"/>
        <v>5</v>
      </c>
      <c r="AR47" s="882">
        <f t="shared" ca="1" si="130"/>
        <v>5</v>
      </c>
      <c r="AS47" s="882">
        <f t="shared" ca="1" si="130"/>
        <v>5</v>
      </c>
      <c r="AT47" s="882">
        <f t="shared" ca="1" si="130"/>
        <v>5</v>
      </c>
      <c r="AU47" s="882">
        <f t="shared" ca="1" si="130"/>
        <v>5</v>
      </c>
      <c r="AV47" s="882">
        <f t="shared" ca="1" si="130"/>
        <v>5</v>
      </c>
      <c r="AW47" s="882">
        <f t="shared" ca="1" si="130"/>
        <v>5</v>
      </c>
      <c r="AX47" s="882">
        <f t="shared" ca="1" si="130"/>
        <v>5</v>
      </c>
      <c r="AY47" s="882">
        <f t="shared" ca="1" si="130"/>
        <v>8</v>
      </c>
      <c r="AZ47" s="882">
        <f t="shared" ca="1" si="130"/>
        <v>8</v>
      </c>
      <c r="BA47" s="882">
        <f t="shared" ca="1" si="130"/>
        <v>8</v>
      </c>
      <c r="BB47" s="882">
        <f t="shared" ca="1" si="130"/>
        <v>8</v>
      </c>
      <c r="BC47" s="882">
        <f t="shared" ca="1" si="130"/>
        <v>8</v>
      </c>
      <c r="BD47" s="882">
        <f t="shared" ca="1" si="130"/>
        <v>8</v>
      </c>
      <c r="BE47" s="882">
        <f t="shared" ca="1" si="130"/>
        <v>8</v>
      </c>
      <c r="BF47" s="882">
        <f t="shared" ca="1" si="130"/>
        <v>7</v>
      </c>
      <c r="BG47" s="882">
        <f t="shared" ca="1" si="130"/>
        <v>7</v>
      </c>
      <c r="BH47" s="882">
        <f t="shared" ca="1" si="130"/>
        <v>7</v>
      </c>
      <c r="BI47" s="882">
        <f t="shared" ca="1" si="130"/>
        <v>7</v>
      </c>
      <c r="BJ47" s="882">
        <f t="shared" ca="1" si="130"/>
        <v>7</v>
      </c>
      <c r="BK47" s="882">
        <f t="shared" ca="1" si="130"/>
        <v>7</v>
      </c>
      <c r="BL47" s="882">
        <f t="shared" ca="1" si="130"/>
        <v>7</v>
      </c>
      <c r="BM47" s="882">
        <f t="shared" ca="1" si="130"/>
        <v>5</v>
      </c>
      <c r="BN47" s="882">
        <f t="shared" ca="1" si="130"/>
        <v>5</v>
      </c>
      <c r="BO47" s="882">
        <f t="shared" ca="1" si="130"/>
        <v>5</v>
      </c>
      <c r="BP47" s="882">
        <f t="shared" ca="1" si="130"/>
        <v>5</v>
      </c>
      <c r="BQ47" s="882">
        <f t="shared" ca="1" si="130"/>
        <v>5</v>
      </c>
      <c r="BR47" s="882">
        <f t="shared" ca="1" si="130"/>
        <v>5</v>
      </c>
      <c r="BS47" s="882">
        <f t="shared" ref="BS47:CX47" ca="1" si="131">BS44+BS45-BS46</f>
        <v>0</v>
      </c>
      <c r="BT47" s="882">
        <f t="shared" ca="1" si="131"/>
        <v>0</v>
      </c>
      <c r="BU47" s="882">
        <f t="shared" ca="1" si="131"/>
        <v>0</v>
      </c>
      <c r="BV47" s="882">
        <f t="shared" ca="1" si="131"/>
        <v>0</v>
      </c>
      <c r="BW47" s="882">
        <f t="shared" ca="1" si="131"/>
        <v>0</v>
      </c>
      <c r="BX47" s="882">
        <f t="shared" ca="1" si="131"/>
        <v>0</v>
      </c>
      <c r="BY47" s="882">
        <f t="shared" ca="1" si="131"/>
        <v>0</v>
      </c>
      <c r="BZ47" s="882">
        <f t="shared" ca="1" si="131"/>
        <v>0</v>
      </c>
      <c r="CA47" s="882">
        <f t="shared" ca="1" si="131"/>
        <v>0</v>
      </c>
      <c r="CB47" s="882">
        <f t="shared" ca="1" si="131"/>
        <v>0</v>
      </c>
      <c r="CC47" s="882">
        <f t="shared" ca="1" si="131"/>
        <v>0</v>
      </c>
      <c r="CD47" s="882">
        <f t="shared" ca="1" si="131"/>
        <v>0</v>
      </c>
      <c r="CE47" s="882">
        <f t="shared" ca="1" si="131"/>
        <v>0</v>
      </c>
      <c r="CF47" s="882">
        <f t="shared" ca="1" si="131"/>
        <v>0</v>
      </c>
      <c r="CG47" s="882">
        <f t="shared" ca="1" si="131"/>
        <v>0</v>
      </c>
      <c r="CH47" s="882">
        <f t="shared" ca="1" si="131"/>
        <v>0</v>
      </c>
      <c r="CI47" s="882">
        <f t="shared" ca="1" si="131"/>
        <v>0</v>
      </c>
      <c r="CJ47" s="882">
        <f t="shared" ca="1" si="131"/>
        <v>0</v>
      </c>
      <c r="CK47" s="882">
        <f t="shared" ca="1" si="131"/>
        <v>0</v>
      </c>
      <c r="CL47" s="882">
        <f t="shared" ca="1" si="131"/>
        <v>0</v>
      </c>
      <c r="CM47" s="882">
        <f t="shared" ca="1" si="131"/>
        <v>0</v>
      </c>
      <c r="CN47" s="882">
        <f t="shared" ca="1" si="131"/>
        <v>0</v>
      </c>
      <c r="CO47" s="882">
        <f t="shared" ca="1" si="131"/>
        <v>0</v>
      </c>
      <c r="CP47" s="882">
        <f t="shared" ca="1" si="131"/>
        <v>0</v>
      </c>
      <c r="CQ47" s="882">
        <f t="shared" ca="1" si="131"/>
        <v>0</v>
      </c>
      <c r="CR47" s="882">
        <f t="shared" ca="1" si="131"/>
        <v>0</v>
      </c>
      <c r="CS47" s="882">
        <f t="shared" ca="1" si="131"/>
        <v>0</v>
      </c>
      <c r="CT47" s="882">
        <f t="shared" ca="1" si="131"/>
        <v>0</v>
      </c>
      <c r="CU47" s="882">
        <f t="shared" ca="1" si="131"/>
        <v>0</v>
      </c>
      <c r="CV47" s="882">
        <f t="shared" ca="1" si="131"/>
        <v>0</v>
      </c>
      <c r="CW47" s="882">
        <f t="shared" ca="1" si="131"/>
        <v>0</v>
      </c>
      <c r="CX47" s="882">
        <f t="shared" ca="1" si="131"/>
        <v>0</v>
      </c>
      <c r="CY47" s="882">
        <f t="shared" ref="CY47:ED47" ca="1" si="132">CY44+CY45-CY46</f>
        <v>0</v>
      </c>
      <c r="CZ47" s="882">
        <f t="shared" ca="1" si="132"/>
        <v>0</v>
      </c>
      <c r="DA47" s="882">
        <f t="shared" ca="1" si="132"/>
        <v>0</v>
      </c>
      <c r="DB47" s="882">
        <f t="shared" ca="1" si="132"/>
        <v>0</v>
      </c>
      <c r="DC47" s="882">
        <f t="shared" ca="1" si="132"/>
        <v>0</v>
      </c>
      <c r="DD47" s="882">
        <f t="shared" ca="1" si="132"/>
        <v>0</v>
      </c>
      <c r="DE47" s="882">
        <f t="shared" ca="1" si="132"/>
        <v>0</v>
      </c>
      <c r="DF47" s="882">
        <f t="shared" ca="1" si="132"/>
        <v>0</v>
      </c>
      <c r="DG47" s="882">
        <f t="shared" ca="1" si="132"/>
        <v>0</v>
      </c>
      <c r="DH47" s="882">
        <f t="shared" ca="1" si="132"/>
        <v>0</v>
      </c>
      <c r="DI47" s="882">
        <f t="shared" ca="1" si="132"/>
        <v>0</v>
      </c>
      <c r="DJ47" s="882">
        <f t="shared" ca="1" si="132"/>
        <v>0</v>
      </c>
      <c r="DK47" s="882">
        <f t="shared" ca="1" si="132"/>
        <v>0</v>
      </c>
      <c r="DL47" s="882">
        <f t="shared" ca="1" si="132"/>
        <v>0</v>
      </c>
      <c r="DM47" s="882">
        <f t="shared" ca="1" si="132"/>
        <v>0</v>
      </c>
      <c r="DN47" s="882">
        <f t="shared" ca="1" si="132"/>
        <v>0</v>
      </c>
      <c r="DO47" s="882">
        <f t="shared" ca="1" si="132"/>
        <v>0</v>
      </c>
      <c r="DP47" s="882">
        <f t="shared" ca="1" si="132"/>
        <v>0</v>
      </c>
      <c r="DQ47" s="882">
        <f t="shared" ca="1" si="132"/>
        <v>0</v>
      </c>
      <c r="DR47" s="882">
        <f t="shared" ca="1" si="132"/>
        <v>0</v>
      </c>
      <c r="DS47" s="882">
        <f t="shared" ca="1" si="132"/>
        <v>0</v>
      </c>
      <c r="DT47" s="882">
        <f t="shared" ca="1" si="132"/>
        <v>0</v>
      </c>
      <c r="DU47" s="882">
        <f t="shared" ca="1" si="132"/>
        <v>0</v>
      </c>
      <c r="DV47" s="882">
        <f t="shared" ca="1" si="132"/>
        <v>0</v>
      </c>
      <c r="DW47" s="882">
        <f t="shared" ca="1" si="132"/>
        <v>0</v>
      </c>
      <c r="DX47" s="882">
        <f t="shared" ca="1" si="132"/>
        <v>0</v>
      </c>
      <c r="DY47" s="882">
        <f t="shared" ca="1" si="132"/>
        <v>0</v>
      </c>
      <c r="DZ47" s="882">
        <f t="shared" ca="1" si="132"/>
        <v>0</v>
      </c>
      <c r="EA47" s="882">
        <f t="shared" ca="1" si="132"/>
        <v>0</v>
      </c>
      <c r="EB47" s="882">
        <f t="shared" ca="1" si="132"/>
        <v>0</v>
      </c>
      <c r="EC47" s="882">
        <f t="shared" ca="1" si="132"/>
        <v>0</v>
      </c>
      <c r="ED47" s="882">
        <f t="shared" ca="1" si="132"/>
        <v>0</v>
      </c>
      <c r="EE47" s="882">
        <f t="shared" ref="EE47:FJ47" ca="1" si="133">EE44+EE45-EE46</f>
        <v>0</v>
      </c>
      <c r="EF47" s="882">
        <f t="shared" ca="1" si="133"/>
        <v>0</v>
      </c>
      <c r="EG47" s="882">
        <f t="shared" ca="1" si="133"/>
        <v>0</v>
      </c>
      <c r="EH47" s="882">
        <f t="shared" ca="1" si="133"/>
        <v>0</v>
      </c>
      <c r="EI47" s="882">
        <f t="shared" ca="1" si="133"/>
        <v>0</v>
      </c>
      <c r="EJ47" s="882">
        <f t="shared" ca="1" si="133"/>
        <v>0</v>
      </c>
      <c r="EK47" s="882">
        <f t="shared" ca="1" si="133"/>
        <v>0</v>
      </c>
      <c r="EL47" s="882">
        <f t="shared" ca="1" si="133"/>
        <v>0</v>
      </c>
      <c r="EM47" s="882">
        <f t="shared" ca="1" si="133"/>
        <v>0</v>
      </c>
      <c r="EN47" s="882">
        <f t="shared" ca="1" si="133"/>
        <v>0</v>
      </c>
      <c r="EO47" s="882">
        <f t="shared" ca="1" si="133"/>
        <v>0</v>
      </c>
      <c r="EP47" s="882">
        <f t="shared" ca="1" si="133"/>
        <v>0</v>
      </c>
      <c r="EQ47" s="882">
        <f t="shared" ca="1" si="133"/>
        <v>0</v>
      </c>
      <c r="ER47" s="882">
        <f t="shared" ca="1" si="133"/>
        <v>0</v>
      </c>
      <c r="ES47" s="882">
        <f t="shared" ca="1" si="133"/>
        <v>0</v>
      </c>
      <c r="ET47" s="882">
        <f t="shared" ca="1" si="133"/>
        <v>0</v>
      </c>
      <c r="EU47" s="882">
        <f t="shared" ca="1" si="133"/>
        <v>0</v>
      </c>
      <c r="EV47" s="882">
        <f t="shared" ca="1" si="133"/>
        <v>0</v>
      </c>
      <c r="EW47" s="882">
        <f t="shared" ca="1" si="133"/>
        <v>0</v>
      </c>
      <c r="EX47" s="882">
        <f t="shared" ca="1" si="133"/>
        <v>0</v>
      </c>
      <c r="EY47" s="882">
        <f t="shared" ca="1" si="133"/>
        <v>0</v>
      </c>
      <c r="EZ47" s="882">
        <f t="shared" ca="1" si="133"/>
        <v>0</v>
      </c>
      <c r="FA47" s="882">
        <f t="shared" ca="1" si="133"/>
        <v>0</v>
      </c>
      <c r="FB47" s="882">
        <f t="shared" ca="1" si="133"/>
        <v>0</v>
      </c>
      <c r="FC47" s="882">
        <f t="shared" ca="1" si="133"/>
        <v>0</v>
      </c>
      <c r="FD47" s="882">
        <f t="shared" ca="1" si="133"/>
        <v>0</v>
      </c>
      <c r="FE47" s="882">
        <f t="shared" ca="1" si="133"/>
        <v>0</v>
      </c>
      <c r="FF47" s="882">
        <f t="shared" ca="1" si="133"/>
        <v>0</v>
      </c>
      <c r="FG47" s="882">
        <f t="shared" ca="1" si="133"/>
        <v>0</v>
      </c>
      <c r="FH47" s="882">
        <f t="shared" ca="1" si="133"/>
        <v>0</v>
      </c>
      <c r="FI47" s="882">
        <f t="shared" ca="1" si="133"/>
        <v>0</v>
      </c>
      <c r="FJ47" s="882">
        <f t="shared" ca="1" si="133"/>
        <v>0</v>
      </c>
      <c r="FK47" s="882">
        <f t="shared" ref="FK47:FN47" ca="1" si="134">FK44+FK45-FK46</f>
        <v>0</v>
      </c>
      <c r="FL47" s="882">
        <f t="shared" ca="1" si="134"/>
        <v>0</v>
      </c>
      <c r="FM47" s="882">
        <f t="shared" ca="1" si="134"/>
        <v>0</v>
      </c>
      <c r="FN47" s="882">
        <f t="shared" ca="1" si="134"/>
        <v>0</v>
      </c>
      <c r="FO47" s="144" t="s">
        <v>243</v>
      </c>
    </row>
    <row r="48" spans="2:171" x14ac:dyDescent="0.2">
      <c r="B48" s="883" t="s">
        <v>357</v>
      </c>
      <c r="C48" s="690"/>
      <c r="D48" s="950" t="s">
        <v>323</v>
      </c>
      <c r="E48" s="950" t="s">
        <v>358</v>
      </c>
      <c r="F48" s="980" t="s">
        <v>359</v>
      </c>
      <c r="AU48" s="151"/>
      <c r="AV48" s="151"/>
      <c r="AW48" s="152"/>
      <c r="AX48" s="151"/>
      <c r="AY48" s="151"/>
      <c r="AZ48" s="151"/>
      <c r="BA48" s="151"/>
      <c r="BB48" s="151"/>
      <c r="BC48" s="151"/>
      <c r="BD48" s="151"/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  <c r="BU48" s="151"/>
      <c r="BV48" s="151"/>
      <c r="BW48" s="151"/>
      <c r="BX48" s="151"/>
      <c r="BY48" s="151"/>
      <c r="BZ48" s="151"/>
      <c r="CA48" s="151"/>
      <c r="CB48" s="151"/>
      <c r="CC48" s="151"/>
      <c r="CD48" s="151"/>
      <c r="CE48" s="151"/>
      <c r="CF48" s="151"/>
      <c r="CG48" s="151"/>
      <c r="CH48" s="151"/>
      <c r="CI48" s="151"/>
      <c r="CJ48" s="151"/>
      <c r="CK48" s="151"/>
      <c r="CL48" s="151"/>
      <c r="CM48" s="151"/>
      <c r="CN48" s="151"/>
      <c r="CO48" s="151"/>
      <c r="CP48" s="151"/>
      <c r="CQ48" s="151"/>
      <c r="CR48" s="151"/>
      <c r="CS48" s="151"/>
      <c r="CT48" s="151"/>
      <c r="CU48" s="151"/>
      <c r="CV48" s="151"/>
      <c r="CW48" s="151"/>
      <c r="CX48" s="151"/>
      <c r="CY48" s="151"/>
      <c r="CZ48" s="151"/>
      <c r="DA48" s="151"/>
      <c r="DB48" s="151"/>
      <c r="DC48" s="151"/>
      <c r="DD48" s="151"/>
      <c r="DE48" s="151"/>
      <c r="DF48" s="151"/>
      <c r="DG48" s="151"/>
      <c r="DH48" s="151"/>
      <c r="DI48" s="151"/>
      <c r="DJ48" s="151"/>
      <c r="DK48" s="151"/>
      <c r="DL48" s="151"/>
      <c r="DM48" s="151"/>
      <c r="DN48" s="151"/>
      <c r="DO48" s="151"/>
      <c r="DP48" s="151"/>
      <c r="DQ48" s="151"/>
      <c r="DR48" s="151"/>
      <c r="DS48" s="151"/>
      <c r="DT48" s="151"/>
      <c r="DU48" s="151"/>
      <c r="DV48" s="151"/>
      <c r="DW48" s="151"/>
      <c r="DX48" s="151"/>
      <c r="DY48" s="151"/>
      <c r="DZ48" s="151"/>
      <c r="EA48" s="151"/>
      <c r="EB48" s="151"/>
      <c r="EC48" s="151"/>
      <c r="ED48" s="151"/>
      <c r="EE48" s="151"/>
      <c r="EF48" s="151"/>
      <c r="EG48" s="151"/>
      <c r="EH48" s="151"/>
      <c r="EI48" s="151"/>
      <c r="EJ48" s="151"/>
      <c r="EK48" s="151"/>
      <c r="EL48" s="151"/>
      <c r="EM48" s="151"/>
      <c r="EN48" s="151"/>
      <c r="EO48" s="151"/>
      <c r="EP48" s="151"/>
      <c r="EQ48" s="151"/>
      <c r="ER48" s="151"/>
      <c r="ES48" s="151"/>
      <c r="ET48" s="151"/>
      <c r="EU48" s="151"/>
      <c r="EV48" s="151"/>
      <c r="EW48" s="151"/>
      <c r="EX48" s="151"/>
      <c r="EY48" s="151"/>
      <c r="EZ48" s="151"/>
      <c r="FA48" s="151"/>
      <c r="FB48" s="151"/>
      <c r="FC48" s="151"/>
      <c r="FD48" s="151"/>
      <c r="FE48" s="151"/>
      <c r="FF48" s="151"/>
      <c r="FG48" s="151"/>
      <c r="FH48" s="151"/>
      <c r="FI48" s="151"/>
      <c r="FJ48" s="151"/>
      <c r="FK48" s="151"/>
      <c r="FL48" s="151"/>
      <c r="FM48" s="151"/>
      <c r="FN48" s="151"/>
      <c r="FO48" s="144" t="s">
        <v>243</v>
      </c>
    </row>
    <row r="49" spans="2:171" x14ac:dyDescent="0.2">
      <c r="B49" s="721" t="s">
        <v>96</v>
      </c>
      <c r="D49" s="550">
        <f>L23</f>
        <v>321310</v>
      </c>
      <c r="E49" s="550">
        <f>D49*12</f>
        <v>3855720</v>
      </c>
      <c r="F49" s="981">
        <f>IFERROR(D49/$D$49,0)</f>
        <v>1</v>
      </c>
      <c r="K49" s="550"/>
      <c r="L49" s="550"/>
      <c r="AK49" s="144" t="s">
        <v>360</v>
      </c>
      <c r="AL49" s="144"/>
      <c r="AM49" s="550">
        <f t="shared" ref="AM49:BR49" ca="1" si="135">IFERROR((AM47/units)*AM40,"ERROR")</f>
        <v>6979.2745901639346</v>
      </c>
      <c r="AN49" s="550">
        <f t="shared" ca="1" si="135"/>
        <v>7012.1280898104505</v>
      </c>
      <c r="AO49" s="550">
        <f t="shared" ca="1" si="135"/>
        <v>7044.9815894569656</v>
      </c>
      <c r="AP49" s="550">
        <f t="shared" ca="1" si="135"/>
        <v>7077.8350891034816</v>
      </c>
      <c r="AQ49" s="550">
        <f ca="1">IFERROR((AQ47/units)*AQ40,"ERROR")</f>
        <v>7110.6885887499975</v>
      </c>
      <c r="AR49" s="550">
        <f t="shared" ca="1" si="135"/>
        <v>7143.5420883965126</v>
      </c>
      <c r="AS49" s="550">
        <f t="shared" ca="1" si="135"/>
        <v>7176.3955880430285</v>
      </c>
      <c r="AT49" s="550">
        <f t="shared" ca="1" si="135"/>
        <v>7209.2490876895445</v>
      </c>
      <c r="AU49" s="550">
        <f t="shared" ca="1" si="135"/>
        <v>7242.1025873360604</v>
      </c>
      <c r="AV49" s="550">
        <f t="shared" ca="1" si="135"/>
        <v>7274.9560869825755</v>
      </c>
      <c r="AW49" s="550">
        <f t="shared" ca="1" si="135"/>
        <v>7307.8095866290914</v>
      </c>
      <c r="AX49" s="550">
        <f t="shared" ca="1" si="135"/>
        <v>7340.6630862756074</v>
      </c>
      <c r="AY49" s="550">
        <f ca="1">IFERROR((AY47/units)*AY40,"ERROR")</f>
        <v>12387.507864349167</v>
      </c>
      <c r="AZ49" s="550">
        <f t="shared" ca="1" si="135"/>
        <v>12475.818071399</v>
      </c>
      <c r="BA49" s="550">
        <f t="shared" ca="1" si="135"/>
        <v>12564.128278448836</v>
      </c>
      <c r="BB49" s="550">
        <f t="shared" ca="1" si="135"/>
        <v>12652.438485498669</v>
      </c>
      <c r="BC49" s="550">
        <f t="shared" ca="1" si="135"/>
        <v>12740.748692548503</v>
      </c>
      <c r="BD49" s="550">
        <f t="shared" ca="1" si="135"/>
        <v>12829.058899598338</v>
      </c>
      <c r="BE49" s="550">
        <f t="shared" ca="1" si="135"/>
        <v>12917.369106648172</v>
      </c>
      <c r="BF49" s="550">
        <f t="shared" ca="1" si="135"/>
        <v>11379.969399485755</v>
      </c>
      <c r="BG49" s="550">
        <f t="shared" ca="1" si="135"/>
        <v>11447.581901758283</v>
      </c>
      <c r="BH49" s="550">
        <f t="shared" ca="1" si="135"/>
        <v>11515.194404030812</v>
      </c>
      <c r="BI49" s="550">
        <f t="shared" ca="1" si="135"/>
        <v>11582.806906303342</v>
      </c>
      <c r="BJ49" s="550">
        <f t="shared" ca="1" si="135"/>
        <v>11650.419408575872</v>
      </c>
      <c r="BK49" s="550">
        <f t="shared" ca="1" si="135"/>
        <v>12303.933506390822</v>
      </c>
      <c r="BL49" s="550">
        <f t="shared" ca="1" si="135"/>
        <v>12374.926633776977</v>
      </c>
      <c r="BM49" s="550">
        <f t="shared" ca="1" si="135"/>
        <v>8889.9426865450932</v>
      </c>
      <c r="BN49" s="550">
        <f t="shared" ca="1" si="135"/>
        <v>8926.1636699053779</v>
      </c>
      <c r="BO49" s="550">
        <f t="shared" ca="1" si="135"/>
        <v>8962.3846532656607</v>
      </c>
      <c r="BP49" s="550">
        <f t="shared" ca="1" si="135"/>
        <v>8998.6056366259436</v>
      </c>
      <c r="BQ49" s="550">
        <f ca="1">IFERROR((BQ47/units)*BQ40,"ERROR")</f>
        <v>9034.8266199862283</v>
      </c>
      <c r="BR49" s="550">
        <f t="shared" ca="1" si="135"/>
        <v>9071.0476033465111</v>
      </c>
      <c r="BS49" s="550">
        <f t="shared" ref="BS49:CX49" ca="1" si="136">IFERROR((BS47/units)*BS40,"ERROR")</f>
        <v>0</v>
      </c>
      <c r="BT49" s="550">
        <f t="shared" ca="1" si="136"/>
        <v>0</v>
      </c>
      <c r="BU49" s="550">
        <f t="shared" ca="1" si="136"/>
        <v>0</v>
      </c>
      <c r="BV49" s="550">
        <f t="shared" ca="1" si="136"/>
        <v>0</v>
      </c>
      <c r="BW49" s="550">
        <f t="shared" ca="1" si="136"/>
        <v>0</v>
      </c>
      <c r="BX49" s="550">
        <f t="shared" ca="1" si="136"/>
        <v>0</v>
      </c>
      <c r="BY49" s="550">
        <f t="shared" ca="1" si="136"/>
        <v>0</v>
      </c>
      <c r="BZ49" s="550">
        <f t="shared" ca="1" si="136"/>
        <v>0</v>
      </c>
      <c r="CA49" s="550">
        <f t="shared" ca="1" si="136"/>
        <v>0</v>
      </c>
      <c r="CB49" s="550">
        <f t="shared" ca="1" si="136"/>
        <v>0</v>
      </c>
      <c r="CC49" s="550">
        <f t="shared" ca="1" si="136"/>
        <v>0</v>
      </c>
      <c r="CD49" s="550">
        <f t="shared" ca="1" si="136"/>
        <v>0</v>
      </c>
      <c r="CE49" s="550">
        <f t="shared" ca="1" si="136"/>
        <v>0</v>
      </c>
      <c r="CF49" s="550">
        <f t="shared" ca="1" si="136"/>
        <v>0</v>
      </c>
      <c r="CG49" s="550">
        <f t="shared" ca="1" si="136"/>
        <v>0</v>
      </c>
      <c r="CH49" s="550">
        <f t="shared" ca="1" si="136"/>
        <v>0</v>
      </c>
      <c r="CI49" s="550">
        <f t="shared" ca="1" si="136"/>
        <v>0</v>
      </c>
      <c r="CJ49" s="550">
        <f t="shared" ca="1" si="136"/>
        <v>0</v>
      </c>
      <c r="CK49" s="550">
        <f t="shared" ca="1" si="136"/>
        <v>0</v>
      </c>
      <c r="CL49" s="550">
        <f t="shared" ca="1" si="136"/>
        <v>0</v>
      </c>
      <c r="CM49" s="550">
        <f t="shared" ca="1" si="136"/>
        <v>0</v>
      </c>
      <c r="CN49" s="550">
        <f t="shared" ca="1" si="136"/>
        <v>0</v>
      </c>
      <c r="CO49" s="550">
        <f t="shared" ca="1" si="136"/>
        <v>0</v>
      </c>
      <c r="CP49" s="550">
        <f t="shared" ca="1" si="136"/>
        <v>0</v>
      </c>
      <c r="CQ49" s="550">
        <f t="shared" ca="1" si="136"/>
        <v>0</v>
      </c>
      <c r="CR49" s="550">
        <f t="shared" ca="1" si="136"/>
        <v>0</v>
      </c>
      <c r="CS49" s="550">
        <f t="shared" ca="1" si="136"/>
        <v>0</v>
      </c>
      <c r="CT49" s="550">
        <f t="shared" ca="1" si="136"/>
        <v>0</v>
      </c>
      <c r="CU49" s="550">
        <f t="shared" ca="1" si="136"/>
        <v>0</v>
      </c>
      <c r="CV49" s="550">
        <f t="shared" ca="1" si="136"/>
        <v>0</v>
      </c>
      <c r="CW49" s="550">
        <f t="shared" ca="1" si="136"/>
        <v>0</v>
      </c>
      <c r="CX49" s="550">
        <f t="shared" ca="1" si="136"/>
        <v>0</v>
      </c>
      <c r="CY49" s="550">
        <f t="shared" ref="CY49:ED49" ca="1" si="137">IFERROR((CY47/units)*CY40,"ERROR")</f>
        <v>0</v>
      </c>
      <c r="CZ49" s="550">
        <f t="shared" ca="1" si="137"/>
        <v>0</v>
      </c>
      <c r="DA49" s="550">
        <f t="shared" ca="1" si="137"/>
        <v>0</v>
      </c>
      <c r="DB49" s="550">
        <f t="shared" ca="1" si="137"/>
        <v>0</v>
      </c>
      <c r="DC49" s="550">
        <f t="shared" ca="1" si="137"/>
        <v>0</v>
      </c>
      <c r="DD49" s="550">
        <f t="shared" ca="1" si="137"/>
        <v>0</v>
      </c>
      <c r="DE49" s="550">
        <f t="shared" ca="1" si="137"/>
        <v>0</v>
      </c>
      <c r="DF49" s="550">
        <f t="shared" ca="1" si="137"/>
        <v>0</v>
      </c>
      <c r="DG49" s="550">
        <f t="shared" ca="1" si="137"/>
        <v>0</v>
      </c>
      <c r="DH49" s="550">
        <f t="shared" ca="1" si="137"/>
        <v>0</v>
      </c>
      <c r="DI49" s="550">
        <f t="shared" ca="1" si="137"/>
        <v>0</v>
      </c>
      <c r="DJ49" s="550">
        <f t="shared" ca="1" si="137"/>
        <v>0</v>
      </c>
      <c r="DK49" s="550">
        <f t="shared" ca="1" si="137"/>
        <v>0</v>
      </c>
      <c r="DL49" s="550">
        <f t="shared" ca="1" si="137"/>
        <v>0</v>
      </c>
      <c r="DM49" s="550">
        <f t="shared" ca="1" si="137"/>
        <v>0</v>
      </c>
      <c r="DN49" s="550">
        <f t="shared" ca="1" si="137"/>
        <v>0</v>
      </c>
      <c r="DO49" s="550">
        <f t="shared" ca="1" si="137"/>
        <v>0</v>
      </c>
      <c r="DP49" s="550">
        <f t="shared" ca="1" si="137"/>
        <v>0</v>
      </c>
      <c r="DQ49" s="550">
        <f t="shared" ca="1" si="137"/>
        <v>0</v>
      </c>
      <c r="DR49" s="550">
        <f t="shared" ca="1" si="137"/>
        <v>0</v>
      </c>
      <c r="DS49" s="550">
        <f t="shared" ca="1" si="137"/>
        <v>0</v>
      </c>
      <c r="DT49" s="550">
        <f t="shared" ca="1" si="137"/>
        <v>0</v>
      </c>
      <c r="DU49" s="550">
        <f t="shared" ca="1" si="137"/>
        <v>0</v>
      </c>
      <c r="DV49" s="550">
        <f t="shared" ca="1" si="137"/>
        <v>0</v>
      </c>
      <c r="DW49" s="550">
        <f t="shared" ca="1" si="137"/>
        <v>0</v>
      </c>
      <c r="DX49" s="550">
        <f t="shared" ca="1" si="137"/>
        <v>0</v>
      </c>
      <c r="DY49" s="550">
        <f t="shared" ca="1" si="137"/>
        <v>0</v>
      </c>
      <c r="DZ49" s="550">
        <f t="shared" ca="1" si="137"/>
        <v>0</v>
      </c>
      <c r="EA49" s="550">
        <f t="shared" ca="1" si="137"/>
        <v>0</v>
      </c>
      <c r="EB49" s="550">
        <f t="shared" ca="1" si="137"/>
        <v>0</v>
      </c>
      <c r="EC49" s="550">
        <f t="shared" ca="1" si="137"/>
        <v>0</v>
      </c>
      <c r="ED49" s="550">
        <f t="shared" ca="1" si="137"/>
        <v>0</v>
      </c>
      <c r="EE49" s="550">
        <f t="shared" ref="EE49:FN49" ca="1" si="138">IFERROR((EE47/units)*EE40,"ERROR")</f>
        <v>0</v>
      </c>
      <c r="EF49" s="550">
        <f t="shared" ca="1" si="138"/>
        <v>0</v>
      </c>
      <c r="EG49" s="550">
        <f t="shared" ca="1" si="138"/>
        <v>0</v>
      </c>
      <c r="EH49" s="550">
        <f t="shared" ca="1" si="138"/>
        <v>0</v>
      </c>
      <c r="EI49" s="550">
        <f t="shared" ca="1" si="138"/>
        <v>0</v>
      </c>
      <c r="EJ49" s="550">
        <f t="shared" ca="1" si="138"/>
        <v>0</v>
      </c>
      <c r="EK49" s="550">
        <f t="shared" ca="1" si="138"/>
        <v>0</v>
      </c>
      <c r="EL49" s="550">
        <f t="shared" ca="1" si="138"/>
        <v>0</v>
      </c>
      <c r="EM49" s="550">
        <f t="shared" ca="1" si="138"/>
        <v>0</v>
      </c>
      <c r="EN49" s="550">
        <f t="shared" ca="1" si="138"/>
        <v>0</v>
      </c>
      <c r="EO49" s="550">
        <f t="shared" ca="1" si="138"/>
        <v>0</v>
      </c>
      <c r="EP49" s="550">
        <f t="shared" ca="1" si="138"/>
        <v>0</v>
      </c>
      <c r="EQ49" s="550">
        <f t="shared" ca="1" si="138"/>
        <v>0</v>
      </c>
      <c r="ER49" s="550">
        <f t="shared" ca="1" si="138"/>
        <v>0</v>
      </c>
      <c r="ES49" s="550">
        <f t="shared" ca="1" si="138"/>
        <v>0</v>
      </c>
      <c r="ET49" s="550">
        <f t="shared" ca="1" si="138"/>
        <v>0</v>
      </c>
      <c r="EU49" s="550">
        <f t="shared" ca="1" si="138"/>
        <v>0</v>
      </c>
      <c r="EV49" s="550">
        <f t="shared" ca="1" si="138"/>
        <v>0</v>
      </c>
      <c r="EW49" s="550">
        <f t="shared" ca="1" si="138"/>
        <v>0</v>
      </c>
      <c r="EX49" s="550">
        <f t="shared" ca="1" si="138"/>
        <v>0</v>
      </c>
      <c r="EY49" s="550">
        <f t="shared" ca="1" si="138"/>
        <v>0</v>
      </c>
      <c r="EZ49" s="550">
        <f t="shared" ca="1" si="138"/>
        <v>0</v>
      </c>
      <c r="FA49" s="550">
        <f t="shared" ca="1" si="138"/>
        <v>0</v>
      </c>
      <c r="FB49" s="550">
        <f t="shared" ca="1" si="138"/>
        <v>0</v>
      </c>
      <c r="FC49" s="550">
        <f t="shared" ca="1" si="138"/>
        <v>0</v>
      </c>
      <c r="FD49" s="550">
        <f t="shared" ca="1" si="138"/>
        <v>0</v>
      </c>
      <c r="FE49" s="550">
        <f t="shared" ca="1" si="138"/>
        <v>0</v>
      </c>
      <c r="FF49" s="550">
        <f t="shared" ca="1" si="138"/>
        <v>0</v>
      </c>
      <c r="FG49" s="550">
        <f t="shared" ca="1" si="138"/>
        <v>0</v>
      </c>
      <c r="FH49" s="550">
        <f t="shared" ca="1" si="138"/>
        <v>0</v>
      </c>
      <c r="FI49" s="550">
        <f t="shared" ca="1" si="138"/>
        <v>0</v>
      </c>
      <c r="FJ49" s="550">
        <f t="shared" ca="1" si="138"/>
        <v>0</v>
      </c>
      <c r="FK49" s="550">
        <f t="shared" ca="1" si="138"/>
        <v>0</v>
      </c>
      <c r="FL49" s="550">
        <f t="shared" ca="1" si="138"/>
        <v>0</v>
      </c>
      <c r="FM49" s="550">
        <f t="shared" ca="1" si="138"/>
        <v>0</v>
      </c>
      <c r="FN49" s="550">
        <f t="shared" ca="1" si="138"/>
        <v>0</v>
      </c>
      <c r="FO49" s="144" t="s">
        <v>243</v>
      </c>
    </row>
    <row r="50" spans="2:171" ht="15" thickBot="1" x14ac:dyDescent="0.25">
      <c r="B50" s="721" t="s">
        <v>84</v>
      </c>
      <c r="D50" s="550">
        <f>F44</f>
        <v>-21825</v>
      </c>
      <c r="E50" s="550">
        <f>D50*12</f>
        <v>-261900</v>
      </c>
      <c r="F50" s="960">
        <f>IFERROR(D50/$D$49,0)</f>
        <v>-6.7925056798730205E-2</v>
      </c>
      <c r="K50" s="550"/>
      <c r="L50" s="550"/>
      <c r="AK50" s="144" t="s">
        <v>361</v>
      </c>
      <c r="AL50" s="144"/>
      <c r="AM50" s="982">
        <f t="shared" ref="AM50:BR50" ca="1" si="139">IFERROR(AM49/AM40,0)</f>
        <v>2.0491803278688523E-2</v>
      </c>
      <c r="AN50" s="982">
        <f t="shared" ca="1" si="139"/>
        <v>2.0491803278688523E-2</v>
      </c>
      <c r="AO50" s="982">
        <f t="shared" ca="1" si="139"/>
        <v>2.0491803278688523E-2</v>
      </c>
      <c r="AP50" s="982">
        <f t="shared" ca="1" si="139"/>
        <v>2.0491803278688523E-2</v>
      </c>
      <c r="AQ50" s="982">
        <f t="shared" ca="1" si="139"/>
        <v>2.0491803278688523E-2</v>
      </c>
      <c r="AR50" s="982">
        <f t="shared" ca="1" si="139"/>
        <v>2.0491803278688523E-2</v>
      </c>
      <c r="AS50" s="982">
        <f t="shared" ca="1" si="139"/>
        <v>2.0491803278688523E-2</v>
      </c>
      <c r="AT50" s="982">
        <f t="shared" ca="1" si="139"/>
        <v>2.0491803278688523E-2</v>
      </c>
      <c r="AU50" s="982">
        <f t="shared" ca="1" si="139"/>
        <v>2.0491803278688523E-2</v>
      </c>
      <c r="AV50" s="982">
        <f t="shared" ca="1" si="139"/>
        <v>2.0491803278688523E-2</v>
      </c>
      <c r="AW50" s="982">
        <f t="shared" ca="1" si="139"/>
        <v>2.0491803278688523E-2</v>
      </c>
      <c r="AX50" s="982">
        <f t="shared" ca="1" si="139"/>
        <v>2.0491803278688523E-2</v>
      </c>
      <c r="AY50" s="982">
        <f t="shared" ca="1" si="139"/>
        <v>3.2786885245901641E-2</v>
      </c>
      <c r="AZ50" s="982">
        <f t="shared" ca="1" si="139"/>
        <v>3.2786885245901641E-2</v>
      </c>
      <c r="BA50" s="982">
        <f t="shared" ca="1" si="139"/>
        <v>3.2786885245901641E-2</v>
      </c>
      <c r="BB50" s="982">
        <f t="shared" ca="1" si="139"/>
        <v>3.2786885245901641E-2</v>
      </c>
      <c r="BC50" s="982">
        <f t="shared" ca="1" si="139"/>
        <v>3.2786885245901641E-2</v>
      </c>
      <c r="BD50" s="982">
        <f t="shared" ca="1" si="139"/>
        <v>3.2786885245901641E-2</v>
      </c>
      <c r="BE50" s="982">
        <f t="shared" ca="1" si="139"/>
        <v>3.2786885245901641E-2</v>
      </c>
      <c r="BF50" s="982">
        <f t="shared" ca="1" si="139"/>
        <v>2.8688524590163939E-2</v>
      </c>
      <c r="BG50" s="982">
        <f t="shared" ca="1" si="139"/>
        <v>2.8688524590163935E-2</v>
      </c>
      <c r="BH50" s="982">
        <f t="shared" ca="1" si="139"/>
        <v>2.8688524590163935E-2</v>
      </c>
      <c r="BI50" s="982">
        <f t="shared" ca="1" si="139"/>
        <v>2.8688524590163935E-2</v>
      </c>
      <c r="BJ50" s="982">
        <f t="shared" ca="1" si="139"/>
        <v>2.8688524590163935E-2</v>
      </c>
      <c r="BK50" s="982">
        <f t="shared" ca="1" si="139"/>
        <v>2.8688524590163935E-2</v>
      </c>
      <c r="BL50" s="982">
        <f t="shared" ca="1" si="139"/>
        <v>2.8688524590163935E-2</v>
      </c>
      <c r="BM50" s="982">
        <f t="shared" ca="1" si="139"/>
        <v>2.0491803278688523E-2</v>
      </c>
      <c r="BN50" s="982">
        <f t="shared" ca="1" si="139"/>
        <v>2.0491803278688527E-2</v>
      </c>
      <c r="BO50" s="982">
        <f t="shared" ca="1" si="139"/>
        <v>2.0491803278688523E-2</v>
      </c>
      <c r="BP50" s="982">
        <f ca="1">IFERROR(BP49/BP40,0)</f>
        <v>2.0491803278688523E-2</v>
      </c>
      <c r="BQ50" s="982">
        <f ca="1">IFERROR(BQ49/BQ40,0)</f>
        <v>2.0491803278688523E-2</v>
      </c>
      <c r="BR50" s="982">
        <f t="shared" ca="1" si="139"/>
        <v>2.0491803278688523E-2</v>
      </c>
      <c r="BS50" s="982">
        <f t="shared" ref="BS50:CX50" ca="1" si="140">IFERROR(BS49/BS40,0)</f>
        <v>0</v>
      </c>
      <c r="BT50" s="982">
        <f t="shared" ca="1" si="140"/>
        <v>0</v>
      </c>
      <c r="BU50" s="982">
        <f t="shared" ca="1" si="140"/>
        <v>0</v>
      </c>
      <c r="BV50" s="982">
        <f t="shared" ca="1" si="140"/>
        <v>0</v>
      </c>
      <c r="BW50" s="982">
        <f t="shared" ca="1" si="140"/>
        <v>0</v>
      </c>
      <c r="BX50" s="982">
        <f t="shared" ca="1" si="140"/>
        <v>0</v>
      </c>
      <c r="BY50" s="982">
        <f t="shared" ca="1" si="140"/>
        <v>0</v>
      </c>
      <c r="BZ50" s="982">
        <f t="shared" ca="1" si="140"/>
        <v>0</v>
      </c>
      <c r="CA50" s="982">
        <f t="shared" ca="1" si="140"/>
        <v>0</v>
      </c>
      <c r="CB50" s="982">
        <f t="shared" ca="1" si="140"/>
        <v>0</v>
      </c>
      <c r="CC50" s="982">
        <f t="shared" ca="1" si="140"/>
        <v>0</v>
      </c>
      <c r="CD50" s="982">
        <f t="shared" ca="1" si="140"/>
        <v>0</v>
      </c>
      <c r="CE50" s="982">
        <f t="shared" ca="1" si="140"/>
        <v>0</v>
      </c>
      <c r="CF50" s="982">
        <f t="shared" ca="1" si="140"/>
        <v>0</v>
      </c>
      <c r="CG50" s="982">
        <f t="shared" ca="1" si="140"/>
        <v>0</v>
      </c>
      <c r="CH50" s="982">
        <f t="shared" ca="1" si="140"/>
        <v>0</v>
      </c>
      <c r="CI50" s="982">
        <f t="shared" ca="1" si="140"/>
        <v>0</v>
      </c>
      <c r="CJ50" s="982">
        <f t="shared" ca="1" si="140"/>
        <v>0</v>
      </c>
      <c r="CK50" s="982">
        <f t="shared" ca="1" si="140"/>
        <v>0</v>
      </c>
      <c r="CL50" s="982">
        <f t="shared" ca="1" si="140"/>
        <v>0</v>
      </c>
      <c r="CM50" s="982">
        <f t="shared" ca="1" si="140"/>
        <v>0</v>
      </c>
      <c r="CN50" s="982">
        <f t="shared" ca="1" si="140"/>
        <v>0</v>
      </c>
      <c r="CO50" s="982">
        <f t="shared" ca="1" si="140"/>
        <v>0</v>
      </c>
      <c r="CP50" s="982">
        <f t="shared" ca="1" si="140"/>
        <v>0</v>
      </c>
      <c r="CQ50" s="982">
        <f t="shared" ca="1" si="140"/>
        <v>0</v>
      </c>
      <c r="CR50" s="982">
        <f t="shared" ca="1" si="140"/>
        <v>0</v>
      </c>
      <c r="CS50" s="982">
        <f t="shared" ca="1" si="140"/>
        <v>0</v>
      </c>
      <c r="CT50" s="982">
        <f t="shared" ca="1" si="140"/>
        <v>0</v>
      </c>
      <c r="CU50" s="982">
        <f t="shared" ca="1" si="140"/>
        <v>0</v>
      </c>
      <c r="CV50" s="982">
        <f t="shared" ca="1" si="140"/>
        <v>0</v>
      </c>
      <c r="CW50" s="982">
        <f t="shared" ca="1" si="140"/>
        <v>0</v>
      </c>
      <c r="CX50" s="982">
        <f t="shared" ca="1" si="140"/>
        <v>0</v>
      </c>
      <c r="CY50" s="982">
        <f t="shared" ref="CY50:ED50" ca="1" si="141">IFERROR(CY49/CY40,0)</f>
        <v>0</v>
      </c>
      <c r="CZ50" s="982">
        <f t="shared" ca="1" si="141"/>
        <v>0</v>
      </c>
      <c r="DA50" s="982">
        <f t="shared" ca="1" si="141"/>
        <v>0</v>
      </c>
      <c r="DB50" s="982">
        <f t="shared" ca="1" si="141"/>
        <v>0</v>
      </c>
      <c r="DC50" s="982">
        <f t="shared" ca="1" si="141"/>
        <v>0</v>
      </c>
      <c r="DD50" s="982">
        <f t="shared" ca="1" si="141"/>
        <v>0</v>
      </c>
      <c r="DE50" s="982">
        <f t="shared" ca="1" si="141"/>
        <v>0</v>
      </c>
      <c r="DF50" s="982">
        <f t="shared" ca="1" si="141"/>
        <v>0</v>
      </c>
      <c r="DG50" s="982">
        <f t="shared" ca="1" si="141"/>
        <v>0</v>
      </c>
      <c r="DH50" s="982">
        <f t="shared" ca="1" si="141"/>
        <v>0</v>
      </c>
      <c r="DI50" s="982">
        <f t="shared" ca="1" si="141"/>
        <v>0</v>
      </c>
      <c r="DJ50" s="982">
        <f t="shared" ca="1" si="141"/>
        <v>0</v>
      </c>
      <c r="DK50" s="982">
        <f t="shared" ca="1" si="141"/>
        <v>0</v>
      </c>
      <c r="DL50" s="982">
        <f t="shared" ca="1" si="141"/>
        <v>0</v>
      </c>
      <c r="DM50" s="982">
        <f t="shared" ca="1" si="141"/>
        <v>0</v>
      </c>
      <c r="DN50" s="982">
        <f t="shared" ca="1" si="141"/>
        <v>0</v>
      </c>
      <c r="DO50" s="982">
        <f t="shared" ca="1" si="141"/>
        <v>0</v>
      </c>
      <c r="DP50" s="982">
        <f t="shared" ca="1" si="141"/>
        <v>0</v>
      </c>
      <c r="DQ50" s="982">
        <f t="shared" ca="1" si="141"/>
        <v>0</v>
      </c>
      <c r="DR50" s="982">
        <f t="shared" ca="1" si="141"/>
        <v>0</v>
      </c>
      <c r="DS50" s="982">
        <f t="shared" ca="1" si="141"/>
        <v>0</v>
      </c>
      <c r="DT50" s="982">
        <f t="shared" ca="1" si="141"/>
        <v>0</v>
      </c>
      <c r="DU50" s="982">
        <f t="shared" ca="1" si="141"/>
        <v>0</v>
      </c>
      <c r="DV50" s="982">
        <f t="shared" ca="1" si="141"/>
        <v>0</v>
      </c>
      <c r="DW50" s="982">
        <f t="shared" ca="1" si="141"/>
        <v>0</v>
      </c>
      <c r="DX50" s="982">
        <f t="shared" ca="1" si="141"/>
        <v>0</v>
      </c>
      <c r="DY50" s="982">
        <f t="shared" ca="1" si="141"/>
        <v>0</v>
      </c>
      <c r="DZ50" s="982">
        <f t="shared" ca="1" si="141"/>
        <v>0</v>
      </c>
      <c r="EA50" s="982">
        <f t="shared" ca="1" si="141"/>
        <v>0</v>
      </c>
      <c r="EB50" s="982">
        <f t="shared" ca="1" si="141"/>
        <v>0</v>
      </c>
      <c r="EC50" s="982">
        <f t="shared" ca="1" si="141"/>
        <v>0</v>
      </c>
      <c r="ED50" s="982">
        <f t="shared" ca="1" si="141"/>
        <v>0</v>
      </c>
      <c r="EE50" s="982">
        <f t="shared" ref="EE50:FJ50" ca="1" si="142">IFERROR(EE49/EE40,0)</f>
        <v>0</v>
      </c>
      <c r="EF50" s="982">
        <f t="shared" ca="1" si="142"/>
        <v>0</v>
      </c>
      <c r="EG50" s="982">
        <f t="shared" ca="1" si="142"/>
        <v>0</v>
      </c>
      <c r="EH50" s="982">
        <f t="shared" ca="1" si="142"/>
        <v>0</v>
      </c>
      <c r="EI50" s="982">
        <f t="shared" ca="1" si="142"/>
        <v>0</v>
      </c>
      <c r="EJ50" s="982">
        <f t="shared" ca="1" si="142"/>
        <v>0</v>
      </c>
      <c r="EK50" s="982">
        <f t="shared" ca="1" si="142"/>
        <v>0</v>
      </c>
      <c r="EL50" s="982">
        <f t="shared" ca="1" si="142"/>
        <v>0</v>
      </c>
      <c r="EM50" s="982">
        <f t="shared" ca="1" si="142"/>
        <v>0</v>
      </c>
      <c r="EN50" s="982">
        <f t="shared" ca="1" si="142"/>
        <v>0</v>
      </c>
      <c r="EO50" s="982">
        <f t="shared" ca="1" si="142"/>
        <v>0</v>
      </c>
      <c r="EP50" s="982">
        <f t="shared" ca="1" si="142"/>
        <v>0</v>
      </c>
      <c r="EQ50" s="982">
        <f t="shared" ca="1" si="142"/>
        <v>0</v>
      </c>
      <c r="ER50" s="982">
        <f t="shared" ca="1" si="142"/>
        <v>0</v>
      </c>
      <c r="ES50" s="982">
        <f t="shared" ca="1" si="142"/>
        <v>0</v>
      </c>
      <c r="ET50" s="982">
        <f t="shared" ca="1" si="142"/>
        <v>0</v>
      </c>
      <c r="EU50" s="982">
        <f t="shared" ca="1" si="142"/>
        <v>0</v>
      </c>
      <c r="EV50" s="982">
        <f t="shared" ca="1" si="142"/>
        <v>0</v>
      </c>
      <c r="EW50" s="982">
        <f t="shared" ca="1" si="142"/>
        <v>0</v>
      </c>
      <c r="EX50" s="982">
        <f t="shared" ca="1" si="142"/>
        <v>0</v>
      </c>
      <c r="EY50" s="982">
        <f t="shared" ca="1" si="142"/>
        <v>0</v>
      </c>
      <c r="EZ50" s="982">
        <f t="shared" ca="1" si="142"/>
        <v>0</v>
      </c>
      <c r="FA50" s="982">
        <f t="shared" ca="1" si="142"/>
        <v>0</v>
      </c>
      <c r="FB50" s="982">
        <f t="shared" ca="1" si="142"/>
        <v>0</v>
      </c>
      <c r="FC50" s="982">
        <f t="shared" ca="1" si="142"/>
        <v>0</v>
      </c>
      <c r="FD50" s="982">
        <f t="shared" ca="1" si="142"/>
        <v>0</v>
      </c>
      <c r="FE50" s="982">
        <f t="shared" ca="1" si="142"/>
        <v>0</v>
      </c>
      <c r="FF50" s="982">
        <f t="shared" ca="1" si="142"/>
        <v>0</v>
      </c>
      <c r="FG50" s="982">
        <f t="shared" ca="1" si="142"/>
        <v>0</v>
      </c>
      <c r="FH50" s="982">
        <f t="shared" ca="1" si="142"/>
        <v>0</v>
      </c>
      <c r="FI50" s="982">
        <f t="shared" ca="1" si="142"/>
        <v>0</v>
      </c>
      <c r="FJ50" s="982">
        <f t="shared" ca="1" si="142"/>
        <v>0</v>
      </c>
      <c r="FK50" s="982">
        <f t="shared" ref="FK50:FN50" ca="1" si="143">IFERROR(FK49/FK40,0)</f>
        <v>0</v>
      </c>
      <c r="FL50" s="982">
        <f t="shared" ca="1" si="143"/>
        <v>0</v>
      </c>
      <c r="FM50" s="982">
        <f t="shared" ca="1" si="143"/>
        <v>0</v>
      </c>
      <c r="FN50" s="982">
        <f t="shared" ca="1" si="143"/>
        <v>0</v>
      </c>
      <c r="FO50" s="144" t="s">
        <v>243</v>
      </c>
    </row>
    <row r="51" spans="2:171" x14ac:dyDescent="0.2">
      <c r="B51" s="747" t="s">
        <v>146</v>
      </c>
      <c r="C51" s="966"/>
      <c r="D51" s="967">
        <f>SUM(D49:D50)</f>
        <v>299485</v>
      </c>
      <c r="E51" s="967">
        <f t="shared" ref="E51:E56" si="144">D51*12</f>
        <v>3593820</v>
      </c>
      <c r="F51" s="983">
        <f t="shared" ref="F51:F56" si="145">IFERROR(D51/$D$49,0)</f>
        <v>0.93207494320126982</v>
      </c>
      <c r="K51" s="550"/>
      <c r="L51" s="550"/>
      <c r="AN51" s="153"/>
      <c r="AU51" s="984"/>
      <c r="FO51" s="144" t="s">
        <v>243</v>
      </c>
    </row>
    <row r="52" spans="2:171" ht="15" thickBot="1" x14ac:dyDescent="0.25">
      <c r="B52" s="721" t="s">
        <v>14</v>
      </c>
      <c r="D52" s="550">
        <f>-Z22</f>
        <v>-13595</v>
      </c>
      <c r="E52" s="550">
        <f t="shared" si="144"/>
        <v>-163140</v>
      </c>
      <c r="F52" s="981">
        <f t="shared" si="145"/>
        <v>-4.2311163673710746E-2</v>
      </c>
      <c r="G52" s="550"/>
      <c r="H52" s="550"/>
      <c r="I52" s="550"/>
      <c r="J52" s="550"/>
      <c r="K52" s="550"/>
      <c r="L52" s="550"/>
      <c r="AK52" s="878" t="s">
        <v>362</v>
      </c>
      <c r="AO52" s="985"/>
      <c r="AU52" s="151"/>
      <c r="AV52" s="151"/>
      <c r="AW52" s="151"/>
      <c r="AX52" s="151"/>
      <c r="AY52" s="151"/>
      <c r="AZ52" s="151"/>
      <c r="BA52" s="151"/>
      <c r="BB52" s="151"/>
      <c r="BC52" s="151"/>
      <c r="FO52" s="144" t="s">
        <v>243</v>
      </c>
    </row>
    <row r="53" spans="2:171" x14ac:dyDescent="0.2">
      <c r="B53" s="747" t="s">
        <v>363</v>
      </c>
      <c r="C53" s="966"/>
      <c r="D53" s="967">
        <f>SUM(D51:D52)</f>
        <v>285890</v>
      </c>
      <c r="E53" s="967">
        <f t="shared" si="144"/>
        <v>3430680</v>
      </c>
      <c r="F53" s="983">
        <f t="shared" si="145"/>
        <v>0.88976377952755903</v>
      </c>
      <c r="G53" s="550"/>
      <c r="H53" s="550"/>
      <c r="I53" s="550"/>
      <c r="J53" s="550"/>
      <c r="K53" s="550"/>
      <c r="L53" s="550"/>
      <c r="AK53" s="144" t="s">
        <v>319</v>
      </c>
      <c r="AL53" s="151">
        <f>Y22</f>
        <v>10</v>
      </c>
      <c r="AM53" s="151">
        <f t="shared" ref="AM53" si="146">AL57</f>
        <v>10</v>
      </c>
      <c r="AN53" s="151">
        <f ca="1">AM57</f>
        <v>10</v>
      </c>
      <c r="AO53" s="151">
        <f t="shared" ref="AO53:BS53" ca="1" si="147">AN57</f>
        <v>10</v>
      </c>
      <c r="AP53" s="151">
        <f t="shared" ca="1" si="147"/>
        <v>10</v>
      </c>
      <c r="AQ53" s="151">
        <f t="shared" ca="1" si="147"/>
        <v>10</v>
      </c>
      <c r="AR53" s="151">
        <f t="shared" ca="1" si="147"/>
        <v>10</v>
      </c>
      <c r="AS53" s="151">
        <f t="shared" ca="1" si="147"/>
        <v>10</v>
      </c>
      <c r="AT53" s="151">
        <f t="shared" ca="1" si="147"/>
        <v>10</v>
      </c>
      <c r="AU53" s="151">
        <f t="shared" ca="1" si="147"/>
        <v>10</v>
      </c>
      <c r="AV53" s="151">
        <f t="shared" ca="1" si="147"/>
        <v>10</v>
      </c>
      <c r="AW53" s="151">
        <f t="shared" ca="1" si="147"/>
        <v>10</v>
      </c>
      <c r="AX53" s="151">
        <f t="shared" ca="1" si="147"/>
        <v>10</v>
      </c>
      <c r="AY53" s="151">
        <f t="shared" ca="1" si="147"/>
        <v>10</v>
      </c>
      <c r="AZ53" s="151">
        <f t="shared" ca="1" si="147"/>
        <v>7</v>
      </c>
      <c r="BA53" s="151">
        <f t="shared" ca="1" si="147"/>
        <v>7</v>
      </c>
      <c r="BB53" s="151">
        <f t="shared" ca="1" si="147"/>
        <v>7</v>
      </c>
      <c r="BC53" s="151">
        <f t="shared" ca="1" si="147"/>
        <v>7</v>
      </c>
      <c r="BD53" s="151">
        <f t="shared" ca="1" si="147"/>
        <v>7</v>
      </c>
      <c r="BE53" s="151">
        <f t="shared" ca="1" si="147"/>
        <v>7</v>
      </c>
      <c r="BF53" s="151">
        <f t="shared" ca="1" si="147"/>
        <v>7</v>
      </c>
      <c r="BG53" s="151">
        <f t="shared" ca="1" si="147"/>
        <v>8</v>
      </c>
      <c r="BH53" s="151">
        <f t="shared" ca="1" si="147"/>
        <v>8</v>
      </c>
      <c r="BI53" s="151">
        <f t="shared" ca="1" si="147"/>
        <v>8</v>
      </c>
      <c r="BJ53" s="151">
        <f t="shared" ca="1" si="147"/>
        <v>8</v>
      </c>
      <c r="BK53" s="151">
        <f t="shared" ca="1" si="147"/>
        <v>8</v>
      </c>
      <c r="BL53" s="151">
        <f t="shared" ca="1" si="147"/>
        <v>5</v>
      </c>
      <c r="BM53" s="151">
        <f t="shared" ca="1" si="147"/>
        <v>5</v>
      </c>
      <c r="BN53" s="151">
        <f t="shared" ca="1" si="147"/>
        <v>7</v>
      </c>
      <c r="BO53" s="151">
        <f t="shared" ca="1" si="147"/>
        <v>7</v>
      </c>
      <c r="BP53" s="151">
        <f t="shared" ca="1" si="147"/>
        <v>7</v>
      </c>
      <c r="BQ53" s="151">
        <f t="shared" ca="1" si="147"/>
        <v>7</v>
      </c>
      <c r="BR53" s="151">
        <f t="shared" ca="1" si="147"/>
        <v>7</v>
      </c>
      <c r="BS53" s="151">
        <f t="shared" ca="1" si="147"/>
        <v>7</v>
      </c>
      <c r="BT53" s="151">
        <f t="shared" ref="BT53:CY53" ca="1" si="148">BS57</f>
        <v>12</v>
      </c>
      <c r="BU53" s="151">
        <f t="shared" ca="1" si="148"/>
        <v>12</v>
      </c>
      <c r="BV53" s="151">
        <f t="shared" ca="1" si="148"/>
        <v>12</v>
      </c>
      <c r="BW53" s="151">
        <f t="shared" ca="1" si="148"/>
        <v>12</v>
      </c>
      <c r="BX53" s="151">
        <f t="shared" ca="1" si="148"/>
        <v>12</v>
      </c>
      <c r="BY53" s="151">
        <f t="shared" ca="1" si="148"/>
        <v>12</v>
      </c>
      <c r="BZ53" s="151">
        <f t="shared" ca="1" si="148"/>
        <v>12</v>
      </c>
      <c r="CA53" s="151">
        <f t="shared" ca="1" si="148"/>
        <v>12</v>
      </c>
      <c r="CB53" s="151">
        <f t="shared" ca="1" si="148"/>
        <v>12</v>
      </c>
      <c r="CC53" s="151">
        <f t="shared" ca="1" si="148"/>
        <v>12</v>
      </c>
      <c r="CD53" s="151">
        <f t="shared" ca="1" si="148"/>
        <v>12</v>
      </c>
      <c r="CE53" s="151">
        <f t="shared" ca="1" si="148"/>
        <v>12</v>
      </c>
      <c r="CF53" s="151">
        <f t="shared" ca="1" si="148"/>
        <v>12</v>
      </c>
      <c r="CG53" s="151">
        <f t="shared" ca="1" si="148"/>
        <v>12</v>
      </c>
      <c r="CH53" s="151">
        <f t="shared" ca="1" si="148"/>
        <v>12</v>
      </c>
      <c r="CI53" s="151">
        <f t="shared" ca="1" si="148"/>
        <v>12</v>
      </c>
      <c r="CJ53" s="151">
        <f t="shared" ca="1" si="148"/>
        <v>12</v>
      </c>
      <c r="CK53" s="151">
        <f t="shared" ca="1" si="148"/>
        <v>12</v>
      </c>
      <c r="CL53" s="151">
        <f t="shared" ca="1" si="148"/>
        <v>12</v>
      </c>
      <c r="CM53" s="151">
        <f t="shared" ca="1" si="148"/>
        <v>12</v>
      </c>
      <c r="CN53" s="151">
        <f t="shared" ca="1" si="148"/>
        <v>12</v>
      </c>
      <c r="CO53" s="151">
        <f t="shared" ca="1" si="148"/>
        <v>12</v>
      </c>
      <c r="CP53" s="151">
        <f t="shared" ca="1" si="148"/>
        <v>12</v>
      </c>
      <c r="CQ53" s="151">
        <f t="shared" ca="1" si="148"/>
        <v>12</v>
      </c>
      <c r="CR53" s="151">
        <f t="shared" ca="1" si="148"/>
        <v>12</v>
      </c>
      <c r="CS53" s="151">
        <f t="shared" ca="1" si="148"/>
        <v>12</v>
      </c>
      <c r="CT53" s="151">
        <f t="shared" ca="1" si="148"/>
        <v>12</v>
      </c>
      <c r="CU53" s="151">
        <f t="shared" ca="1" si="148"/>
        <v>12</v>
      </c>
      <c r="CV53" s="151">
        <f t="shared" ca="1" si="148"/>
        <v>12</v>
      </c>
      <c r="CW53" s="151">
        <f t="shared" ca="1" si="148"/>
        <v>12</v>
      </c>
      <c r="CX53" s="151">
        <f t="shared" ca="1" si="148"/>
        <v>12</v>
      </c>
      <c r="CY53" s="151">
        <f t="shared" ca="1" si="148"/>
        <v>12</v>
      </c>
      <c r="CZ53" s="151">
        <f t="shared" ref="CZ53:EE53" ca="1" si="149">CY57</f>
        <v>12</v>
      </c>
      <c r="DA53" s="151">
        <f t="shared" ca="1" si="149"/>
        <v>12</v>
      </c>
      <c r="DB53" s="151">
        <f t="shared" ca="1" si="149"/>
        <v>12</v>
      </c>
      <c r="DC53" s="151">
        <f t="shared" ca="1" si="149"/>
        <v>12</v>
      </c>
      <c r="DD53" s="151">
        <f t="shared" ca="1" si="149"/>
        <v>12</v>
      </c>
      <c r="DE53" s="151">
        <f t="shared" ca="1" si="149"/>
        <v>12</v>
      </c>
      <c r="DF53" s="151">
        <f t="shared" ca="1" si="149"/>
        <v>12</v>
      </c>
      <c r="DG53" s="151">
        <f t="shared" ca="1" si="149"/>
        <v>12</v>
      </c>
      <c r="DH53" s="151">
        <f t="shared" ca="1" si="149"/>
        <v>12</v>
      </c>
      <c r="DI53" s="151">
        <f t="shared" ca="1" si="149"/>
        <v>12</v>
      </c>
      <c r="DJ53" s="151">
        <f t="shared" ca="1" si="149"/>
        <v>12</v>
      </c>
      <c r="DK53" s="151">
        <f t="shared" ca="1" si="149"/>
        <v>12</v>
      </c>
      <c r="DL53" s="151">
        <f t="shared" ca="1" si="149"/>
        <v>12</v>
      </c>
      <c r="DM53" s="151">
        <f t="shared" ca="1" si="149"/>
        <v>12</v>
      </c>
      <c r="DN53" s="151">
        <f t="shared" ca="1" si="149"/>
        <v>12</v>
      </c>
      <c r="DO53" s="151">
        <f t="shared" ca="1" si="149"/>
        <v>12</v>
      </c>
      <c r="DP53" s="151">
        <f t="shared" ca="1" si="149"/>
        <v>12</v>
      </c>
      <c r="DQ53" s="151">
        <f t="shared" ca="1" si="149"/>
        <v>12</v>
      </c>
      <c r="DR53" s="151">
        <f t="shared" ca="1" si="149"/>
        <v>12</v>
      </c>
      <c r="DS53" s="151">
        <f t="shared" ca="1" si="149"/>
        <v>12</v>
      </c>
      <c r="DT53" s="151">
        <f t="shared" ca="1" si="149"/>
        <v>12</v>
      </c>
      <c r="DU53" s="151">
        <f t="shared" ca="1" si="149"/>
        <v>12</v>
      </c>
      <c r="DV53" s="151">
        <f t="shared" ca="1" si="149"/>
        <v>12</v>
      </c>
      <c r="DW53" s="151">
        <f t="shared" ca="1" si="149"/>
        <v>12</v>
      </c>
      <c r="DX53" s="151">
        <f t="shared" ca="1" si="149"/>
        <v>12</v>
      </c>
      <c r="DY53" s="151">
        <f t="shared" ca="1" si="149"/>
        <v>12</v>
      </c>
      <c r="DZ53" s="151">
        <f t="shared" ca="1" si="149"/>
        <v>12</v>
      </c>
      <c r="EA53" s="151">
        <f t="shared" ca="1" si="149"/>
        <v>12</v>
      </c>
      <c r="EB53" s="151">
        <f t="shared" ca="1" si="149"/>
        <v>12</v>
      </c>
      <c r="EC53" s="151">
        <f t="shared" ca="1" si="149"/>
        <v>12</v>
      </c>
      <c r="ED53" s="151">
        <f t="shared" ca="1" si="149"/>
        <v>12</v>
      </c>
      <c r="EE53" s="151">
        <f t="shared" ca="1" si="149"/>
        <v>12</v>
      </c>
      <c r="EF53" s="151">
        <f t="shared" ref="EF53:FN53" ca="1" si="150">EE57</f>
        <v>12</v>
      </c>
      <c r="EG53" s="151">
        <f t="shared" ca="1" si="150"/>
        <v>12</v>
      </c>
      <c r="EH53" s="151">
        <f t="shared" ca="1" si="150"/>
        <v>12</v>
      </c>
      <c r="EI53" s="151">
        <f t="shared" ca="1" si="150"/>
        <v>12</v>
      </c>
      <c r="EJ53" s="151">
        <f t="shared" ca="1" si="150"/>
        <v>12</v>
      </c>
      <c r="EK53" s="151">
        <f t="shared" ca="1" si="150"/>
        <v>12</v>
      </c>
      <c r="EL53" s="151">
        <f t="shared" ca="1" si="150"/>
        <v>12</v>
      </c>
      <c r="EM53" s="151">
        <f t="shared" ca="1" si="150"/>
        <v>12</v>
      </c>
      <c r="EN53" s="151">
        <f t="shared" ca="1" si="150"/>
        <v>12</v>
      </c>
      <c r="EO53" s="151">
        <f t="shared" ca="1" si="150"/>
        <v>12</v>
      </c>
      <c r="EP53" s="151">
        <f t="shared" ca="1" si="150"/>
        <v>12</v>
      </c>
      <c r="EQ53" s="151">
        <f t="shared" ca="1" si="150"/>
        <v>12</v>
      </c>
      <c r="ER53" s="151">
        <f t="shared" ca="1" si="150"/>
        <v>12</v>
      </c>
      <c r="ES53" s="151">
        <f t="shared" ca="1" si="150"/>
        <v>12</v>
      </c>
      <c r="ET53" s="151">
        <f t="shared" ca="1" si="150"/>
        <v>12</v>
      </c>
      <c r="EU53" s="151">
        <f t="shared" ca="1" si="150"/>
        <v>12</v>
      </c>
      <c r="EV53" s="151">
        <f t="shared" ca="1" si="150"/>
        <v>12</v>
      </c>
      <c r="EW53" s="151">
        <f t="shared" ca="1" si="150"/>
        <v>12</v>
      </c>
      <c r="EX53" s="151">
        <f t="shared" ca="1" si="150"/>
        <v>12</v>
      </c>
      <c r="EY53" s="151">
        <f t="shared" ca="1" si="150"/>
        <v>12</v>
      </c>
      <c r="EZ53" s="151">
        <f t="shared" ca="1" si="150"/>
        <v>12</v>
      </c>
      <c r="FA53" s="151">
        <f t="shared" ca="1" si="150"/>
        <v>12</v>
      </c>
      <c r="FB53" s="151">
        <f t="shared" ca="1" si="150"/>
        <v>12</v>
      </c>
      <c r="FC53" s="151">
        <f t="shared" ca="1" si="150"/>
        <v>12</v>
      </c>
      <c r="FD53" s="151">
        <f t="shared" ca="1" si="150"/>
        <v>12</v>
      </c>
      <c r="FE53" s="151">
        <f t="shared" ca="1" si="150"/>
        <v>12</v>
      </c>
      <c r="FF53" s="151">
        <f t="shared" ca="1" si="150"/>
        <v>12</v>
      </c>
      <c r="FG53" s="151">
        <f t="shared" ca="1" si="150"/>
        <v>12</v>
      </c>
      <c r="FH53" s="151">
        <f t="shared" ca="1" si="150"/>
        <v>12</v>
      </c>
      <c r="FI53" s="151">
        <f t="shared" ca="1" si="150"/>
        <v>12</v>
      </c>
      <c r="FJ53" s="151">
        <f t="shared" ca="1" si="150"/>
        <v>12</v>
      </c>
      <c r="FK53" s="151">
        <f t="shared" ca="1" si="150"/>
        <v>12</v>
      </c>
      <c r="FL53" s="151">
        <f t="shared" ca="1" si="150"/>
        <v>12</v>
      </c>
      <c r="FM53" s="151">
        <f t="shared" ca="1" si="150"/>
        <v>12</v>
      </c>
      <c r="FN53" s="151">
        <f t="shared" ca="1" si="150"/>
        <v>12</v>
      </c>
      <c r="FO53" s="144" t="s">
        <v>243</v>
      </c>
    </row>
    <row r="54" spans="2:171" x14ac:dyDescent="0.2">
      <c r="B54" s="721" t="s">
        <v>15</v>
      </c>
      <c r="D54" s="550">
        <f>H44</f>
        <v>0</v>
      </c>
      <c r="E54" s="550">
        <f t="shared" si="144"/>
        <v>0</v>
      </c>
      <c r="F54" s="960">
        <f>IFERROR(D54/$D$49,0)</f>
        <v>0</v>
      </c>
      <c r="G54" s="550"/>
      <c r="H54" s="550"/>
      <c r="I54" s="550"/>
      <c r="J54" s="550"/>
      <c r="K54" s="550"/>
      <c r="L54" s="550"/>
      <c r="AK54" s="144" t="s">
        <v>321</v>
      </c>
      <c r="AL54" s="151">
        <f t="shared" ref="AL54:BQ54" si="151">AL18</f>
        <v>0</v>
      </c>
      <c r="AM54" s="151">
        <f t="shared" si="151"/>
        <v>9</v>
      </c>
      <c r="AN54" s="151">
        <f>AN18</f>
        <v>9</v>
      </c>
      <c r="AO54" s="151">
        <f t="shared" si="151"/>
        <v>9</v>
      </c>
      <c r="AP54" s="151">
        <f t="shared" si="151"/>
        <v>9</v>
      </c>
      <c r="AQ54" s="151">
        <f t="shared" si="151"/>
        <v>9</v>
      </c>
      <c r="AR54" s="151">
        <f>AR18</f>
        <v>9</v>
      </c>
      <c r="AS54" s="151">
        <f t="shared" si="151"/>
        <v>9</v>
      </c>
      <c r="AT54" s="151">
        <f t="shared" si="151"/>
        <v>9</v>
      </c>
      <c r="AU54" s="151">
        <f t="shared" si="151"/>
        <v>9</v>
      </c>
      <c r="AV54" s="151">
        <f t="shared" si="151"/>
        <v>9</v>
      </c>
      <c r="AW54" s="151">
        <f t="shared" si="151"/>
        <v>9</v>
      </c>
      <c r="AX54" s="151">
        <f t="shared" si="151"/>
        <v>9</v>
      </c>
      <c r="AY54" s="151">
        <f t="shared" si="151"/>
        <v>10</v>
      </c>
      <c r="AZ54" s="151">
        <f t="shared" si="151"/>
        <v>10</v>
      </c>
      <c r="BA54" s="151">
        <f t="shared" si="151"/>
        <v>10</v>
      </c>
      <c r="BB54" s="151">
        <f t="shared" si="151"/>
        <v>10</v>
      </c>
      <c r="BC54" s="151">
        <f t="shared" si="151"/>
        <v>10</v>
      </c>
      <c r="BD54" s="151">
        <f t="shared" si="151"/>
        <v>10</v>
      </c>
      <c r="BE54" s="151">
        <f t="shared" si="151"/>
        <v>10</v>
      </c>
      <c r="BF54" s="151">
        <f t="shared" si="151"/>
        <v>10</v>
      </c>
      <c r="BG54" s="151">
        <f t="shared" si="151"/>
        <v>10</v>
      </c>
      <c r="BH54" s="151">
        <f t="shared" si="151"/>
        <v>10</v>
      </c>
      <c r="BI54" s="151">
        <f t="shared" si="151"/>
        <v>10</v>
      </c>
      <c r="BJ54" s="151">
        <f t="shared" si="151"/>
        <v>10</v>
      </c>
      <c r="BK54" s="151">
        <f t="shared" si="151"/>
        <v>9</v>
      </c>
      <c r="BL54" s="151">
        <f t="shared" si="151"/>
        <v>9</v>
      </c>
      <c r="BM54" s="151">
        <f t="shared" si="151"/>
        <v>9</v>
      </c>
      <c r="BN54" s="151">
        <f t="shared" si="151"/>
        <v>9</v>
      </c>
      <c r="BO54" s="151">
        <f t="shared" si="151"/>
        <v>9</v>
      </c>
      <c r="BP54" s="151">
        <f t="shared" si="151"/>
        <v>9</v>
      </c>
      <c r="BQ54" s="151">
        <f t="shared" si="151"/>
        <v>9</v>
      </c>
      <c r="BR54" s="151">
        <f t="shared" ref="BR54:CW54" si="152">BR18</f>
        <v>9</v>
      </c>
      <c r="BS54" s="151">
        <f t="shared" si="152"/>
        <v>9</v>
      </c>
      <c r="BT54" s="151">
        <f t="shared" si="152"/>
        <v>9</v>
      </c>
      <c r="BU54" s="151">
        <f t="shared" si="152"/>
        <v>9</v>
      </c>
      <c r="BV54" s="151">
        <f t="shared" si="152"/>
        <v>9</v>
      </c>
      <c r="BW54" s="151">
        <f t="shared" si="152"/>
        <v>9</v>
      </c>
      <c r="BX54" s="151">
        <f t="shared" si="152"/>
        <v>9</v>
      </c>
      <c r="BY54" s="151">
        <f t="shared" si="152"/>
        <v>9</v>
      </c>
      <c r="BZ54" s="151">
        <f t="shared" si="152"/>
        <v>9</v>
      </c>
      <c r="CA54" s="151">
        <f t="shared" si="152"/>
        <v>9</v>
      </c>
      <c r="CB54" s="151">
        <f t="shared" si="152"/>
        <v>9</v>
      </c>
      <c r="CC54" s="151">
        <f t="shared" si="152"/>
        <v>9</v>
      </c>
      <c r="CD54" s="151">
        <f t="shared" si="152"/>
        <v>9</v>
      </c>
      <c r="CE54" s="151">
        <f t="shared" si="152"/>
        <v>9</v>
      </c>
      <c r="CF54" s="151">
        <f t="shared" si="152"/>
        <v>9</v>
      </c>
      <c r="CG54" s="151">
        <f t="shared" si="152"/>
        <v>9</v>
      </c>
      <c r="CH54" s="151">
        <f t="shared" si="152"/>
        <v>9</v>
      </c>
      <c r="CI54" s="151">
        <f t="shared" si="152"/>
        <v>9</v>
      </c>
      <c r="CJ54" s="151">
        <f t="shared" si="152"/>
        <v>9</v>
      </c>
      <c r="CK54" s="151">
        <f t="shared" si="152"/>
        <v>9</v>
      </c>
      <c r="CL54" s="151">
        <f t="shared" si="152"/>
        <v>9</v>
      </c>
      <c r="CM54" s="151">
        <f t="shared" si="152"/>
        <v>9</v>
      </c>
      <c r="CN54" s="151">
        <f t="shared" si="152"/>
        <v>9</v>
      </c>
      <c r="CO54" s="151">
        <f t="shared" si="152"/>
        <v>9</v>
      </c>
      <c r="CP54" s="151">
        <f t="shared" si="152"/>
        <v>9</v>
      </c>
      <c r="CQ54" s="151">
        <f t="shared" si="152"/>
        <v>9</v>
      </c>
      <c r="CR54" s="151">
        <f t="shared" si="152"/>
        <v>9</v>
      </c>
      <c r="CS54" s="151">
        <f t="shared" si="152"/>
        <v>9</v>
      </c>
      <c r="CT54" s="151">
        <f t="shared" si="152"/>
        <v>9</v>
      </c>
      <c r="CU54" s="151">
        <f t="shared" si="152"/>
        <v>9</v>
      </c>
      <c r="CV54" s="151">
        <f t="shared" si="152"/>
        <v>9</v>
      </c>
      <c r="CW54" s="151">
        <f t="shared" si="152"/>
        <v>9</v>
      </c>
      <c r="CX54" s="151">
        <f t="shared" ref="CX54:EC54" si="153">CX18</f>
        <v>9</v>
      </c>
      <c r="CY54" s="151">
        <f t="shared" si="153"/>
        <v>9</v>
      </c>
      <c r="CZ54" s="151">
        <f t="shared" si="153"/>
        <v>9</v>
      </c>
      <c r="DA54" s="151">
        <f t="shared" si="153"/>
        <v>9</v>
      </c>
      <c r="DB54" s="151">
        <f t="shared" si="153"/>
        <v>9</v>
      </c>
      <c r="DC54" s="151">
        <f t="shared" si="153"/>
        <v>9</v>
      </c>
      <c r="DD54" s="151">
        <f t="shared" si="153"/>
        <v>9</v>
      </c>
      <c r="DE54" s="151">
        <f t="shared" si="153"/>
        <v>9</v>
      </c>
      <c r="DF54" s="151">
        <f t="shared" si="153"/>
        <v>9</v>
      </c>
      <c r="DG54" s="151">
        <f t="shared" si="153"/>
        <v>9</v>
      </c>
      <c r="DH54" s="151">
        <f t="shared" si="153"/>
        <v>9</v>
      </c>
      <c r="DI54" s="151">
        <f t="shared" si="153"/>
        <v>9</v>
      </c>
      <c r="DJ54" s="151">
        <f t="shared" si="153"/>
        <v>9</v>
      </c>
      <c r="DK54" s="151">
        <f t="shared" si="153"/>
        <v>9</v>
      </c>
      <c r="DL54" s="151">
        <f t="shared" si="153"/>
        <v>9</v>
      </c>
      <c r="DM54" s="151">
        <f t="shared" si="153"/>
        <v>9</v>
      </c>
      <c r="DN54" s="151">
        <f t="shared" si="153"/>
        <v>9</v>
      </c>
      <c r="DO54" s="151">
        <f t="shared" si="153"/>
        <v>9</v>
      </c>
      <c r="DP54" s="151">
        <f t="shared" si="153"/>
        <v>9</v>
      </c>
      <c r="DQ54" s="151">
        <f t="shared" si="153"/>
        <v>9</v>
      </c>
      <c r="DR54" s="151">
        <f t="shared" si="153"/>
        <v>9</v>
      </c>
      <c r="DS54" s="151">
        <f t="shared" si="153"/>
        <v>9</v>
      </c>
      <c r="DT54" s="151">
        <f t="shared" si="153"/>
        <v>9</v>
      </c>
      <c r="DU54" s="151">
        <f t="shared" si="153"/>
        <v>9</v>
      </c>
      <c r="DV54" s="151">
        <f t="shared" si="153"/>
        <v>9</v>
      </c>
      <c r="DW54" s="151">
        <f t="shared" si="153"/>
        <v>9</v>
      </c>
      <c r="DX54" s="151">
        <f t="shared" si="153"/>
        <v>9</v>
      </c>
      <c r="DY54" s="151">
        <f t="shared" si="153"/>
        <v>9</v>
      </c>
      <c r="DZ54" s="151">
        <f t="shared" si="153"/>
        <v>9</v>
      </c>
      <c r="EA54" s="151">
        <f t="shared" si="153"/>
        <v>9</v>
      </c>
      <c r="EB54" s="151">
        <f t="shared" si="153"/>
        <v>9</v>
      </c>
      <c r="EC54" s="151">
        <f t="shared" si="153"/>
        <v>9</v>
      </c>
      <c r="ED54" s="151">
        <f t="shared" ref="ED54:FN54" si="154">ED18</f>
        <v>9</v>
      </c>
      <c r="EE54" s="151">
        <f t="shared" si="154"/>
        <v>9</v>
      </c>
      <c r="EF54" s="151">
        <f t="shared" si="154"/>
        <v>9</v>
      </c>
      <c r="EG54" s="151">
        <f t="shared" si="154"/>
        <v>9</v>
      </c>
      <c r="EH54" s="151">
        <f t="shared" si="154"/>
        <v>9</v>
      </c>
      <c r="EI54" s="151">
        <f t="shared" si="154"/>
        <v>9</v>
      </c>
      <c r="EJ54" s="151">
        <f t="shared" si="154"/>
        <v>9</v>
      </c>
      <c r="EK54" s="151">
        <f t="shared" si="154"/>
        <v>9</v>
      </c>
      <c r="EL54" s="151">
        <f t="shared" si="154"/>
        <v>9</v>
      </c>
      <c r="EM54" s="151">
        <f t="shared" si="154"/>
        <v>9</v>
      </c>
      <c r="EN54" s="151">
        <f t="shared" si="154"/>
        <v>9</v>
      </c>
      <c r="EO54" s="151">
        <f t="shared" si="154"/>
        <v>9</v>
      </c>
      <c r="EP54" s="151">
        <f t="shared" si="154"/>
        <v>9</v>
      </c>
      <c r="EQ54" s="151">
        <f t="shared" si="154"/>
        <v>9</v>
      </c>
      <c r="ER54" s="151">
        <f t="shared" si="154"/>
        <v>9</v>
      </c>
      <c r="ES54" s="151">
        <f t="shared" si="154"/>
        <v>9</v>
      </c>
      <c r="ET54" s="151">
        <f t="shared" si="154"/>
        <v>9</v>
      </c>
      <c r="EU54" s="151">
        <f t="shared" si="154"/>
        <v>9</v>
      </c>
      <c r="EV54" s="151">
        <f t="shared" si="154"/>
        <v>9</v>
      </c>
      <c r="EW54" s="151">
        <f t="shared" si="154"/>
        <v>9</v>
      </c>
      <c r="EX54" s="151">
        <f t="shared" si="154"/>
        <v>9</v>
      </c>
      <c r="EY54" s="151">
        <f t="shared" si="154"/>
        <v>9</v>
      </c>
      <c r="EZ54" s="151">
        <f t="shared" si="154"/>
        <v>9</v>
      </c>
      <c r="FA54" s="151">
        <f t="shared" si="154"/>
        <v>9</v>
      </c>
      <c r="FB54" s="151">
        <f t="shared" si="154"/>
        <v>9</v>
      </c>
      <c r="FC54" s="151">
        <f t="shared" si="154"/>
        <v>9</v>
      </c>
      <c r="FD54" s="151">
        <f t="shared" si="154"/>
        <v>9</v>
      </c>
      <c r="FE54" s="151">
        <f t="shared" si="154"/>
        <v>9</v>
      </c>
      <c r="FF54" s="151">
        <f t="shared" si="154"/>
        <v>9</v>
      </c>
      <c r="FG54" s="151">
        <f t="shared" si="154"/>
        <v>9</v>
      </c>
      <c r="FH54" s="151">
        <f t="shared" si="154"/>
        <v>9</v>
      </c>
      <c r="FI54" s="151">
        <f t="shared" si="154"/>
        <v>9</v>
      </c>
      <c r="FJ54" s="151">
        <f t="shared" si="154"/>
        <v>9</v>
      </c>
      <c r="FK54" s="151">
        <f t="shared" si="154"/>
        <v>9</v>
      </c>
      <c r="FL54" s="151">
        <f t="shared" si="154"/>
        <v>9</v>
      </c>
      <c r="FM54" s="151">
        <f t="shared" si="154"/>
        <v>9</v>
      </c>
      <c r="FN54" s="151">
        <f t="shared" si="154"/>
        <v>9</v>
      </c>
      <c r="FO54" s="144" t="s">
        <v>243</v>
      </c>
    </row>
    <row r="55" spans="2:171" ht="15" thickBot="1" x14ac:dyDescent="0.25">
      <c r="B55" s="721" t="s">
        <v>78</v>
      </c>
      <c r="D55" s="550">
        <f>J44</f>
        <v>0</v>
      </c>
      <c r="E55" s="550">
        <f t="shared" si="144"/>
        <v>0</v>
      </c>
      <c r="F55" s="981">
        <f t="shared" si="145"/>
        <v>0</v>
      </c>
      <c r="G55" s="550"/>
      <c r="H55" s="550"/>
      <c r="I55" s="550"/>
      <c r="J55" s="550"/>
      <c r="K55" s="550"/>
      <c r="L55" s="550"/>
      <c r="AK55" s="144" t="s">
        <v>250</v>
      </c>
      <c r="AL55" s="151">
        <f t="shared" ref="AL55:CW55" si="155">AL45</f>
        <v>0</v>
      </c>
      <c r="AM55" s="151">
        <f>AM45</f>
        <v>5</v>
      </c>
      <c r="AN55" s="151">
        <f>AN45</f>
        <v>5</v>
      </c>
      <c r="AO55" s="151">
        <f t="shared" si="155"/>
        <v>5</v>
      </c>
      <c r="AP55" s="151">
        <f t="shared" si="155"/>
        <v>5</v>
      </c>
      <c r="AQ55" s="151">
        <f t="shared" si="155"/>
        <v>5</v>
      </c>
      <c r="AR55" s="151">
        <f t="shared" si="155"/>
        <v>5</v>
      </c>
      <c r="AS55" s="151">
        <f t="shared" si="155"/>
        <v>5</v>
      </c>
      <c r="AT55" s="151">
        <f t="shared" si="155"/>
        <v>5</v>
      </c>
      <c r="AU55" s="151">
        <f t="shared" si="155"/>
        <v>5</v>
      </c>
      <c r="AV55" s="151">
        <f t="shared" si="155"/>
        <v>5</v>
      </c>
      <c r="AW55" s="151">
        <f t="shared" si="155"/>
        <v>5</v>
      </c>
      <c r="AX55" s="151">
        <f t="shared" si="155"/>
        <v>5</v>
      </c>
      <c r="AY55" s="151">
        <f t="shared" si="155"/>
        <v>8</v>
      </c>
      <c r="AZ55" s="151">
        <f t="shared" si="155"/>
        <v>8</v>
      </c>
      <c r="BA55" s="151">
        <f t="shared" si="155"/>
        <v>8</v>
      </c>
      <c r="BB55" s="151">
        <f t="shared" si="155"/>
        <v>8</v>
      </c>
      <c r="BC55" s="151">
        <f t="shared" si="155"/>
        <v>8</v>
      </c>
      <c r="BD55" s="151">
        <f t="shared" si="155"/>
        <v>8</v>
      </c>
      <c r="BE55" s="151">
        <f t="shared" si="155"/>
        <v>8</v>
      </c>
      <c r="BF55" s="151">
        <f t="shared" si="155"/>
        <v>7</v>
      </c>
      <c r="BG55" s="151">
        <f t="shared" si="155"/>
        <v>7</v>
      </c>
      <c r="BH55" s="151">
        <f t="shared" si="155"/>
        <v>7</v>
      </c>
      <c r="BI55" s="151">
        <f t="shared" si="155"/>
        <v>7</v>
      </c>
      <c r="BJ55" s="151">
        <f t="shared" si="155"/>
        <v>7</v>
      </c>
      <c r="BK55" s="151">
        <f t="shared" si="155"/>
        <v>7</v>
      </c>
      <c r="BL55" s="151">
        <f t="shared" si="155"/>
        <v>7</v>
      </c>
      <c r="BM55" s="151">
        <f t="shared" si="155"/>
        <v>5</v>
      </c>
      <c r="BN55" s="151">
        <f t="shared" si="155"/>
        <v>5</v>
      </c>
      <c r="BO55" s="151">
        <f t="shared" si="155"/>
        <v>5</v>
      </c>
      <c r="BP55" s="151">
        <f t="shared" si="155"/>
        <v>5</v>
      </c>
      <c r="BQ55" s="151">
        <f t="shared" si="155"/>
        <v>5</v>
      </c>
      <c r="BR55" s="151">
        <f t="shared" si="155"/>
        <v>5</v>
      </c>
      <c r="BS55" s="151">
        <f t="shared" si="155"/>
        <v>0</v>
      </c>
      <c r="BT55" s="151">
        <f t="shared" si="155"/>
        <v>0</v>
      </c>
      <c r="BU55" s="151">
        <f t="shared" si="155"/>
        <v>0</v>
      </c>
      <c r="BV55" s="151">
        <f t="shared" si="155"/>
        <v>0</v>
      </c>
      <c r="BW55" s="151">
        <f t="shared" si="155"/>
        <v>0</v>
      </c>
      <c r="BX55" s="151">
        <f t="shared" si="155"/>
        <v>0</v>
      </c>
      <c r="BY55" s="151">
        <f t="shared" si="155"/>
        <v>0</v>
      </c>
      <c r="BZ55" s="151">
        <f t="shared" si="155"/>
        <v>0</v>
      </c>
      <c r="CA55" s="151">
        <f t="shared" si="155"/>
        <v>0</v>
      </c>
      <c r="CB55" s="151">
        <f t="shared" si="155"/>
        <v>0</v>
      </c>
      <c r="CC55" s="151">
        <f t="shared" si="155"/>
        <v>0</v>
      </c>
      <c r="CD55" s="151">
        <f t="shared" si="155"/>
        <v>0</v>
      </c>
      <c r="CE55" s="151">
        <f t="shared" si="155"/>
        <v>0</v>
      </c>
      <c r="CF55" s="151">
        <f t="shared" si="155"/>
        <v>0</v>
      </c>
      <c r="CG55" s="151">
        <f t="shared" si="155"/>
        <v>0</v>
      </c>
      <c r="CH55" s="151">
        <f t="shared" si="155"/>
        <v>0</v>
      </c>
      <c r="CI55" s="151">
        <f t="shared" si="155"/>
        <v>0</v>
      </c>
      <c r="CJ55" s="151">
        <f t="shared" si="155"/>
        <v>0</v>
      </c>
      <c r="CK55" s="151">
        <f t="shared" si="155"/>
        <v>0</v>
      </c>
      <c r="CL55" s="151">
        <f t="shared" si="155"/>
        <v>0</v>
      </c>
      <c r="CM55" s="151">
        <f t="shared" si="155"/>
        <v>0</v>
      </c>
      <c r="CN55" s="151">
        <f t="shared" si="155"/>
        <v>0</v>
      </c>
      <c r="CO55" s="151">
        <f t="shared" si="155"/>
        <v>0</v>
      </c>
      <c r="CP55" s="151">
        <f t="shared" si="155"/>
        <v>0</v>
      </c>
      <c r="CQ55" s="151">
        <f t="shared" si="155"/>
        <v>0</v>
      </c>
      <c r="CR55" s="151">
        <f t="shared" si="155"/>
        <v>0</v>
      </c>
      <c r="CS55" s="151">
        <f t="shared" si="155"/>
        <v>0</v>
      </c>
      <c r="CT55" s="151">
        <f t="shared" si="155"/>
        <v>0</v>
      </c>
      <c r="CU55" s="151">
        <f t="shared" si="155"/>
        <v>0</v>
      </c>
      <c r="CV55" s="151">
        <f t="shared" si="155"/>
        <v>0</v>
      </c>
      <c r="CW55" s="151">
        <f t="shared" si="155"/>
        <v>0</v>
      </c>
      <c r="CX55" s="151">
        <f t="shared" ref="CX55:FI55" si="156">CX45</f>
        <v>0</v>
      </c>
      <c r="CY55" s="151">
        <f t="shared" si="156"/>
        <v>0</v>
      </c>
      <c r="CZ55" s="151">
        <f t="shared" si="156"/>
        <v>0</v>
      </c>
      <c r="DA55" s="151">
        <f t="shared" si="156"/>
        <v>0</v>
      </c>
      <c r="DB55" s="151">
        <f t="shared" si="156"/>
        <v>0</v>
      </c>
      <c r="DC55" s="151">
        <f t="shared" si="156"/>
        <v>0</v>
      </c>
      <c r="DD55" s="151">
        <f t="shared" si="156"/>
        <v>0</v>
      </c>
      <c r="DE55" s="151">
        <f t="shared" si="156"/>
        <v>0</v>
      </c>
      <c r="DF55" s="151">
        <f t="shared" si="156"/>
        <v>0</v>
      </c>
      <c r="DG55" s="151">
        <f t="shared" si="156"/>
        <v>0</v>
      </c>
      <c r="DH55" s="151">
        <f t="shared" si="156"/>
        <v>0</v>
      </c>
      <c r="DI55" s="151">
        <f t="shared" si="156"/>
        <v>0</v>
      </c>
      <c r="DJ55" s="151">
        <f t="shared" si="156"/>
        <v>0</v>
      </c>
      <c r="DK55" s="151">
        <f t="shared" si="156"/>
        <v>0</v>
      </c>
      <c r="DL55" s="151">
        <f t="shared" si="156"/>
        <v>0</v>
      </c>
      <c r="DM55" s="151">
        <f t="shared" si="156"/>
        <v>0</v>
      </c>
      <c r="DN55" s="151">
        <f t="shared" si="156"/>
        <v>0</v>
      </c>
      <c r="DO55" s="151">
        <f t="shared" si="156"/>
        <v>0</v>
      </c>
      <c r="DP55" s="151">
        <f t="shared" si="156"/>
        <v>0</v>
      </c>
      <c r="DQ55" s="151">
        <f t="shared" si="156"/>
        <v>0</v>
      </c>
      <c r="DR55" s="151">
        <f t="shared" si="156"/>
        <v>0</v>
      </c>
      <c r="DS55" s="151">
        <f t="shared" si="156"/>
        <v>0</v>
      </c>
      <c r="DT55" s="151">
        <f t="shared" si="156"/>
        <v>0</v>
      </c>
      <c r="DU55" s="151">
        <f t="shared" si="156"/>
        <v>0</v>
      </c>
      <c r="DV55" s="151">
        <f t="shared" si="156"/>
        <v>0</v>
      </c>
      <c r="DW55" s="151">
        <f t="shared" si="156"/>
        <v>0</v>
      </c>
      <c r="DX55" s="151">
        <f t="shared" si="156"/>
        <v>0</v>
      </c>
      <c r="DY55" s="151">
        <f t="shared" si="156"/>
        <v>0</v>
      </c>
      <c r="DZ55" s="151">
        <f t="shared" si="156"/>
        <v>0</v>
      </c>
      <c r="EA55" s="151">
        <f t="shared" si="156"/>
        <v>0</v>
      </c>
      <c r="EB55" s="151">
        <f t="shared" si="156"/>
        <v>0</v>
      </c>
      <c r="EC55" s="151">
        <f t="shared" si="156"/>
        <v>0</v>
      </c>
      <c r="ED55" s="151">
        <f t="shared" si="156"/>
        <v>0</v>
      </c>
      <c r="EE55" s="151">
        <f t="shared" si="156"/>
        <v>0</v>
      </c>
      <c r="EF55" s="151">
        <f t="shared" si="156"/>
        <v>0</v>
      </c>
      <c r="EG55" s="151">
        <f t="shared" si="156"/>
        <v>0</v>
      </c>
      <c r="EH55" s="151">
        <f t="shared" si="156"/>
        <v>0</v>
      </c>
      <c r="EI55" s="151">
        <f t="shared" si="156"/>
        <v>0</v>
      </c>
      <c r="EJ55" s="151">
        <f t="shared" si="156"/>
        <v>0</v>
      </c>
      <c r="EK55" s="151">
        <f t="shared" si="156"/>
        <v>0</v>
      </c>
      <c r="EL55" s="151">
        <f t="shared" si="156"/>
        <v>0</v>
      </c>
      <c r="EM55" s="151">
        <f t="shared" si="156"/>
        <v>0</v>
      </c>
      <c r="EN55" s="151">
        <f t="shared" si="156"/>
        <v>0</v>
      </c>
      <c r="EO55" s="151">
        <f t="shared" si="156"/>
        <v>0</v>
      </c>
      <c r="EP55" s="151">
        <f t="shared" si="156"/>
        <v>0</v>
      </c>
      <c r="EQ55" s="151">
        <f t="shared" si="156"/>
        <v>0</v>
      </c>
      <c r="ER55" s="151">
        <f t="shared" si="156"/>
        <v>0</v>
      </c>
      <c r="ES55" s="151">
        <f t="shared" si="156"/>
        <v>0</v>
      </c>
      <c r="ET55" s="151">
        <f t="shared" si="156"/>
        <v>0</v>
      </c>
      <c r="EU55" s="151">
        <f t="shared" si="156"/>
        <v>0</v>
      </c>
      <c r="EV55" s="151">
        <f t="shared" si="156"/>
        <v>0</v>
      </c>
      <c r="EW55" s="151">
        <f t="shared" si="156"/>
        <v>0</v>
      </c>
      <c r="EX55" s="151">
        <f t="shared" si="156"/>
        <v>0</v>
      </c>
      <c r="EY55" s="151">
        <f t="shared" si="156"/>
        <v>0</v>
      </c>
      <c r="EZ55" s="151">
        <f t="shared" si="156"/>
        <v>0</v>
      </c>
      <c r="FA55" s="151">
        <f t="shared" si="156"/>
        <v>0</v>
      </c>
      <c r="FB55" s="151">
        <f t="shared" si="156"/>
        <v>0</v>
      </c>
      <c r="FC55" s="151">
        <f t="shared" si="156"/>
        <v>0</v>
      </c>
      <c r="FD55" s="151">
        <f t="shared" si="156"/>
        <v>0</v>
      </c>
      <c r="FE55" s="151">
        <f t="shared" si="156"/>
        <v>0</v>
      </c>
      <c r="FF55" s="151">
        <f t="shared" si="156"/>
        <v>0</v>
      </c>
      <c r="FG55" s="151">
        <f t="shared" si="156"/>
        <v>0</v>
      </c>
      <c r="FH55" s="151">
        <f t="shared" si="156"/>
        <v>0</v>
      </c>
      <c r="FI55" s="151">
        <f t="shared" si="156"/>
        <v>0</v>
      </c>
      <c r="FJ55" s="151">
        <f t="shared" ref="FJ55:FN55" si="157">FJ45</f>
        <v>0</v>
      </c>
      <c r="FK55" s="151">
        <f t="shared" si="157"/>
        <v>0</v>
      </c>
      <c r="FL55" s="151">
        <f t="shared" si="157"/>
        <v>0</v>
      </c>
      <c r="FM55" s="151">
        <f t="shared" si="157"/>
        <v>0</v>
      </c>
      <c r="FN55" s="151">
        <f t="shared" si="157"/>
        <v>0</v>
      </c>
      <c r="FO55" s="144" t="s">
        <v>243</v>
      </c>
    </row>
    <row r="56" spans="2:171" ht="15" thickBot="1" x14ac:dyDescent="0.25">
      <c r="B56" s="986" t="s">
        <v>364</v>
      </c>
      <c r="C56" s="987"/>
      <c r="D56" s="988">
        <f>SUM(D53:D55)</f>
        <v>285890</v>
      </c>
      <c r="E56" s="988">
        <f t="shared" si="144"/>
        <v>3430680</v>
      </c>
      <c r="F56" s="989">
        <f t="shared" si="145"/>
        <v>0.88976377952755903</v>
      </c>
      <c r="G56" s="550"/>
      <c r="H56" s="550"/>
      <c r="I56" s="550"/>
      <c r="J56" s="550"/>
      <c r="K56" s="550"/>
      <c r="L56" s="550"/>
      <c r="AI56" s="152"/>
      <c r="AK56" s="144" t="s">
        <v>365</v>
      </c>
      <c r="AL56" s="151">
        <v>0</v>
      </c>
      <c r="AM56" s="151">
        <f ca="1">ROUND(AM53+AM54-AM55-AM57,0)</f>
        <v>4</v>
      </c>
      <c r="AN56" s="151">
        <f ca="1">ROUND(AN53+AN54-AN55-AN57,0)</f>
        <v>4</v>
      </c>
      <c r="AO56" s="151">
        <f t="shared" ref="AO56:BR56" ca="1" si="158">ROUND(AO53+AO54-AO55-AO57,0)</f>
        <v>4</v>
      </c>
      <c r="AP56" s="151">
        <f t="shared" ca="1" si="158"/>
        <v>4</v>
      </c>
      <c r="AQ56" s="151">
        <f t="shared" ca="1" si="158"/>
        <v>4</v>
      </c>
      <c r="AR56" s="151">
        <f t="shared" ca="1" si="158"/>
        <v>4</v>
      </c>
      <c r="AS56" s="151">
        <f t="shared" ca="1" si="158"/>
        <v>4</v>
      </c>
      <c r="AT56" s="151">
        <f t="shared" ca="1" si="158"/>
        <v>4</v>
      </c>
      <c r="AU56" s="151">
        <f t="shared" ca="1" si="158"/>
        <v>4</v>
      </c>
      <c r="AV56" s="151">
        <f t="shared" ca="1" si="158"/>
        <v>4</v>
      </c>
      <c r="AW56" s="151">
        <f t="shared" ca="1" si="158"/>
        <v>4</v>
      </c>
      <c r="AX56" s="151">
        <f t="shared" ca="1" si="158"/>
        <v>4</v>
      </c>
      <c r="AY56" s="151">
        <f t="shared" ca="1" si="158"/>
        <v>5</v>
      </c>
      <c r="AZ56" s="151">
        <f t="shared" ca="1" si="158"/>
        <v>2</v>
      </c>
      <c r="BA56" s="151">
        <f t="shared" ca="1" si="158"/>
        <v>2</v>
      </c>
      <c r="BB56" s="151">
        <f t="shared" ca="1" si="158"/>
        <v>2</v>
      </c>
      <c r="BC56" s="151">
        <f t="shared" ca="1" si="158"/>
        <v>2</v>
      </c>
      <c r="BD56" s="151">
        <f t="shared" ca="1" si="158"/>
        <v>2</v>
      </c>
      <c r="BE56" s="151">
        <f t="shared" ca="1" si="158"/>
        <v>2</v>
      </c>
      <c r="BF56" s="151">
        <f t="shared" ca="1" si="158"/>
        <v>2</v>
      </c>
      <c r="BG56" s="151">
        <f t="shared" ca="1" si="158"/>
        <v>3</v>
      </c>
      <c r="BH56" s="151">
        <f t="shared" ca="1" si="158"/>
        <v>3</v>
      </c>
      <c r="BI56" s="151">
        <f t="shared" ca="1" si="158"/>
        <v>3</v>
      </c>
      <c r="BJ56" s="151">
        <f t="shared" ca="1" si="158"/>
        <v>3</v>
      </c>
      <c r="BK56" s="151">
        <f t="shared" ca="1" si="158"/>
        <v>5</v>
      </c>
      <c r="BL56" s="151">
        <f t="shared" ca="1" si="158"/>
        <v>2</v>
      </c>
      <c r="BM56" s="151">
        <f t="shared" ca="1" si="158"/>
        <v>2</v>
      </c>
      <c r="BN56" s="151">
        <f t="shared" ca="1" si="158"/>
        <v>4</v>
      </c>
      <c r="BO56" s="151">
        <f t="shared" ca="1" si="158"/>
        <v>4</v>
      </c>
      <c r="BP56" s="151">
        <f t="shared" ca="1" si="158"/>
        <v>4</v>
      </c>
      <c r="BQ56" s="151">
        <f t="shared" ca="1" si="158"/>
        <v>4</v>
      </c>
      <c r="BR56" s="151">
        <f t="shared" ca="1" si="158"/>
        <v>4</v>
      </c>
      <c r="BS56" s="151">
        <f t="shared" ref="BS56:CX56" ca="1" si="159">ROUND(BS53+BS54-BS55-BS57,0)</f>
        <v>4</v>
      </c>
      <c r="BT56" s="151">
        <f t="shared" ca="1" si="159"/>
        <v>9</v>
      </c>
      <c r="BU56" s="151">
        <f t="shared" ca="1" si="159"/>
        <v>9</v>
      </c>
      <c r="BV56" s="151">
        <f t="shared" ca="1" si="159"/>
        <v>9</v>
      </c>
      <c r="BW56" s="151">
        <f t="shared" ca="1" si="159"/>
        <v>9</v>
      </c>
      <c r="BX56" s="151">
        <f t="shared" ca="1" si="159"/>
        <v>9</v>
      </c>
      <c r="BY56" s="151">
        <f t="shared" ca="1" si="159"/>
        <v>9</v>
      </c>
      <c r="BZ56" s="151">
        <f t="shared" ca="1" si="159"/>
        <v>9</v>
      </c>
      <c r="CA56" s="151">
        <f t="shared" ca="1" si="159"/>
        <v>9</v>
      </c>
      <c r="CB56" s="151">
        <f t="shared" ca="1" si="159"/>
        <v>9</v>
      </c>
      <c r="CC56" s="151">
        <f t="shared" ca="1" si="159"/>
        <v>9</v>
      </c>
      <c r="CD56" s="151">
        <f t="shared" ca="1" si="159"/>
        <v>9</v>
      </c>
      <c r="CE56" s="151">
        <f t="shared" ca="1" si="159"/>
        <v>9</v>
      </c>
      <c r="CF56" s="151">
        <f t="shared" ca="1" si="159"/>
        <v>9</v>
      </c>
      <c r="CG56" s="151">
        <f t="shared" ca="1" si="159"/>
        <v>9</v>
      </c>
      <c r="CH56" s="151">
        <f t="shared" ca="1" si="159"/>
        <v>9</v>
      </c>
      <c r="CI56" s="151">
        <f t="shared" ca="1" si="159"/>
        <v>9</v>
      </c>
      <c r="CJ56" s="151">
        <f t="shared" ca="1" si="159"/>
        <v>9</v>
      </c>
      <c r="CK56" s="151">
        <f t="shared" ca="1" si="159"/>
        <v>9</v>
      </c>
      <c r="CL56" s="151">
        <f t="shared" ca="1" si="159"/>
        <v>9</v>
      </c>
      <c r="CM56" s="151">
        <f t="shared" ca="1" si="159"/>
        <v>9</v>
      </c>
      <c r="CN56" s="151">
        <f t="shared" ca="1" si="159"/>
        <v>9</v>
      </c>
      <c r="CO56" s="151">
        <f t="shared" ca="1" si="159"/>
        <v>9</v>
      </c>
      <c r="CP56" s="151">
        <f t="shared" ca="1" si="159"/>
        <v>9</v>
      </c>
      <c r="CQ56" s="151">
        <f t="shared" ca="1" si="159"/>
        <v>9</v>
      </c>
      <c r="CR56" s="151">
        <f t="shared" ca="1" si="159"/>
        <v>9</v>
      </c>
      <c r="CS56" s="151">
        <f t="shared" ca="1" si="159"/>
        <v>9</v>
      </c>
      <c r="CT56" s="151">
        <f t="shared" ca="1" si="159"/>
        <v>9</v>
      </c>
      <c r="CU56" s="151">
        <f t="shared" ca="1" si="159"/>
        <v>9</v>
      </c>
      <c r="CV56" s="151">
        <f t="shared" ca="1" si="159"/>
        <v>9</v>
      </c>
      <c r="CW56" s="151">
        <f t="shared" ca="1" si="159"/>
        <v>9</v>
      </c>
      <c r="CX56" s="151">
        <f t="shared" ca="1" si="159"/>
        <v>9</v>
      </c>
      <c r="CY56" s="151">
        <f t="shared" ref="CY56:ED56" ca="1" si="160">ROUND(CY53+CY54-CY55-CY57,0)</f>
        <v>9</v>
      </c>
      <c r="CZ56" s="151">
        <f t="shared" ca="1" si="160"/>
        <v>9</v>
      </c>
      <c r="DA56" s="151">
        <f t="shared" ca="1" si="160"/>
        <v>9</v>
      </c>
      <c r="DB56" s="151">
        <f t="shared" ca="1" si="160"/>
        <v>9</v>
      </c>
      <c r="DC56" s="151">
        <f t="shared" ca="1" si="160"/>
        <v>9</v>
      </c>
      <c r="DD56" s="151">
        <f t="shared" ca="1" si="160"/>
        <v>9</v>
      </c>
      <c r="DE56" s="151">
        <f t="shared" ca="1" si="160"/>
        <v>9</v>
      </c>
      <c r="DF56" s="151">
        <f t="shared" ca="1" si="160"/>
        <v>9</v>
      </c>
      <c r="DG56" s="151">
        <f t="shared" ca="1" si="160"/>
        <v>9</v>
      </c>
      <c r="DH56" s="151">
        <f t="shared" ca="1" si="160"/>
        <v>9</v>
      </c>
      <c r="DI56" s="151">
        <f t="shared" ca="1" si="160"/>
        <v>9</v>
      </c>
      <c r="DJ56" s="151">
        <f t="shared" ca="1" si="160"/>
        <v>9</v>
      </c>
      <c r="DK56" s="151">
        <f t="shared" ca="1" si="160"/>
        <v>9</v>
      </c>
      <c r="DL56" s="151">
        <f t="shared" ca="1" si="160"/>
        <v>9</v>
      </c>
      <c r="DM56" s="151">
        <f t="shared" ca="1" si="160"/>
        <v>9</v>
      </c>
      <c r="DN56" s="151">
        <f t="shared" ca="1" si="160"/>
        <v>9</v>
      </c>
      <c r="DO56" s="151">
        <f t="shared" ca="1" si="160"/>
        <v>9</v>
      </c>
      <c r="DP56" s="151">
        <f t="shared" ca="1" si="160"/>
        <v>9</v>
      </c>
      <c r="DQ56" s="151">
        <f t="shared" ca="1" si="160"/>
        <v>9</v>
      </c>
      <c r="DR56" s="151">
        <f t="shared" ca="1" si="160"/>
        <v>9</v>
      </c>
      <c r="DS56" s="151">
        <f t="shared" ca="1" si="160"/>
        <v>9</v>
      </c>
      <c r="DT56" s="151">
        <f t="shared" ca="1" si="160"/>
        <v>9</v>
      </c>
      <c r="DU56" s="151">
        <f t="shared" ca="1" si="160"/>
        <v>9</v>
      </c>
      <c r="DV56" s="151">
        <f t="shared" ca="1" si="160"/>
        <v>9</v>
      </c>
      <c r="DW56" s="151">
        <f t="shared" ca="1" si="160"/>
        <v>9</v>
      </c>
      <c r="DX56" s="151">
        <f t="shared" ca="1" si="160"/>
        <v>9</v>
      </c>
      <c r="DY56" s="151">
        <f t="shared" ca="1" si="160"/>
        <v>9</v>
      </c>
      <c r="DZ56" s="151">
        <f t="shared" ca="1" si="160"/>
        <v>9</v>
      </c>
      <c r="EA56" s="151">
        <f t="shared" ca="1" si="160"/>
        <v>9</v>
      </c>
      <c r="EB56" s="151">
        <f t="shared" ca="1" si="160"/>
        <v>9</v>
      </c>
      <c r="EC56" s="151">
        <f t="shared" ca="1" si="160"/>
        <v>9</v>
      </c>
      <c r="ED56" s="151">
        <f t="shared" ca="1" si="160"/>
        <v>9</v>
      </c>
      <c r="EE56" s="151">
        <f t="shared" ref="EE56:FJ56" ca="1" si="161">ROUND(EE53+EE54-EE55-EE57,0)</f>
        <v>9</v>
      </c>
      <c r="EF56" s="151">
        <f t="shared" ca="1" si="161"/>
        <v>9</v>
      </c>
      <c r="EG56" s="151">
        <f t="shared" ca="1" si="161"/>
        <v>9</v>
      </c>
      <c r="EH56" s="151">
        <f t="shared" ca="1" si="161"/>
        <v>9</v>
      </c>
      <c r="EI56" s="151">
        <f t="shared" ca="1" si="161"/>
        <v>9</v>
      </c>
      <c r="EJ56" s="151">
        <f t="shared" ca="1" si="161"/>
        <v>9</v>
      </c>
      <c r="EK56" s="151">
        <f t="shared" ca="1" si="161"/>
        <v>9</v>
      </c>
      <c r="EL56" s="151">
        <f t="shared" ca="1" si="161"/>
        <v>9</v>
      </c>
      <c r="EM56" s="151">
        <f t="shared" ca="1" si="161"/>
        <v>9</v>
      </c>
      <c r="EN56" s="151">
        <f t="shared" ca="1" si="161"/>
        <v>9</v>
      </c>
      <c r="EO56" s="151">
        <f t="shared" ca="1" si="161"/>
        <v>9</v>
      </c>
      <c r="EP56" s="151">
        <f t="shared" ca="1" si="161"/>
        <v>9</v>
      </c>
      <c r="EQ56" s="151">
        <f t="shared" ca="1" si="161"/>
        <v>9</v>
      </c>
      <c r="ER56" s="151">
        <f t="shared" ca="1" si="161"/>
        <v>9</v>
      </c>
      <c r="ES56" s="151">
        <f t="shared" ca="1" si="161"/>
        <v>9</v>
      </c>
      <c r="ET56" s="151">
        <f t="shared" ca="1" si="161"/>
        <v>9</v>
      </c>
      <c r="EU56" s="151">
        <f t="shared" ca="1" si="161"/>
        <v>9</v>
      </c>
      <c r="EV56" s="151">
        <f t="shared" ca="1" si="161"/>
        <v>9</v>
      </c>
      <c r="EW56" s="151">
        <f t="shared" ca="1" si="161"/>
        <v>9</v>
      </c>
      <c r="EX56" s="151">
        <f t="shared" ca="1" si="161"/>
        <v>9</v>
      </c>
      <c r="EY56" s="151">
        <f t="shared" ca="1" si="161"/>
        <v>9</v>
      </c>
      <c r="EZ56" s="151">
        <f t="shared" ca="1" si="161"/>
        <v>9</v>
      </c>
      <c r="FA56" s="151">
        <f t="shared" ca="1" si="161"/>
        <v>9</v>
      </c>
      <c r="FB56" s="151">
        <f t="shared" ca="1" si="161"/>
        <v>9</v>
      </c>
      <c r="FC56" s="151">
        <f t="shared" ca="1" si="161"/>
        <v>9</v>
      </c>
      <c r="FD56" s="151">
        <f t="shared" ca="1" si="161"/>
        <v>9</v>
      </c>
      <c r="FE56" s="151">
        <f t="shared" ca="1" si="161"/>
        <v>9</v>
      </c>
      <c r="FF56" s="151">
        <f t="shared" ca="1" si="161"/>
        <v>9</v>
      </c>
      <c r="FG56" s="151">
        <f t="shared" ca="1" si="161"/>
        <v>9</v>
      </c>
      <c r="FH56" s="151">
        <f t="shared" ca="1" si="161"/>
        <v>9</v>
      </c>
      <c r="FI56" s="151">
        <f t="shared" ca="1" si="161"/>
        <v>9</v>
      </c>
      <c r="FJ56" s="151">
        <f t="shared" ca="1" si="161"/>
        <v>9</v>
      </c>
      <c r="FK56" s="151">
        <f t="shared" ref="FK56:FN56" ca="1" si="162">ROUND(FK53+FK54-FK55-FK57,0)</f>
        <v>9</v>
      </c>
      <c r="FL56" s="151">
        <f t="shared" ca="1" si="162"/>
        <v>9</v>
      </c>
      <c r="FM56" s="151">
        <f t="shared" ca="1" si="162"/>
        <v>9</v>
      </c>
      <c r="FN56" s="151">
        <f t="shared" ca="1" si="162"/>
        <v>9</v>
      </c>
      <c r="FO56" s="144" t="s">
        <v>243</v>
      </c>
    </row>
    <row r="57" spans="2:171" x14ac:dyDescent="0.2">
      <c r="D57" s="550"/>
      <c r="E57" s="550"/>
      <c r="F57" s="550"/>
      <c r="G57" s="550"/>
      <c r="H57" s="550"/>
      <c r="I57" s="550"/>
      <c r="J57" s="550"/>
      <c r="K57" s="550"/>
      <c r="L57" s="550"/>
      <c r="AI57" s="982"/>
      <c r="AK57" s="145" t="s">
        <v>366</v>
      </c>
      <c r="AL57" s="882">
        <f>AL53+AL54-AL56</f>
        <v>10</v>
      </c>
      <c r="AM57" s="882">
        <f t="shared" ref="AM57:BR57" ca="1" si="163">ROUND(AM60*units,0)</f>
        <v>10</v>
      </c>
      <c r="AN57" s="882">
        <f ca="1">ROUND(AN60*units,0)</f>
        <v>10</v>
      </c>
      <c r="AO57" s="882">
        <f t="shared" ca="1" si="163"/>
        <v>10</v>
      </c>
      <c r="AP57" s="882">
        <f t="shared" ca="1" si="163"/>
        <v>10</v>
      </c>
      <c r="AQ57" s="882">
        <f t="shared" ca="1" si="163"/>
        <v>10</v>
      </c>
      <c r="AR57" s="882">
        <f t="shared" ca="1" si="163"/>
        <v>10</v>
      </c>
      <c r="AS57" s="882">
        <f t="shared" ca="1" si="163"/>
        <v>10</v>
      </c>
      <c r="AT57" s="882">
        <f t="shared" ca="1" si="163"/>
        <v>10</v>
      </c>
      <c r="AU57" s="882">
        <f t="shared" ca="1" si="163"/>
        <v>10</v>
      </c>
      <c r="AV57" s="882">
        <f t="shared" ca="1" si="163"/>
        <v>10</v>
      </c>
      <c r="AW57" s="882">
        <f t="shared" ca="1" si="163"/>
        <v>10</v>
      </c>
      <c r="AX57" s="882">
        <f t="shared" ca="1" si="163"/>
        <v>10</v>
      </c>
      <c r="AY57" s="882">
        <f t="shared" ca="1" si="163"/>
        <v>7</v>
      </c>
      <c r="AZ57" s="882">
        <f t="shared" ca="1" si="163"/>
        <v>7</v>
      </c>
      <c r="BA57" s="882">
        <f t="shared" ca="1" si="163"/>
        <v>7</v>
      </c>
      <c r="BB57" s="882">
        <f t="shared" ca="1" si="163"/>
        <v>7</v>
      </c>
      <c r="BC57" s="882">
        <f t="shared" ca="1" si="163"/>
        <v>7</v>
      </c>
      <c r="BD57" s="882">
        <f t="shared" ca="1" si="163"/>
        <v>7</v>
      </c>
      <c r="BE57" s="882">
        <f t="shared" ca="1" si="163"/>
        <v>7</v>
      </c>
      <c r="BF57" s="882">
        <f t="shared" ca="1" si="163"/>
        <v>8</v>
      </c>
      <c r="BG57" s="882">
        <f t="shared" ca="1" si="163"/>
        <v>8</v>
      </c>
      <c r="BH57" s="882">
        <f t="shared" ca="1" si="163"/>
        <v>8</v>
      </c>
      <c r="BI57" s="882">
        <f t="shared" ca="1" si="163"/>
        <v>8</v>
      </c>
      <c r="BJ57" s="882">
        <f t="shared" ca="1" si="163"/>
        <v>8</v>
      </c>
      <c r="BK57" s="882">
        <f t="shared" ca="1" si="163"/>
        <v>5</v>
      </c>
      <c r="BL57" s="882">
        <f t="shared" ca="1" si="163"/>
        <v>5</v>
      </c>
      <c r="BM57" s="882">
        <f t="shared" ca="1" si="163"/>
        <v>7</v>
      </c>
      <c r="BN57" s="882">
        <f t="shared" ca="1" si="163"/>
        <v>7</v>
      </c>
      <c r="BO57" s="882">
        <f t="shared" ca="1" si="163"/>
        <v>7</v>
      </c>
      <c r="BP57" s="882">
        <f t="shared" ca="1" si="163"/>
        <v>7</v>
      </c>
      <c r="BQ57" s="882">
        <f t="shared" ca="1" si="163"/>
        <v>7</v>
      </c>
      <c r="BR57" s="882">
        <f t="shared" ca="1" si="163"/>
        <v>7</v>
      </c>
      <c r="BS57" s="882">
        <f t="shared" ref="BS57:CX57" ca="1" si="164">ROUND(BS60*units,0)</f>
        <v>12</v>
      </c>
      <c r="BT57" s="882">
        <f t="shared" ca="1" si="164"/>
        <v>12</v>
      </c>
      <c r="BU57" s="882">
        <f t="shared" ca="1" si="164"/>
        <v>12</v>
      </c>
      <c r="BV57" s="882">
        <f t="shared" ca="1" si="164"/>
        <v>12</v>
      </c>
      <c r="BW57" s="882">
        <f t="shared" ca="1" si="164"/>
        <v>12</v>
      </c>
      <c r="BX57" s="882">
        <f t="shared" ca="1" si="164"/>
        <v>12</v>
      </c>
      <c r="BY57" s="882">
        <f t="shared" ca="1" si="164"/>
        <v>12</v>
      </c>
      <c r="BZ57" s="882">
        <f t="shared" ca="1" si="164"/>
        <v>12</v>
      </c>
      <c r="CA57" s="882">
        <f t="shared" ca="1" si="164"/>
        <v>12</v>
      </c>
      <c r="CB57" s="882">
        <f t="shared" ca="1" si="164"/>
        <v>12</v>
      </c>
      <c r="CC57" s="882">
        <f t="shared" ca="1" si="164"/>
        <v>12</v>
      </c>
      <c r="CD57" s="882">
        <f t="shared" ca="1" si="164"/>
        <v>12</v>
      </c>
      <c r="CE57" s="882">
        <f t="shared" ca="1" si="164"/>
        <v>12</v>
      </c>
      <c r="CF57" s="882">
        <f t="shared" ca="1" si="164"/>
        <v>12</v>
      </c>
      <c r="CG57" s="882">
        <f t="shared" ca="1" si="164"/>
        <v>12</v>
      </c>
      <c r="CH57" s="882">
        <f t="shared" ca="1" si="164"/>
        <v>12</v>
      </c>
      <c r="CI57" s="882">
        <f t="shared" ca="1" si="164"/>
        <v>12</v>
      </c>
      <c r="CJ57" s="882">
        <f t="shared" ca="1" si="164"/>
        <v>12</v>
      </c>
      <c r="CK57" s="882">
        <f t="shared" ca="1" si="164"/>
        <v>12</v>
      </c>
      <c r="CL57" s="882">
        <f t="shared" ca="1" si="164"/>
        <v>12</v>
      </c>
      <c r="CM57" s="882">
        <f t="shared" ca="1" si="164"/>
        <v>12</v>
      </c>
      <c r="CN57" s="882">
        <f t="shared" ca="1" si="164"/>
        <v>12</v>
      </c>
      <c r="CO57" s="882">
        <f t="shared" ca="1" si="164"/>
        <v>12</v>
      </c>
      <c r="CP57" s="882">
        <f t="shared" ca="1" si="164"/>
        <v>12</v>
      </c>
      <c r="CQ57" s="882">
        <f t="shared" ca="1" si="164"/>
        <v>12</v>
      </c>
      <c r="CR57" s="882">
        <f t="shared" ca="1" si="164"/>
        <v>12</v>
      </c>
      <c r="CS57" s="882">
        <f t="shared" ca="1" si="164"/>
        <v>12</v>
      </c>
      <c r="CT57" s="882">
        <f t="shared" ca="1" si="164"/>
        <v>12</v>
      </c>
      <c r="CU57" s="882">
        <f t="shared" ca="1" si="164"/>
        <v>12</v>
      </c>
      <c r="CV57" s="882">
        <f t="shared" ca="1" si="164"/>
        <v>12</v>
      </c>
      <c r="CW57" s="882">
        <f t="shared" ca="1" si="164"/>
        <v>12</v>
      </c>
      <c r="CX57" s="882">
        <f t="shared" ca="1" si="164"/>
        <v>12</v>
      </c>
      <c r="CY57" s="882">
        <f t="shared" ref="CY57:ED57" ca="1" si="165">ROUND(CY60*units,0)</f>
        <v>12</v>
      </c>
      <c r="CZ57" s="882">
        <f t="shared" ca="1" si="165"/>
        <v>12</v>
      </c>
      <c r="DA57" s="882">
        <f t="shared" ca="1" si="165"/>
        <v>12</v>
      </c>
      <c r="DB57" s="882">
        <f t="shared" ca="1" si="165"/>
        <v>12</v>
      </c>
      <c r="DC57" s="882">
        <f t="shared" ca="1" si="165"/>
        <v>12</v>
      </c>
      <c r="DD57" s="882">
        <f t="shared" ca="1" si="165"/>
        <v>12</v>
      </c>
      <c r="DE57" s="882">
        <f t="shared" ca="1" si="165"/>
        <v>12</v>
      </c>
      <c r="DF57" s="882">
        <f t="shared" ca="1" si="165"/>
        <v>12</v>
      </c>
      <c r="DG57" s="882">
        <f t="shared" ca="1" si="165"/>
        <v>12</v>
      </c>
      <c r="DH57" s="882">
        <f t="shared" ca="1" si="165"/>
        <v>12</v>
      </c>
      <c r="DI57" s="882">
        <f t="shared" ca="1" si="165"/>
        <v>12</v>
      </c>
      <c r="DJ57" s="882">
        <f t="shared" ca="1" si="165"/>
        <v>12</v>
      </c>
      <c r="DK57" s="882">
        <f t="shared" ca="1" si="165"/>
        <v>12</v>
      </c>
      <c r="DL57" s="882">
        <f t="shared" ca="1" si="165"/>
        <v>12</v>
      </c>
      <c r="DM57" s="882">
        <f t="shared" ca="1" si="165"/>
        <v>12</v>
      </c>
      <c r="DN57" s="882">
        <f t="shared" ca="1" si="165"/>
        <v>12</v>
      </c>
      <c r="DO57" s="882">
        <f t="shared" ca="1" si="165"/>
        <v>12</v>
      </c>
      <c r="DP57" s="882">
        <f t="shared" ca="1" si="165"/>
        <v>12</v>
      </c>
      <c r="DQ57" s="882">
        <f t="shared" ca="1" si="165"/>
        <v>12</v>
      </c>
      <c r="DR57" s="882">
        <f t="shared" ca="1" si="165"/>
        <v>12</v>
      </c>
      <c r="DS57" s="882">
        <f t="shared" ca="1" si="165"/>
        <v>12</v>
      </c>
      <c r="DT57" s="882">
        <f t="shared" ca="1" si="165"/>
        <v>12</v>
      </c>
      <c r="DU57" s="882">
        <f t="shared" ca="1" si="165"/>
        <v>12</v>
      </c>
      <c r="DV57" s="882">
        <f t="shared" ca="1" si="165"/>
        <v>12</v>
      </c>
      <c r="DW57" s="882">
        <f t="shared" ca="1" si="165"/>
        <v>12</v>
      </c>
      <c r="DX57" s="882">
        <f t="shared" ca="1" si="165"/>
        <v>12</v>
      </c>
      <c r="DY57" s="882">
        <f t="shared" ca="1" si="165"/>
        <v>12</v>
      </c>
      <c r="DZ57" s="882">
        <f t="shared" ca="1" si="165"/>
        <v>12</v>
      </c>
      <c r="EA57" s="882">
        <f t="shared" ca="1" si="165"/>
        <v>12</v>
      </c>
      <c r="EB57" s="882">
        <f t="shared" ca="1" si="165"/>
        <v>12</v>
      </c>
      <c r="EC57" s="882">
        <f t="shared" ca="1" si="165"/>
        <v>12</v>
      </c>
      <c r="ED57" s="882">
        <f t="shared" ca="1" si="165"/>
        <v>12</v>
      </c>
      <c r="EE57" s="882">
        <f t="shared" ref="EE57:FN57" ca="1" si="166">ROUND(EE60*units,0)</f>
        <v>12</v>
      </c>
      <c r="EF57" s="882">
        <f t="shared" ca="1" si="166"/>
        <v>12</v>
      </c>
      <c r="EG57" s="882">
        <f t="shared" ca="1" si="166"/>
        <v>12</v>
      </c>
      <c r="EH57" s="882">
        <f t="shared" ca="1" si="166"/>
        <v>12</v>
      </c>
      <c r="EI57" s="882">
        <f t="shared" ca="1" si="166"/>
        <v>12</v>
      </c>
      <c r="EJ57" s="882">
        <f t="shared" ca="1" si="166"/>
        <v>12</v>
      </c>
      <c r="EK57" s="882">
        <f t="shared" ca="1" si="166"/>
        <v>12</v>
      </c>
      <c r="EL57" s="882">
        <f t="shared" ca="1" si="166"/>
        <v>12</v>
      </c>
      <c r="EM57" s="882">
        <f t="shared" ca="1" si="166"/>
        <v>12</v>
      </c>
      <c r="EN57" s="882">
        <f t="shared" ca="1" si="166"/>
        <v>12</v>
      </c>
      <c r="EO57" s="882">
        <f t="shared" ca="1" si="166"/>
        <v>12</v>
      </c>
      <c r="EP57" s="882">
        <f t="shared" ca="1" si="166"/>
        <v>12</v>
      </c>
      <c r="EQ57" s="882">
        <f t="shared" ca="1" si="166"/>
        <v>12</v>
      </c>
      <c r="ER57" s="882">
        <f t="shared" ca="1" si="166"/>
        <v>12</v>
      </c>
      <c r="ES57" s="882">
        <f t="shared" ca="1" si="166"/>
        <v>12</v>
      </c>
      <c r="ET57" s="882">
        <f t="shared" ca="1" si="166"/>
        <v>12</v>
      </c>
      <c r="EU57" s="882">
        <f t="shared" ca="1" si="166"/>
        <v>12</v>
      </c>
      <c r="EV57" s="882">
        <f t="shared" ca="1" si="166"/>
        <v>12</v>
      </c>
      <c r="EW57" s="882">
        <f t="shared" ca="1" si="166"/>
        <v>12</v>
      </c>
      <c r="EX57" s="882">
        <f t="shared" ca="1" si="166"/>
        <v>12</v>
      </c>
      <c r="EY57" s="882">
        <f t="shared" ca="1" si="166"/>
        <v>12</v>
      </c>
      <c r="EZ57" s="882">
        <f t="shared" ca="1" si="166"/>
        <v>12</v>
      </c>
      <c r="FA57" s="882">
        <f t="shared" ca="1" si="166"/>
        <v>12</v>
      </c>
      <c r="FB57" s="882">
        <f t="shared" ca="1" si="166"/>
        <v>12</v>
      </c>
      <c r="FC57" s="882">
        <f t="shared" ca="1" si="166"/>
        <v>12</v>
      </c>
      <c r="FD57" s="882">
        <f t="shared" ca="1" si="166"/>
        <v>12</v>
      </c>
      <c r="FE57" s="882">
        <f t="shared" ca="1" si="166"/>
        <v>12</v>
      </c>
      <c r="FF57" s="882">
        <f t="shared" ca="1" si="166"/>
        <v>12</v>
      </c>
      <c r="FG57" s="882">
        <f t="shared" ca="1" si="166"/>
        <v>12</v>
      </c>
      <c r="FH57" s="882">
        <f t="shared" ca="1" si="166"/>
        <v>12</v>
      </c>
      <c r="FI57" s="882">
        <f t="shared" ca="1" si="166"/>
        <v>12</v>
      </c>
      <c r="FJ57" s="882">
        <f t="shared" ca="1" si="166"/>
        <v>12</v>
      </c>
      <c r="FK57" s="882">
        <f t="shared" ca="1" si="166"/>
        <v>12</v>
      </c>
      <c r="FL57" s="882">
        <f t="shared" ca="1" si="166"/>
        <v>12</v>
      </c>
      <c r="FM57" s="882">
        <f t="shared" ca="1" si="166"/>
        <v>12</v>
      </c>
      <c r="FN57" s="882">
        <f t="shared" ca="1" si="166"/>
        <v>12</v>
      </c>
      <c r="FO57" s="144" t="s">
        <v>243</v>
      </c>
    </row>
    <row r="58" spans="2:171" ht="15" thickBot="1" x14ac:dyDescent="0.25">
      <c r="D58" s="550"/>
      <c r="E58" s="550"/>
      <c r="F58" s="550"/>
      <c r="G58" s="550"/>
      <c r="H58" s="550"/>
      <c r="I58" s="550"/>
      <c r="J58" s="550"/>
      <c r="K58" s="550"/>
      <c r="L58" s="550"/>
      <c r="AU58" s="151"/>
      <c r="AV58" s="151"/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FO58" s="144" t="s">
        <v>243</v>
      </c>
    </row>
    <row r="59" spans="2:171" x14ac:dyDescent="0.2">
      <c r="B59" s="990" t="s">
        <v>367</v>
      </c>
      <c r="C59" s="690"/>
      <c r="D59" s="950" t="s">
        <v>323</v>
      </c>
      <c r="E59" s="980" t="s">
        <v>358</v>
      </c>
      <c r="F59" s="550"/>
      <c r="G59" s="550"/>
      <c r="H59" s="550"/>
      <c r="I59" s="550"/>
      <c r="J59" s="550"/>
      <c r="K59" s="550"/>
      <c r="L59" s="550"/>
      <c r="AK59" s="144" t="s">
        <v>368</v>
      </c>
      <c r="AL59" s="550">
        <f>AL57*AL35</f>
        <v>13168.442622950821</v>
      </c>
      <c r="AM59" s="550">
        <f t="shared" ref="AM59:BR59" ca="1" si="167">AM60*AM40</f>
        <v>13456.041409836067</v>
      </c>
      <c r="AN59" s="550">
        <f t="shared" ca="1" si="167"/>
        <v>13519.38295715455</v>
      </c>
      <c r="AO59" s="550">
        <f t="shared" ca="1" si="167"/>
        <v>13582.724504473032</v>
      </c>
      <c r="AP59" s="550">
        <f t="shared" ca="1" si="167"/>
        <v>13646.066051791515</v>
      </c>
      <c r="AQ59" s="550">
        <f ca="1">AQ60*AQ40</f>
        <v>13709.407599109996</v>
      </c>
      <c r="AR59" s="550">
        <f t="shared" ca="1" si="167"/>
        <v>13772.749146428479</v>
      </c>
      <c r="AS59" s="550">
        <f t="shared" ca="1" si="167"/>
        <v>13836.090693746961</v>
      </c>
      <c r="AT59" s="550">
        <f t="shared" ca="1" si="167"/>
        <v>13899.432241065444</v>
      </c>
      <c r="AU59" s="550">
        <f t="shared" ca="1" si="167"/>
        <v>13962.773788383925</v>
      </c>
      <c r="AV59" s="550">
        <f t="shared" ca="1" si="167"/>
        <v>14026.115335702409</v>
      </c>
      <c r="AW59" s="550">
        <f t="shared" ca="1" si="167"/>
        <v>14089.45688302089</v>
      </c>
      <c r="AX59" s="550">
        <f t="shared" ca="1" si="167"/>
        <v>14152.798430339373</v>
      </c>
      <c r="AY59" s="550">
        <f t="shared" ca="1" si="167"/>
        <v>10281.631527409807</v>
      </c>
      <c r="AZ59" s="550">
        <f t="shared" ca="1" si="167"/>
        <v>10354.928999261168</v>
      </c>
      <c r="BA59" s="550">
        <f t="shared" ca="1" si="167"/>
        <v>10428.226471112532</v>
      </c>
      <c r="BB59" s="550">
        <f t="shared" ca="1" si="167"/>
        <v>10501.523942963893</v>
      </c>
      <c r="BC59" s="550">
        <f t="shared" ca="1" si="167"/>
        <v>10574.821414815255</v>
      </c>
      <c r="BD59" s="550">
        <f t="shared" ca="1" si="167"/>
        <v>10648.118886666618</v>
      </c>
      <c r="BE59" s="550">
        <f t="shared" ca="1" si="167"/>
        <v>10721.416358517981</v>
      </c>
      <c r="BF59" s="550">
        <f t="shared" ca="1" si="167"/>
        <v>12420.423744581592</v>
      </c>
      <c r="BG59" s="550">
        <f t="shared" ca="1" si="167"/>
        <v>12494.217961347609</v>
      </c>
      <c r="BH59" s="550">
        <f t="shared" ca="1" si="167"/>
        <v>12568.012178113626</v>
      </c>
      <c r="BI59" s="550">
        <f t="shared" ca="1" si="167"/>
        <v>12641.806394879644</v>
      </c>
      <c r="BJ59" s="550">
        <f t="shared" ca="1" si="167"/>
        <v>12715.600611645663</v>
      </c>
      <c r="BK59" s="550">
        <f t="shared" ca="1" si="167"/>
        <v>9140.0648904617537</v>
      </c>
      <c r="BL59" s="550">
        <f t="shared" ca="1" si="167"/>
        <v>9192.8026422343264</v>
      </c>
      <c r="BM59" s="550">
        <f t="shared" ca="1" si="167"/>
        <v>12801.517468624937</v>
      </c>
      <c r="BN59" s="550">
        <f t="shared" ca="1" si="167"/>
        <v>12853.675684663744</v>
      </c>
      <c r="BO59" s="550">
        <f t="shared" ca="1" si="167"/>
        <v>12905.833900702553</v>
      </c>
      <c r="BP59" s="550">
        <f t="shared" ca="1" si="167"/>
        <v>12957.992116741363</v>
      </c>
      <c r="BQ59" s="550">
        <f t="shared" ca="1" si="167"/>
        <v>13010.150332780171</v>
      </c>
      <c r="BR59" s="550">
        <f t="shared" ca="1" si="167"/>
        <v>13062.308548818979</v>
      </c>
      <c r="BS59" s="550">
        <f t="shared" ref="BS59:CX59" ca="1" si="168">BS60*BS40</f>
        <v>22221.735351564581</v>
      </c>
      <c r="BT59" s="550">
        <f t="shared" ca="1" si="168"/>
        <v>22221.735351564581</v>
      </c>
      <c r="BU59" s="550">
        <f t="shared" ca="1" si="168"/>
        <v>22221.735351564581</v>
      </c>
      <c r="BV59" s="550">
        <f t="shared" ca="1" si="168"/>
        <v>22221.735351564581</v>
      </c>
      <c r="BW59" s="550">
        <f t="shared" ca="1" si="168"/>
        <v>23110.604765627169</v>
      </c>
      <c r="BX59" s="550">
        <f t="shared" ca="1" si="168"/>
        <v>23110.604765627169</v>
      </c>
      <c r="BY59" s="550">
        <f t="shared" ca="1" si="168"/>
        <v>23110.604765627169</v>
      </c>
      <c r="BZ59" s="550">
        <f t="shared" ca="1" si="168"/>
        <v>23110.604765627169</v>
      </c>
      <c r="CA59" s="550">
        <f ca="1">CA60*CA40</f>
        <v>23110.604765627169</v>
      </c>
      <c r="CB59" s="550">
        <f ca="1">CB60*CB40</f>
        <v>23110.604765627169</v>
      </c>
      <c r="CC59" s="550">
        <f t="shared" ca="1" si="168"/>
        <v>23110.604765627169</v>
      </c>
      <c r="CD59" s="550">
        <f t="shared" ca="1" si="168"/>
        <v>23110.604765627169</v>
      </c>
      <c r="CE59" s="550">
        <f t="shared" ca="1" si="168"/>
        <v>23110.604765627169</v>
      </c>
      <c r="CF59" s="550">
        <f t="shared" ca="1" si="168"/>
        <v>23110.604765627169</v>
      </c>
      <c r="CG59" s="550">
        <f t="shared" ca="1" si="168"/>
        <v>23110.604765627169</v>
      </c>
      <c r="CH59" s="550">
        <f t="shared" ca="1" si="168"/>
        <v>23110.604765627169</v>
      </c>
      <c r="CI59" s="550">
        <f t="shared" ca="1" si="168"/>
        <v>24035.028956252256</v>
      </c>
      <c r="CJ59" s="550">
        <f t="shared" ca="1" si="168"/>
        <v>24035.028956252256</v>
      </c>
      <c r="CK59" s="550">
        <f t="shared" ca="1" si="168"/>
        <v>24035.028956252256</v>
      </c>
      <c r="CL59" s="550">
        <f t="shared" ca="1" si="168"/>
        <v>24035.028956252256</v>
      </c>
      <c r="CM59" s="550">
        <f t="shared" ca="1" si="168"/>
        <v>24035.028956252256</v>
      </c>
      <c r="CN59" s="550">
        <f t="shared" ca="1" si="168"/>
        <v>24035.028956252256</v>
      </c>
      <c r="CO59" s="550">
        <f t="shared" ca="1" si="168"/>
        <v>24035.028956252256</v>
      </c>
      <c r="CP59" s="550">
        <f t="shared" ca="1" si="168"/>
        <v>24035.028956252256</v>
      </c>
      <c r="CQ59" s="550">
        <f t="shared" ca="1" si="168"/>
        <v>24035.028956252256</v>
      </c>
      <c r="CR59" s="550">
        <f t="shared" ca="1" si="168"/>
        <v>24035.028956252256</v>
      </c>
      <c r="CS59" s="550">
        <f t="shared" ca="1" si="168"/>
        <v>24035.028956252256</v>
      </c>
      <c r="CT59" s="550">
        <f t="shared" ca="1" si="168"/>
        <v>24035.028956252256</v>
      </c>
      <c r="CU59" s="550">
        <f t="shared" ca="1" si="168"/>
        <v>24996.430114502346</v>
      </c>
      <c r="CV59" s="550">
        <f t="shared" ca="1" si="168"/>
        <v>24996.430114502346</v>
      </c>
      <c r="CW59" s="550">
        <f t="shared" ca="1" si="168"/>
        <v>24996.430114502346</v>
      </c>
      <c r="CX59" s="550">
        <f t="shared" ca="1" si="168"/>
        <v>24996.430114502346</v>
      </c>
      <c r="CY59" s="550">
        <f t="shared" ref="CY59:ED59" ca="1" si="169">CY60*CY40</f>
        <v>24996.430114502346</v>
      </c>
      <c r="CZ59" s="550">
        <f t="shared" ca="1" si="169"/>
        <v>24996.430114502346</v>
      </c>
      <c r="DA59" s="550">
        <f t="shared" ca="1" si="169"/>
        <v>24996.430114502346</v>
      </c>
      <c r="DB59" s="550">
        <f t="shared" ca="1" si="169"/>
        <v>24996.430114502346</v>
      </c>
      <c r="DC59" s="550">
        <f t="shared" ca="1" si="169"/>
        <v>24996.430114502346</v>
      </c>
      <c r="DD59" s="550">
        <f t="shared" ca="1" si="169"/>
        <v>24996.430114502346</v>
      </c>
      <c r="DE59" s="550">
        <f t="shared" ca="1" si="169"/>
        <v>24996.430114502346</v>
      </c>
      <c r="DF59" s="550">
        <f t="shared" ca="1" si="169"/>
        <v>24996.430114502346</v>
      </c>
      <c r="DG59" s="550">
        <f t="shared" ca="1" si="169"/>
        <v>25996.287319082443</v>
      </c>
      <c r="DH59" s="550">
        <f t="shared" ca="1" si="169"/>
        <v>25996.287319082443</v>
      </c>
      <c r="DI59" s="550">
        <f t="shared" ca="1" si="169"/>
        <v>25996.287319082443</v>
      </c>
      <c r="DJ59" s="550">
        <f t="shared" ca="1" si="169"/>
        <v>25996.287319082443</v>
      </c>
      <c r="DK59" s="550">
        <f t="shared" ca="1" si="169"/>
        <v>25996.287319082443</v>
      </c>
      <c r="DL59" s="550">
        <f t="shared" ca="1" si="169"/>
        <v>25996.287319082443</v>
      </c>
      <c r="DM59" s="550">
        <f t="shared" ca="1" si="169"/>
        <v>25996.287319082443</v>
      </c>
      <c r="DN59" s="550">
        <f t="shared" ca="1" si="169"/>
        <v>25996.287319082443</v>
      </c>
      <c r="DO59" s="550">
        <f t="shared" ca="1" si="169"/>
        <v>25996.287319082443</v>
      </c>
      <c r="DP59" s="550">
        <f t="shared" ca="1" si="169"/>
        <v>25996.287319082443</v>
      </c>
      <c r="DQ59" s="550">
        <f t="shared" ca="1" si="169"/>
        <v>25996.287319082443</v>
      </c>
      <c r="DR59" s="550">
        <f t="shared" ca="1" si="169"/>
        <v>25996.287319082443</v>
      </c>
      <c r="DS59" s="550">
        <f t="shared" ca="1" si="169"/>
        <v>27036.13881184574</v>
      </c>
      <c r="DT59" s="550">
        <f t="shared" ca="1" si="169"/>
        <v>27036.13881184574</v>
      </c>
      <c r="DU59" s="550">
        <f t="shared" ca="1" si="169"/>
        <v>27036.13881184574</v>
      </c>
      <c r="DV59" s="550">
        <f t="shared" ca="1" si="169"/>
        <v>27036.13881184574</v>
      </c>
      <c r="DW59" s="550">
        <f t="shared" ca="1" si="169"/>
        <v>27036.13881184574</v>
      </c>
      <c r="DX59" s="550">
        <f t="shared" ca="1" si="169"/>
        <v>27036.13881184574</v>
      </c>
      <c r="DY59" s="550">
        <f t="shared" ca="1" si="169"/>
        <v>27036.13881184574</v>
      </c>
      <c r="DZ59" s="550">
        <f t="shared" ca="1" si="169"/>
        <v>27036.13881184574</v>
      </c>
      <c r="EA59" s="550">
        <f t="shared" ca="1" si="169"/>
        <v>27036.13881184574</v>
      </c>
      <c r="EB59" s="550">
        <f t="shared" ca="1" si="169"/>
        <v>27036.13881184574</v>
      </c>
      <c r="EC59" s="550">
        <f t="shared" ca="1" si="169"/>
        <v>27036.13881184574</v>
      </c>
      <c r="ED59" s="550">
        <f t="shared" ca="1" si="169"/>
        <v>27036.13881184574</v>
      </c>
      <c r="EE59" s="550">
        <f t="shared" ref="EE59:FJ59" ca="1" si="170">EE60*EE40</f>
        <v>28117.584364319569</v>
      </c>
      <c r="EF59" s="550">
        <f t="shared" ca="1" si="170"/>
        <v>28117.584364319569</v>
      </c>
      <c r="EG59" s="550">
        <f t="shared" ca="1" si="170"/>
        <v>28117.584364319569</v>
      </c>
      <c r="EH59" s="550">
        <f t="shared" ca="1" si="170"/>
        <v>28117.584364319569</v>
      </c>
      <c r="EI59" s="550">
        <f t="shared" ca="1" si="170"/>
        <v>28117.584364319569</v>
      </c>
      <c r="EJ59" s="550">
        <f t="shared" ca="1" si="170"/>
        <v>28117.584364319569</v>
      </c>
      <c r="EK59" s="550">
        <f t="shared" ca="1" si="170"/>
        <v>28117.584364319569</v>
      </c>
      <c r="EL59" s="550">
        <f t="shared" ca="1" si="170"/>
        <v>28117.584364319569</v>
      </c>
      <c r="EM59" s="550">
        <f t="shared" ca="1" si="170"/>
        <v>28117.584364319569</v>
      </c>
      <c r="EN59" s="550">
        <f t="shared" ca="1" si="170"/>
        <v>28117.584364319569</v>
      </c>
      <c r="EO59" s="550">
        <f t="shared" ca="1" si="170"/>
        <v>28117.584364319569</v>
      </c>
      <c r="EP59" s="550">
        <f t="shared" ca="1" si="170"/>
        <v>28117.584364319569</v>
      </c>
      <c r="EQ59" s="550">
        <f t="shared" ca="1" si="170"/>
        <v>28961.111895249156</v>
      </c>
      <c r="ER59" s="550">
        <f t="shared" ca="1" si="170"/>
        <v>28961.111895249156</v>
      </c>
      <c r="ES59" s="550">
        <f t="shared" ca="1" si="170"/>
        <v>28961.111895249156</v>
      </c>
      <c r="ET59" s="550">
        <f t="shared" ca="1" si="170"/>
        <v>28961.111895249156</v>
      </c>
      <c r="EU59" s="550">
        <f t="shared" ca="1" si="170"/>
        <v>28961.111895249156</v>
      </c>
      <c r="EV59" s="550">
        <f t="shared" ca="1" si="170"/>
        <v>28961.111895249156</v>
      </c>
      <c r="EW59" s="550">
        <f t="shared" ca="1" si="170"/>
        <v>28961.111895249156</v>
      </c>
      <c r="EX59" s="550">
        <f t="shared" ca="1" si="170"/>
        <v>28961.111895249156</v>
      </c>
      <c r="EY59" s="550">
        <f t="shared" ca="1" si="170"/>
        <v>28961.111895249156</v>
      </c>
      <c r="EZ59" s="550">
        <f t="shared" ca="1" si="170"/>
        <v>28961.111895249156</v>
      </c>
      <c r="FA59" s="550">
        <f t="shared" ca="1" si="170"/>
        <v>28961.111895249156</v>
      </c>
      <c r="FB59" s="550">
        <f t="shared" ca="1" si="170"/>
        <v>28961.111895249156</v>
      </c>
      <c r="FC59" s="550">
        <f t="shared" ca="1" si="170"/>
        <v>29829.945252106631</v>
      </c>
      <c r="FD59" s="550">
        <f t="shared" ca="1" si="170"/>
        <v>29829.945252106631</v>
      </c>
      <c r="FE59" s="550">
        <f t="shared" ca="1" si="170"/>
        <v>29829.945252106631</v>
      </c>
      <c r="FF59" s="550">
        <f t="shared" ca="1" si="170"/>
        <v>29829.945252106631</v>
      </c>
      <c r="FG59" s="550">
        <f t="shared" ca="1" si="170"/>
        <v>29829.945252106631</v>
      </c>
      <c r="FH59" s="550">
        <f t="shared" ca="1" si="170"/>
        <v>29829.945252106631</v>
      </c>
      <c r="FI59" s="550">
        <f t="shared" ca="1" si="170"/>
        <v>29829.945252106631</v>
      </c>
      <c r="FJ59" s="550">
        <f t="shared" ca="1" si="170"/>
        <v>29829.945252106631</v>
      </c>
      <c r="FK59" s="550">
        <f t="shared" ref="FK59:FN59" ca="1" si="171">FK60*FK40</f>
        <v>29829.945252106631</v>
      </c>
      <c r="FL59" s="550">
        <f t="shared" ca="1" si="171"/>
        <v>29829.945252106631</v>
      </c>
      <c r="FM59" s="550">
        <f t="shared" ca="1" si="171"/>
        <v>29829.945252106631</v>
      </c>
      <c r="FN59" s="550">
        <f t="shared" ca="1" si="171"/>
        <v>29829.945252106631</v>
      </c>
      <c r="FO59" s="144" t="s">
        <v>243</v>
      </c>
    </row>
    <row r="60" spans="2:171" x14ac:dyDescent="0.2">
      <c r="B60" s="991" t="s">
        <v>369</v>
      </c>
      <c r="C60" s="550"/>
      <c r="D60" s="550">
        <f>E44</f>
        <v>285890</v>
      </c>
      <c r="E60" s="844">
        <f>D60*12</f>
        <v>3430680</v>
      </c>
      <c r="F60" s="550"/>
      <c r="G60" s="550"/>
      <c r="H60" s="550"/>
      <c r="I60" s="550"/>
      <c r="J60" s="550"/>
      <c r="K60" s="550"/>
      <c r="L60" s="550"/>
      <c r="AK60" s="144" t="s">
        <v>370</v>
      </c>
      <c r="AL60" s="982">
        <f>IFERROR(AL59/AL40,0)</f>
        <v>4.0983606557377053E-2</v>
      </c>
      <c r="AM60" s="982">
        <f ca="1">IFERROR(IF(AM50&gt;=INDEX('Ops Assumptions'!$G$34:$G$44,MATCH('Unit Mix-Reno Schedule'!AM6,'Ops Assumptions'!$B$34:$B$44,0)),0,
MIN(INDEX('Ops Assumptions'!$G$34:$G$44,MATCH('Unit Mix-Reno Schedule'!AM6,'Ops Assumptions'!$B$34:$B$44,0))-AM50,(AM53+AM54-AM55)/units)),"ERROR")</f>
        <v>3.9508196721311478E-2</v>
      </c>
      <c r="AN60" s="982">
        <f ca="1">IFERROR(IF(AN50&gt;=INDEX('Ops Assumptions'!$G$34:$G$44,MATCH('Unit Mix-Reno Schedule'!AN6,'Ops Assumptions'!$B$34:$B$44,0)),0,
MIN(INDEX('Ops Assumptions'!$G$34:$G$44,MATCH('Unit Mix-Reno Schedule'!AN6,'Ops Assumptions'!$B$34:$B$44,0))-AN50,(AN53+AN54-AN55)/units)),"ERROR")</f>
        <v>3.9508196721311478E-2</v>
      </c>
      <c r="AO60" s="982">
        <f ca="1">IFERROR(IF(AO50&gt;=INDEX('Ops Assumptions'!$G$34:$G$44,MATCH('Unit Mix-Reno Schedule'!AO6,'Ops Assumptions'!$B$34:$B$44,0)),0,
MIN(INDEX('Ops Assumptions'!$G$34:$G$44,MATCH('Unit Mix-Reno Schedule'!AO6,'Ops Assumptions'!$B$34:$B$44,0))-AO50,(AO53+AO54-AO55)/units)),"ERROR")</f>
        <v>3.9508196721311478E-2</v>
      </c>
      <c r="AP60" s="982">
        <f ca="1">IFERROR(IF(AP50&gt;=INDEX('Ops Assumptions'!$G$34:$G$44,MATCH('Unit Mix-Reno Schedule'!AP6,'Ops Assumptions'!$B$34:$B$44,0)),0,
MIN(INDEX('Ops Assumptions'!$G$34:$G$44,MATCH('Unit Mix-Reno Schedule'!AP6,'Ops Assumptions'!$B$34:$B$44,0))-AP50,(AP53+AP54-AP55)/units)),"ERROR")</f>
        <v>3.9508196721311478E-2</v>
      </c>
      <c r="AQ60" s="982">
        <f ca="1">IFERROR(IF(AQ50&gt;=INDEX('Ops Assumptions'!$G$34:$G$44,MATCH('Unit Mix-Reno Schedule'!AQ6,'Ops Assumptions'!$B$34:$B$44,0)),0,
MIN(INDEX('Ops Assumptions'!$G$34:$G$44,MATCH('Unit Mix-Reno Schedule'!AQ6,'Ops Assumptions'!$B$34:$B$44,0))-AQ50,(AQ53+AQ54-AQ55)/units)),"ERROR")</f>
        <v>3.9508196721311478E-2</v>
      </c>
      <c r="AR60" s="982">
        <f ca="1">IFERROR(IF(AR50&gt;=INDEX('Ops Assumptions'!$G$34:$G$44,MATCH('Unit Mix-Reno Schedule'!AR6,'Ops Assumptions'!$B$34:$B$44,0)),0,
MIN(INDEX('Ops Assumptions'!$G$34:$G$44,MATCH('Unit Mix-Reno Schedule'!AR6,'Ops Assumptions'!$B$34:$B$44,0))-AR50,(AR53+AR54-AR55)/units)),"ERROR")</f>
        <v>3.9508196721311478E-2</v>
      </c>
      <c r="AS60" s="982">
        <f ca="1">IFERROR(IF(AS50&gt;=INDEX('Ops Assumptions'!$G$34:$G$44,MATCH('Unit Mix-Reno Schedule'!AS6,'Ops Assumptions'!$B$34:$B$44,0)),0,
MIN(INDEX('Ops Assumptions'!$G$34:$G$44,MATCH('Unit Mix-Reno Schedule'!AS6,'Ops Assumptions'!$B$34:$B$44,0))-AS50,(AS53+AS54-AS55)/units)),"ERROR")</f>
        <v>3.9508196721311478E-2</v>
      </c>
      <c r="AT60" s="982">
        <f ca="1">IFERROR(IF(AT50&gt;=INDEX('Ops Assumptions'!$G$34:$G$44,MATCH('Unit Mix-Reno Schedule'!AT6,'Ops Assumptions'!$B$34:$B$44,0)),0,
MIN(INDEX('Ops Assumptions'!$G$34:$G$44,MATCH('Unit Mix-Reno Schedule'!AT6,'Ops Assumptions'!$B$34:$B$44,0))-AT50,(AT53+AT54-AT55)/units)),"ERROR")</f>
        <v>3.9508196721311478E-2</v>
      </c>
      <c r="AU60" s="982">
        <f ca="1">IFERROR(IF(AU50&gt;=INDEX('Ops Assumptions'!$G$34:$G$44,MATCH('Unit Mix-Reno Schedule'!AU6,'Ops Assumptions'!$B$34:$B$44,0)),0,
MIN(INDEX('Ops Assumptions'!$G$34:$G$44,MATCH('Unit Mix-Reno Schedule'!AU6,'Ops Assumptions'!$B$34:$B$44,0))-AU50,(AU53+AU54-AU55)/units)),"ERROR")</f>
        <v>3.9508196721311478E-2</v>
      </c>
      <c r="AV60" s="982">
        <f ca="1">IFERROR(IF(AV50&gt;=INDEX('Ops Assumptions'!$G$34:$G$44,MATCH('Unit Mix-Reno Schedule'!AV6,'Ops Assumptions'!$B$34:$B$44,0)),0,
MIN(INDEX('Ops Assumptions'!$G$34:$G$44,MATCH('Unit Mix-Reno Schedule'!AV6,'Ops Assumptions'!$B$34:$B$44,0))-AV50,(AV53+AV54-AV55)/units)),"ERROR")</f>
        <v>3.9508196721311478E-2</v>
      </c>
      <c r="AW60" s="982">
        <f ca="1">IFERROR(IF(AW50&gt;=INDEX('Ops Assumptions'!$G$34:$G$44,MATCH('Unit Mix-Reno Schedule'!AW6,'Ops Assumptions'!$B$34:$B$44,0)),0,
MIN(INDEX('Ops Assumptions'!$G$34:$G$44,MATCH('Unit Mix-Reno Schedule'!AW6,'Ops Assumptions'!$B$34:$B$44,0))-AW50,(AW53+AW54-AW55)/units)),"ERROR")</f>
        <v>3.9508196721311478E-2</v>
      </c>
      <c r="AX60" s="982">
        <f ca="1">IFERROR(IF(AX50&gt;=INDEX('Ops Assumptions'!$G$34:$G$44,MATCH('Unit Mix-Reno Schedule'!AX6,'Ops Assumptions'!$B$34:$B$44,0)),0,
MIN(INDEX('Ops Assumptions'!$G$34:$G$44,MATCH('Unit Mix-Reno Schedule'!AX6,'Ops Assumptions'!$B$34:$B$44,0))-AX50,(AX53+AX54-AX55)/units)),"ERROR")</f>
        <v>3.9508196721311478E-2</v>
      </c>
      <c r="AY60" s="982">
        <f ca="1">IFERROR(IF(AY50&gt;=INDEX('Ops Assumptions'!$G$34:$G$44,MATCH('Unit Mix-Reno Schedule'!AY6,'Ops Assumptions'!$B$34:$B$44,0)),0,
MIN(INDEX('Ops Assumptions'!$G$34:$G$44,MATCH('Unit Mix-Reno Schedule'!AY6,'Ops Assumptions'!$B$34:$B$44,0))-AY50,(AY53+AY54-AY55)/units)),"ERROR")</f>
        <v>2.7213114754098357E-2</v>
      </c>
      <c r="AZ60" s="982">
        <f ca="1">IFERROR(IF(AZ50&gt;=INDEX('Ops Assumptions'!$G$34:$G$44,MATCH('Unit Mix-Reno Schedule'!AZ6,'Ops Assumptions'!$B$34:$B$44,0)),0,
MIN(INDEX('Ops Assumptions'!$G$34:$G$44,MATCH('Unit Mix-Reno Schedule'!AZ6,'Ops Assumptions'!$B$34:$B$44,0))-AZ50,(AZ53+AZ54-AZ55)/units)),"ERROR")</f>
        <v>2.7213114754098357E-2</v>
      </c>
      <c r="BA60" s="982">
        <f ca="1">IFERROR(IF(BA50&gt;=INDEX('Ops Assumptions'!$G$34:$G$44,MATCH('Unit Mix-Reno Schedule'!BA6,'Ops Assumptions'!$B$34:$B$44,0)),0,
MIN(INDEX('Ops Assumptions'!$G$34:$G$44,MATCH('Unit Mix-Reno Schedule'!BA6,'Ops Assumptions'!$B$34:$B$44,0))-BA50,(BA53+BA54-BA55)/units)),"ERROR")</f>
        <v>2.7213114754098357E-2</v>
      </c>
      <c r="BB60" s="982">
        <f ca="1">IFERROR(IF(BB50&gt;=INDEX('Ops Assumptions'!$G$34:$G$44,MATCH('Unit Mix-Reno Schedule'!BB6,'Ops Assumptions'!$B$34:$B$44,0)),0,
MIN(INDEX('Ops Assumptions'!$G$34:$G$44,MATCH('Unit Mix-Reno Schedule'!BB6,'Ops Assumptions'!$B$34:$B$44,0))-BB50,(BB53+BB54-BB55)/units)),"ERROR")</f>
        <v>2.7213114754098357E-2</v>
      </c>
      <c r="BC60" s="982">
        <f ca="1">IFERROR(IF(BC50&gt;=INDEX('Ops Assumptions'!$G$34:$G$44,MATCH('Unit Mix-Reno Schedule'!BC6,'Ops Assumptions'!$B$34:$B$44,0)),0,
MIN(INDEX('Ops Assumptions'!$G$34:$G$44,MATCH('Unit Mix-Reno Schedule'!BC6,'Ops Assumptions'!$B$34:$B$44,0))-BC50,(BC53+BC54-BC55)/units)),"ERROR")</f>
        <v>2.7213114754098357E-2</v>
      </c>
      <c r="BD60" s="982">
        <f ca="1">IFERROR(IF(BD50&gt;=INDEX('Ops Assumptions'!$G$34:$G$44,MATCH('Unit Mix-Reno Schedule'!BD6,'Ops Assumptions'!$B$34:$B$44,0)),0,
MIN(INDEX('Ops Assumptions'!$G$34:$G$44,MATCH('Unit Mix-Reno Schedule'!BD6,'Ops Assumptions'!$B$34:$B$44,0))-BD50,(BD53+BD54-BD55)/units)),"ERROR")</f>
        <v>2.7213114754098357E-2</v>
      </c>
      <c r="BE60" s="982">
        <f ca="1">IFERROR(IF(BE50&gt;=INDEX('Ops Assumptions'!$G$34:$G$44,MATCH('Unit Mix-Reno Schedule'!BE6,'Ops Assumptions'!$B$34:$B$44,0)),0,
MIN(INDEX('Ops Assumptions'!$G$34:$G$44,MATCH('Unit Mix-Reno Schedule'!BE6,'Ops Assumptions'!$B$34:$B$44,0))-BE50,(BE53+BE54-BE55)/units)),"ERROR")</f>
        <v>2.7213114754098357E-2</v>
      </c>
      <c r="BF60" s="982">
        <f ca="1">IFERROR(IF(BF50&gt;=INDEX('Ops Assumptions'!$G$34:$G$44,MATCH('Unit Mix-Reno Schedule'!BF6,'Ops Assumptions'!$B$34:$B$44,0)),0,
MIN(INDEX('Ops Assumptions'!$G$34:$G$44,MATCH('Unit Mix-Reno Schedule'!BF6,'Ops Assumptions'!$B$34:$B$44,0))-BF50,(BF53+BF54-BF55)/units)),"ERROR")</f>
        <v>3.1311475409836059E-2</v>
      </c>
      <c r="BG60" s="982">
        <f ca="1">IFERROR(IF(BG50&gt;=INDEX('Ops Assumptions'!$G$34:$G$44,MATCH('Unit Mix-Reno Schedule'!BG6,'Ops Assumptions'!$B$34:$B$44,0)),0,
MIN(INDEX('Ops Assumptions'!$G$34:$G$44,MATCH('Unit Mix-Reno Schedule'!BG6,'Ops Assumptions'!$B$34:$B$44,0))-BG50,(BG53+BG54-BG55)/units)),"ERROR")</f>
        <v>3.1311475409836059E-2</v>
      </c>
      <c r="BH60" s="982">
        <f ca="1">IFERROR(IF(BH50&gt;=INDEX('Ops Assumptions'!$G$34:$G$44,MATCH('Unit Mix-Reno Schedule'!BH6,'Ops Assumptions'!$B$34:$B$44,0)),0,
MIN(INDEX('Ops Assumptions'!$G$34:$G$44,MATCH('Unit Mix-Reno Schedule'!BH6,'Ops Assumptions'!$B$34:$B$44,0))-BH50,(BH53+BH54-BH55)/units)),"ERROR")</f>
        <v>3.1311475409836059E-2</v>
      </c>
      <c r="BI60" s="982">
        <f ca="1">IFERROR(IF(BI50&gt;=INDEX('Ops Assumptions'!$G$34:$G$44,MATCH('Unit Mix-Reno Schedule'!BI6,'Ops Assumptions'!$B$34:$B$44,0)),0,
MIN(INDEX('Ops Assumptions'!$G$34:$G$44,MATCH('Unit Mix-Reno Schedule'!BI6,'Ops Assumptions'!$B$34:$B$44,0))-BI50,(BI53+BI54-BI55)/units)),"ERROR")</f>
        <v>3.1311475409836059E-2</v>
      </c>
      <c r="BJ60" s="982">
        <f ca="1">IFERROR(IF(BJ50&gt;=INDEX('Ops Assumptions'!$G$34:$G$44,MATCH('Unit Mix-Reno Schedule'!BJ6,'Ops Assumptions'!$B$34:$B$44,0)),0,
MIN(INDEX('Ops Assumptions'!$G$34:$G$44,MATCH('Unit Mix-Reno Schedule'!BJ6,'Ops Assumptions'!$B$34:$B$44,0))-BJ50,(BJ53+BJ54-BJ55)/units)),"ERROR")</f>
        <v>3.1311475409836059E-2</v>
      </c>
      <c r="BK60" s="982">
        <f ca="1">IFERROR(IF(BK50&gt;=INDEX('Ops Assumptions'!$G$34:$G$44,MATCH('Unit Mix-Reno Schedule'!BK6,'Ops Assumptions'!$B$34:$B$44,0)),0,
MIN(INDEX('Ops Assumptions'!$G$34:$G$44,MATCH('Unit Mix-Reno Schedule'!BK6,'Ops Assumptions'!$B$34:$B$44,0))-BK50,(BK53+BK54-BK55)/units)),"ERROR")</f>
        <v>2.1311475409836068E-2</v>
      </c>
      <c r="BL60" s="982">
        <f ca="1">IFERROR(IF(BL50&gt;=INDEX('Ops Assumptions'!$G$34:$G$44,MATCH('Unit Mix-Reno Schedule'!BL6,'Ops Assumptions'!$B$34:$B$44,0)),0,
MIN(INDEX('Ops Assumptions'!$G$34:$G$44,MATCH('Unit Mix-Reno Schedule'!BL6,'Ops Assumptions'!$B$34:$B$44,0))-BL50,(BL53+BL54-BL55)/units)),"ERROR")</f>
        <v>2.1311475409836068E-2</v>
      </c>
      <c r="BM60" s="982">
        <f ca="1">IFERROR(IF(BM50&gt;=INDEX('Ops Assumptions'!$G$34:$G$44,MATCH('Unit Mix-Reno Schedule'!BM6,'Ops Assumptions'!$B$34:$B$44,0)),0,
MIN(INDEX('Ops Assumptions'!$G$34:$G$44,MATCH('Unit Mix-Reno Schedule'!BM6,'Ops Assumptions'!$B$34:$B$44,0))-BM50,(BM53+BM54-BM55)/units)),"ERROR")</f>
        <v>2.950819672131148E-2</v>
      </c>
      <c r="BN60" s="982">
        <f ca="1">IFERROR(IF(BN50&gt;=INDEX('Ops Assumptions'!$G$34:$G$44,MATCH('Unit Mix-Reno Schedule'!BN6,'Ops Assumptions'!$B$34:$B$44,0)),0,
MIN(INDEX('Ops Assumptions'!$G$34:$G$44,MATCH('Unit Mix-Reno Schedule'!BN6,'Ops Assumptions'!$B$34:$B$44,0))-BN50,(BN53+BN54-BN55)/units)),"ERROR")</f>
        <v>2.9508196721311476E-2</v>
      </c>
      <c r="BO60" s="982">
        <f ca="1">IFERROR(IF(BO50&gt;=INDEX('Ops Assumptions'!$G$34:$G$44,MATCH('Unit Mix-Reno Schedule'!BO6,'Ops Assumptions'!$B$34:$B$44,0)),0,
MIN(INDEX('Ops Assumptions'!$G$34:$G$44,MATCH('Unit Mix-Reno Schedule'!BO6,'Ops Assumptions'!$B$34:$B$44,0))-BO50,(BO53+BO54-BO55)/units)),"ERROR")</f>
        <v>2.950819672131148E-2</v>
      </c>
      <c r="BP60" s="982">
        <f ca="1">IFERROR(IF(BP50&gt;=INDEX('Ops Assumptions'!$G$34:$G$44,MATCH('Unit Mix-Reno Schedule'!BP6,'Ops Assumptions'!$B$34:$B$44,0)),0,
MIN(INDEX('Ops Assumptions'!$G$34:$G$44,MATCH('Unit Mix-Reno Schedule'!BP6,'Ops Assumptions'!$B$34:$B$44,0))-BP50,(BP53+BP54-BP55)/units)),"ERROR")</f>
        <v>2.950819672131148E-2</v>
      </c>
      <c r="BQ60" s="982">
        <f ca="1">IFERROR(IF(BQ50&gt;=INDEX('Ops Assumptions'!$G$34:$G$44,MATCH('Unit Mix-Reno Schedule'!BQ6,'Ops Assumptions'!$B$34:$B$44,0)),0,
MIN(INDEX('Ops Assumptions'!$G$34:$G$44,MATCH('Unit Mix-Reno Schedule'!BQ6,'Ops Assumptions'!$B$34:$B$44,0))-BQ50,(BQ53+BQ54-BQ55)/units)),"ERROR")</f>
        <v>2.950819672131148E-2</v>
      </c>
      <c r="BR60" s="982">
        <f ca="1">IFERROR(IF(BR50&gt;=INDEX('Ops Assumptions'!$G$34:$G$44,MATCH('Unit Mix-Reno Schedule'!BR6,'Ops Assumptions'!$B$34:$B$44,0)),0,
MIN(INDEX('Ops Assumptions'!$G$34:$G$44,MATCH('Unit Mix-Reno Schedule'!BR6,'Ops Assumptions'!$B$34:$B$44,0))-BR50,(BR53+BR54-BR55)/units)),"ERROR")</f>
        <v>2.950819672131148E-2</v>
      </c>
      <c r="BS60" s="982">
        <f ca="1">IFERROR(IF(BS50&gt;=INDEX('Ops Assumptions'!$G$34:$G$44,MATCH('Unit Mix-Reno Schedule'!BS6,'Ops Assumptions'!$B$34:$B$44,0)),0,
MIN(INDEX('Ops Assumptions'!$G$34:$G$44,MATCH('Unit Mix-Reno Schedule'!BS6,'Ops Assumptions'!$B$34:$B$44,0))-BS50,(BS53+BS54-BS55)/units)),"ERROR")</f>
        <v>0.05</v>
      </c>
      <c r="BT60" s="982">
        <f ca="1">IFERROR(IF(BT50&gt;=INDEX('Ops Assumptions'!$G$34:$G$44,MATCH('Unit Mix-Reno Schedule'!BT6,'Ops Assumptions'!$B$34:$B$44,0)),0,
MIN(INDEX('Ops Assumptions'!$G$34:$G$44,MATCH('Unit Mix-Reno Schedule'!BT6,'Ops Assumptions'!$B$34:$B$44,0))-BT50,(BT53+BT54-BT55)/units)),"ERROR")</f>
        <v>0.05</v>
      </c>
      <c r="BU60" s="982">
        <f ca="1">IFERROR(IF(BU50&gt;=INDEX('Ops Assumptions'!$G$34:$G$44,MATCH('Unit Mix-Reno Schedule'!BU6,'Ops Assumptions'!$B$34:$B$44,0)),0,
MIN(INDEX('Ops Assumptions'!$G$34:$G$44,MATCH('Unit Mix-Reno Schedule'!BU6,'Ops Assumptions'!$B$34:$B$44,0))-BU50,(BU53+BU54-BU55)/units)),"ERROR")</f>
        <v>0.05</v>
      </c>
      <c r="BV60" s="982">
        <f ca="1">IFERROR(IF(BV50&gt;=INDEX('Ops Assumptions'!$G$34:$G$44,MATCH('Unit Mix-Reno Schedule'!BV6,'Ops Assumptions'!$B$34:$B$44,0)),0,
MIN(INDEX('Ops Assumptions'!$G$34:$G$44,MATCH('Unit Mix-Reno Schedule'!BV6,'Ops Assumptions'!$B$34:$B$44,0))-BV50,(BV53+BV54-BV55)/units)),"ERROR")</f>
        <v>0.05</v>
      </c>
      <c r="BW60" s="982">
        <f ca="1">IFERROR(IF(BW50&gt;=INDEX('Ops Assumptions'!$G$34:$G$44,MATCH('Unit Mix-Reno Schedule'!BW6,'Ops Assumptions'!$B$34:$B$44,0)),0,
MIN(INDEX('Ops Assumptions'!$G$34:$G$44,MATCH('Unit Mix-Reno Schedule'!BW6,'Ops Assumptions'!$B$34:$B$44,0))-BW50,(BW53+BW54-BW55)/units)),"ERROR")</f>
        <v>0.05</v>
      </c>
      <c r="BX60" s="982">
        <f ca="1">IFERROR(IF(BX50&gt;=INDEX('Ops Assumptions'!$G$34:$G$44,MATCH('Unit Mix-Reno Schedule'!BX6,'Ops Assumptions'!$B$34:$B$44,0)),0,
MIN(INDEX('Ops Assumptions'!$G$34:$G$44,MATCH('Unit Mix-Reno Schedule'!BX6,'Ops Assumptions'!$B$34:$B$44,0))-BX50,(BX53+BX54-BX55)/units)),"ERROR")</f>
        <v>0.05</v>
      </c>
      <c r="BY60" s="982">
        <f ca="1">IFERROR(IF(BY50&gt;=INDEX('Ops Assumptions'!$G$34:$G$44,MATCH('Unit Mix-Reno Schedule'!BY6,'Ops Assumptions'!$B$34:$B$44,0)),0,
MIN(INDEX('Ops Assumptions'!$G$34:$G$44,MATCH('Unit Mix-Reno Schedule'!BY6,'Ops Assumptions'!$B$34:$B$44,0))-BY50,(BY53+BY54-BY55)/units)),"ERROR")</f>
        <v>0.05</v>
      </c>
      <c r="BZ60" s="982">
        <f ca="1">IFERROR(IF(BZ50&gt;=INDEX('Ops Assumptions'!$G$34:$G$44,MATCH('Unit Mix-Reno Schedule'!BZ6,'Ops Assumptions'!$B$34:$B$44,0)),0,
MIN(INDEX('Ops Assumptions'!$G$34:$G$44,MATCH('Unit Mix-Reno Schedule'!BZ6,'Ops Assumptions'!$B$34:$B$44,0))-BZ50,(BZ53+BZ54-BZ55)/units)),"ERROR")</f>
        <v>0.05</v>
      </c>
      <c r="CA60" s="982">
        <f ca="1">IFERROR(IF(CA50&gt;=INDEX('Ops Assumptions'!$G$34:$G$44,MATCH('Unit Mix-Reno Schedule'!CA6,'Ops Assumptions'!$B$34:$B$44,0)),0,
MIN(INDEX('Ops Assumptions'!$G$34:$G$44,MATCH('Unit Mix-Reno Schedule'!CA6,'Ops Assumptions'!$B$34:$B$44,0))-CA50,(CA53+CA54-CA55)/units)),"ERROR")</f>
        <v>0.05</v>
      </c>
      <c r="CB60" s="982">
        <f ca="1">IFERROR(IF(CB50&gt;=INDEX('Ops Assumptions'!$G$34:$G$44,MATCH('Unit Mix-Reno Schedule'!CB6,'Ops Assumptions'!$B$34:$B$44,0)),0,
MIN(INDEX('Ops Assumptions'!$G$34:$G$44,MATCH('Unit Mix-Reno Schedule'!CB6,'Ops Assumptions'!$B$34:$B$44,0))-CB50,(CB53+CB54-CB55)/units)),"ERROR")</f>
        <v>0.05</v>
      </c>
      <c r="CC60" s="982">
        <f ca="1">IFERROR(IF(CC50&gt;=INDEX('Ops Assumptions'!$G$34:$G$44,MATCH('Unit Mix-Reno Schedule'!CC6,'Ops Assumptions'!$B$34:$B$44,0)),0,
MIN(INDEX('Ops Assumptions'!$G$34:$G$44,MATCH('Unit Mix-Reno Schedule'!CC6,'Ops Assumptions'!$B$34:$B$44,0))-CC50,(CC53+CC54-CC55)/units)),"ERROR")</f>
        <v>0.05</v>
      </c>
      <c r="CD60" s="982">
        <f ca="1">IFERROR(IF(CD50&gt;=INDEX('Ops Assumptions'!$G$34:$G$44,MATCH('Unit Mix-Reno Schedule'!CD6,'Ops Assumptions'!$B$34:$B$44,0)),0,
MIN(INDEX('Ops Assumptions'!$G$34:$G$44,MATCH('Unit Mix-Reno Schedule'!CD6,'Ops Assumptions'!$B$34:$B$44,0))-CD50,(CD53+CD54-CD55)/units)),"ERROR")</f>
        <v>0.05</v>
      </c>
      <c r="CE60" s="982">
        <f ca="1">IFERROR(IF(CE50&gt;=INDEX('Ops Assumptions'!$G$34:$G$44,MATCH('Unit Mix-Reno Schedule'!CE6,'Ops Assumptions'!$B$34:$B$44,0)),0,
MIN(INDEX('Ops Assumptions'!$G$34:$G$44,MATCH('Unit Mix-Reno Schedule'!CE6,'Ops Assumptions'!$B$34:$B$44,0))-CE50,(CE53+CE54-CE55)/units)),"ERROR")</f>
        <v>0.05</v>
      </c>
      <c r="CF60" s="982">
        <f ca="1">IFERROR(IF(CF50&gt;=INDEX('Ops Assumptions'!$G$34:$G$44,MATCH('Unit Mix-Reno Schedule'!CF6,'Ops Assumptions'!$B$34:$B$44,0)),0,
MIN(INDEX('Ops Assumptions'!$G$34:$G$44,MATCH('Unit Mix-Reno Schedule'!CF6,'Ops Assumptions'!$B$34:$B$44,0))-CF50,(CF53+CF54-CF55)/units)),"ERROR")</f>
        <v>0.05</v>
      </c>
      <c r="CG60" s="982">
        <f ca="1">IFERROR(IF(CG50&gt;=INDEX('Ops Assumptions'!$G$34:$G$44,MATCH('Unit Mix-Reno Schedule'!CG6,'Ops Assumptions'!$B$34:$B$44,0)),0,
MIN(INDEX('Ops Assumptions'!$G$34:$G$44,MATCH('Unit Mix-Reno Schedule'!CG6,'Ops Assumptions'!$B$34:$B$44,0))-CG50,(CG53+CG54-CG55)/units)),"ERROR")</f>
        <v>0.05</v>
      </c>
      <c r="CH60" s="982">
        <f ca="1">IFERROR(IF(CH50&gt;=INDEX('Ops Assumptions'!$G$34:$G$44,MATCH('Unit Mix-Reno Schedule'!CH6,'Ops Assumptions'!$B$34:$B$44,0)),0,
MIN(INDEX('Ops Assumptions'!$G$34:$G$44,MATCH('Unit Mix-Reno Schedule'!CH6,'Ops Assumptions'!$B$34:$B$44,0))-CH50,(CH53+CH54-CH55)/units)),"ERROR")</f>
        <v>0.05</v>
      </c>
      <c r="CI60" s="982">
        <f ca="1">IFERROR(IF(CI50&gt;=INDEX('Ops Assumptions'!$G$34:$G$44,MATCH('Unit Mix-Reno Schedule'!CI6,'Ops Assumptions'!$B$34:$B$44,0)),0,
MIN(INDEX('Ops Assumptions'!$G$34:$G$44,MATCH('Unit Mix-Reno Schedule'!CI6,'Ops Assumptions'!$B$34:$B$44,0))-CI50,(CI53+CI54-CI55)/units)),"ERROR")</f>
        <v>0.05</v>
      </c>
      <c r="CJ60" s="982">
        <f ca="1">IFERROR(IF(CJ50&gt;=INDEX('Ops Assumptions'!$G$34:$G$44,MATCH('Unit Mix-Reno Schedule'!CJ6,'Ops Assumptions'!$B$34:$B$44,0)),0,
MIN(INDEX('Ops Assumptions'!$G$34:$G$44,MATCH('Unit Mix-Reno Schedule'!CJ6,'Ops Assumptions'!$B$34:$B$44,0))-CJ50,(CJ53+CJ54-CJ55)/units)),"ERROR")</f>
        <v>0.05</v>
      </c>
      <c r="CK60" s="982">
        <f ca="1">IFERROR(IF(CK50&gt;=INDEX('Ops Assumptions'!$G$34:$G$44,MATCH('Unit Mix-Reno Schedule'!CK6,'Ops Assumptions'!$B$34:$B$44,0)),0,
MIN(INDEX('Ops Assumptions'!$G$34:$G$44,MATCH('Unit Mix-Reno Schedule'!CK6,'Ops Assumptions'!$B$34:$B$44,0))-CK50,(CK53+CK54-CK55)/units)),"ERROR")</f>
        <v>0.05</v>
      </c>
      <c r="CL60" s="982">
        <f ca="1">IFERROR(IF(CL50&gt;=INDEX('Ops Assumptions'!$G$34:$G$44,MATCH('Unit Mix-Reno Schedule'!CL6,'Ops Assumptions'!$B$34:$B$44,0)),0,
MIN(INDEX('Ops Assumptions'!$G$34:$G$44,MATCH('Unit Mix-Reno Schedule'!CL6,'Ops Assumptions'!$B$34:$B$44,0))-CL50,(CL53+CL54-CL55)/units)),"ERROR")</f>
        <v>0.05</v>
      </c>
      <c r="CM60" s="982">
        <f ca="1">IFERROR(IF(CM50&gt;=INDEX('Ops Assumptions'!$G$34:$G$44,MATCH('Unit Mix-Reno Schedule'!CM6,'Ops Assumptions'!$B$34:$B$44,0)),0,
MIN(INDEX('Ops Assumptions'!$G$34:$G$44,MATCH('Unit Mix-Reno Schedule'!CM6,'Ops Assumptions'!$B$34:$B$44,0))-CM50,(CM53+CM54-CM55)/units)),"ERROR")</f>
        <v>0.05</v>
      </c>
      <c r="CN60" s="982">
        <f ca="1">IFERROR(IF(CN50&gt;=INDEX('Ops Assumptions'!$G$34:$G$44,MATCH('Unit Mix-Reno Schedule'!CN6,'Ops Assumptions'!$B$34:$B$44,0)),0,
MIN(INDEX('Ops Assumptions'!$G$34:$G$44,MATCH('Unit Mix-Reno Schedule'!CN6,'Ops Assumptions'!$B$34:$B$44,0))-CN50,(CN53+CN54-CN55)/units)),"ERROR")</f>
        <v>0.05</v>
      </c>
      <c r="CO60" s="982">
        <f ca="1">IFERROR(IF(CO50&gt;=INDEX('Ops Assumptions'!$G$34:$G$44,MATCH('Unit Mix-Reno Schedule'!CO6,'Ops Assumptions'!$B$34:$B$44,0)),0,
MIN(INDEX('Ops Assumptions'!$G$34:$G$44,MATCH('Unit Mix-Reno Schedule'!CO6,'Ops Assumptions'!$B$34:$B$44,0))-CO50,(CO53+CO54-CO55)/units)),"ERROR")</f>
        <v>0.05</v>
      </c>
      <c r="CP60" s="982">
        <f ca="1">IFERROR(IF(CP50&gt;=INDEX('Ops Assumptions'!$G$34:$G$44,MATCH('Unit Mix-Reno Schedule'!CP6,'Ops Assumptions'!$B$34:$B$44,0)),0,
MIN(INDEX('Ops Assumptions'!$G$34:$G$44,MATCH('Unit Mix-Reno Schedule'!CP6,'Ops Assumptions'!$B$34:$B$44,0))-CP50,(CP53+CP54-CP55)/units)),"ERROR")</f>
        <v>0.05</v>
      </c>
      <c r="CQ60" s="982">
        <f ca="1">IFERROR(IF(CQ50&gt;=INDEX('Ops Assumptions'!$G$34:$G$44,MATCH('Unit Mix-Reno Schedule'!CQ6,'Ops Assumptions'!$B$34:$B$44,0)),0,
MIN(INDEX('Ops Assumptions'!$G$34:$G$44,MATCH('Unit Mix-Reno Schedule'!CQ6,'Ops Assumptions'!$B$34:$B$44,0))-CQ50,(CQ53+CQ54-CQ55)/units)),"ERROR")</f>
        <v>0.05</v>
      </c>
      <c r="CR60" s="982">
        <f ca="1">IFERROR(IF(CR50&gt;=INDEX('Ops Assumptions'!$G$34:$G$44,MATCH('Unit Mix-Reno Schedule'!CR6,'Ops Assumptions'!$B$34:$B$44,0)),0,
MIN(INDEX('Ops Assumptions'!$G$34:$G$44,MATCH('Unit Mix-Reno Schedule'!CR6,'Ops Assumptions'!$B$34:$B$44,0))-CR50,(CR53+CR54-CR55)/units)),"ERROR")</f>
        <v>0.05</v>
      </c>
      <c r="CS60" s="982">
        <f ca="1">IFERROR(IF(CS50&gt;=INDEX('Ops Assumptions'!$G$34:$G$44,MATCH('Unit Mix-Reno Schedule'!CS6,'Ops Assumptions'!$B$34:$B$44,0)),0,
MIN(INDEX('Ops Assumptions'!$G$34:$G$44,MATCH('Unit Mix-Reno Schedule'!CS6,'Ops Assumptions'!$B$34:$B$44,0))-CS50,(CS53+CS54-CS55)/units)),"ERROR")</f>
        <v>0.05</v>
      </c>
      <c r="CT60" s="982">
        <f ca="1">IFERROR(IF(CT50&gt;=INDEX('Ops Assumptions'!$G$34:$G$44,MATCH('Unit Mix-Reno Schedule'!CT6,'Ops Assumptions'!$B$34:$B$44,0)),0,
MIN(INDEX('Ops Assumptions'!$G$34:$G$44,MATCH('Unit Mix-Reno Schedule'!CT6,'Ops Assumptions'!$B$34:$B$44,0))-CT50,(CT53+CT54-CT55)/units)),"ERROR")</f>
        <v>0.05</v>
      </c>
      <c r="CU60" s="982">
        <f ca="1">IFERROR(IF(CU50&gt;=INDEX('Ops Assumptions'!$G$34:$G$44,MATCH('Unit Mix-Reno Schedule'!CU6,'Ops Assumptions'!$B$34:$B$44,0)),0,
MIN(INDEX('Ops Assumptions'!$G$34:$G$44,MATCH('Unit Mix-Reno Schedule'!CU6,'Ops Assumptions'!$B$34:$B$44,0))-CU50,(CU53+CU54-CU55)/units)),"ERROR")</f>
        <v>0.05</v>
      </c>
      <c r="CV60" s="982">
        <f ca="1">IFERROR(IF(CV50&gt;=INDEX('Ops Assumptions'!$G$34:$G$44,MATCH('Unit Mix-Reno Schedule'!CV6,'Ops Assumptions'!$B$34:$B$44,0)),0,
MIN(INDEX('Ops Assumptions'!$G$34:$G$44,MATCH('Unit Mix-Reno Schedule'!CV6,'Ops Assumptions'!$B$34:$B$44,0))-CV50,(CV53+CV54-CV55)/units)),"ERROR")</f>
        <v>0.05</v>
      </c>
      <c r="CW60" s="982">
        <f ca="1">IFERROR(IF(CW50&gt;=INDEX('Ops Assumptions'!$G$34:$G$44,MATCH('Unit Mix-Reno Schedule'!CW6,'Ops Assumptions'!$B$34:$B$44,0)),0,
MIN(INDEX('Ops Assumptions'!$G$34:$G$44,MATCH('Unit Mix-Reno Schedule'!CW6,'Ops Assumptions'!$B$34:$B$44,0))-CW50,(CW53+CW54-CW55)/units)),"ERROR")</f>
        <v>0.05</v>
      </c>
      <c r="CX60" s="982">
        <f ca="1">IFERROR(IF(CX50&gt;=INDEX('Ops Assumptions'!$G$34:$G$44,MATCH('Unit Mix-Reno Schedule'!CX6,'Ops Assumptions'!$B$34:$B$44,0)),0,
MIN(INDEX('Ops Assumptions'!$G$34:$G$44,MATCH('Unit Mix-Reno Schedule'!CX6,'Ops Assumptions'!$B$34:$B$44,0))-CX50,(CX53+CX54-CX55)/units)),"ERROR")</f>
        <v>0.05</v>
      </c>
      <c r="CY60" s="982">
        <f ca="1">IFERROR(IF(CY50&gt;=INDEX('Ops Assumptions'!$G$34:$G$44,MATCH('Unit Mix-Reno Schedule'!CY6,'Ops Assumptions'!$B$34:$B$44,0)),0,
MIN(INDEX('Ops Assumptions'!$G$34:$G$44,MATCH('Unit Mix-Reno Schedule'!CY6,'Ops Assumptions'!$B$34:$B$44,0))-CY50,(CY53+CY54-CY55)/units)),"ERROR")</f>
        <v>0.05</v>
      </c>
      <c r="CZ60" s="982">
        <f ca="1">IFERROR(IF(CZ50&gt;=INDEX('Ops Assumptions'!$G$34:$G$44,MATCH('Unit Mix-Reno Schedule'!CZ6,'Ops Assumptions'!$B$34:$B$44,0)),0,
MIN(INDEX('Ops Assumptions'!$G$34:$G$44,MATCH('Unit Mix-Reno Schedule'!CZ6,'Ops Assumptions'!$B$34:$B$44,0))-CZ50,(CZ53+CZ54-CZ55)/units)),"ERROR")</f>
        <v>0.05</v>
      </c>
      <c r="DA60" s="982">
        <f ca="1">IFERROR(IF(DA50&gt;=INDEX('Ops Assumptions'!$G$34:$G$44,MATCH('Unit Mix-Reno Schedule'!DA6,'Ops Assumptions'!$B$34:$B$44,0)),0,
MIN(INDEX('Ops Assumptions'!$G$34:$G$44,MATCH('Unit Mix-Reno Schedule'!DA6,'Ops Assumptions'!$B$34:$B$44,0))-DA50,(DA53+DA54-DA55)/units)),"ERROR")</f>
        <v>0.05</v>
      </c>
      <c r="DB60" s="982">
        <f ca="1">IFERROR(IF(DB50&gt;=INDEX('Ops Assumptions'!$G$34:$G$44,MATCH('Unit Mix-Reno Schedule'!DB6,'Ops Assumptions'!$B$34:$B$44,0)),0,
MIN(INDEX('Ops Assumptions'!$G$34:$G$44,MATCH('Unit Mix-Reno Schedule'!DB6,'Ops Assumptions'!$B$34:$B$44,0))-DB50,(DB53+DB54-DB55)/units)),"ERROR")</f>
        <v>0.05</v>
      </c>
      <c r="DC60" s="982">
        <f ca="1">IFERROR(IF(DC50&gt;=INDEX('Ops Assumptions'!$G$34:$G$44,MATCH('Unit Mix-Reno Schedule'!DC6,'Ops Assumptions'!$B$34:$B$44,0)),0,
MIN(INDEX('Ops Assumptions'!$G$34:$G$44,MATCH('Unit Mix-Reno Schedule'!DC6,'Ops Assumptions'!$B$34:$B$44,0))-DC50,(DC53+DC54-DC55)/units)),"ERROR")</f>
        <v>0.05</v>
      </c>
      <c r="DD60" s="982">
        <f ca="1">IFERROR(IF(DD50&gt;=INDEX('Ops Assumptions'!$G$34:$G$44,MATCH('Unit Mix-Reno Schedule'!DD6,'Ops Assumptions'!$B$34:$B$44,0)),0,
MIN(INDEX('Ops Assumptions'!$G$34:$G$44,MATCH('Unit Mix-Reno Schedule'!DD6,'Ops Assumptions'!$B$34:$B$44,0))-DD50,(DD53+DD54-DD55)/units)),"ERROR")</f>
        <v>0.05</v>
      </c>
      <c r="DE60" s="982">
        <f ca="1">IFERROR(IF(DE50&gt;=INDEX('Ops Assumptions'!$G$34:$G$44,MATCH('Unit Mix-Reno Schedule'!DE6,'Ops Assumptions'!$B$34:$B$44,0)),0,
MIN(INDEX('Ops Assumptions'!$G$34:$G$44,MATCH('Unit Mix-Reno Schedule'!DE6,'Ops Assumptions'!$B$34:$B$44,0))-DE50,(DE53+DE54-DE55)/units)),"ERROR")</f>
        <v>0.05</v>
      </c>
      <c r="DF60" s="982">
        <f ca="1">IFERROR(IF(DF50&gt;=INDEX('Ops Assumptions'!$G$34:$G$44,MATCH('Unit Mix-Reno Schedule'!DF6,'Ops Assumptions'!$B$34:$B$44,0)),0,
MIN(INDEX('Ops Assumptions'!$G$34:$G$44,MATCH('Unit Mix-Reno Schedule'!DF6,'Ops Assumptions'!$B$34:$B$44,0))-DF50,(DF53+DF54-DF55)/units)),"ERROR")</f>
        <v>0.05</v>
      </c>
      <c r="DG60" s="982">
        <f ca="1">IFERROR(IF(DG50&gt;=INDEX('Ops Assumptions'!$G$34:$G$44,MATCH('Unit Mix-Reno Schedule'!DG6,'Ops Assumptions'!$B$34:$B$44,0)),0,
MIN(INDEX('Ops Assumptions'!$G$34:$G$44,MATCH('Unit Mix-Reno Schedule'!DG6,'Ops Assumptions'!$B$34:$B$44,0))-DG50,(DG53+DG54-DG55)/units)),"ERROR")</f>
        <v>0.05</v>
      </c>
      <c r="DH60" s="982">
        <f ca="1">IFERROR(IF(DH50&gt;=INDEX('Ops Assumptions'!$G$34:$G$44,MATCH('Unit Mix-Reno Schedule'!DH6,'Ops Assumptions'!$B$34:$B$44,0)),0,
MIN(INDEX('Ops Assumptions'!$G$34:$G$44,MATCH('Unit Mix-Reno Schedule'!DH6,'Ops Assumptions'!$B$34:$B$44,0))-DH50,(DH53+DH54-DH55)/units)),"ERROR")</f>
        <v>0.05</v>
      </c>
      <c r="DI60" s="982">
        <f ca="1">IFERROR(IF(DI50&gt;=INDEX('Ops Assumptions'!$G$34:$G$44,MATCH('Unit Mix-Reno Schedule'!DI6,'Ops Assumptions'!$B$34:$B$44,0)),0,
MIN(INDEX('Ops Assumptions'!$G$34:$G$44,MATCH('Unit Mix-Reno Schedule'!DI6,'Ops Assumptions'!$B$34:$B$44,0))-DI50,(DI53+DI54-DI55)/units)),"ERROR")</f>
        <v>0.05</v>
      </c>
      <c r="DJ60" s="982">
        <f ca="1">IFERROR(IF(DJ50&gt;=INDEX('Ops Assumptions'!$G$34:$G$44,MATCH('Unit Mix-Reno Schedule'!DJ6,'Ops Assumptions'!$B$34:$B$44,0)),0,
MIN(INDEX('Ops Assumptions'!$G$34:$G$44,MATCH('Unit Mix-Reno Schedule'!DJ6,'Ops Assumptions'!$B$34:$B$44,0))-DJ50,(DJ53+DJ54-DJ55)/units)),"ERROR")</f>
        <v>0.05</v>
      </c>
      <c r="DK60" s="982">
        <f ca="1">IFERROR(IF(DK50&gt;=INDEX('Ops Assumptions'!$G$34:$G$44,MATCH('Unit Mix-Reno Schedule'!DK6,'Ops Assumptions'!$B$34:$B$44,0)),0,
MIN(INDEX('Ops Assumptions'!$G$34:$G$44,MATCH('Unit Mix-Reno Schedule'!DK6,'Ops Assumptions'!$B$34:$B$44,0))-DK50,(DK53+DK54-DK55)/units)),"ERROR")</f>
        <v>0.05</v>
      </c>
      <c r="DL60" s="982">
        <f ca="1">IFERROR(IF(DL50&gt;=INDEX('Ops Assumptions'!$G$34:$G$44,MATCH('Unit Mix-Reno Schedule'!DL6,'Ops Assumptions'!$B$34:$B$44,0)),0,
MIN(INDEX('Ops Assumptions'!$G$34:$G$44,MATCH('Unit Mix-Reno Schedule'!DL6,'Ops Assumptions'!$B$34:$B$44,0))-DL50,(DL53+DL54-DL55)/units)),"ERROR")</f>
        <v>0.05</v>
      </c>
      <c r="DM60" s="982">
        <f ca="1">IFERROR(IF(DM50&gt;=INDEX('Ops Assumptions'!$G$34:$G$44,MATCH('Unit Mix-Reno Schedule'!DM6,'Ops Assumptions'!$B$34:$B$44,0)),0,
MIN(INDEX('Ops Assumptions'!$G$34:$G$44,MATCH('Unit Mix-Reno Schedule'!DM6,'Ops Assumptions'!$B$34:$B$44,0))-DM50,(DM53+DM54-DM55)/units)),"ERROR")</f>
        <v>0.05</v>
      </c>
      <c r="DN60" s="982">
        <f ca="1">IFERROR(IF(DN50&gt;=INDEX('Ops Assumptions'!$G$34:$G$44,MATCH('Unit Mix-Reno Schedule'!DN6,'Ops Assumptions'!$B$34:$B$44,0)),0,
MIN(INDEX('Ops Assumptions'!$G$34:$G$44,MATCH('Unit Mix-Reno Schedule'!DN6,'Ops Assumptions'!$B$34:$B$44,0))-DN50,(DN53+DN54-DN55)/units)),"ERROR")</f>
        <v>0.05</v>
      </c>
      <c r="DO60" s="982">
        <f ca="1">IFERROR(IF(DO50&gt;=INDEX('Ops Assumptions'!$G$34:$G$44,MATCH('Unit Mix-Reno Schedule'!DO6,'Ops Assumptions'!$B$34:$B$44,0)),0,
MIN(INDEX('Ops Assumptions'!$G$34:$G$44,MATCH('Unit Mix-Reno Schedule'!DO6,'Ops Assumptions'!$B$34:$B$44,0))-DO50,(DO53+DO54-DO55)/units)),"ERROR")</f>
        <v>0.05</v>
      </c>
      <c r="DP60" s="982">
        <f ca="1">IFERROR(IF(DP50&gt;=INDEX('Ops Assumptions'!$G$34:$G$44,MATCH('Unit Mix-Reno Schedule'!DP6,'Ops Assumptions'!$B$34:$B$44,0)),0,
MIN(INDEX('Ops Assumptions'!$G$34:$G$44,MATCH('Unit Mix-Reno Schedule'!DP6,'Ops Assumptions'!$B$34:$B$44,0))-DP50,(DP53+DP54-DP55)/units)),"ERROR")</f>
        <v>0.05</v>
      </c>
      <c r="DQ60" s="982">
        <f ca="1">IFERROR(IF(DQ50&gt;=INDEX('Ops Assumptions'!$G$34:$G$44,MATCH('Unit Mix-Reno Schedule'!DQ6,'Ops Assumptions'!$B$34:$B$44,0)),0,
MIN(INDEX('Ops Assumptions'!$G$34:$G$44,MATCH('Unit Mix-Reno Schedule'!DQ6,'Ops Assumptions'!$B$34:$B$44,0))-DQ50,(DQ53+DQ54-DQ55)/units)),"ERROR")</f>
        <v>0.05</v>
      </c>
      <c r="DR60" s="982">
        <f ca="1">IFERROR(IF(DR50&gt;=INDEX('Ops Assumptions'!$G$34:$G$44,MATCH('Unit Mix-Reno Schedule'!DR6,'Ops Assumptions'!$B$34:$B$44,0)),0,
MIN(INDEX('Ops Assumptions'!$G$34:$G$44,MATCH('Unit Mix-Reno Schedule'!DR6,'Ops Assumptions'!$B$34:$B$44,0))-DR50,(DR53+DR54-DR55)/units)),"ERROR")</f>
        <v>0.05</v>
      </c>
      <c r="DS60" s="982">
        <f ca="1">IFERROR(IF(DS50&gt;=INDEX('Ops Assumptions'!$G$34:$G$44,MATCH('Unit Mix-Reno Schedule'!DS6,'Ops Assumptions'!$B$34:$B$44,0)),0,
MIN(INDEX('Ops Assumptions'!$G$34:$G$44,MATCH('Unit Mix-Reno Schedule'!DS6,'Ops Assumptions'!$B$34:$B$44,0))-DS50,(DS53+DS54-DS55)/units)),"ERROR")</f>
        <v>0.05</v>
      </c>
      <c r="DT60" s="982">
        <f ca="1">IFERROR(IF(DT50&gt;=INDEX('Ops Assumptions'!$G$34:$G$44,MATCH('Unit Mix-Reno Schedule'!DT6,'Ops Assumptions'!$B$34:$B$44,0)),0,
MIN(INDEX('Ops Assumptions'!$G$34:$G$44,MATCH('Unit Mix-Reno Schedule'!DT6,'Ops Assumptions'!$B$34:$B$44,0))-DT50,(DT53+DT54-DT55)/units)),"ERROR")</f>
        <v>0.05</v>
      </c>
      <c r="DU60" s="982">
        <f ca="1">IFERROR(IF(DU50&gt;=INDEX('Ops Assumptions'!$G$34:$G$44,MATCH('Unit Mix-Reno Schedule'!DU6,'Ops Assumptions'!$B$34:$B$44,0)),0,
MIN(INDEX('Ops Assumptions'!$G$34:$G$44,MATCH('Unit Mix-Reno Schedule'!DU6,'Ops Assumptions'!$B$34:$B$44,0))-DU50,(DU53+DU54-DU55)/units)),"ERROR")</f>
        <v>0.05</v>
      </c>
      <c r="DV60" s="982">
        <f ca="1">IFERROR(IF(DV50&gt;=INDEX('Ops Assumptions'!$G$34:$G$44,MATCH('Unit Mix-Reno Schedule'!DV6,'Ops Assumptions'!$B$34:$B$44,0)),0,
MIN(INDEX('Ops Assumptions'!$G$34:$G$44,MATCH('Unit Mix-Reno Schedule'!DV6,'Ops Assumptions'!$B$34:$B$44,0))-DV50,(DV53+DV54-DV55)/units)),"ERROR")</f>
        <v>0.05</v>
      </c>
      <c r="DW60" s="982">
        <f ca="1">IFERROR(IF(DW50&gt;=INDEX('Ops Assumptions'!$G$34:$G$44,MATCH('Unit Mix-Reno Schedule'!DW6,'Ops Assumptions'!$B$34:$B$44,0)),0,
MIN(INDEX('Ops Assumptions'!$G$34:$G$44,MATCH('Unit Mix-Reno Schedule'!DW6,'Ops Assumptions'!$B$34:$B$44,0))-DW50,(DW53+DW54-DW55)/units)),"ERROR")</f>
        <v>0.05</v>
      </c>
      <c r="DX60" s="982">
        <f ca="1">IFERROR(IF(DX50&gt;=INDEX('Ops Assumptions'!$G$34:$G$44,MATCH('Unit Mix-Reno Schedule'!DX6,'Ops Assumptions'!$B$34:$B$44,0)),0,
MIN(INDEX('Ops Assumptions'!$G$34:$G$44,MATCH('Unit Mix-Reno Schedule'!DX6,'Ops Assumptions'!$B$34:$B$44,0))-DX50,(DX53+DX54-DX55)/units)),"ERROR")</f>
        <v>0.05</v>
      </c>
      <c r="DY60" s="982">
        <f ca="1">IFERROR(IF(DY50&gt;=INDEX('Ops Assumptions'!$G$34:$G$44,MATCH('Unit Mix-Reno Schedule'!DY6,'Ops Assumptions'!$B$34:$B$44,0)),0,
MIN(INDEX('Ops Assumptions'!$G$34:$G$44,MATCH('Unit Mix-Reno Schedule'!DY6,'Ops Assumptions'!$B$34:$B$44,0))-DY50,(DY53+DY54-DY55)/units)),"ERROR")</f>
        <v>0.05</v>
      </c>
      <c r="DZ60" s="982">
        <f ca="1">IFERROR(IF(DZ50&gt;=INDEX('Ops Assumptions'!$G$34:$G$44,MATCH('Unit Mix-Reno Schedule'!DZ6,'Ops Assumptions'!$B$34:$B$44,0)),0,
MIN(INDEX('Ops Assumptions'!$G$34:$G$44,MATCH('Unit Mix-Reno Schedule'!DZ6,'Ops Assumptions'!$B$34:$B$44,0))-DZ50,(DZ53+DZ54-DZ55)/units)),"ERROR")</f>
        <v>0.05</v>
      </c>
      <c r="EA60" s="982">
        <f ca="1">IFERROR(IF(EA50&gt;=INDEX('Ops Assumptions'!$G$34:$G$44,MATCH('Unit Mix-Reno Schedule'!EA6,'Ops Assumptions'!$B$34:$B$44,0)),0,
MIN(INDEX('Ops Assumptions'!$G$34:$G$44,MATCH('Unit Mix-Reno Schedule'!EA6,'Ops Assumptions'!$B$34:$B$44,0))-EA50,(EA53+EA54-EA55)/units)),"ERROR")</f>
        <v>0.05</v>
      </c>
      <c r="EB60" s="982">
        <f ca="1">IFERROR(IF(EB50&gt;=INDEX('Ops Assumptions'!$G$34:$G$44,MATCH('Unit Mix-Reno Schedule'!EB6,'Ops Assumptions'!$B$34:$B$44,0)),0,
MIN(INDEX('Ops Assumptions'!$G$34:$G$44,MATCH('Unit Mix-Reno Schedule'!EB6,'Ops Assumptions'!$B$34:$B$44,0))-EB50,(EB53+EB54-EB55)/units)),"ERROR")</f>
        <v>0.05</v>
      </c>
      <c r="EC60" s="982">
        <f ca="1">IFERROR(IF(EC50&gt;=INDEX('Ops Assumptions'!$G$34:$G$44,MATCH('Unit Mix-Reno Schedule'!EC6,'Ops Assumptions'!$B$34:$B$44,0)),0,
MIN(INDEX('Ops Assumptions'!$G$34:$G$44,MATCH('Unit Mix-Reno Schedule'!EC6,'Ops Assumptions'!$B$34:$B$44,0))-EC50,(EC53+EC54-EC55)/units)),"ERROR")</f>
        <v>0.05</v>
      </c>
      <c r="ED60" s="982">
        <f ca="1">IFERROR(IF(ED50&gt;=INDEX('Ops Assumptions'!$G$34:$G$44,MATCH('Unit Mix-Reno Schedule'!ED6,'Ops Assumptions'!$B$34:$B$44,0)),0,
MIN(INDEX('Ops Assumptions'!$G$34:$G$44,MATCH('Unit Mix-Reno Schedule'!ED6,'Ops Assumptions'!$B$34:$B$44,0))-ED50,(ED53+ED54-ED55)/units)),"ERROR")</f>
        <v>0.05</v>
      </c>
      <c r="EE60" s="982">
        <f ca="1">IFERROR(IF(EE50&gt;=INDEX('Ops Assumptions'!$G$34:$G$44,MATCH('Unit Mix-Reno Schedule'!EE6,'Ops Assumptions'!$B$34:$B$44,0)),0,
MIN(INDEX('Ops Assumptions'!$G$34:$G$44,MATCH('Unit Mix-Reno Schedule'!EE6,'Ops Assumptions'!$B$34:$B$44,0))-EE50,(EE53+EE54-EE55)/units)),"ERROR")</f>
        <v>0.05</v>
      </c>
      <c r="EF60" s="982">
        <f ca="1">IFERROR(IF(EF50&gt;=INDEX('Ops Assumptions'!$G$34:$G$44,MATCH('Unit Mix-Reno Schedule'!EF6,'Ops Assumptions'!$B$34:$B$44,0)),0,
MIN(INDEX('Ops Assumptions'!$G$34:$G$44,MATCH('Unit Mix-Reno Schedule'!EF6,'Ops Assumptions'!$B$34:$B$44,0))-EF50,(EF53+EF54-EF55)/units)),"ERROR")</f>
        <v>0.05</v>
      </c>
      <c r="EG60" s="982">
        <f ca="1">IFERROR(IF(EG50&gt;=INDEX('Ops Assumptions'!$G$34:$G$44,MATCH('Unit Mix-Reno Schedule'!EG6,'Ops Assumptions'!$B$34:$B$44,0)),0,
MIN(INDEX('Ops Assumptions'!$G$34:$G$44,MATCH('Unit Mix-Reno Schedule'!EG6,'Ops Assumptions'!$B$34:$B$44,0))-EG50,(EG53+EG54-EG55)/units)),"ERROR")</f>
        <v>0.05</v>
      </c>
      <c r="EH60" s="982">
        <f ca="1">IFERROR(IF(EH50&gt;=INDEX('Ops Assumptions'!$G$34:$G$44,MATCH('Unit Mix-Reno Schedule'!EH6,'Ops Assumptions'!$B$34:$B$44,0)),0,
MIN(INDEX('Ops Assumptions'!$G$34:$G$44,MATCH('Unit Mix-Reno Schedule'!EH6,'Ops Assumptions'!$B$34:$B$44,0))-EH50,(EH53+EH54-EH55)/units)),"ERROR")</f>
        <v>0.05</v>
      </c>
      <c r="EI60" s="982">
        <f ca="1">IFERROR(IF(EI50&gt;=INDEX('Ops Assumptions'!$G$34:$G$44,MATCH('Unit Mix-Reno Schedule'!EI6,'Ops Assumptions'!$B$34:$B$44,0)),0,
MIN(INDEX('Ops Assumptions'!$G$34:$G$44,MATCH('Unit Mix-Reno Schedule'!EI6,'Ops Assumptions'!$B$34:$B$44,0))-EI50,(EI53+EI54-EI55)/units)),"ERROR")</f>
        <v>0.05</v>
      </c>
      <c r="EJ60" s="982">
        <f ca="1">IFERROR(IF(EJ50&gt;=INDEX('Ops Assumptions'!$G$34:$G$44,MATCH('Unit Mix-Reno Schedule'!EJ6,'Ops Assumptions'!$B$34:$B$44,0)),0,
MIN(INDEX('Ops Assumptions'!$G$34:$G$44,MATCH('Unit Mix-Reno Schedule'!EJ6,'Ops Assumptions'!$B$34:$B$44,0))-EJ50,(EJ53+EJ54-EJ55)/units)),"ERROR")</f>
        <v>0.05</v>
      </c>
      <c r="EK60" s="982">
        <f ca="1">IFERROR(IF(EK50&gt;=INDEX('Ops Assumptions'!$G$34:$G$44,MATCH('Unit Mix-Reno Schedule'!EK6,'Ops Assumptions'!$B$34:$B$44,0)),0,
MIN(INDEX('Ops Assumptions'!$G$34:$G$44,MATCH('Unit Mix-Reno Schedule'!EK6,'Ops Assumptions'!$B$34:$B$44,0))-EK50,(EK53+EK54-EK55)/units)),"ERROR")</f>
        <v>0.05</v>
      </c>
      <c r="EL60" s="982">
        <f ca="1">IFERROR(IF(EL50&gt;=INDEX('Ops Assumptions'!$G$34:$G$44,MATCH('Unit Mix-Reno Schedule'!EL6,'Ops Assumptions'!$B$34:$B$44,0)),0,
MIN(INDEX('Ops Assumptions'!$G$34:$G$44,MATCH('Unit Mix-Reno Schedule'!EL6,'Ops Assumptions'!$B$34:$B$44,0))-EL50,(EL53+EL54-EL55)/units)),"ERROR")</f>
        <v>0.05</v>
      </c>
      <c r="EM60" s="982">
        <f ca="1">IFERROR(IF(EM50&gt;=INDEX('Ops Assumptions'!$G$34:$G$44,MATCH('Unit Mix-Reno Schedule'!EM6,'Ops Assumptions'!$B$34:$B$44,0)),0,
MIN(INDEX('Ops Assumptions'!$G$34:$G$44,MATCH('Unit Mix-Reno Schedule'!EM6,'Ops Assumptions'!$B$34:$B$44,0))-EM50,(EM53+EM54-EM55)/units)),"ERROR")</f>
        <v>0.05</v>
      </c>
      <c r="EN60" s="982">
        <f ca="1">IFERROR(IF(EN50&gt;=INDEX('Ops Assumptions'!$G$34:$G$44,MATCH('Unit Mix-Reno Schedule'!EN6,'Ops Assumptions'!$B$34:$B$44,0)),0,
MIN(INDEX('Ops Assumptions'!$G$34:$G$44,MATCH('Unit Mix-Reno Schedule'!EN6,'Ops Assumptions'!$B$34:$B$44,0))-EN50,(EN53+EN54-EN55)/units)),"ERROR")</f>
        <v>0.05</v>
      </c>
      <c r="EO60" s="982">
        <f ca="1">IFERROR(IF(EO50&gt;=INDEX('Ops Assumptions'!$G$34:$G$44,MATCH('Unit Mix-Reno Schedule'!EO6,'Ops Assumptions'!$B$34:$B$44,0)),0,
MIN(INDEX('Ops Assumptions'!$G$34:$G$44,MATCH('Unit Mix-Reno Schedule'!EO6,'Ops Assumptions'!$B$34:$B$44,0))-EO50,(EO53+EO54-EO55)/units)),"ERROR")</f>
        <v>0.05</v>
      </c>
      <c r="EP60" s="982">
        <f ca="1">IFERROR(IF(EP50&gt;=INDEX('Ops Assumptions'!$G$34:$G$44,MATCH('Unit Mix-Reno Schedule'!EP6,'Ops Assumptions'!$B$34:$B$44,0)),0,
MIN(INDEX('Ops Assumptions'!$G$34:$G$44,MATCH('Unit Mix-Reno Schedule'!EP6,'Ops Assumptions'!$B$34:$B$44,0))-EP50,(EP53+EP54-EP55)/units)),"ERROR")</f>
        <v>0.05</v>
      </c>
      <c r="EQ60" s="982">
        <f ca="1">IFERROR(IF(EQ50&gt;=INDEX('Ops Assumptions'!$G$34:$G$44,MATCH('Unit Mix-Reno Schedule'!EQ6,'Ops Assumptions'!$B$34:$B$44,0)),0,
MIN(INDEX('Ops Assumptions'!$G$34:$G$44,MATCH('Unit Mix-Reno Schedule'!EQ6,'Ops Assumptions'!$B$34:$B$44,0))-EQ50,(EQ53+EQ54-EQ55)/units)),"ERROR")</f>
        <v>0.05</v>
      </c>
      <c r="ER60" s="982">
        <f ca="1">IFERROR(IF(ER50&gt;=INDEX('Ops Assumptions'!$G$34:$G$44,MATCH('Unit Mix-Reno Schedule'!ER6,'Ops Assumptions'!$B$34:$B$44,0)),0,
MIN(INDEX('Ops Assumptions'!$G$34:$G$44,MATCH('Unit Mix-Reno Schedule'!ER6,'Ops Assumptions'!$B$34:$B$44,0))-ER50,(ER53+ER54-ER55)/units)),"ERROR")</f>
        <v>0.05</v>
      </c>
      <c r="ES60" s="982">
        <f ca="1">IFERROR(IF(ES50&gt;=INDEX('Ops Assumptions'!$G$34:$G$44,MATCH('Unit Mix-Reno Schedule'!ES6,'Ops Assumptions'!$B$34:$B$44,0)),0,
MIN(INDEX('Ops Assumptions'!$G$34:$G$44,MATCH('Unit Mix-Reno Schedule'!ES6,'Ops Assumptions'!$B$34:$B$44,0))-ES50,(ES53+ES54-ES55)/units)),"ERROR")</f>
        <v>0.05</v>
      </c>
      <c r="ET60" s="982">
        <f ca="1">IFERROR(IF(ET50&gt;=INDEX('Ops Assumptions'!$G$34:$G$44,MATCH('Unit Mix-Reno Schedule'!ET6,'Ops Assumptions'!$B$34:$B$44,0)),0,
MIN(INDEX('Ops Assumptions'!$G$34:$G$44,MATCH('Unit Mix-Reno Schedule'!ET6,'Ops Assumptions'!$B$34:$B$44,0))-ET50,(ET53+ET54-ET55)/units)),"ERROR")</f>
        <v>0.05</v>
      </c>
      <c r="EU60" s="982">
        <f ca="1">IFERROR(IF(EU50&gt;=INDEX('Ops Assumptions'!$G$34:$G$44,MATCH('Unit Mix-Reno Schedule'!EU6,'Ops Assumptions'!$B$34:$B$44,0)),0,
MIN(INDEX('Ops Assumptions'!$G$34:$G$44,MATCH('Unit Mix-Reno Schedule'!EU6,'Ops Assumptions'!$B$34:$B$44,0))-EU50,(EU53+EU54-EU55)/units)),"ERROR")</f>
        <v>0.05</v>
      </c>
      <c r="EV60" s="982">
        <f ca="1">IFERROR(IF(EV50&gt;=INDEX('Ops Assumptions'!$G$34:$G$44,MATCH('Unit Mix-Reno Schedule'!EV6,'Ops Assumptions'!$B$34:$B$44,0)),0,
MIN(INDEX('Ops Assumptions'!$G$34:$G$44,MATCH('Unit Mix-Reno Schedule'!EV6,'Ops Assumptions'!$B$34:$B$44,0))-EV50,(EV53+EV54-EV55)/units)),"ERROR")</f>
        <v>0.05</v>
      </c>
      <c r="EW60" s="982">
        <f ca="1">IFERROR(IF(EW50&gt;=INDEX('Ops Assumptions'!$G$34:$G$44,MATCH('Unit Mix-Reno Schedule'!EW6,'Ops Assumptions'!$B$34:$B$44,0)),0,
MIN(INDEX('Ops Assumptions'!$G$34:$G$44,MATCH('Unit Mix-Reno Schedule'!EW6,'Ops Assumptions'!$B$34:$B$44,0))-EW50,(EW53+EW54-EW55)/units)),"ERROR")</f>
        <v>0.05</v>
      </c>
      <c r="EX60" s="982">
        <f ca="1">IFERROR(IF(EX50&gt;=INDEX('Ops Assumptions'!$G$34:$G$44,MATCH('Unit Mix-Reno Schedule'!EX6,'Ops Assumptions'!$B$34:$B$44,0)),0,
MIN(INDEX('Ops Assumptions'!$G$34:$G$44,MATCH('Unit Mix-Reno Schedule'!EX6,'Ops Assumptions'!$B$34:$B$44,0))-EX50,(EX53+EX54-EX55)/units)),"ERROR")</f>
        <v>0.05</v>
      </c>
      <c r="EY60" s="982">
        <f ca="1">IFERROR(IF(EY50&gt;=INDEX('Ops Assumptions'!$G$34:$G$44,MATCH('Unit Mix-Reno Schedule'!EY6,'Ops Assumptions'!$B$34:$B$44,0)),0,
MIN(INDEX('Ops Assumptions'!$G$34:$G$44,MATCH('Unit Mix-Reno Schedule'!EY6,'Ops Assumptions'!$B$34:$B$44,0))-EY50,(EY53+EY54-EY55)/units)),"ERROR")</f>
        <v>0.05</v>
      </c>
      <c r="EZ60" s="982">
        <f ca="1">IFERROR(IF(EZ50&gt;=INDEX('Ops Assumptions'!$G$34:$G$44,MATCH('Unit Mix-Reno Schedule'!EZ6,'Ops Assumptions'!$B$34:$B$44,0)),0,
MIN(INDEX('Ops Assumptions'!$G$34:$G$44,MATCH('Unit Mix-Reno Schedule'!EZ6,'Ops Assumptions'!$B$34:$B$44,0))-EZ50,(EZ53+EZ54-EZ55)/units)),"ERROR")</f>
        <v>0.05</v>
      </c>
      <c r="FA60" s="982">
        <f ca="1">IFERROR(IF(FA50&gt;=INDEX('Ops Assumptions'!$G$34:$G$44,MATCH('Unit Mix-Reno Schedule'!FA6,'Ops Assumptions'!$B$34:$B$44,0)),0,
MIN(INDEX('Ops Assumptions'!$G$34:$G$44,MATCH('Unit Mix-Reno Schedule'!FA6,'Ops Assumptions'!$B$34:$B$44,0))-FA50,(FA53+FA54-FA55)/units)),"ERROR")</f>
        <v>0.05</v>
      </c>
      <c r="FB60" s="982">
        <f ca="1">IFERROR(IF(FB50&gt;=INDEX('Ops Assumptions'!$G$34:$G$44,MATCH('Unit Mix-Reno Schedule'!FB6,'Ops Assumptions'!$B$34:$B$44,0)),0,
MIN(INDEX('Ops Assumptions'!$G$34:$G$44,MATCH('Unit Mix-Reno Schedule'!FB6,'Ops Assumptions'!$B$34:$B$44,0))-FB50,(FB53+FB54-FB55)/units)),"ERROR")</f>
        <v>0.05</v>
      </c>
      <c r="FC60" s="982">
        <f ca="1">IFERROR(IF(FC50&gt;=INDEX('Ops Assumptions'!$G$34:$G$44,MATCH('Unit Mix-Reno Schedule'!FC6,'Ops Assumptions'!$B$34:$B$44,0)),0,
MIN(INDEX('Ops Assumptions'!$G$34:$G$44,MATCH('Unit Mix-Reno Schedule'!FC6,'Ops Assumptions'!$B$34:$B$44,0))-FC50,(FC53+FC54-FC55)/units)),"ERROR")</f>
        <v>0.05</v>
      </c>
      <c r="FD60" s="982">
        <f ca="1">IFERROR(IF(FD50&gt;=INDEX('Ops Assumptions'!$G$34:$G$44,MATCH('Unit Mix-Reno Schedule'!FD6,'Ops Assumptions'!$B$34:$B$44,0)),0,
MIN(INDEX('Ops Assumptions'!$G$34:$G$44,MATCH('Unit Mix-Reno Schedule'!FD6,'Ops Assumptions'!$B$34:$B$44,0))-FD50,(FD53+FD54-FD55)/units)),"ERROR")</f>
        <v>0.05</v>
      </c>
      <c r="FE60" s="982">
        <f ca="1">IFERROR(IF(FE50&gt;=INDEX('Ops Assumptions'!$G$34:$G$44,MATCH('Unit Mix-Reno Schedule'!FE6,'Ops Assumptions'!$B$34:$B$44,0)),0,
MIN(INDEX('Ops Assumptions'!$G$34:$G$44,MATCH('Unit Mix-Reno Schedule'!FE6,'Ops Assumptions'!$B$34:$B$44,0))-FE50,(FE53+FE54-FE55)/units)),"ERROR")</f>
        <v>0.05</v>
      </c>
      <c r="FF60" s="982">
        <f ca="1">IFERROR(IF(FF50&gt;=INDEX('Ops Assumptions'!$G$34:$G$44,MATCH('Unit Mix-Reno Schedule'!FF6,'Ops Assumptions'!$B$34:$B$44,0)),0,
MIN(INDEX('Ops Assumptions'!$G$34:$G$44,MATCH('Unit Mix-Reno Schedule'!FF6,'Ops Assumptions'!$B$34:$B$44,0))-FF50,(FF53+FF54-FF55)/units)),"ERROR")</f>
        <v>0.05</v>
      </c>
      <c r="FG60" s="982">
        <f ca="1">IFERROR(IF(FG50&gt;=INDEX('Ops Assumptions'!$G$34:$G$44,MATCH('Unit Mix-Reno Schedule'!FG6,'Ops Assumptions'!$B$34:$B$44,0)),0,
MIN(INDEX('Ops Assumptions'!$G$34:$G$44,MATCH('Unit Mix-Reno Schedule'!FG6,'Ops Assumptions'!$B$34:$B$44,0))-FG50,(FG53+FG54-FG55)/units)),"ERROR")</f>
        <v>0.05</v>
      </c>
      <c r="FH60" s="982">
        <f ca="1">IFERROR(IF(FH50&gt;=INDEX('Ops Assumptions'!$G$34:$G$44,MATCH('Unit Mix-Reno Schedule'!FH6,'Ops Assumptions'!$B$34:$B$44,0)),0,
MIN(INDEX('Ops Assumptions'!$G$34:$G$44,MATCH('Unit Mix-Reno Schedule'!FH6,'Ops Assumptions'!$B$34:$B$44,0))-FH50,(FH53+FH54-FH55)/units)),"ERROR")</f>
        <v>0.05</v>
      </c>
      <c r="FI60" s="982">
        <f ca="1">IFERROR(IF(FI50&gt;=INDEX('Ops Assumptions'!$G$34:$G$44,MATCH('Unit Mix-Reno Schedule'!FI6,'Ops Assumptions'!$B$34:$B$44,0)),0,
MIN(INDEX('Ops Assumptions'!$G$34:$G$44,MATCH('Unit Mix-Reno Schedule'!FI6,'Ops Assumptions'!$B$34:$B$44,0))-FI50,(FI53+FI54-FI55)/units)),"ERROR")</f>
        <v>0.05</v>
      </c>
      <c r="FJ60" s="982">
        <f ca="1">IFERROR(IF(FJ50&gt;=INDEX('Ops Assumptions'!$G$34:$G$44,MATCH('Unit Mix-Reno Schedule'!FJ6,'Ops Assumptions'!$B$34:$B$44,0)),0,
MIN(INDEX('Ops Assumptions'!$G$34:$G$44,MATCH('Unit Mix-Reno Schedule'!FJ6,'Ops Assumptions'!$B$34:$B$44,0))-FJ50,(FJ53+FJ54-FJ55)/units)),"ERROR")</f>
        <v>0.05</v>
      </c>
      <c r="FK60" s="982">
        <f ca="1">IFERROR(IF(FK50&gt;=INDEX('Ops Assumptions'!$G$34:$G$44,MATCH('Unit Mix-Reno Schedule'!FK6,'Ops Assumptions'!$B$34:$B$44,0)),0,
MIN(INDEX('Ops Assumptions'!$G$34:$G$44,MATCH('Unit Mix-Reno Schedule'!FK6,'Ops Assumptions'!$B$34:$B$44,0))-FK50,(FK53+FK54-FK55)/units)),"ERROR")</f>
        <v>0.05</v>
      </c>
      <c r="FL60" s="982">
        <f ca="1">IFERROR(IF(FL50&gt;=INDEX('Ops Assumptions'!$G$34:$G$44,MATCH('Unit Mix-Reno Schedule'!FL6,'Ops Assumptions'!$B$34:$B$44,0)),0,
MIN(INDEX('Ops Assumptions'!$G$34:$G$44,MATCH('Unit Mix-Reno Schedule'!FL6,'Ops Assumptions'!$B$34:$B$44,0))-FL50,(FL53+FL54-FL55)/units)),"ERROR")</f>
        <v>0.05</v>
      </c>
      <c r="FM60" s="982">
        <f ca="1">IFERROR(IF(FM50&gt;=INDEX('Ops Assumptions'!$G$34:$G$44,MATCH('Unit Mix-Reno Schedule'!FM6,'Ops Assumptions'!$B$34:$B$44,0)),0,
MIN(INDEX('Ops Assumptions'!$G$34:$G$44,MATCH('Unit Mix-Reno Schedule'!FM6,'Ops Assumptions'!$B$34:$B$44,0))-FM50,(FM53+FM54-FM55)/units)),"ERROR")</f>
        <v>0.05</v>
      </c>
      <c r="FN60" s="982">
        <f ca="1">IFERROR(IF(FN50&gt;=INDEX('Ops Assumptions'!$G$34:$G$44,MATCH('Unit Mix-Reno Schedule'!FN6,'Ops Assumptions'!$B$34:$B$44,0)),0,
MIN(INDEX('Ops Assumptions'!$G$34:$G$44,MATCH('Unit Mix-Reno Schedule'!FN6,'Ops Assumptions'!$B$34:$B$44,0))-FN50,(FN53+FN54-FN55)/units)),"ERROR")</f>
        <v>0.05</v>
      </c>
      <c r="FO60" s="144" t="s">
        <v>243</v>
      </c>
    </row>
    <row r="61" spans="2:171" ht="15" thickBot="1" x14ac:dyDescent="0.25">
      <c r="B61" s="991" t="s">
        <v>371</v>
      </c>
      <c r="C61" s="550"/>
      <c r="D61" s="550">
        <f>Z22</f>
        <v>13595</v>
      </c>
      <c r="E61" s="844">
        <f>D61*12</f>
        <v>163140</v>
      </c>
      <c r="F61" s="550"/>
      <c r="G61" s="550"/>
      <c r="H61" s="550"/>
      <c r="I61" s="550"/>
      <c r="J61" s="550"/>
      <c r="K61" s="550"/>
      <c r="L61" s="550"/>
      <c r="FO61" s="144" t="s">
        <v>243</v>
      </c>
    </row>
    <row r="62" spans="2:171" ht="15" thickBot="1" x14ac:dyDescent="0.25">
      <c r="B62" s="992" t="s">
        <v>146</v>
      </c>
      <c r="C62" s="988"/>
      <c r="D62" s="988">
        <f>SUM(D60:D61)</f>
        <v>299485</v>
      </c>
      <c r="E62" s="993">
        <f>D62*12</f>
        <v>3593820</v>
      </c>
      <c r="F62" s="550"/>
      <c r="G62" s="550"/>
      <c r="H62" s="550"/>
      <c r="I62" s="550"/>
      <c r="J62" s="550"/>
      <c r="K62" s="550"/>
      <c r="L62" s="550"/>
      <c r="AJ62" s="762"/>
      <c r="FO62" s="144" t="s">
        <v>243</v>
      </c>
    </row>
    <row r="63" spans="2:171" ht="15" thickBot="1" x14ac:dyDescent="0.25">
      <c r="B63" s="734"/>
      <c r="C63" s="734"/>
      <c r="D63" s="734"/>
      <c r="E63" s="734"/>
      <c r="F63" s="550"/>
      <c r="G63" s="550"/>
      <c r="H63" s="550"/>
      <c r="I63" s="550"/>
      <c r="J63" s="550"/>
      <c r="K63" s="550"/>
      <c r="L63" s="550"/>
      <c r="AM63" s="982"/>
      <c r="AN63" s="982"/>
      <c r="AO63" s="982"/>
      <c r="AP63" s="982"/>
      <c r="AQ63" s="982"/>
      <c r="AR63" s="982"/>
      <c r="AS63" s="982"/>
      <c r="AT63" s="982"/>
      <c r="FO63" s="144" t="s">
        <v>243</v>
      </c>
    </row>
    <row r="64" spans="2:171" x14ac:dyDescent="0.2">
      <c r="D64" s="550"/>
      <c r="E64" s="550"/>
      <c r="F64" s="550"/>
      <c r="G64" s="550"/>
      <c r="H64" s="550"/>
      <c r="I64" s="550"/>
      <c r="J64" s="550"/>
      <c r="K64" s="550"/>
      <c r="L64" s="550"/>
      <c r="AK64" s="990" t="s">
        <v>372</v>
      </c>
      <c r="AL64" s="905"/>
      <c r="AM64" s="905"/>
      <c r="AN64" s="905"/>
      <c r="AO64" s="905"/>
      <c r="AP64" s="905"/>
      <c r="AQ64" s="905"/>
      <c r="AR64" s="905"/>
      <c r="AS64" s="905"/>
      <c r="AT64" s="905"/>
      <c r="AU64" s="690"/>
      <c r="AV64" s="690"/>
      <c r="AW64" s="690"/>
      <c r="AX64" s="690"/>
      <c r="AY64" s="690"/>
      <c r="AZ64" s="690"/>
      <c r="BA64" s="690"/>
      <c r="BB64" s="690"/>
      <c r="BC64" s="690"/>
      <c r="BD64" s="690"/>
      <c r="BE64" s="690"/>
      <c r="BF64" s="690"/>
      <c r="BG64" s="690"/>
      <c r="BH64" s="690"/>
      <c r="BI64" s="690"/>
      <c r="BJ64" s="690"/>
      <c r="BK64" s="690"/>
      <c r="BL64" s="690"/>
      <c r="BM64" s="690"/>
      <c r="BN64" s="690"/>
      <c r="BO64" s="690"/>
      <c r="BP64" s="690"/>
      <c r="BQ64" s="690"/>
      <c r="BR64" s="690"/>
      <c r="BS64" s="690"/>
      <c r="BT64" s="690"/>
      <c r="BU64" s="690"/>
      <c r="BV64" s="690"/>
      <c r="BW64" s="690"/>
      <c r="BX64" s="690"/>
      <c r="BY64" s="690"/>
      <c r="BZ64" s="690"/>
      <c r="CA64" s="690"/>
      <c r="CB64" s="690"/>
      <c r="CC64" s="690"/>
      <c r="CD64" s="690"/>
      <c r="CE64" s="690"/>
      <c r="CF64" s="690"/>
      <c r="CG64" s="690"/>
      <c r="CH64" s="690"/>
      <c r="CI64" s="690"/>
      <c r="CJ64" s="690"/>
      <c r="CK64" s="690"/>
      <c r="CL64" s="690"/>
      <c r="CM64" s="690"/>
      <c r="CN64" s="690"/>
      <c r="CO64" s="690"/>
      <c r="CP64" s="690"/>
      <c r="CQ64" s="690"/>
      <c r="CR64" s="690"/>
      <c r="CS64" s="690"/>
      <c r="CT64" s="690"/>
      <c r="CU64" s="690"/>
      <c r="CV64" s="690"/>
      <c r="CW64" s="690"/>
      <c r="CX64" s="690"/>
      <c r="CY64" s="690"/>
      <c r="CZ64" s="690"/>
      <c r="DA64" s="690"/>
      <c r="DB64" s="690"/>
      <c r="DC64" s="690"/>
      <c r="DD64" s="690"/>
      <c r="DE64" s="690"/>
      <c r="DF64" s="690"/>
      <c r="DG64" s="690"/>
      <c r="DH64" s="690"/>
      <c r="DI64" s="690"/>
      <c r="DJ64" s="690"/>
      <c r="DK64" s="690"/>
      <c r="DL64" s="690"/>
      <c r="DM64" s="690"/>
      <c r="DN64" s="690"/>
      <c r="DO64" s="690"/>
      <c r="DP64" s="690"/>
      <c r="DQ64" s="690"/>
      <c r="DR64" s="690"/>
      <c r="DS64" s="690"/>
      <c r="DT64" s="690"/>
      <c r="DU64" s="690"/>
      <c r="DV64" s="690"/>
      <c r="DW64" s="690"/>
      <c r="DX64" s="690"/>
      <c r="DY64" s="690"/>
      <c r="DZ64" s="690"/>
      <c r="EA64" s="690"/>
      <c r="EB64" s="690"/>
      <c r="EC64" s="690"/>
      <c r="ED64" s="690"/>
      <c r="EE64" s="690"/>
      <c r="EF64" s="690"/>
      <c r="EG64" s="690"/>
      <c r="EH64" s="690"/>
      <c r="EI64" s="690"/>
      <c r="EJ64" s="690"/>
      <c r="EK64" s="690"/>
      <c r="EL64" s="690"/>
      <c r="EM64" s="690"/>
      <c r="EN64" s="690"/>
      <c r="EO64" s="690"/>
      <c r="EP64" s="690"/>
      <c r="EQ64" s="690"/>
      <c r="ER64" s="690"/>
      <c r="ES64" s="690"/>
      <c r="ET64" s="690"/>
      <c r="EU64" s="690"/>
      <c r="EV64" s="690"/>
      <c r="EW64" s="690"/>
      <c r="EX64" s="690"/>
      <c r="EY64" s="690"/>
      <c r="EZ64" s="690"/>
      <c r="FA64" s="690"/>
      <c r="FB64" s="690"/>
      <c r="FC64" s="690"/>
      <c r="FD64" s="690"/>
      <c r="FE64" s="690"/>
      <c r="FF64" s="690"/>
      <c r="FG64" s="690"/>
      <c r="FH64" s="690"/>
      <c r="FI64" s="690"/>
      <c r="FJ64" s="690"/>
      <c r="FK64" s="690"/>
      <c r="FL64" s="690"/>
      <c r="FM64" s="690"/>
      <c r="FN64" s="696"/>
      <c r="FO64" s="144" t="s">
        <v>243</v>
      </c>
    </row>
    <row r="65" spans="2:171" x14ac:dyDescent="0.2">
      <c r="B65" s="994" t="s">
        <v>373</v>
      </c>
      <c r="D65" s="550"/>
      <c r="E65" s="550"/>
      <c r="F65" s="550"/>
      <c r="G65" s="550"/>
      <c r="H65" s="550"/>
      <c r="I65" s="550"/>
      <c r="J65" s="550"/>
      <c r="K65" s="550"/>
      <c r="L65" s="550"/>
      <c r="AI65" s="995"/>
      <c r="AK65" s="996" t="s">
        <v>374</v>
      </c>
      <c r="AL65" s="734">
        <f t="shared" ref="AL65:BQ65" si="172">AL59+AL49</f>
        <v>13168.442622950821</v>
      </c>
      <c r="AM65" s="734">
        <f t="shared" ca="1" si="172"/>
        <v>20435.316000000003</v>
      </c>
      <c r="AN65" s="734">
        <f t="shared" ca="1" si="172"/>
        <v>20531.511046965003</v>
      </c>
      <c r="AO65" s="734">
        <f t="shared" ca="1" si="172"/>
        <v>20627.706093929999</v>
      </c>
      <c r="AP65" s="734">
        <f t="shared" ca="1" si="172"/>
        <v>20723.901140894995</v>
      </c>
      <c r="AQ65" s="734">
        <f t="shared" ca="1" si="172"/>
        <v>20820.096187859992</v>
      </c>
      <c r="AR65" s="734">
        <f t="shared" ca="1" si="172"/>
        <v>20916.291234824992</v>
      </c>
      <c r="AS65" s="734">
        <f t="shared" ca="1" si="172"/>
        <v>21012.486281789988</v>
      </c>
      <c r="AT65" s="734">
        <f t="shared" ca="1" si="172"/>
        <v>21108.681328754988</v>
      </c>
      <c r="AU65" s="734">
        <f t="shared" ca="1" si="172"/>
        <v>21204.876375719985</v>
      </c>
      <c r="AV65" s="734">
        <f t="shared" ca="1" si="172"/>
        <v>21301.071422684985</v>
      </c>
      <c r="AW65" s="734">
        <f t="shared" ca="1" si="172"/>
        <v>21397.266469649981</v>
      </c>
      <c r="AX65" s="734">
        <f t="shared" ca="1" si="172"/>
        <v>21493.461516614982</v>
      </c>
      <c r="AY65" s="734">
        <f ca="1">AY59+AY49</f>
        <v>22669.139391758974</v>
      </c>
      <c r="AZ65" s="734">
        <f t="shared" ca="1" si="172"/>
        <v>22830.747070660167</v>
      </c>
      <c r="BA65" s="734">
        <f t="shared" ca="1" si="172"/>
        <v>22992.354749561367</v>
      </c>
      <c r="BB65" s="734">
        <f t="shared" ca="1" si="172"/>
        <v>23153.962428462561</v>
      </c>
      <c r="BC65" s="734">
        <f t="shared" ca="1" si="172"/>
        <v>23315.570107363757</v>
      </c>
      <c r="BD65" s="734">
        <f t="shared" ca="1" si="172"/>
        <v>23477.177786264954</v>
      </c>
      <c r="BE65" s="734">
        <f t="shared" ca="1" si="172"/>
        <v>23638.785465166155</v>
      </c>
      <c r="BF65" s="734">
        <f t="shared" ca="1" si="172"/>
        <v>23800.393144067348</v>
      </c>
      <c r="BG65" s="734">
        <f t="shared" ca="1" si="172"/>
        <v>23941.799863105894</v>
      </c>
      <c r="BH65" s="734">
        <f t="shared" ca="1" si="172"/>
        <v>24083.206582144438</v>
      </c>
      <c r="BI65" s="734">
        <f t="shared" ca="1" si="172"/>
        <v>24224.613301182988</v>
      </c>
      <c r="BJ65" s="734">
        <f t="shared" ca="1" si="172"/>
        <v>24366.020020221535</v>
      </c>
      <c r="BK65" s="734">
        <f t="shared" ca="1" si="172"/>
        <v>21443.998396852578</v>
      </c>
      <c r="BL65" s="734">
        <f t="shared" ca="1" si="172"/>
        <v>21567.729276011305</v>
      </c>
      <c r="BM65" s="734">
        <f t="shared" ca="1" si="172"/>
        <v>21691.460155170033</v>
      </c>
      <c r="BN65" s="734">
        <f t="shared" ca="1" si="172"/>
        <v>21779.839354569121</v>
      </c>
      <c r="BO65" s="734">
        <f t="shared" ca="1" si="172"/>
        <v>21868.218553968214</v>
      </c>
      <c r="BP65" s="734">
        <f t="shared" ca="1" si="172"/>
        <v>21956.597753367307</v>
      </c>
      <c r="BQ65" s="734">
        <f t="shared" ca="1" si="172"/>
        <v>22044.976952766399</v>
      </c>
      <c r="BR65" s="734">
        <f t="shared" ref="BR65:CW65" ca="1" si="173">BR59+BR49</f>
        <v>22133.356152165492</v>
      </c>
      <c r="BS65" s="734">
        <f t="shared" ca="1" si="173"/>
        <v>22221.735351564581</v>
      </c>
      <c r="BT65" s="734">
        <f t="shared" ca="1" si="173"/>
        <v>22221.735351564581</v>
      </c>
      <c r="BU65" s="734">
        <f t="shared" ca="1" si="173"/>
        <v>22221.735351564581</v>
      </c>
      <c r="BV65" s="734">
        <f t="shared" ca="1" si="173"/>
        <v>22221.735351564581</v>
      </c>
      <c r="BW65" s="734">
        <f t="shared" ca="1" si="173"/>
        <v>23110.604765627169</v>
      </c>
      <c r="BX65" s="734">
        <f t="shared" ca="1" si="173"/>
        <v>23110.604765627169</v>
      </c>
      <c r="BY65" s="734">
        <f t="shared" ca="1" si="173"/>
        <v>23110.604765627169</v>
      </c>
      <c r="BZ65" s="734">
        <f t="shared" ca="1" si="173"/>
        <v>23110.604765627169</v>
      </c>
      <c r="CA65" s="734">
        <f t="shared" ca="1" si="173"/>
        <v>23110.604765627169</v>
      </c>
      <c r="CB65" s="734">
        <f ca="1">CB59+CB49</f>
        <v>23110.604765627169</v>
      </c>
      <c r="CC65" s="734">
        <f t="shared" ca="1" si="173"/>
        <v>23110.604765627169</v>
      </c>
      <c r="CD65" s="734">
        <f t="shared" ca="1" si="173"/>
        <v>23110.604765627169</v>
      </c>
      <c r="CE65" s="734">
        <f t="shared" ca="1" si="173"/>
        <v>23110.604765627169</v>
      </c>
      <c r="CF65" s="734">
        <f t="shared" ca="1" si="173"/>
        <v>23110.604765627169</v>
      </c>
      <c r="CG65" s="734">
        <f t="shared" ca="1" si="173"/>
        <v>23110.604765627169</v>
      </c>
      <c r="CH65" s="734">
        <f t="shared" ca="1" si="173"/>
        <v>23110.604765627169</v>
      </c>
      <c r="CI65" s="734">
        <f t="shared" ca="1" si="173"/>
        <v>24035.028956252256</v>
      </c>
      <c r="CJ65" s="734">
        <f t="shared" ca="1" si="173"/>
        <v>24035.028956252256</v>
      </c>
      <c r="CK65" s="734">
        <f t="shared" ca="1" si="173"/>
        <v>24035.028956252256</v>
      </c>
      <c r="CL65" s="734">
        <f t="shared" ca="1" si="173"/>
        <v>24035.028956252256</v>
      </c>
      <c r="CM65" s="734">
        <f t="shared" ca="1" si="173"/>
        <v>24035.028956252256</v>
      </c>
      <c r="CN65" s="734">
        <f t="shared" ca="1" si="173"/>
        <v>24035.028956252256</v>
      </c>
      <c r="CO65" s="734">
        <f t="shared" ca="1" si="173"/>
        <v>24035.028956252256</v>
      </c>
      <c r="CP65" s="734">
        <f t="shared" ca="1" si="173"/>
        <v>24035.028956252256</v>
      </c>
      <c r="CQ65" s="734">
        <f t="shared" ca="1" si="173"/>
        <v>24035.028956252256</v>
      </c>
      <c r="CR65" s="734">
        <f t="shared" ca="1" si="173"/>
        <v>24035.028956252256</v>
      </c>
      <c r="CS65" s="734">
        <f t="shared" ca="1" si="173"/>
        <v>24035.028956252256</v>
      </c>
      <c r="CT65" s="734">
        <f t="shared" ca="1" si="173"/>
        <v>24035.028956252256</v>
      </c>
      <c r="CU65" s="734">
        <f t="shared" ca="1" si="173"/>
        <v>24996.430114502346</v>
      </c>
      <c r="CV65" s="734">
        <f t="shared" ca="1" si="173"/>
        <v>24996.430114502346</v>
      </c>
      <c r="CW65" s="734">
        <f t="shared" ca="1" si="173"/>
        <v>24996.430114502346</v>
      </c>
      <c r="CX65" s="734">
        <f t="shared" ref="CX65:EC65" ca="1" si="174">CX59+CX49</f>
        <v>24996.430114502346</v>
      </c>
      <c r="CY65" s="734">
        <f t="shared" ca="1" si="174"/>
        <v>24996.430114502346</v>
      </c>
      <c r="CZ65" s="734">
        <f t="shared" ca="1" si="174"/>
        <v>24996.430114502346</v>
      </c>
      <c r="DA65" s="734">
        <f t="shared" ca="1" si="174"/>
        <v>24996.430114502346</v>
      </c>
      <c r="DB65" s="734">
        <f t="shared" ca="1" si="174"/>
        <v>24996.430114502346</v>
      </c>
      <c r="DC65" s="734">
        <f t="shared" ca="1" si="174"/>
        <v>24996.430114502346</v>
      </c>
      <c r="DD65" s="734">
        <f t="shared" ca="1" si="174"/>
        <v>24996.430114502346</v>
      </c>
      <c r="DE65" s="734">
        <f t="shared" ca="1" si="174"/>
        <v>24996.430114502346</v>
      </c>
      <c r="DF65" s="734">
        <f t="shared" ca="1" si="174"/>
        <v>24996.430114502346</v>
      </c>
      <c r="DG65" s="734">
        <f t="shared" ca="1" si="174"/>
        <v>25996.287319082443</v>
      </c>
      <c r="DH65" s="734">
        <f t="shared" ca="1" si="174"/>
        <v>25996.287319082443</v>
      </c>
      <c r="DI65" s="734">
        <f t="shared" ca="1" si="174"/>
        <v>25996.287319082443</v>
      </c>
      <c r="DJ65" s="734">
        <f t="shared" ca="1" si="174"/>
        <v>25996.287319082443</v>
      </c>
      <c r="DK65" s="734">
        <f t="shared" ca="1" si="174"/>
        <v>25996.287319082443</v>
      </c>
      <c r="DL65" s="734">
        <f t="shared" ca="1" si="174"/>
        <v>25996.287319082443</v>
      </c>
      <c r="DM65" s="734">
        <f t="shared" ca="1" si="174"/>
        <v>25996.287319082443</v>
      </c>
      <c r="DN65" s="734">
        <f t="shared" ca="1" si="174"/>
        <v>25996.287319082443</v>
      </c>
      <c r="DO65" s="734">
        <f t="shared" ca="1" si="174"/>
        <v>25996.287319082443</v>
      </c>
      <c r="DP65" s="734">
        <f t="shared" ca="1" si="174"/>
        <v>25996.287319082443</v>
      </c>
      <c r="DQ65" s="734">
        <f t="shared" ca="1" si="174"/>
        <v>25996.287319082443</v>
      </c>
      <c r="DR65" s="734">
        <f t="shared" ca="1" si="174"/>
        <v>25996.287319082443</v>
      </c>
      <c r="DS65" s="734">
        <f t="shared" ca="1" si="174"/>
        <v>27036.13881184574</v>
      </c>
      <c r="DT65" s="734">
        <f t="shared" ca="1" si="174"/>
        <v>27036.13881184574</v>
      </c>
      <c r="DU65" s="734">
        <f t="shared" ca="1" si="174"/>
        <v>27036.13881184574</v>
      </c>
      <c r="DV65" s="734">
        <f t="shared" ca="1" si="174"/>
        <v>27036.13881184574</v>
      </c>
      <c r="DW65" s="734">
        <f t="shared" ca="1" si="174"/>
        <v>27036.13881184574</v>
      </c>
      <c r="DX65" s="734">
        <f t="shared" ca="1" si="174"/>
        <v>27036.13881184574</v>
      </c>
      <c r="DY65" s="734">
        <f t="shared" ca="1" si="174"/>
        <v>27036.13881184574</v>
      </c>
      <c r="DZ65" s="734">
        <f t="shared" ca="1" si="174"/>
        <v>27036.13881184574</v>
      </c>
      <c r="EA65" s="734">
        <f t="shared" ca="1" si="174"/>
        <v>27036.13881184574</v>
      </c>
      <c r="EB65" s="734">
        <f t="shared" ca="1" si="174"/>
        <v>27036.13881184574</v>
      </c>
      <c r="EC65" s="734">
        <f t="shared" ca="1" si="174"/>
        <v>27036.13881184574</v>
      </c>
      <c r="ED65" s="734">
        <f t="shared" ref="ED65:FN65" ca="1" si="175">ED59+ED49</f>
        <v>27036.13881184574</v>
      </c>
      <c r="EE65" s="734">
        <f t="shared" ca="1" si="175"/>
        <v>28117.584364319569</v>
      </c>
      <c r="EF65" s="734">
        <f t="shared" ca="1" si="175"/>
        <v>28117.584364319569</v>
      </c>
      <c r="EG65" s="734">
        <f t="shared" ca="1" si="175"/>
        <v>28117.584364319569</v>
      </c>
      <c r="EH65" s="734">
        <f t="shared" ca="1" si="175"/>
        <v>28117.584364319569</v>
      </c>
      <c r="EI65" s="734">
        <f t="shared" ca="1" si="175"/>
        <v>28117.584364319569</v>
      </c>
      <c r="EJ65" s="734">
        <f t="shared" ca="1" si="175"/>
        <v>28117.584364319569</v>
      </c>
      <c r="EK65" s="734">
        <f t="shared" ca="1" si="175"/>
        <v>28117.584364319569</v>
      </c>
      <c r="EL65" s="734">
        <f t="shared" ca="1" si="175"/>
        <v>28117.584364319569</v>
      </c>
      <c r="EM65" s="734">
        <f t="shared" ca="1" si="175"/>
        <v>28117.584364319569</v>
      </c>
      <c r="EN65" s="734">
        <f t="shared" ca="1" si="175"/>
        <v>28117.584364319569</v>
      </c>
      <c r="EO65" s="734">
        <f t="shared" ca="1" si="175"/>
        <v>28117.584364319569</v>
      </c>
      <c r="EP65" s="734">
        <f t="shared" ca="1" si="175"/>
        <v>28117.584364319569</v>
      </c>
      <c r="EQ65" s="734">
        <f t="shared" ca="1" si="175"/>
        <v>28961.111895249156</v>
      </c>
      <c r="ER65" s="734">
        <f t="shared" ca="1" si="175"/>
        <v>28961.111895249156</v>
      </c>
      <c r="ES65" s="734">
        <f t="shared" ca="1" si="175"/>
        <v>28961.111895249156</v>
      </c>
      <c r="ET65" s="734">
        <f t="shared" ca="1" si="175"/>
        <v>28961.111895249156</v>
      </c>
      <c r="EU65" s="734">
        <f t="shared" ca="1" si="175"/>
        <v>28961.111895249156</v>
      </c>
      <c r="EV65" s="734">
        <f t="shared" ca="1" si="175"/>
        <v>28961.111895249156</v>
      </c>
      <c r="EW65" s="734">
        <f t="shared" ca="1" si="175"/>
        <v>28961.111895249156</v>
      </c>
      <c r="EX65" s="734">
        <f t="shared" ca="1" si="175"/>
        <v>28961.111895249156</v>
      </c>
      <c r="EY65" s="734">
        <f t="shared" ca="1" si="175"/>
        <v>28961.111895249156</v>
      </c>
      <c r="EZ65" s="734">
        <f t="shared" ca="1" si="175"/>
        <v>28961.111895249156</v>
      </c>
      <c r="FA65" s="734">
        <f t="shared" ca="1" si="175"/>
        <v>28961.111895249156</v>
      </c>
      <c r="FB65" s="734">
        <f t="shared" ca="1" si="175"/>
        <v>28961.111895249156</v>
      </c>
      <c r="FC65" s="734">
        <f t="shared" ca="1" si="175"/>
        <v>29829.945252106631</v>
      </c>
      <c r="FD65" s="734">
        <f t="shared" ca="1" si="175"/>
        <v>29829.945252106631</v>
      </c>
      <c r="FE65" s="734">
        <f t="shared" ca="1" si="175"/>
        <v>29829.945252106631</v>
      </c>
      <c r="FF65" s="734">
        <f t="shared" ca="1" si="175"/>
        <v>29829.945252106631</v>
      </c>
      <c r="FG65" s="734">
        <f t="shared" ca="1" si="175"/>
        <v>29829.945252106631</v>
      </c>
      <c r="FH65" s="734">
        <f t="shared" ca="1" si="175"/>
        <v>29829.945252106631</v>
      </c>
      <c r="FI65" s="734">
        <f t="shared" ca="1" si="175"/>
        <v>29829.945252106631</v>
      </c>
      <c r="FJ65" s="734">
        <f t="shared" ca="1" si="175"/>
        <v>29829.945252106631</v>
      </c>
      <c r="FK65" s="734">
        <f t="shared" ca="1" si="175"/>
        <v>29829.945252106631</v>
      </c>
      <c r="FL65" s="734">
        <f t="shared" ca="1" si="175"/>
        <v>29829.945252106631</v>
      </c>
      <c r="FM65" s="734">
        <f t="shared" ca="1" si="175"/>
        <v>29829.945252106631</v>
      </c>
      <c r="FN65" s="997">
        <f t="shared" ca="1" si="175"/>
        <v>29829.945252106631</v>
      </c>
      <c r="FO65" s="145" t="s">
        <v>243</v>
      </c>
    </row>
    <row r="66" spans="2:171" x14ac:dyDescent="0.2">
      <c r="B66" s="998" t="s">
        <v>294</v>
      </c>
      <c r="D66" s="1381" t="s">
        <v>168</v>
      </c>
      <c r="E66" s="1381"/>
      <c r="F66" s="1381"/>
      <c r="G66" s="1381"/>
      <c r="H66" s="1381"/>
      <c r="I66" s="1381"/>
      <c r="J66" s="1381"/>
      <c r="L66" s="550"/>
      <c r="AI66" s="999">
        <f ca="1">AVERAGE(AM66:FN66)</f>
        <v>5.1818181818181694E-2</v>
      </c>
      <c r="AK66" s="721" t="s">
        <v>375</v>
      </c>
      <c r="AL66" s="705">
        <f t="shared" ref="AL66" si="176">IFERROR(AL65/AL40,0)</f>
        <v>4.0983606557377053E-2</v>
      </c>
      <c r="AM66" s="705">
        <f t="shared" ref="AM66:BR66" ca="1" si="177">IFERROR(AM65/AM40,0)</f>
        <v>6.0000000000000005E-2</v>
      </c>
      <c r="AN66" s="705">
        <f t="shared" ca="1" si="177"/>
        <v>6.0000000000000005E-2</v>
      </c>
      <c r="AO66" s="705">
        <f t="shared" ca="1" si="177"/>
        <v>6.0000000000000005E-2</v>
      </c>
      <c r="AP66" s="705">
        <f t="shared" ca="1" si="177"/>
        <v>0.06</v>
      </c>
      <c r="AQ66" s="705">
        <f t="shared" ca="1" si="177"/>
        <v>0.06</v>
      </c>
      <c r="AR66" s="705">
        <f t="shared" ca="1" si="177"/>
        <v>6.0000000000000005E-2</v>
      </c>
      <c r="AS66" s="705">
        <f t="shared" ca="1" si="177"/>
        <v>0.06</v>
      </c>
      <c r="AT66" s="705">
        <f t="shared" ca="1" si="177"/>
        <v>6.0000000000000005E-2</v>
      </c>
      <c r="AU66" s="705">
        <f t="shared" ca="1" si="177"/>
        <v>0.06</v>
      </c>
      <c r="AV66" s="705">
        <f t="shared" ca="1" si="177"/>
        <v>6.0000000000000005E-2</v>
      </c>
      <c r="AW66" s="705">
        <f t="shared" ca="1" si="177"/>
        <v>0.06</v>
      </c>
      <c r="AX66" s="705">
        <f t="shared" ca="1" si="177"/>
        <v>6.0000000000000005E-2</v>
      </c>
      <c r="AY66" s="705">
        <f t="shared" ca="1" si="177"/>
        <v>0.06</v>
      </c>
      <c r="AZ66" s="705">
        <f t="shared" ca="1" si="177"/>
        <v>5.9999999999999991E-2</v>
      </c>
      <c r="BA66" s="705">
        <f t="shared" ca="1" si="177"/>
        <v>6.0000000000000005E-2</v>
      </c>
      <c r="BB66" s="705">
        <f t="shared" ca="1" si="177"/>
        <v>0.06</v>
      </c>
      <c r="BC66" s="705">
        <f t="shared" ca="1" si="177"/>
        <v>0.06</v>
      </c>
      <c r="BD66" s="705">
        <f t="shared" ca="1" si="177"/>
        <v>5.9999999999999991E-2</v>
      </c>
      <c r="BE66" s="705">
        <f t="shared" ca="1" si="177"/>
        <v>6.0000000000000005E-2</v>
      </c>
      <c r="BF66" s="705">
        <f t="shared" ca="1" si="177"/>
        <v>0.06</v>
      </c>
      <c r="BG66" s="705">
        <f t="shared" ca="1" si="177"/>
        <v>0.06</v>
      </c>
      <c r="BH66" s="705">
        <f t="shared" ca="1" si="177"/>
        <v>5.9999999999999991E-2</v>
      </c>
      <c r="BI66" s="705">
        <f t="shared" ca="1" si="177"/>
        <v>0.06</v>
      </c>
      <c r="BJ66" s="705">
        <f t="shared" ca="1" si="177"/>
        <v>0.06</v>
      </c>
      <c r="BK66" s="705">
        <f t="shared" ca="1" si="177"/>
        <v>5.000000000000001E-2</v>
      </c>
      <c r="BL66" s="705">
        <f t="shared" ca="1" si="177"/>
        <v>5.000000000000001E-2</v>
      </c>
      <c r="BM66" s="705">
        <f t="shared" ca="1" si="177"/>
        <v>5.000000000000001E-2</v>
      </c>
      <c r="BN66" s="705">
        <f t="shared" ca="1" si="177"/>
        <v>0.05</v>
      </c>
      <c r="BO66" s="705">
        <f t="shared" ca="1" si="177"/>
        <v>0.05</v>
      </c>
      <c r="BP66" s="705">
        <f t="shared" ca="1" si="177"/>
        <v>0.05</v>
      </c>
      <c r="BQ66" s="705">
        <f t="shared" ca="1" si="177"/>
        <v>0.05</v>
      </c>
      <c r="BR66" s="705">
        <f t="shared" ca="1" si="177"/>
        <v>5.000000000000001E-2</v>
      </c>
      <c r="BS66" s="705">
        <f t="shared" ref="BS66:CX66" ca="1" si="178">IFERROR(BS65/BS40,0)</f>
        <v>0.05</v>
      </c>
      <c r="BT66" s="705">
        <f t="shared" ca="1" si="178"/>
        <v>0.05</v>
      </c>
      <c r="BU66" s="705">
        <f t="shared" ca="1" si="178"/>
        <v>0.05</v>
      </c>
      <c r="BV66" s="705">
        <f t="shared" ca="1" si="178"/>
        <v>0.05</v>
      </c>
      <c r="BW66" s="705">
        <f t="shared" ca="1" si="178"/>
        <v>5.000000000000001E-2</v>
      </c>
      <c r="BX66" s="705">
        <f t="shared" ca="1" si="178"/>
        <v>5.000000000000001E-2</v>
      </c>
      <c r="BY66" s="705">
        <f t="shared" ca="1" si="178"/>
        <v>5.000000000000001E-2</v>
      </c>
      <c r="BZ66" s="705">
        <f t="shared" ca="1" si="178"/>
        <v>5.000000000000001E-2</v>
      </c>
      <c r="CA66" s="705">
        <f t="shared" ca="1" si="178"/>
        <v>5.000000000000001E-2</v>
      </c>
      <c r="CB66" s="705">
        <f ca="1">IFERROR(CB65/CB40,0)</f>
        <v>5.000000000000001E-2</v>
      </c>
      <c r="CC66" s="705">
        <f t="shared" ca="1" si="178"/>
        <v>5.000000000000001E-2</v>
      </c>
      <c r="CD66" s="705">
        <f t="shared" ca="1" si="178"/>
        <v>5.000000000000001E-2</v>
      </c>
      <c r="CE66" s="705">
        <f t="shared" ca="1" si="178"/>
        <v>5.000000000000001E-2</v>
      </c>
      <c r="CF66" s="705">
        <f t="shared" ca="1" si="178"/>
        <v>5.000000000000001E-2</v>
      </c>
      <c r="CG66" s="705">
        <f t="shared" ca="1" si="178"/>
        <v>5.000000000000001E-2</v>
      </c>
      <c r="CH66" s="705">
        <f t="shared" ca="1" si="178"/>
        <v>5.000000000000001E-2</v>
      </c>
      <c r="CI66" s="705">
        <f t="shared" ca="1" si="178"/>
        <v>0.05</v>
      </c>
      <c r="CJ66" s="705">
        <f t="shared" ca="1" si="178"/>
        <v>0.05</v>
      </c>
      <c r="CK66" s="705">
        <f t="shared" ca="1" si="178"/>
        <v>0.05</v>
      </c>
      <c r="CL66" s="705">
        <f t="shared" ca="1" si="178"/>
        <v>0.05</v>
      </c>
      <c r="CM66" s="705">
        <f t="shared" ca="1" si="178"/>
        <v>0.05</v>
      </c>
      <c r="CN66" s="705">
        <f t="shared" ca="1" si="178"/>
        <v>0.05</v>
      </c>
      <c r="CO66" s="705">
        <f t="shared" ca="1" si="178"/>
        <v>0.05</v>
      </c>
      <c r="CP66" s="705">
        <f t="shared" ca="1" si="178"/>
        <v>0.05</v>
      </c>
      <c r="CQ66" s="705">
        <f t="shared" ca="1" si="178"/>
        <v>0.05</v>
      </c>
      <c r="CR66" s="705">
        <f t="shared" ca="1" si="178"/>
        <v>0.05</v>
      </c>
      <c r="CS66" s="705">
        <f t="shared" ca="1" si="178"/>
        <v>0.05</v>
      </c>
      <c r="CT66" s="705">
        <f t="shared" ca="1" si="178"/>
        <v>0.05</v>
      </c>
      <c r="CU66" s="705">
        <f t="shared" ca="1" si="178"/>
        <v>0.05</v>
      </c>
      <c r="CV66" s="705">
        <f t="shared" ca="1" si="178"/>
        <v>0.05</v>
      </c>
      <c r="CW66" s="705">
        <f t="shared" ca="1" si="178"/>
        <v>0.05</v>
      </c>
      <c r="CX66" s="705">
        <f t="shared" ca="1" si="178"/>
        <v>0.05</v>
      </c>
      <c r="CY66" s="705">
        <f t="shared" ref="CY66:ED66" ca="1" si="179">IFERROR(CY65/CY40,0)</f>
        <v>0.05</v>
      </c>
      <c r="CZ66" s="705">
        <f t="shared" ca="1" si="179"/>
        <v>0.05</v>
      </c>
      <c r="DA66" s="705">
        <f t="shared" ca="1" si="179"/>
        <v>0.05</v>
      </c>
      <c r="DB66" s="705">
        <f t="shared" ca="1" si="179"/>
        <v>0.05</v>
      </c>
      <c r="DC66" s="705">
        <f t="shared" ca="1" si="179"/>
        <v>0.05</v>
      </c>
      <c r="DD66" s="705">
        <f t="shared" ca="1" si="179"/>
        <v>0.05</v>
      </c>
      <c r="DE66" s="705">
        <f t="shared" ca="1" si="179"/>
        <v>0.05</v>
      </c>
      <c r="DF66" s="705">
        <f t="shared" ca="1" si="179"/>
        <v>0.05</v>
      </c>
      <c r="DG66" s="705">
        <f t="shared" ca="1" si="179"/>
        <v>0.05</v>
      </c>
      <c r="DH66" s="705">
        <f t="shared" ca="1" si="179"/>
        <v>0.05</v>
      </c>
      <c r="DI66" s="705">
        <f t="shared" ca="1" si="179"/>
        <v>0.05</v>
      </c>
      <c r="DJ66" s="705">
        <f t="shared" ca="1" si="179"/>
        <v>0.05</v>
      </c>
      <c r="DK66" s="705">
        <f t="shared" ca="1" si="179"/>
        <v>0.05</v>
      </c>
      <c r="DL66" s="705">
        <f t="shared" ca="1" si="179"/>
        <v>0.05</v>
      </c>
      <c r="DM66" s="705">
        <f t="shared" ca="1" si="179"/>
        <v>0.05</v>
      </c>
      <c r="DN66" s="705">
        <f t="shared" ca="1" si="179"/>
        <v>0.05</v>
      </c>
      <c r="DO66" s="705">
        <f t="shared" ca="1" si="179"/>
        <v>0.05</v>
      </c>
      <c r="DP66" s="705">
        <f t="shared" ca="1" si="179"/>
        <v>0.05</v>
      </c>
      <c r="DQ66" s="705">
        <f t="shared" ca="1" si="179"/>
        <v>0.05</v>
      </c>
      <c r="DR66" s="705">
        <f t="shared" ca="1" si="179"/>
        <v>0.05</v>
      </c>
      <c r="DS66" s="705">
        <f t="shared" ca="1" si="179"/>
        <v>0.05</v>
      </c>
      <c r="DT66" s="705">
        <f t="shared" ca="1" si="179"/>
        <v>0.05</v>
      </c>
      <c r="DU66" s="705">
        <f t="shared" ca="1" si="179"/>
        <v>0.05</v>
      </c>
      <c r="DV66" s="705">
        <f t="shared" ca="1" si="179"/>
        <v>0.05</v>
      </c>
      <c r="DW66" s="705">
        <f t="shared" ca="1" si="179"/>
        <v>0.05</v>
      </c>
      <c r="DX66" s="705">
        <f t="shared" ca="1" si="179"/>
        <v>0.05</v>
      </c>
      <c r="DY66" s="705">
        <f t="shared" ca="1" si="179"/>
        <v>0.05</v>
      </c>
      <c r="DZ66" s="705">
        <f t="shared" ca="1" si="179"/>
        <v>0.05</v>
      </c>
      <c r="EA66" s="705">
        <f t="shared" ca="1" si="179"/>
        <v>0.05</v>
      </c>
      <c r="EB66" s="705">
        <f t="shared" ca="1" si="179"/>
        <v>0.05</v>
      </c>
      <c r="EC66" s="705">
        <f t="shared" ca="1" si="179"/>
        <v>0.05</v>
      </c>
      <c r="ED66" s="705">
        <f t="shared" ca="1" si="179"/>
        <v>0.05</v>
      </c>
      <c r="EE66" s="705">
        <f t="shared" ref="EE66:FJ66" ca="1" si="180">IFERROR(EE65/EE40,0)</f>
        <v>0.05</v>
      </c>
      <c r="EF66" s="705">
        <f t="shared" ca="1" si="180"/>
        <v>0.05</v>
      </c>
      <c r="EG66" s="705">
        <f t="shared" ca="1" si="180"/>
        <v>0.05</v>
      </c>
      <c r="EH66" s="705">
        <f t="shared" ca="1" si="180"/>
        <v>0.05</v>
      </c>
      <c r="EI66" s="705">
        <f t="shared" ca="1" si="180"/>
        <v>0.05</v>
      </c>
      <c r="EJ66" s="705">
        <f t="shared" ca="1" si="180"/>
        <v>0.05</v>
      </c>
      <c r="EK66" s="705">
        <f t="shared" ca="1" si="180"/>
        <v>0.05</v>
      </c>
      <c r="EL66" s="705">
        <f t="shared" ca="1" si="180"/>
        <v>0.05</v>
      </c>
      <c r="EM66" s="705">
        <f t="shared" ca="1" si="180"/>
        <v>0.05</v>
      </c>
      <c r="EN66" s="705">
        <f t="shared" ca="1" si="180"/>
        <v>0.05</v>
      </c>
      <c r="EO66" s="705">
        <f t="shared" ca="1" si="180"/>
        <v>0.05</v>
      </c>
      <c r="EP66" s="705">
        <f t="shared" ca="1" si="180"/>
        <v>0.05</v>
      </c>
      <c r="EQ66" s="705">
        <f t="shared" ca="1" si="180"/>
        <v>0.05</v>
      </c>
      <c r="ER66" s="705">
        <f t="shared" ca="1" si="180"/>
        <v>0.05</v>
      </c>
      <c r="ES66" s="705">
        <f t="shared" ca="1" si="180"/>
        <v>0.05</v>
      </c>
      <c r="ET66" s="705">
        <f t="shared" ca="1" si="180"/>
        <v>0.05</v>
      </c>
      <c r="EU66" s="705">
        <f t="shared" ca="1" si="180"/>
        <v>0.05</v>
      </c>
      <c r="EV66" s="705">
        <f t="shared" ca="1" si="180"/>
        <v>0.05</v>
      </c>
      <c r="EW66" s="705">
        <f t="shared" ca="1" si="180"/>
        <v>0.05</v>
      </c>
      <c r="EX66" s="705">
        <f t="shared" ca="1" si="180"/>
        <v>0.05</v>
      </c>
      <c r="EY66" s="705">
        <f t="shared" ca="1" si="180"/>
        <v>0.05</v>
      </c>
      <c r="EZ66" s="705">
        <f t="shared" ca="1" si="180"/>
        <v>0.05</v>
      </c>
      <c r="FA66" s="705">
        <f t="shared" ca="1" si="180"/>
        <v>0.05</v>
      </c>
      <c r="FB66" s="705">
        <f t="shared" ca="1" si="180"/>
        <v>0.05</v>
      </c>
      <c r="FC66" s="705">
        <f t="shared" ca="1" si="180"/>
        <v>0.05</v>
      </c>
      <c r="FD66" s="705">
        <f t="shared" ca="1" si="180"/>
        <v>0.05</v>
      </c>
      <c r="FE66" s="705">
        <f t="shared" ca="1" si="180"/>
        <v>0.05</v>
      </c>
      <c r="FF66" s="705">
        <f t="shared" ca="1" si="180"/>
        <v>0.05</v>
      </c>
      <c r="FG66" s="705">
        <f t="shared" ca="1" si="180"/>
        <v>0.05</v>
      </c>
      <c r="FH66" s="705">
        <f t="shared" ca="1" si="180"/>
        <v>0.05</v>
      </c>
      <c r="FI66" s="705">
        <f t="shared" ca="1" si="180"/>
        <v>0.05</v>
      </c>
      <c r="FJ66" s="705">
        <f t="shared" ca="1" si="180"/>
        <v>0.05</v>
      </c>
      <c r="FK66" s="705">
        <f t="shared" ref="FK66:FN66" ca="1" si="181">IFERROR(FK65/FK40,0)</f>
        <v>0.05</v>
      </c>
      <c r="FL66" s="705">
        <f t="shared" ca="1" si="181"/>
        <v>0.05</v>
      </c>
      <c r="FM66" s="705">
        <f t="shared" ca="1" si="181"/>
        <v>0.05</v>
      </c>
      <c r="FN66" s="981">
        <f t="shared" ca="1" si="181"/>
        <v>0.05</v>
      </c>
      <c r="FO66" s="144" t="s">
        <v>243</v>
      </c>
    </row>
    <row r="67" spans="2:171" x14ac:dyDescent="0.2">
      <c r="B67" s="145" t="s">
        <v>376</v>
      </c>
      <c r="D67" s="316">
        <v>642</v>
      </c>
      <c r="E67" s="316">
        <v>727</v>
      </c>
      <c r="F67" s="316">
        <v>804</v>
      </c>
      <c r="G67" s="316">
        <v>805</v>
      </c>
      <c r="H67" s="316">
        <v>855</v>
      </c>
      <c r="I67" s="316">
        <v>931</v>
      </c>
      <c r="J67" s="316">
        <v>1020</v>
      </c>
      <c r="K67" s="144">
        <v>1153</v>
      </c>
      <c r="L67" s="144">
        <v>1000</v>
      </c>
      <c r="M67" s="144">
        <v>1099</v>
      </c>
      <c r="N67" s="144">
        <v>1277</v>
      </c>
      <c r="O67" s="144">
        <v>1386</v>
      </c>
      <c r="Q67" s="145" t="s">
        <v>247</v>
      </c>
      <c r="AI67" s="999">
        <f ca="1">AVERAGE(AM67:FN67)</f>
        <v>5.1818181818181701E-2</v>
      </c>
      <c r="AJ67" s="144" t="str">
        <f ca="1">IF(AI67=AI66,"OK","ERROR")</f>
        <v>OK</v>
      </c>
      <c r="AK67" s="1000" t="s">
        <v>377</v>
      </c>
      <c r="AL67" s="1001">
        <f t="shared" ref="AL67" si="182">AL60+AL50</f>
        <v>4.0983606557377053E-2</v>
      </c>
      <c r="AM67" s="1001">
        <f t="shared" ref="AM67:BR67" ca="1" si="183">AM60+AM50</f>
        <v>0.06</v>
      </c>
      <c r="AN67" s="1001">
        <f t="shared" ca="1" si="183"/>
        <v>0.06</v>
      </c>
      <c r="AO67" s="1001">
        <f t="shared" ca="1" si="183"/>
        <v>0.06</v>
      </c>
      <c r="AP67" s="1001">
        <f t="shared" ca="1" si="183"/>
        <v>0.06</v>
      </c>
      <c r="AQ67" s="1001">
        <f t="shared" ca="1" si="183"/>
        <v>0.06</v>
      </c>
      <c r="AR67" s="1001">
        <f t="shared" ca="1" si="183"/>
        <v>0.06</v>
      </c>
      <c r="AS67" s="1001">
        <f t="shared" ca="1" si="183"/>
        <v>0.06</v>
      </c>
      <c r="AT67" s="1001">
        <f t="shared" ca="1" si="183"/>
        <v>0.06</v>
      </c>
      <c r="AU67" s="1001">
        <f t="shared" ca="1" si="183"/>
        <v>0.06</v>
      </c>
      <c r="AV67" s="1001">
        <f t="shared" ca="1" si="183"/>
        <v>0.06</v>
      </c>
      <c r="AW67" s="1001">
        <f t="shared" ca="1" si="183"/>
        <v>0.06</v>
      </c>
      <c r="AX67" s="1001">
        <f t="shared" ca="1" si="183"/>
        <v>0.06</v>
      </c>
      <c r="AY67" s="1001">
        <f t="shared" ca="1" si="183"/>
        <v>0.06</v>
      </c>
      <c r="AZ67" s="1001">
        <f t="shared" ca="1" si="183"/>
        <v>0.06</v>
      </c>
      <c r="BA67" s="1001">
        <f t="shared" ca="1" si="183"/>
        <v>0.06</v>
      </c>
      <c r="BB67" s="1001">
        <f t="shared" ca="1" si="183"/>
        <v>0.06</v>
      </c>
      <c r="BC67" s="1001">
        <f t="shared" ca="1" si="183"/>
        <v>0.06</v>
      </c>
      <c r="BD67" s="1001">
        <f t="shared" ca="1" si="183"/>
        <v>0.06</v>
      </c>
      <c r="BE67" s="1001">
        <f t="shared" ca="1" si="183"/>
        <v>0.06</v>
      </c>
      <c r="BF67" s="1001">
        <f t="shared" ca="1" si="183"/>
        <v>0.06</v>
      </c>
      <c r="BG67" s="1001">
        <f t="shared" ca="1" si="183"/>
        <v>0.06</v>
      </c>
      <c r="BH67" s="1001">
        <f t="shared" ca="1" si="183"/>
        <v>0.06</v>
      </c>
      <c r="BI67" s="1001">
        <f t="shared" ca="1" si="183"/>
        <v>0.06</v>
      </c>
      <c r="BJ67" s="1001">
        <f t="shared" ca="1" si="183"/>
        <v>0.06</v>
      </c>
      <c r="BK67" s="1001">
        <f t="shared" ca="1" si="183"/>
        <v>0.05</v>
      </c>
      <c r="BL67" s="1001">
        <f t="shared" ca="1" si="183"/>
        <v>0.05</v>
      </c>
      <c r="BM67" s="1001">
        <f t="shared" ca="1" si="183"/>
        <v>0.05</v>
      </c>
      <c r="BN67" s="1001">
        <f t="shared" ca="1" si="183"/>
        <v>0.05</v>
      </c>
      <c r="BO67" s="1001">
        <f t="shared" ca="1" si="183"/>
        <v>0.05</v>
      </c>
      <c r="BP67" s="1001">
        <f t="shared" ca="1" si="183"/>
        <v>0.05</v>
      </c>
      <c r="BQ67" s="1001">
        <f t="shared" ca="1" si="183"/>
        <v>0.05</v>
      </c>
      <c r="BR67" s="1001">
        <f t="shared" ca="1" si="183"/>
        <v>0.05</v>
      </c>
      <c r="BS67" s="1001">
        <f t="shared" ref="BS67:CX67" ca="1" si="184">BS60+BS50</f>
        <v>0.05</v>
      </c>
      <c r="BT67" s="1001">
        <f t="shared" ca="1" si="184"/>
        <v>0.05</v>
      </c>
      <c r="BU67" s="1001">
        <f t="shared" ca="1" si="184"/>
        <v>0.05</v>
      </c>
      <c r="BV67" s="1001">
        <f t="shared" ca="1" si="184"/>
        <v>0.05</v>
      </c>
      <c r="BW67" s="1001">
        <f t="shared" ca="1" si="184"/>
        <v>0.05</v>
      </c>
      <c r="BX67" s="1001">
        <f t="shared" ca="1" si="184"/>
        <v>0.05</v>
      </c>
      <c r="BY67" s="1001">
        <f t="shared" ca="1" si="184"/>
        <v>0.05</v>
      </c>
      <c r="BZ67" s="1001">
        <f t="shared" ca="1" si="184"/>
        <v>0.05</v>
      </c>
      <c r="CA67" s="1001">
        <f t="shared" ca="1" si="184"/>
        <v>0.05</v>
      </c>
      <c r="CB67" s="1001">
        <f t="shared" ca="1" si="184"/>
        <v>0.05</v>
      </c>
      <c r="CC67" s="1001">
        <f t="shared" ca="1" si="184"/>
        <v>0.05</v>
      </c>
      <c r="CD67" s="1001">
        <f t="shared" ca="1" si="184"/>
        <v>0.05</v>
      </c>
      <c r="CE67" s="1001">
        <f t="shared" ca="1" si="184"/>
        <v>0.05</v>
      </c>
      <c r="CF67" s="1001">
        <f t="shared" ca="1" si="184"/>
        <v>0.05</v>
      </c>
      <c r="CG67" s="1001">
        <f t="shared" ca="1" si="184"/>
        <v>0.05</v>
      </c>
      <c r="CH67" s="1001">
        <f t="shared" ca="1" si="184"/>
        <v>0.05</v>
      </c>
      <c r="CI67" s="1001">
        <f t="shared" ca="1" si="184"/>
        <v>0.05</v>
      </c>
      <c r="CJ67" s="1001">
        <f t="shared" ca="1" si="184"/>
        <v>0.05</v>
      </c>
      <c r="CK67" s="1001">
        <f t="shared" ca="1" si="184"/>
        <v>0.05</v>
      </c>
      <c r="CL67" s="1001">
        <f t="shared" ca="1" si="184"/>
        <v>0.05</v>
      </c>
      <c r="CM67" s="1001">
        <f t="shared" ca="1" si="184"/>
        <v>0.05</v>
      </c>
      <c r="CN67" s="1001">
        <f t="shared" ca="1" si="184"/>
        <v>0.05</v>
      </c>
      <c r="CO67" s="1001">
        <f t="shared" ca="1" si="184"/>
        <v>0.05</v>
      </c>
      <c r="CP67" s="1001">
        <f t="shared" ca="1" si="184"/>
        <v>0.05</v>
      </c>
      <c r="CQ67" s="1001">
        <f t="shared" ca="1" si="184"/>
        <v>0.05</v>
      </c>
      <c r="CR67" s="1001">
        <f t="shared" ca="1" si="184"/>
        <v>0.05</v>
      </c>
      <c r="CS67" s="1001">
        <f t="shared" ca="1" si="184"/>
        <v>0.05</v>
      </c>
      <c r="CT67" s="1001">
        <f t="shared" ca="1" si="184"/>
        <v>0.05</v>
      </c>
      <c r="CU67" s="1001">
        <f t="shared" ca="1" si="184"/>
        <v>0.05</v>
      </c>
      <c r="CV67" s="1001">
        <f t="shared" ca="1" si="184"/>
        <v>0.05</v>
      </c>
      <c r="CW67" s="1001">
        <f t="shared" ca="1" si="184"/>
        <v>0.05</v>
      </c>
      <c r="CX67" s="1001">
        <f t="shared" ca="1" si="184"/>
        <v>0.05</v>
      </c>
      <c r="CY67" s="1001">
        <f t="shared" ref="CY67:ED67" ca="1" si="185">CY60+CY50</f>
        <v>0.05</v>
      </c>
      <c r="CZ67" s="1001">
        <f t="shared" ca="1" si="185"/>
        <v>0.05</v>
      </c>
      <c r="DA67" s="1001">
        <f t="shared" ca="1" si="185"/>
        <v>0.05</v>
      </c>
      <c r="DB67" s="1001">
        <f t="shared" ca="1" si="185"/>
        <v>0.05</v>
      </c>
      <c r="DC67" s="1001">
        <f t="shared" ca="1" si="185"/>
        <v>0.05</v>
      </c>
      <c r="DD67" s="1001">
        <f t="shared" ca="1" si="185"/>
        <v>0.05</v>
      </c>
      <c r="DE67" s="1001">
        <f t="shared" ca="1" si="185"/>
        <v>0.05</v>
      </c>
      <c r="DF67" s="1001">
        <f t="shared" ca="1" si="185"/>
        <v>0.05</v>
      </c>
      <c r="DG67" s="1001">
        <f t="shared" ca="1" si="185"/>
        <v>0.05</v>
      </c>
      <c r="DH67" s="1001">
        <f t="shared" ca="1" si="185"/>
        <v>0.05</v>
      </c>
      <c r="DI67" s="1001">
        <f t="shared" ca="1" si="185"/>
        <v>0.05</v>
      </c>
      <c r="DJ67" s="1001">
        <f t="shared" ca="1" si="185"/>
        <v>0.05</v>
      </c>
      <c r="DK67" s="1001">
        <f t="shared" ca="1" si="185"/>
        <v>0.05</v>
      </c>
      <c r="DL67" s="1001">
        <f t="shared" ca="1" si="185"/>
        <v>0.05</v>
      </c>
      <c r="DM67" s="1001">
        <f t="shared" ca="1" si="185"/>
        <v>0.05</v>
      </c>
      <c r="DN67" s="1001">
        <f t="shared" ca="1" si="185"/>
        <v>0.05</v>
      </c>
      <c r="DO67" s="1001">
        <f t="shared" ca="1" si="185"/>
        <v>0.05</v>
      </c>
      <c r="DP67" s="1001">
        <f t="shared" ca="1" si="185"/>
        <v>0.05</v>
      </c>
      <c r="DQ67" s="1001">
        <f t="shared" ca="1" si="185"/>
        <v>0.05</v>
      </c>
      <c r="DR67" s="1001">
        <f t="shared" ca="1" si="185"/>
        <v>0.05</v>
      </c>
      <c r="DS67" s="1001">
        <f t="shared" ca="1" si="185"/>
        <v>0.05</v>
      </c>
      <c r="DT67" s="1001">
        <f t="shared" ca="1" si="185"/>
        <v>0.05</v>
      </c>
      <c r="DU67" s="1001">
        <f t="shared" ca="1" si="185"/>
        <v>0.05</v>
      </c>
      <c r="DV67" s="1001">
        <f t="shared" ca="1" si="185"/>
        <v>0.05</v>
      </c>
      <c r="DW67" s="1001">
        <f t="shared" ca="1" si="185"/>
        <v>0.05</v>
      </c>
      <c r="DX67" s="1001">
        <f t="shared" ca="1" si="185"/>
        <v>0.05</v>
      </c>
      <c r="DY67" s="1001">
        <f t="shared" ca="1" si="185"/>
        <v>0.05</v>
      </c>
      <c r="DZ67" s="1001">
        <f t="shared" ca="1" si="185"/>
        <v>0.05</v>
      </c>
      <c r="EA67" s="1001">
        <f t="shared" ca="1" si="185"/>
        <v>0.05</v>
      </c>
      <c r="EB67" s="1001">
        <f t="shared" ca="1" si="185"/>
        <v>0.05</v>
      </c>
      <c r="EC67" s="1001">
        <f t="shared" ca="1" si="185"/>
        <v>0.05</v>
      </c>
      <c r="ED67" s="1001">
        <f t="shared" ca="1" si="185"/>
        <v>0.05</v>
      </c>
      <c r="EE67" s="1001">
        <f t="shared" ref="EE67:FN67" ca="1" si="186">EE60+EE50</f>
        <v>0.05</v>
      </c>
      <c r="EF67" s="1001">
        <f t="shared" ca="1" si="186"/>
        <v>0.05</v>
      </c>
      <c r="EG67" s="1001">
        <f t="shared" ca="1" si="186"/>
        <v>0.05</v>
      </c>
      <c r="EH67" s="1001">
        <f t="shared" ca="1" si="186"/>
        <v>0.05</v>
      </c>
      <c r="EI67" s="1001">
        <f t="shared" ca="1" si="186"/>
        <v>0.05</v>
      </c>
      <c r="EJ67" s="1001">
        <f t="shared" ca="1" si="186"/>
        <v>0.05</v>
      </c>
      <c r="EK67" s="1001">
        <f t="shared" ca="1" si="186"/>
        <v>0.05</v>
      </c>
      <c r="EL67" s="1001">
        <f t="shared" ca="1" si="186"/>
        <v>0.05</v>
      </c>
      <c r="EM67" s="1001">
        <f t="shared" ca="1" si="186"/>
        <v>0.05</v>
      </c>
      <c r="EN67" s="1001">
        <f t="shared" ca="1" si="186"/>
        <v>0.05</v>
      </c>
      <c r="EO67" s="1001">
        <f t="shared" ca="1" si="186"/>
        <v>0.05</v>
      </c>
      <c r="EP67" s="1001">
        <f t="shared" ca="1" si="186"/>
        <v>0.05</v>
      </c>
      <c r="EQ67" s="1001">
        <f t="shared" ca="1" si="186"/>
        <v>0.05</v>
      </c>
      <c r="ER67" s="1001">
        <f t="shared" ca="1" si="186"/>
        <v>0.05</v>
      </c>
      <c r="ES67" s="1001">
        <f t="shared" ca="1" si="186"/>
        <v>0.05</v>
      </c>
      <c r="ET67" s="1001">
        <f t="shared" ca="1" si="186"/>
        <v>0.05</v>
      </c>
      <c r="EU67" s="1001">
        <f t="shared" ca="1" si="186"/>
        <v>0.05</v>
      </c>
      <c r="EV67" s="1001">
        <f t="shared" ca="1" si="186"/>
        <v>0.05</v>
      </c>
      <c r="EW67" s="1001">
        <f t="shared" ca="1" si="186"/>
        <v>0.05</v>
      </c>
      <c r="EX67" s="1001">
        <f t="shared" ca="1" si="186"/>
        <v>0.05</v>
      </c>
      <c r="EY67" s="1001">
        <f t="shared" ca="1" si="186"/>
        <v>0.05</v>
      </c>
      <c r="EZ67" s="1001">
        <f t="shared" ca="1" si="186"/>
        <v>0.05</v>
      </c>
      <c r="FA67" s="1001">
        <f t="shared" ca="1" si="186"/>
        <v>0.05</v>
      </c>
      <c r="FB67" s="1001">
        <f t="shared" ca="1" si="186"/>
        <v>0.05</v>
      </c>
      <c r="FC67" s="1001">
        <f t="shared" ca="1" si="186"/>
        <v>0.05</v>
      </c>
      <c r="FD67" s="1001">
        <f t="shared" ca="1" si="186"/>
        <v>0.05</v>
      </c>
      <c r="FE67" s="1001">
        <f t="shared" ca="1" si="186"/>
        <v>0.05</v>
      </c>
      <c r="FF67" s="1001">
        <f t="shared" ca="1" si="186"/>
        <v>0.05</v>
      </c>
      <c r="FG67" s="1001">
        <f t="shared" ca="1" si="186"/>
        <v>0.05</v>
      </c>
      <c r="FH67" s="1001">
        <f t="shared" ca="1" si="186"/>
        <v>0.05</v>
      </c>
      <c r="FI67" s="1001">
        <f t="shared" ca="1" si="186"/>
        <v>0.05</v>
      </c>
      <c r="FJ67" s="1001">
        <f t="shared" ca="1" si="186"/>
        <v>0.05</v>
      </c>
      <c r="FK67" s="1001">
        <f t="shared" ca="1" si="186"/>
        <v>0.05</v>
      </c>
      <c r="FL67" s="1001">
        <f t="shared" ca="1" si="186"/>
        <v>0.05</v>
      </c>
      <c r="FM67" s="1001">
        <f t="shared" ca="1" si="186"/>
        <v>0.05</v>
      </c>
      <c r="FN67" s="1002">
        <f t="shared" ca="1" si="186"/>
        <v>0.05</v>
      </c>
      <c r="FO67" s="144" t="s">
        <v>243</v>
      </c>
    </row>
    <row r="68" spans="2:171" x14ac:dyDescent="0.2">
      <c r="B68" s="1003" t="s">
        <v>378</v>
      </c>
      <c r="C68" s="1003"/>
      <c r="D68" s="1003">
        <f>COUNTIFS(Rent_Roll[SqFt],D$67,Rent_Roll[Unit
Status],"vacant")</f>
        <v>1</v>
      </c>
      <c r="E68" s="1003">
        <f>COUNTIFS(Rent_Roll[SqFt],E$67,Rent_Roll[Unit
Status],"vacant")</f>
        <v>0</v>
      </c>
      <c r="F68" s="1003">
        <f>COUNTIFS(Rent_Roll[SqFt],F$67,Rent_Roll[Unit
Status],"vacant")</f>
        <v>0</v>
      </c>
      <c r="G68" s="1003">
        <f>COUNTIFS(Rent_Roll[SqFt],G$67,Rent_Roll[Unit
Status],"vacant")</f>
        <v>0</v>
      </c>
      <c r="H68" s="1003">
        <f>COUNTIFS(Rent_Roll[SqFt],H$67,Rent_Roll[Unit
Status],"vacant")</f>
        <v>0</v>
      </c>
      <c r="I68" s="1003">
        <f>COUNTIFS(Rent_Roll[SqFt],I$67,Rent_Roll[Unit
Status],"vacant")</f>
        <v>0</v>
      </c>
      <c r="J68" s="1003">
        <f>COUNTIFS(Rent_Roll[SqFt],J$67,Rent_Roll[Unit
Status],"vacant")</f>
        <v>0</v>
      </c>
      <c r="K68" s="1003">
        <f>COUNTIFS(Rent_Roll[SqFt],K$67,Rent_Roll[Unit
Status],"vacant")</f>
        <v>0</v>
      </c>
      <c r="L68" s="1003">
        <f>COUNTIFS(Rent_Roll[SqFt],L$67,Rent_Roll[Unit
Status],"vacant")</f>
        <v>7</v>
      </c>
      <c r="M68" s="1003">
        <f>COUNTIFS(Rent_Roll[SqFt],M$67,Rent_Roll[Unit
Status],"vacant")</f>
        <v>2</v>
      </c>
      <c r="N68" s="1003">
        <f>COUNTIFS(Rent_Roll[SqFt],N$67,Rent_Roll[Unit
Status],"vacant")</f>
        <v>0</v>
      </c>
      <c r="O68" s="1003">
        <f>COUNTIFS(Rent_Roll[SqFt],O$67,Rent_Roll[Unit
Status],"vacant")</f>
        <v>0</v>
      </c>
      <c r="Q68" s="1004">
        <f>SUM(D68:O68)</f>
        <v>10</v>
      </c>
      <c r="AK68" s="721"/>
      <c r="AU68" s="151"/>
      <c r="AV68" s="151"/>
      <c r="AW68" s="151"/>
      <c r="AX68" s="151"/>
      <c r="AY68" s="151"/>
      <c r="AZ68" s="151"/>
      <c r="BA68" s="151"/>
      <c r="BB68" s="151"/>
      <c r="BC68" s="151"/>
      <c r="BD68" s="151"/>
      <c r="BE68" s="151"/>
      <c r="BF68" s="151"/>
      <c r="BG68" s="151"/>
      <c r="BH68" s="151"/>
      <c r="FN68" s="703"/>
      <c r="FO68" s="144" t="s">
        <v>243</v>
      </c>
    </row>
    <row r="69" spans="2:171" x14ac:dyDescent="0.2">
      <c r="B69" s="1005" cm="1">
        <f t="array" ref="B69:B233">_xlfn.UNIQUE(_xlfn._xlws.SORT(_xlfn._xlws.FILTER(Rent_Roll[Lease
Exp],Rent_Roll[Lease
Exp]&lt;&gt;"")))</f>
        <v>44819</v>
      </c>
      <c r="D69" s="144" cm="1">
        <f t="array" ref="D69:D233">COUNTIFS(Rent_Roll[SqFt],'Unit Mix-Reno Schedule'!D$67,Rent_Roll[Lease
Exp],_xlfn.ANCHORARRAY('Unit Mix-Reno Schedule'!$B69))</f>
        <v>0</v>
      </c>
      <c r="E69" s="144" cm="1">
        <f t="array" ref="E69:E233">COUNTIFS(Rent_Roll[SqFt],'Unit Mix-Reno Schedule'!E$67,Rent_Roll[Lease
Exp],_xlfn.ANCHORARRAY('Unit Mix-Reno Schedule'!$B69))</f>
        <v>0</v>
      </c>
      <c r="F69" s="144" cm="1">
        <f t="array" ref="F69:F233">COUNTIFS(Rent_Roll[SqFt],'Unit Mix-Reno Schedule'!F$67,Rent_Roll[Lease
Exp],_xlfn.ANCHORARRAY('Unit Mix-Reno Schedule'!$B69))</f>
        <v>1</v>
      </c>
      <c r="G69" s="144" cm="1">
        <f t="array" ref="G69:G233">COUNTIFS(Rent_Roll[SqFt],'Unit Mix-Reno Schedule'!G$67,Rent_Roll[Lease
Exp],_xlfn.ANCHORARRAY('Unit Mix-Reno Schedule'!$B69))</f>
        <v>0</v>
      </c>
      <c r="H69" s="144" cm="1">
        <f t="array" ref="H69:H233">COUNTIFS(Rent_Roll[SqFt],'Unit Mix-Reno Schedule'!H$67,Rent_Roll[Lease
Exp],_xlfn.ANCHORARRAY('Unit Mix-Reno Schedule'!$B69))</f>
        <v>0</v>
      </c>
      <c r="I69" s="144" cm="1">
        <f t="array" ref="I69:I233">COUNTIFS(Rent_Roll[SqFt],'Unit Mix-Reno Schedule'!I$67,Rent_Roll[Lease
Exp],_xlfn.ANCHORARRAY('Unit Mix-Reno Schedule'!$B69))</f>
        <v>0</v>
      </c>
      <c r="J69" s="144" cm="1">
        <f t="array" ref="J69:J233">COUNTIFS(Rent_Roll[SqFt],'Unit Mix-Reno Schedule'!J$67,Rent_Roll[Lease
Exp],_xlfn.ANCHORARRAY('Unit Mix-Reno Schedule'!$B69))</f>
        <v>0</v>
      </c>
      <c r="K69" s="144" cm="1">
        <f t="array" ref="K69:K233">COUNTIFS(Rent_Roll[SqFt],'Unit Mix-Reno Schedule'!K$67,Rent_Roll[Lease
Exp],_xlfn.ANCHORARRAY('Unit Mix-Reno Schedule'!$B69))</f>
        <v>0</v>
      </c>
      <c r="L69" s="144" cm="1">
        <f t="array" ref="L69:L233">COUNTIFS(Rent_Roll[SqFt],'Unit Mix-Reno Schedule'!L$67,Rent_Roll[Lease
Exp],_xlfn.ANCHORARRAY('Unit Mix-Reno Schedule'!$B69))</f>
        <v>0</v>
      </c>
      <c r="M69" s="144" cm="1">
        <f t="array" ref="M69:M233">COUNTIFS(Rent_Roll[SqFt],'Unit Mix-Reno Schedule'!M$67,Rent_Roll[Lease
Exp],_xlfn.ANCHORARRAY('Unit Mix-Reno Schedule'!$B69))</f>
        <v>0</v>
      </c>
      <c r="N69" s="144" cm="1">
        <f t="array" ref="N69:N233">COUNTIFS(Rent_Roll[SqFt],'Unit Mix-Reno Schedule'!N$67,Rent_Roll[Lease
Exp],_xlfn.ANCHORARRAY('Unit Mix-Reno Schedule'!$B69))</f>
        <v>0</v>
      </c>
      <c r="O69" s="144" cm="1">
        <f t="array" ref="O69:O233">COUNTIFS(Rent_Roll[SqFt],'Unit Mix-Reno Schedule'!O$67,Rent_Roll[Lease
Exp],_xlfn.ANCHORARRAY('Unit Mix-Reno Schedule'!$B69))</f>
        <v>0</v>
      </c>
      <c r="Q69" s="1004">
        <f t="shared" ref="Q69:Q132" si="187">SUM(D69:O69)</f>
        <v>1</v>
      </c>
      <c r="AK69" s="721"/>
      <c r="AU69" s="550"/>
      <c r="AV69" s="550"/>
      <c r="AW69" s="550"/>
      <c r="AX69" s="550"/>
      <c r="AY69" s="550"/>
      <c r="AZ69" s="550"/>
      <c r="BA69" s="550"/>
      <c r="BB69" s="550"/>
      <c r="BC69" s="550"/>
      <c r="BD69" s="550"/>
      <c r="BE69" s="550"/>
      <c r="BF69" s="550"/>
      <c r="BG69" s="550"/>
      <c r="BH69" s="550"/>
      <c r="BI69" s="550"/>
      <c r="BJ69" s="550"/>
      <c r="BK69" s="550"/>
      <c r="BL69" s="550"/>
      <c r="BM69" s="550"/>
      <c r="BN69" s="550"/>
      <c r="BO69" s="550"/>
      <c r="BP69" s="550"/>
      <c r="BQ69" s="550"/>
      <c r="BR69" s="550"/>
      <c r="BS69" s="550"/>
      <c r="BT69" s="550"/>
      <c r="BU69" s="550"/>
      <c r="BV69" s="550"/>
      <c r="BW69" s="550"/>
      <c r="BX69" s="550"/>
      <c r="BY69" s="550"/>
      <c r="BZ69" s="550"/>
      <c r="CA69" s="550"/>
      <c r="CB69" s="550"/>
      <c r="CC69" s="550"/>
      <c r="CD69" s="550"/>
      <c r="CE69" s="550"/>
      <c r="CF69" s="550"/>
      <c r="CG69" s="550"/>
      <c r="CH69" s="550"/>
      <c r="CI69" s="550"/>
      <c r="CJ69" s="550"/>
      <c r="CK69" s="550"/>
      <c r="CL69" s="550"/>
      <c r="CM69" s="550"/>
      <c r="CN69" s="550"/>
      <c r="CO69" s="550"/>
      <c r="CP69" s="550"/>
      <c r="CQ69" s="550"/>
      <c r="CR69" s="550"/>
      <c r="CS69" s="550"/>
      <c r="CT69" s="550"/>
      <c r="CU69" s="550"/>
      <c r="CV69" s="550"/>
      <c r="CW69" s="550"/>
      <c r="CX69" s="550"/>
      <c r="CY69" s="550"/>
      <c r="CZ69" s="550"/>
      <c r="DA69" s="550"/>
      <c r="DB69" s="550"/>
      <c r="DC69" s="550"/>
      <c r="DD69" s="550"/>
      <c r="DE69" s="550"/>
      <c r="DF69" s="550"/>
      <c r="DG69" s="550"/>
      <c r="DH69" s="550"/>
      <c r="DI69" s="550"/>
      <c r="DJ69" s="550"/>
      <c r="DK69" s="550"/>
      <c r="DL69" s="550"/>
      <c r="DM69" s="550"/>
      <c r="DN69" s="550"/>
      <c r="DO69" s="550"/>
      <c r="DP69" s="550"/>
      <c r="DQ69" s="550"/>
      <c r="DR69" s="550"/>
      <c r="DS69" s="550"/>
      <c r="DT69" s="550"/>
      <c r="DU69" s="550"/>
      <c r="DV69" s="550"/>
      <c r="DW69" s="550"/>
      <c r="DX69" s="550"/>
      <c r="DY69" s="550"/>
      <c r="DZ69" s="550"/>
      <c r="EA69" s="550"/>
      <c r="EB69" s="550"/>
      <c r="EC69" s="550"/>
      <c r="ED69" s="550"/>
      <c r="EE69" s="550"/>
      <c r="EF69" s="550"/>
      <c r="EG69" s="550"/>
      <c r="EH69" s="550"/>
      <c r="EI69" s="550"/>
      <c r="EJ69" s="550"/>
      <c r="EK69" s="550"/>
      <c r="EL69" s="550"/>
      <c r="EM69" s="550"/>
      <c r="EN69" s="550"/>
      <c r="EO69" s="550"/>
      <c r="EP69" s="550"/>
      <c r="EQ69" s="550"/>
      <c r="ER69" s="550"/>
      <c r="ES69" s="550"/>
      <c r="ET69" s="550"/>
      <c r="EU69" s="550"/>
      <c r="EV69" s="550"/>
      <c r="EW69" s="550"/>
      <c r="EX69" s="550"/>
      <c r="EY69" s="550"/>
      <c r="EZ69" s="550"/>
      <c r="FA69" s="550"/>
      <c r="FB69" s="550"/>
      <c r="FC69" s="550"/>
      <c r="FD69" s="550"/>
      <c r="FE69" s="550"/>
      <c r="FF69" s="550"/>
      <c r="FG69" s="550"/>
      <c r="FH69" s="550"/>
      <c r="FI69" s="550"/>
      <c r="FJ69" s="550"/>
      <c r="FK69" s="550"/>
      <c r="FL69" s="550"/>
      <c r="FM69" s="550"/>
      <c r="FN69" s="844"/>
      <c r="FO69" s="144" t="s">
        <v>243</v>
      </c>
    </row>
    <row r="70" spans="2:171" x14ac:dyDescent="0.2">
      <c r="B70" s="1005">
        <v>44820</v>
      </c>
      <c r="D70" s="144">
        <v>1</v>
      </c>
      <c r="E70" s="144">
        <v>0</v>
      </c>
      <c r="F70" s="144">
        <v>0</v>
      </c>
      <c r="G70" s="144">
        <v>0</v>
      </c>
      <c r="H70" s="144">
        <v>0</v>
      </c>
      <c r="I70" s="144">
        <v>0</v>
      </c>
      <c r="J70" s="144">
        <v>0</v>
      </c>
      <c r="K70" s="144">
        <v>0</v>
      </c>
      <c r="L70" s="144">
        <v>1</v>
      </c>
      <c r="M70" s="144">
        <v>0</v>
      </c>
      <c r="N70" s="144">
        <v>0</v>
      </c>
      <c r="O70" s="144">
        <v>0</v>
      </c>
      <c r="Q70" s="1004">
        <f t="shared" si="187"/>
        <v>2</v>
      </c>
      <c r="AK70" s="1000" t="s">
        <v>247</v>
      </c>
      <c r="AL70" s="1006">
        <f t="shared" ref="AL70:BQ70" si="188">units</f>
        <v>244</v>
      </c>
      <c r="AM70" s="1006">
        <f t="shared" si="188"/>
        <v>244</v>
      </c>
      <c r="AN70" s="1006">
        <f t="shared" si="188"/>
        <v>244</v>
      </c>
      <c r="AO70" s="1006">
        <f t="shared" si="188"/>
        <v>244</v>
      </c>
      <c r="AP70" s="1006">
        <f t="shared" si="188"/>
        <v>244</v>
      </c>
      <c r="AQ70" s="1006">
        <f t="shared" si="188"/>
        <v>244</v>
      </c>
      <c r="AR70" s="1006">
        <f t="shared" si="188"/>
        <v>244</v>
      </c>
      <c r="AS70" s="1006">
        <f t="shared" si="188"/>
        <v>244</v>
      </c>
      <c r="AT70" s="1006">
        <f t="shared" si="188"/>
        <v>244</v>
      </c>
      <c r="AU70" s="1006">
        <f t="shared" si="188"/>
        <v>244</v>
      </c>
      <c r="AV70" s="1006">
        <f t="shared" si="188"/>
        <v>244</v>
      </c>
      <c r="AW70" s="1006">
        <f t="shared" si="188"/>
        <v>244</v>
      </c>
      <c r="AX70" s="1006">
        <f t="shared" si="188"/>
        <v>244</v>
      </c>
      <c r="AY70" s="1006">
        <f t="shared" si="188"/>
        <v>244</v>
      </c>
      <c r="AZ70" s="1006">
        <f t="shared" si="188"/>
        <v>244</v>
      </c>
      <c r="BA70" s="1006">
        <f t="shared" si="188"/>
        <v>244</v>
      </c>
      <c r="BB70" s="1006">
        <f t="shared" si="188"/>
        <v>244</v>
      </c>
      <c r="BC70" s="1006">
        <f t="shared" si="188"/>
        <v>244</v>
      </c>
      <c r="BD70" s="1006">
        <f t="shared" si="188"/>
        <v>244</v>
      </c>
      <c r="BE70" s="1006">
        <f t="shared" si="188"/>
        <v>244</v>
      </c>
      <c r="BF70" s="1006">
        <f t="shared" si="188"/>
        <v>244</v>
      </c>
      <c r="BG70" s="1006">
        <f t="shared" si="188"/>
        <v>244</v>
      </c>
      <c r="BH70" s="1006">
        <f t="shared" si="188"/>
        <v>244</v>
      </c>
      <c r="BI70" s="1006">
        <f t="shared" si="188"/>
        <v>244</v>
      </c>
      <c r="BJ70" s="1006">
        <f t="shared" si="188"/>
        <v>244</v>
      </c>
      <c r="BK70" s="1006">
        <f t="shared" si="188"/>
        <v>244</v>
      </c>
      <c r="BL70" s="1006">
        <f t="shared" si="188"/>
        <v>244</v>
      </c>
      <c r="BM70" s="1006">
        <f t="shared" si="188"/>
        <v>244</v>
      </c>
      <c r="BN70" s="1006">
        <f t="shared" si="188"/>
        <v>244</v>
      </c>
      <c r="BO70" s="1006">
        <f t="shared" si="188"/>
        <v>244</v>
      </c>
      <c r="BP70" s="1006">
        <f t="shared" si="188"/>
        <v>244</v>
      </c>
      <c r="BQ70" s="1006">
        <f t="shared" si="188"/>
        <v>244</v>
      </c>
      <c r="BR70" s="1006">
        <f t="shared" ref="BR70:CW70" si="189">units</f>
        <v>244</v>
      </c>
      <c r="BS70" s="1006">
        <f t="shared" si="189"/>
        <v>244</v>
      </c>
      <c r="BT70" s="1006">
        <f t="shared" si="189"/>
        <v>244</v>
      </c>
      <c r="BU70" s="1006">
        <f t="shared" si="189"/>
        <v>244</v>
      </c>
      <c r="BV70" s="1006">
        <f t="shared" si="189"/>
        <v>244</v>
      </c>
      <c r="BW70" s="1006">
        <f t="shared" si="189"/>
        <v>244</v>
      </c>
      <c r="BX70" s="1006">
        <f t="shared" si="189"/>
        <v>244</v>
      </c>
      <c r="BY70" s="1006">
        <f t="shared" si="189"/>
        <v>244</v>
      </c>
      <c r="BZ70" s="1006">
        <f t="shared" si="189"/>
        <v>244</v>
      </c>
      <c r="CA70" s="1006">
        <f t="shared" si="189"/>
        <v>244</v>
      </c>
      <c r="CB70" s="1006">
        <f t="shared" si="189"/>
        <v>244</v>
      </c>
      <c r="CC70" s="1006">
        <f t="shared" si="189"/>
        <v>244</v>
      </c>
      <c r="CD70" s="1006">
        <f t="shared" si="189"/>
        <v>244</v>
      </c>
      <c r="CE70" s="1006">
        <f t="shared" si="189"/>
        <v>244</v>
      </c>
      <c r="CF70" s="1006">
        <f t="shared" si="189"/>
        <v>244</v>
      </c>
      <c r="CG70" s="1006">
        <f t="shared" si="189"/>
        <v>244</v>
      </c>
      <c r="CH70" s="1006">
        <f t="shared" si="189"/>
        <v>244</v>
      </c>
      <c r="CI70" s="1006">
        <f t="shared" si="189"/>
        <v>244</v>
      </c>
      <c r="CJ70" s="1006">
        <f t="shared" si="189"/>
        <v>244</v>
      </c>
      <c r="CK70" s="1006">
        <f t="shared" si="189"/>
        <v>244</v>
      </c>
      <c r="CL70" s="1006">
        <f t="shared" si="189"/>
        <v>244</v>
      </c>
      <c r="CM70" s="1006">
        <f t="shared" si="189"/>
        <v>244</v>
      </c>
      <c r="CN70" s="1006">
        <f t="shared" si="189"/>
        <v>244</v>
      </c>
      <c r="CO70" s="1006">
        <f t="shared" si="189"/>
        <v>244</v>
      </c>
      <c r="CP70" s="1006">
        <f t="shared" si="189"/>
        <v>244</v>
      </c>
      <c r="CQ70" s="1006">
        <f t="shared" si="189"/>
        <v>244</v>
      </c>
      <c r="CR70" s="1006">
        <f t="shared" si="189"/>
        <v>244</v>
      </c>
      <c r="CS70" s="1006">
        <f t="shared" si="189"/>
        <v>244</v>
      </c>
      <c r="CT70" s="1006">
        <f t="shared" si="189"/>
        <v>244</v>
      </c>
      <c r="CU70" s="1006">
        <f t="shared" si="189"/>
        <v>244</v>
      </c>
      <c r="CV70" s="1006">
        <f t="shared" si="189"/>
        <v>244</v>
      </c>
      <c r="CW70" s="1006">
        <f t="shared" si="189"/>
        <v>244</v>
      </c>
      <c r="CX70" s="1006">
        <f t="shared" ref="CX70:EC70" si="190">units</f>
        <v>244</v>
      </c>
      <c r="CY70" s="1006">
        <f t="shared" si="190"/>
        <v>244</v>
      </c>
      <c r="CZ70" s="1006">
        <f t="shared" si="190"/>
        <v>244</v>
      </c>
      <c r="DA70" s="1006">
        <f t="shared" si="190"/>
        <v>244</v>
      </c>
      <c r="DB70" s="1006">
        <f t="shared" si="190"/>
        <v>244</v>
      </c>
      <c r="DC70" s="1006">
        <f t="shared" si="190"/>
        <v>244</v>
      </c>
      <c r="DD70" s="1006">
        <f t="shared" si="190"/>
        <v>244</v>
      </c>
      <c r="DE70" s="1006">
        <f t="shared" si="190"/>
        <v>244</v>
      </c>
      <c r="DF70" s="1006">
        <f t="shared" si="190"/>
        <v>244</v>
      </c>
      <c r="DG70" s="1006">
        <f t="shared" si="190"/>
        <v>244</v>
      </c>
      <c r="DH70" s="1006">
        <f t="shared" si="190"/>
        <v>244</v>
      </c>
      <c r="DI70" s="1006">
        <f t="shared" si="190"/>
        <v>244</v>
      </c>
      <c r="DJ70" s="1006">
        <f t="shared" si="190"/>
        <v>244</v>
      </c>
      <c r="DK70" s="1006">
        <f t="shared" si="190"/>
        <v>244</v>
      </c>
      <c r="DL70" s="1006">
        <f t="shared" si="190"/>
        <v>244</v>
      </c>
      <c r="DM70" s="1006">
        <f t="shared" si="190"/>
        <v>244</v>
      </c>
      <c r="DN70" s="1006">
        <f t="shared" si="190"/>
        <v>244</v>
      </c>
      <c r="DO70" s="1006">
        <f t="shared" si="190"/>
        <v>244</v>
      </c>
      <c r="DP70" s="1006">
        <f t="shared" si="190"/>
        <v>244</v>
      </c>
      <c r="DQ70" s="1006">
        <f t="shared" si="190"/>
        <v>244</v>
      </c>
      <c r="DR70" s="1006">
        <f t="shared" si="190"/>
        <v>244</v>
      </c>
      <c r="DS70" s="1006">
        <f t="shared" si="190"/>
        <v>244</v>
      </c>
      <c r="DT70" s="1006">
        <f t="shared" si="190"/>
        <v>244</v>
      </c>
      <c r="DU70" s="1006">
        <f t="shared" si="190"/>
        <v>244</v>
      </c>
      <c r="DV70" s="1006">
        <f t="shared" si="190"/>
        <v>244</v>
      </c>
      <c r="DW70" s="1006">
        <f t="shared" si="190"/>
        <v>244</v>
      </c>
      <c r="DX70" s="1006">
        <f t="shared" si="190"/>
        <v>244</v>
      </c>
      <c r="DY70" s="1006">
        <f t="shared" si="190"/>
        <v>244</v>
      </c>
      <c r="DZ70" s="1006">
        <f t="shared" si="190"/>
        <v>244</v>
      </c>
      <c r="EA70" s="1006">
        <f t="shared" si="190"/>
        <v>244</v>
      </c>
      <c r="EB70" s="1006">
        <f t="shared" si="190"/>
        <v>244</v>
      </c>
      <c r="EC70" s="1006">
        <f t="shared" si="190"/>
        <v>244</v>
      </c>
      <c r="ED70" s="1006">
        <f t="shared" ref="ED70:FN70" si="191">units</f>
        <v>244</v>
      </c>
      <c r="EE70" s="1006">
        <f t="shared" si="191"/>
        <v>244</v>
      </c>
      <c r="EF70" s="1006">
        <f t="shared" si="191"/>
        <v>244</v>
      </c>
      <c r="EG70" s="1006">
        <f t="shared" si="191"/>
        <v>244</v>
      </c>
      <c r="EH70" s="1006">
        <f t="shared" si="191"/>
        <v>244</v>
      </c>
      <c r="EI70" s="1006">
        <f t="shared" si="191"/>
        <v>244</v>
      </c>
      <c r="EJ70" s="1006">
        <f t="shared" si="191"/>
        <v>244</v>
      </c>
      <c r="EK70" s="1006">
        <f t="shared" si="191"/>
        <v>244</v>
      </c>
      <c r="EL70" s="1006">
        <f t="shared" si="191"/>
        <v>244</v>
      </c>
      <c r="EM70" s="1006">
        <f t="shared" si="191"/>
        <v>244</v>
      </c>
      <c r="EN70" s="1006">
        <f t="shared" si="191"/>
        <v>244</v>
      </c>
      <c r="EO70" s="1006">
        <f t="shared" si="191"/>
        <v>244</v>
      </c>
      <c r="EP70" s="1006">
        <f t="shared" si="191"/>
        <v>244</v>
      </c>
      <c r="EQ70" s="1006">
        <f t="shared" si="191"/>
        <v>244</v>
      </c>
      <c r="ER70" s="1006">
        <f t="shared" si="191"/>
        <v>244</v>
      </c>
      <c r="ES70" s="1006">
        <f t="shared" si="191"/>
        <v>244</v>
      </c>
      <c r="ET70" s="1006">
        <f t="shared" si="191"/>
        <v>244</v>
      </c>
      <c r="EU70" s="1006">
        <f t="shared" si="191"/>
        <v>244</v>
      </c>
      <c r="EV70" s="1006">
        <f t="shared" si="191"/>
        <v>244</v>
      </c>
      <c r="EW70" s="1006">
        <f t="shared" si="191"/>
        <v>244</v>
      </c>
      <c r="EX70" s="1006">
        <f t="shared" si="191"/>
        <v>244</v>
      </c>
      <c r="EY70" s="1006">
        <f t="shared" si="191"/>
        <v>244</v>
      </c>
      <c r="EZ70" s="1006">
        <f t="shared" si="191"/>
        <v>244</v>
      </c>
      <c r="FA70" s="1006">
        <f t="shared" si="191"/>
        <v>244</v>
      </c>
      <c r="FB70" s="1006">
        <f t="shared" si="191"/>
        <v>244</v>
      </c>
      <c r="FC70" s="1006">
        <f t="shared" si="191"/>
        <v>244</v>
      </c>
      <c r="FD70" s="1006">
        <f t="shared" si="191"/>
        <v>244</v>
      </c>
      <c r="FE70" s="1006">
        <f t="shared" si="191"/>
        <v>244</v>
      </c>
      <c r="FF70" s="1006">
        <f t="shared" si="191"/>
        <v>244</v>
      </c>
      <c r="FG70" s="1006">
        <f t="shared" si="191"/>
        <v>244</v>
      </c>
      <c r="FH70" s="1006">
        <f t="shared" si="191"/>
        <v>244</v>
      </c>
      <c r="FI70" s="1006">
        <f t="shared" si="191"/>
        <v>244</v>
      </c>
      <c r="FJ70" s="1006">
        <f t="shared" si="191"/>
        <v>244</v>
      </c>
      <c r="FK70" s="1006">
        <f t="shared" si="191"/>
        <v>244</v>
      </c>
      <c r="FL70" s="1006">
        <f t="shared" si="191"/>
        <v>244</v>
      </c>
      <c r="FM70" s="1006">
        <f t="shared" si="191"/>
        <v>244</v>
      </c>
      <c r="FN70" s="1007">
        <f t="shared" si="191"/>
        <v>244</v>
      </c>
      <c r="FO70" s="144" t="s">
        <v>243</v>
      </c>
    </row>
    <row r="71" spans="2:171" x14ac:dyDescent="0.2">
      <c r="B71" s="1005">
        <v>44822</v>
      </c>
      <c r="D71" s="144">
        <v>0</v>
      </c>
      <c r="E71" s="144">
        <v>0</v>
      </c>
      <c r="F71" s="144">
        <v>0</v>
      </c>
      <c r="G71" s="144">
        <v>0</v>
      </c>
      <c r="H71" s="144">
        <v>0</v>
      </c>
      <c r="I71" s="144">
        <v>0</v>
      </c>
      <c r="J71" s="144">
        <v>0</v>
      </c>
      <c r="K71" s="144">
        <v>0</v>
      </c>
      <c r="L71" s="144">
        <v>1</v>
      </c>
      <c r="M71" s="144">
        <v>0</v>
      </c>
      <c r="N71" s="144">
        <v>0</v>
      </c>
      <c r="O71" s="144">
        <v>0</v>
      </c>
      <c r="Q71" s="1004">
        <f t="shared" si="187"/>
        <v>1</v>
      </c>
      <c r="AK71" s="721" t="s">
        <v>249</v>
      </c>
      <c r="AL71" s="151">
        <f>F22</f>
        <v>234</v>
      </c>
      <c r="AM71" s="151">
        <f>AL78</f>
        <v>234</v>
      </c>
      <c r="AN71" s="151">
        <f t="shared" ref="AN71:BS71" ca="1" si="192">AM78</f>
        <v>229</v>
      </c>
      <c r="AO71" s="151">
        <f ca="1">AN78</f>
        <v>229</v>
      </c>
      <c r="AP71" s="151">
        <f t="shared" ca="1" si="192"/>
        <v>229</v>
      </c>
      <c r="AQ71" s="151">
        <f t="shared" ca="1" si="192"/>
        <v>229</v>
      </c>
      <c r="AR71" s="151">
        <f t="shared" ca="1" si="192"/>
        <v>229</v>
      </c>
      <c r="AS71" s="151">
        <f t="shared" ca="1" si="192"/>
        <v>229</v>
      </c>
      <c r="AT71" s="151">
        <f t="shared" ca="1" si="192"/>
        <v>229</v>
      </c>
      <c r="AU71" s="151">
        <f t="shared" ca="1" si="192"/>
        <v>229</v>
      </c>
      <c r="AV71" s="151">
        <f t="shared" ca="1" si="192"/>
        <v>229</v>
      </c>
      <c r="AW71" s="151">
        <f t="shared" ca="1" si="192"/>
        <v>229</v>
      </c>
      <c r="AX71" s="151">
        <f t="shared" ca="1" si="192"/>
        <v>229</v>
      </c>
      <c r="AY71" s="151">
        <f t="shared" ca="1" si="192"/>
        <v>229</v>
      </c>
      <c r="AZ71" s="151">
        <f t="shared" ca="1" si="192"/>
        <v>229</v>
      </c>
      <c r="BA71" s="151">
        <f t="shared" ca="1" si="192"/>
        <v>229</v>
      </c>
      <c r="BB71" s="151">
        <f t="shared" ca="1" si="192"/>
        <v>229</v>
      </c>
      <c r="BC71" s="151">
        <f t="shared" ca="1" si="192"/>
        <v>229</v>
      </c>
      <c r="BD71" s="151">
        <f t="shared" ca="1" si="192"/>
        <v>229</v>
      </c>
      <c r="BE71" s="151">
        <f t="shared" ca="1" si="192"/>
        <v>229</v>
      </c>
      <c r="BF71" s="151">
        <f t="shared" ca="1" si="192"/>
        <v>229</v>
      </c>
      <c r="BG71" s="151">
        <f t="shared" ca="1" si="192"/>
        <v>229</v>
      </c>
      <c r="BH71" s="151">
        <f t="shared" ca="1" si="192"/>
        <v>229</v>
      </c>
      <c r="BI71" s="151">
        <f t="shared" ca="1" si="192"/>
        <v>229</v>
      </c>
      <c r="BJ71" s="151">
        <f t="shared" ca="1" si="192"/>
        <v>229</v>
      </c>
      <c r="BK71" s="151">
        <f t="shared" ca="1" si="192"/>
        <v>229</v>
      </c>
      <c r="BL71" s="151">
        <f t="shared" ca="1" si="192"/>
        <v>232</v>
      </c>
      <c r="BM71" s="151">
        <f t="shared" ca="1" si="192"/>
        <v>232</v>
      </c>
      <c r="BN71" s="151">
        <f t="shared" ca="1" si="192"/>
        <v>232</v>
      </c>
      <c r="BO71" s="151">
        <f t="shared" ca="1" si="192"/>
        <v>232</v>
      </c>
      <c r="BP71" s="151">
        <f t="shared" ca="1" si="192"/>
        <v>232</v>
      </c>
      <c r="BQ71" s="151">
        <f t="shared" ca="1" si="192"/>
        <v>232</v>
      </c>
      <c r="BR71" s="151">
        <f t="shared" ca="1" si="192"/>
        <v>232</v>
      </c>
      <c r="BS71" s="151">
        <f t="shared" ca="1" si="192"/>
        <v>232</v>
      </c>
      <c r="BT71" s="151">
        <f t="shared" ref="BT71:CY71" ca="1" si="193">BS78</f>
        <v>232</v>
      </c>
      <c r="BU71" s="151">
        <f t="shared" ca="1" si="193"/>
        <v>232</v>
      </c>
      <c r="BV71" s="151">
        <f t="shared" ca="1" si="193"/>
        <v>232</v>
      </c>
      <c r="BW71" s="151">
        <f t="shared" ca="1" si="193"/>
        <v>232</v>
      </c>
      <c r="BX71" s="151">
        <f t="shared" ca="1" si="193"/>
        <v>232</v>
      </c>
      <c r="BY71" s="151">
        <f t="shared" ca="1" si="193"/>
        <v>232</v>
      </c>
      <c r="BZ71" s="151">
        <f t="shared" ca="1" si="193"/>
        <v>232</v>
      </c>
      <c r="CA71" s="151">
        <f t="shared" ca="1" si="193"/>
        <v>232</v>
      </c>
      <c r="CB71" s="151">
        <f t="shared" ca="1" si="193"/>
        <v>232</v>
      </c>
      <c r="CC71" s="151">
        <f t="shared" ca="1" si="193"/>
        <v>232</v>
      </c>
      <c r="CD71" s="151">
        <f t="shared" ca="1" si="193"/>
        <v>232</v>
      </c>
      <c r="CE71" s="151">
        <f t="shared" ca="1" si="193"/>
        <v>232</v>
      </c>
      <c r="CF71" s="151">
        <f t="shared" ca="1" si="193"/>
        <v>232</v>
      </c>
      <c r="CG71" s="151">
        <f t="shared" ca="1" si="193"/>
        <v>232</v>
      </c>
      <c r="CH71" s="151">
        <f t="shared" ca="1" si="193"/>
        <v>232</v>
      </c>
      <c r="CI71" s="151">
        <f t="shared" ca="1" si="193"/>
        <v>232</v>
      </c>
      <c r="CJ71" s="151">
        <f t="shared" ca="1" si="193"/>
        <v>232</v>
      </c>
      <c r="CK71" s="151">
        <f t="shared" ca="1" si="193"/>
        <v>232</v>
      </c>
      <c r="CL71" s="151">
        <f t="shared" ca="1" si="193"/>
        <v>232</v>
      </c>
      <c r="CM71" s="151">
        <f t="shared" ca="1" si="193"/>
        <v>232</v>
      </c>
      <c r="CN71" s="151">
        <f t="shared" ca="1" si="193"/>
        <v>232</v>
      </c>
      <c r="CO71" s="151">
        <f t="shared" ca="1" si="193"/>
        <v>232</v>
      </c>
      <c r="CP71" s="151">
        <f t="shared" ca="1" si="193"/>
        <v>232</v>
      </c>
      <c r="CQ71" s="151">
        <f t="shared" ca="1" si="193"/>
        <v>232</v>
      </c>
      <c r="CR71" s="151">
        <f t="shared" ca="1" si="193"/>
        <v>232</v>
      </c>
      <c r="CS71" s="151">
        <f t="shared" ca="1" si="193"/>
        <v>232</v>
      </c>
      <c r="CT71" s="151">
        <f t="shared" ca="1" si="193"/>
        <v>232</v>
      </c>
      <c r="CU71" s="151">
        <f t="shared" ca="1" si="193"/>
        <v>232</v>
      </c>
      <c r="CV71" s="151">
        <f t="shared" ca="1" si="193"/>
        <v>232</v>
      </c>
      <c r="CW71" s="151">
        <f t="shared" ca="1" si="193"/>
        <v>232</v>
      </c>
      <c r="CX71" s="151">
        <f t="shared" ca="1" si="193"/>
        <v>232</v>
      </c>
      <c r="CY71" s="151">
        <f t="shared" ca="1" si="193"/>
        <v>232</v>
      </c>
      <c r="CZ71" s="151">
        <f t="shared" ref="CZ71:EE71" ca="1" si="194">CY78</f>
        <v>232</v>
      </c>
      <c r="DA71" s="151">
        <f t="shared" ca="1" si="194"/>
        <v>232</v>
      </c>
      <c r="DB71" s="151">
        <f t="shared" ca="1" si="194"/>
        <v>232</v>
      </c>
      <c r="DC71" s="151">
        <f t="shared" ca="1" si="194"/>
        <v>232</v>
      </c>
      <c r="DD71" s="151">
        <f t="shared" ca="1" si="194"/>
        <v>232</v>
      </c>
      <c r="DE71" s="151">
        <f t="shared" ca="1" si="194"/>
        <v>232</v>
      </c>
      <c r="DF71" s="151">
        <f t="shared" ca="1" si="194"/>
        <v>232</v>
      </c>
      <c r="DG71" s="151">
        <f t="shared" ca="1" si="194"/>
        <v>232</v>
      </c>
      <c r="DH71" s="151">
        <f t="shared" ca="1" si="194"/>
        <v>232</v>
      </c>
      <c r="DI71" s="151">
        <f t="shared" ca="1" si="194"/>
        <v>232</v>
      </c>
      <c r="DJ71" s="151">
        <f t="shared" ca="1" si="194"/>
        <v>232</v>
      </c>
      <c r="DK71" s="151">
        <f t="shared" ca="1" si="194"/>
        <v>232</v>
      </c>
      <c r="DL71" s="151">
        <f t="shared" ca="1" si="194"/>
        <v>232</v>
      </c>
      <c r="DM71" s="151">
        <f t="shared" ca="1" si="194"/>
        <v>232</v>
      </c>
      <c r="DN71" s="151">
        <f t="shared" ca="1" si="194"/>
        <v>232</v>
      </c>
      <c r="DO71" s="151">
        <f t="shared" ca="1" si="194"/>
        <v>232</v>
      </c>
      <c r="DP71" s="151">
        <f t="shared" ca="1" si="194"/>
        <v>232</v>
      </c>
      <c r="DQ71" s="151">
        <f t="shared" ca="1" si="194"/>
        <v>232</v>
      </c>
      <c r="DR71" s="151">
        <f t="shared" ca="1" si="194"/>
        <v>232</v>
      </c>
      <c r="DS71" s="151">
        <f t="shared" ca="1" si="194"/>
        <v>232</v>
      </c>
      <c r="DT71" s="151">
        <f t="shared" ca="1" si="194"/>
        <v>232</v>
      </c>
      <c r="DU71" s="151">
        <f t="shared" ca="1" si="194"/>
        <v>232</v>
      </c>
      <c r="DV71" s="151">
        <f t="shared" ca="1" si="194"/>
        <v>232</v>
      </c>
      <c r="DW71" s="151">
        <f t="shared" ca="1" si="194"/>
        <v>232</v>
      </c>
      <c r="DX71" s="151">
        <f t="shared" ca="1" si="194"/>
        <v>232</v>
      </c>
      <c r="DY71" s="151">
        <f t="shared" ca="1" si="194"/>
        <v>232</v>
      </c>
      <c r="DZ71" s="151">
        <f t="shared" ca="1" si="194"/>
        <v>232</v>
      </c>
      <c r="EA71" s="151">
        <f t="shared" ca="1" si="194"/>
        <v>232</v>
      </c>
      <c r="EB71" s="151">
        <f t="shared" ca="1" si="194"/>
        <v>232</v>
      </c>
      <c r="EC71" s="151">
        <f t="shared" ca="1" si="194"/>
        <v>232</v>
      </c>
      <c r="ED71" s="151">
        <f t="shared" ca="1" si="194"/>
        <v>232</v>
      </c>
      <c r="EE71" s="151">
        <f t="shared" ca="1" si="194"/>
        <v>232</v>
      </c>
      <c r="EF71" s="151">
        <f t="shared" ref="EF71:FN71" ca="1" si="195">EE78</f>
        <v>232</v>
      </c>
      <c r="EG71" s="151">
        <f t="shared" ca="1" si="195"/>
        <v>232</v>
      </c>
      <c r="EH71" s="151">
        <f t="shared" ca="1" si="195"/>
        <v>232</v>
      </c>
      <c r="EI71" s="151">
        <f t="shared" ca="1" si="195"/>
        <v>232</v>
      </c>
      <c r="EJ71" s="151">
        <f t="shared" ca="1" si="195"/>
        <v>232</v>
      </c>
      <c r="EK71" s="151">
        <f t="shared" ca="1" si="195"/>
        <v>232</v>
      </c>
      <c r="EL71" s="151">
        <f t="shared" ca="1" si="195"/>
        <v>232</v>
      </c>
      <c r="EM71" s="151">
        <f t="shared" ca="1" si="195"/>
        <v>232</v>
      </c>
      <c r="EN71" s="151">
        <f t="shared" ca="1" si="195"/>
        <v>232</v>
      </c>
      <c r="EO71" s="151">
        <f t="shared" ca="1" si="195"/>
        <v>232</v>
      </c>
      <c r="EP71" s="151">
        <f t="shared" ca="1" si="195"/>
        <v>232</v>
      </c>
      <c r="EQ71" s="151">
        <f t="shared" ca="1" si="195"/>
        <v>232</v>
      </c>
      <c r="ER71" s="151">
        <f t="shared" ca="1" si="195"/>
        <v>232</v>
      </c>
      <c r="ES71" s="151">
        <f t="shared" ca="1" si="195"/>
        <v>232</v>
      </c>
      <c r="ET71" s="151">
        <f t="shared" ca="1" si="195"/>
        <v>232</v>
      </c>
      <c r="EU71" s="151">
        <f t="shared" ca="1" si="195"/>
        <v>232</v>
      </c>
      <c r="EV71" s="151">
        <f t="shared" ca="1" si="195"/>
        <v>232</v>
      </c>
      <c r="EW71" s="151">
        <f t="shared" ca="1" si="195"/>
        <v>232</v>
      </c>
      <c r="EX71" s="151">
        <f t="shared" ca="1" si="195"/>
        <v>232</v>
      </c>
      <c r="EY71" s="151">
        <f t="shared" ca="1" si="195"/>
        <v>232</v>
      </c>
      <c r="EZ71" s="151">
        <f t="shared" ca="1" si="195"/>
        <v>232</v>
      </c>
      <c r="FA71" s="151">
        <f t="shared" ca="1" si="195"/>
        <v>232</v>
      </c>
      <c r="FB71" s="151">
        <f t="shared" ca="1" si="195"/>
        <v>232</v>
      </c>
      <c r="FC71" s="151">
        <f t="shared" ca="1" si="195"/>
        <v>232</v>
      </c>
      <c r="FD71" s="151">
        <f t="shared" ca="1" si="195"/>
        <v>232</v>
      </c>
      <c r="FE71" s="151">
        <f t="shared" ca="1" si="195"/>
        <v>232</v>
      </c>
      <c r="FF71" s="151">
        <f t="shared" ca="1" si="195"/>
        <v>232</v>
      </c>
      <c r="FG71" s="151">
        <f t="shared" ca="1" si="195"/>
        <v>232</v>
      </c>
      <c r="FH71" s="151">
        <f t="shared" ca="1" si="195"/>
        <v>232</v>
      </c>
      <c r="FI71" s="151">
        <f t="shared" ca="1" si="195"/>
        <v>232</v>
      </c>
      <c r="FJ71" s="151">
        <f t="shared" ca="1" si="195"/>
        <v>232</v>
      </c>
      <c r="FK71" s="151">
        <f t="shared" ca="1" si="195"/>
        <v>232</v>
      </c>
      <c r="FL71" s="151">
        <f t="shared" ca="1" si="195"/>
        <v>232</v>
      </c>
      <c r="FM71" s="151">
        <f t="shared" ca="1" si="195"/>
        <v>232</v>
      </c>
      <c r="FN71" s="898">
        <f t="shared" ca="1" si="195"/>
        <v>232</v>
      </c>
      <c r="FO71" s="144" t="s">
        <v>243</v>
      </c>
    </row>
    <row r="72" spans="2:171" x14ac:dyDescent="0.2">
      <c r="B72" s="1005">
        <v>44826</v>
      </c>
      <c r="D72" s="144">
        <v>0</v>
      </c>
      <c r="E72" s="144">
        <v>0</v>
      </c>
      <c r="F72" s="144">
        <v>0</v>
      </c>
      <c r="G72" s="144">
        <v>0</v>
      </c>
      <c r="H72" s="144">
        <v>0</v>
      </c>
      <c r="I72" s="144">
        <v>0</v>
      </c>
      <c r="J72" s="144">
        <v>0</v>
      </c>
      <c r="K72" s="144">
        <v>0</v>
      </c>
      <c r="L72" s="144">
        <v>0</v>
      </c>
      <c r="M72" s="144">
        <v>0</v>
      </c>
      <c r="N72" s="144">
        <v>1</v>
      </c>
      <c r="O72" s="144">
        <v>0</v>
      </c>
      <c r="Q72" s="1004">
        <f t="shared" si="187"/>
        <v>1</v>
      </c>
      <c r="AK72" s="721" t="s">
        <v>248</v>
      </c>
      <c r="AL72" s="151">
        <f>Y22</f>
        <v>10</v>
      </c>
      <c r="AM72" s="151">
        <f>AL77</f>
        <v>10</v>
      </c>
      <c r="AN72" s="151">
        <f t="shared" ref="AN72:BS72" ca="1" si="196">AM77</f>
        <v>15</v>
      </c>
      <c r="AO72" s="151">
        <f ca="1">AN77</f>
        <v>15</v>
      </c>
      <c r="AP72" s="151">
        <f t="shared" ca="1" si="196"/>
        <v>15</v>
      </c>
      <c r="AQ72" s="151">
        <f t="shared" ca="1" si="196"/>
        <v>15</v>
      </c>
      <c r="AR72" s="151">
        <f t="shared" ca="1" si="196"/>
        <v>15</v>
      </c>
      <c r="AS72" s="151">
        <f t="shared" ca="1" si="196"/>
        <v>15</v>
      </c>
      <c r="AT72" s="151">
        <f t="shared" ca="1" si="196"/>
        <v>15</v>
      </c>
      <c r="AU72" s="151">
        <f t="shared" ca="1" si="196"/>
        <v>15</v>
      </c>
      <c r="AV72" s="151">
        <f t="shared" ca="1" si="196"/>
        <v>15</v>
      </c>
      <c r="AW72" s="151">
        <f t="shared" ca="1" si="196"/>
        <v>15</v>
      </c>
      <c r="AX72" s="151">
        <f t="shared" ca="1" si="196"/>
        <v>15</v>
      </c>
      <c r="AY72" s="151">
        <f t="shared" ca="1" si="196"/>
        <v>15</v>
      </c>
      <c r="AZ72" s="151">
        <f t="shared" ca="1" si="196"/>
        <v>15</v>
      </c>
      <c r="BA72" s="151">
        <f t="shared" ca="1" si="196"/>
        <v>15</v>
      </c>
      <c r="BB72" s="151">
        <f t="shared" ca="1" si="196"/>
        <v>15</v>
      </c>
      <c r="BC72" s="151">
        <f t="shared" ca="1" si="196"/>
        <v>15</v>
      </c>
      <c r="BD72" s="151">
        <f t="shared" ca="1" si="196"/>
        <v>15</v>
      </c>
      <c r="BE72" s="151">
        <f t="shared" ca="1" si="196"/>
        <v>15</v>
      </c>
      <c r="BF72" s="151">
        <f t="shared" ca="1" si="196"/>
        <v>15</v>
      </c>
      <c r="BG72" s="151">
        <f t="shared" ca="1" si="196"/>
        <v>15</v>
      </c>
      <c r="BH72" s="151">
        <f t="shared" ca="1" si="196"/>
        <v>15</v>
      </c>
      <c r="BI72" s="151">
        <f t="shared" ca="1" si="196"/>
        <v>15</v>
      </c>
      <c r="BJ72" s="151">
        <f t="shared" ca="1" si="196"/>
        <v>15</v>
      </c>
      <c r="BK72" s="151">
        <f t="shared" ca="1" si="196"/>
        <v>15</v>
      </c>
      <c r="BL72" s="151">
        <f t="shared" ca="1" si="196"/>
        <v>12</v>
      </c>
      <c r="BM72" s="151">
        <f t="shared" ca="1" si="196"/>
        <v>12</v>
      </c>
      <c r="BN72" s="151">
        <f t="shared" ca="1" si="196"/>
        <v>12</v>
      </c>
      <c r="BO72" s="151">
        <f t="shared" ca="1" si="196"/>
        <v>12</v>
      </c>
      <c r="BP72" s="151">
        <f t="shared" ca="1" si="196"/>
        <v>12</v>
      </c>
      <c r="BQ72" s="151">
        <f t="shared" ca="1" si="196"/>
        <v>12</v>
      </c>
      <c r="BR72" s="151">
        <f t="shared" ca="1" si="196"/>
        <v>12</v>
      </c>
      <c r="BS72" s="151">
        <f t="shared" ca="1" si="196"/>
        <v>12</v>
      </c>
      <c r="BT72" s="151">
        <f t="shared" ref="BT72:CY72" ca="1" si="197">BS77</f>
        <v>12</v>
      </c>
      <c r="BU72" s="151">
        <f t="shared" ca="1" si="197"/>
        <v>12</v>
      </c>
      <c r="BV72" s="151">
        <f t="shared" ca="1" si="197"/>
        <v>12</v>
      </c>
      <c r="BW72" s="151">
        <f t="shared" ca="1" si="197"/>
        <v>12</v>
      </c>
      <c r="BX72" s="151">
        <f t="shared" ca="1" si="197"/>
        <v>12</v>
      </c>
      <c r="BY72" s="151">
        <f t="shared" ca="1" si="197"/>
        <v>12</v>
      </c>
      <c r="BZ72" s="151">
        <f t="shared" ca="1" si="197"/>
        <v>12</v>
      </c>
      <c r="CA72" s="151">
        <f t="shared" ca="1" si="197"/>
        <v>12</v>
      </c>
      <c r="CB72" s="151">
        <f t="shared" ca="1" si="197"/>
        <v>12</v>
      </c>
      <c r="CC72" s="151">
        <f t="shared" ca="1" si="197"/>
        <v>12</v>
      </c>
      <c r="CD72" s="151">
        <f t="shared" ca="1" si="197"/>
        <v>12</v>
      </c>
      <c r="CE72" s="151">
        <f t="shared" ca="1" si="197"/>
        <v>12</v>
      </c>
      <c r="CF72" s="151">
        <f t="shared" ca="1" si="197"/>
        <v>12</v>
      </c>
      <c r="CG72" s="151">
        <f t="shared" ca="1" si="197"/>
        <v>12</v>
      </c>
      <c r="CH72" s="151">
        <f t="shared" ca="1" si="197"/>
        <v>12</v>
      </c>
      <c r="CI72" s="151">
        <f t="shared" ca="1" si="197"/>
        <v>12</v>
      </c>
      <c r="CJ72" s="151">
        <f t="shared" ca="1" si="197"/>
        <v>12</v>
      </c>
      <c r="CK72" s="151">
        <f t="shared" ca="1" si="197"/>
        <v>12</v>
      </c>
      <c r="CL72" s="151">
        <f t="shared" ca="1" si="197"/>
        <v>12</v>
      </c>
      <c r="CM72" s="151">
        <f t="shared" ca="1" si="197"/>
        <v>12</v>
      </c>
      <c r="CN72" s="151">
        <f t="shared" ca="1" si="197"/>
        <v>12</v>
      </c>
      <c r="CO72" s="151">
        <f t="shared" ca="1" si="197"/>
        <v>12</v>
      </c>
      <c r="CP72" s="151">
        <f t="shared" ca="1" si="197"/>
        <v>12</v>
      </c>
      <c r="CQ72" s="151">
        <f t="shared" ca="1" si="197"/>
        <v>12</v>
      </c>
      <c r="CR72" s="151">
        <f t="shared" ca="1" si="197"/>
        <v>12</v>
      </c>
      <c r="CS72" s="151">
        <f t="shared" ca="1" si="197"/>
        <v>12</v>
      </c>
      <c r="CT72" s="151">
        <f t="shared" ca="1" si="197"/>
        <v>12</v>
      </c>
      <c r="CU72" s="151">
        <f t="shared" ca="1" si="197"/>
        <v>12</v>
      </c>
      <c r="CV72" s="151">
        <f t="shared" ca="1" si="197"/>
        <v>12</v>
      </c>
      <c r="CW72" s="151">
        <f t="shared" ca="1" si="197"/>
        <v>12</v>
      </c>
      <c r="CX72" s="151">
        <f t="shared" ca="1" si="197"/>
        <v>12</v>
      </c>
      <c r="CY72" s="151">
        <f t="shared" ca="1" si="197"/>
        <v>12</v>
      </c>
      <c r="CZ72" s="151">
        <f t="shared" ref="CZ72:EE72" ca="1" si="198">CY77</f>
        <v>12</v>
      </c>
      <c r="DA72" s="151">
        <f t="shared" ca="1" si="198"/>
        <v>12</v>
      </c>
      <c r="DB72" s="151">
        <f t="shared" ca="1" si="198"/>
        <v>12</v>
      </c>
      <c r="DC72" s="151">
        <f t="shared" ca="1" si="198"/>
        <v>12</v>
      </c>
      <c r="DD72" s="151">
        <f t="shared" ca="1" si="198"/>
        <v>12</v>
      </c>
      <c r="DE72" s="151">
        <f t="shared" ca="1" si="198"/>
        <v>12</v>
      </c>
      <c r="DF72" s="151">
        <f t="shared" ca="1" si="198"/>
        <v>12</v>
      </c>
      <c r="DG72" s="151">
        <f t="shared" ca="1" si="198"/>
        <v>12</v>
      </c>
      <c r="DH72" s="151">
        <f t="shared" ca="1" si="198"/>
        <v>12</v>
      </c>
      <c r="DI72" s="151">
        <f t="shared" ca="1" si="198"/>
        <v>12</v>
      </c>
      <c r="DJ72" s="151">
        <f t="shared" ca="1" si="198"/>
        <v>12</v>
      </c>
      <c r="DK72" s="151">
        <f t="shared" ca="1" si="198"/>
        <v>12</v>
      </c>
      <c r="DL72" s="151">
        <f t="shared" ca="1" si="198"/>
        <v>12</v>
      </c>
      <c r="DM72" s="151">
        <f t="shared" ca="1" si="198"/>
        <v>12</v>
      </c>
      <c r="DN72" s="151">
        <f t="shared" ca="1" si="198"/>
        <v>12</v>
      </c>
      <c r="DO72" s="151">
        <f t="shared" ca="1" si="198"/>
        <v>12</v>
      </c>
      <c r="DP72" s="151">
        <f t="shared" ca="1" si="198"/>
        <v>12</v>
      </c>
      <c r="DQ72" s="151">
        <f t="shared" ca="1" si="198"/>
        <v>12</v>
      </c>
      <c r="DR72" s="151">
        <f t="shared" ca="1" si="198"/>
        <v>12</v>
      </c>
      <c r="DS72" s="151">
        <f t="shared" ca="1" si="198"/>
        <v>12</v>
      </c>
      <c r="DT72" s="151">
        <f t="shared" ca="1" si="198"/>
        <v>12</v>
      </c>
      <c r="DU72" s="151">
        <f t="shared" ca="1" si="198"/>
        <v>12</v>
      </c>
      <c r="DV72" s="151">
        <f t="shared" ca="1" si="198"/>
        <v>12</v>
      </c>
      <c r="DW72" s="151">
        <f t="shared" ca="1" si="198"/>
        <v>12</v>
      </c>
      <c r="DX72" s="151">
        <f t="shared" ca="1" si="198"/>
        <v>12</v>
      </c>
      <c r="DY72" s="151">
        <f t="shared" ca="1" si="198"/>
        <v>12</v>
      </c>
      <c r="DZ72" s="151">
        <f t="shared" ca="1" si="198"/>
        <v>12</v>
      </c>
      <c r="EA72" s="151">
        <f t="shared" ca="1" si="198"/>
        <v>12</v>
      </c>
      <c r="EB72" s="151">
        <f t="shared" ca="1" si="198"/>
        <v>12</v>
      </c>
      <c r="EC72" s="151">
        <f t="shared" ca="1" si="198"/>
        <v>12</v>
      </c>
      <c r="ED72" s="151">
        <f t="shared" ca="1" si="198"/>
        <v>12</v>
      </c>
      <c r="EE72" s="151">
        <f t="shared" ca="1" si="198"/>
        <v>12</v>
      </c>
      <c r="EF72" s="151">
        <f t="shared" ref="EF72:FN72" ca="1" si="199">EE77</f>
        <v>12</v>
      </c>
      <c r="EG72" s="151">
        <f t="shared" ca="1" si="199"/>
        <v>12</v>
      </c>
      <c r="EH72" s="151">
        <f t="shared" ca="1" si="199"/>
        <v>12</v>
      </c>
      <c r="EI72" s="151">
        <f t="shared" ca="1" si="199"/>
        <v>12</v>
      </c>
      <c r="EJ72" s="151">
        <f t="shared" ca="1" si="199"/>
        <v>12</v>
      </c>
      <c r="EK72" s="151">
        <f t="shared" ca="1" si="199"/>
        <v>12</v>
      </c>
      <c r="EL72" s="151">
        <f t="shared" ca="1" si="199"/>
        <v>12</v>
      </c>
      <c r="EM72" s="151">
        <f t="shared" ca="1" si="199"/>
        <v>12</v>
      </c>
      <c r="EN72" s="151">
        <f t="shared" ca="1" si="199"/>
        <v>12</v>
      </c>
      <c r="EO72" s="151">
        <f t="shared" ca="1" si="199"/>
        <v>12</v>
      </c>
      <c r="EP72" s="151">
        <f t="shared" ca="1" si="199"/>
        <v>12</v>
      </c>
      <c r="EQ72" s="151">
        <f t="shared" ca="1" si="199"/>
        <v>12</v>
      </c>
      <c r="ER72" s="151">
        <f t="shared" ca="1" si="199"/>
        <v>12</v>
      </c>
      <c r="ES72" s="151">
        <f t="shared" ca="1" si="199"/>
        <v>12</v>
      </c>
      <c r="ET72" s="151">
        <f t="shared" ca="1" si="199"/>
        <v>12</v>
      </c>
      <c r="EU72" s="151">
        <f t="shared" ca="1" si="199"/>
        <v>12</v>
      </c>
      <c r="EV72" s="151">
        <f t="shared" ca="1" si="199"/>
        <v>12</v>
      </c>
      <c r="EW72" s="151">
        <f t="shared" ca="1" si="199"/>
        <v>12</v>
      </c>
      <c r="EX72" s="151">
        <f t="shared" ca="1" si="199"/>
        <v>12</v>
      </c>
      <c r="EY72" s="151">
        <f t="shared" ca="1" si="199"/>
        <v>12</v>
      </c>
      <c r="EZ72" s="151">
        <f t="shared" ca="1" si="199"/>
        <v>12</v>
      </c>
      <c r="FA72" s="151">
        <f t="shared" ca="1" si="199"/>
        <v>12</v>
      </c>
      <c r="FB72" s="151">
        <f t="shared" ca="1" si="199"/>
        <v>12</v>
      </c>
      <c r="FC72" s="151">
        <f t="shared" ca="1" si="199"/>
        <v>12</v>
      </c>
      <c r="FD72" s="151">
        <f t="shared" ca="1" si="199"/>
        <v>12</v>
      </c>
      <c r="FE72" s="151">
        <f t="shared" ca="1" si="199"/>
        <v>12</v>
      </c>
      <c r="FF72" s="151">
        <f t="shared" ca="1" si="199"/>
        <v>12</v>
      </c>
      <c r="FG72" s="151">
        <f t="shared" ca="1" si="199"/>
        <v>12</v>
      </c>
      <c r="FH72" s="151">
        <f t="shared" ca="1" si="199"/>
        <v>12</v>
      </c>
      <c r="FI72" s="151">
        <f t="shared" ca="1" si="199"/>
        <v>12</v>
      </c>
      <c r="FJ72" s="151">
        <f t="shared" ca="1" si="199"/>
        <v>12</v>
      </c>
      <c r="FK72" s="151">
        <f t="shared" ca="1" si="199"/>
        <v>12</v>
      </c>
      <c r="FL72" s="151">
        <f t="shared" ca="1" si="199"/>
        <v>12</v>
      </c>
      <c r="FM72" s="151">
        <f t="shared" ca="1" si="199"/>
        <v>12</v>
      </c>
      <c r="FN72" s="898">
        <f t="shared" ca="1" si="199"/>
        <v>12</v>
      </c>
      <c r="FO72" s="144" t="s">
        <v>243</v>
      </c>
    </row>
    <row r="73" spans="2:171" x14ac:dyDescent="0.2">
      <c r="B73" s="1005">
        <v>44828</v>
      </c>
      <c r="D73" s="144">
        <v>0</v>
      </c>
      <c r="E73" s="144">
        <v>0</v>
      </c>
      <c r="F73" s="144">
        <v>0</v>
      </c>
      <c r="G73" s="144">
        <v>0</v>
      </c>
      <c r="H73" s="144">
        <v>0</v>
      </c>
      <c r="I73" s="144">
        <v>0</v>
      </c>
      <c r="J73" s="144">
        <v>0</v>
      </c>
      <c r="K73" s="144">
        <v>0</v>
      </c>
      <c r="L73" s="144">
        <v>0</v>
      </c>
      <c r="M73" s="144">
        <v>1</v>
      </c>
      <c r="N73" s="144">
        <v>0</v>
      </c>
      <c r="O73" s="144">
        <v>0</v>
      </c>
      <c r="Q73" s="1004">
        <f t="shared" si="187"/>
        <v>1</v>
      </c>
      <c r="AK73" s="721" t="s">
        <v>246</v>
      </c>
      <c r="AL73" s="151">
        <f t="shared" ref="AL73:AT74" si="200">AL16</f>
        <v>15</v>
      </c>
      <c r="AM73" s="151">
        <f>AM16</f>
        <v>15</v>
      </c>
      <c r="AN73" s="151">
        <f t="shared" si="200"/>
        <v>15</v>
      </c>
      <c r="AO73" s="151">
        <f>AO16</f>
        <v>15</v>
      </c>
      <c r="AP73" s="151">
        <f t="shared" si="200"/>
        <v>15</v>
      </c>
      <c r="AQ73" s="151">
        <f t="shared" si="200"/>
        <v>15</v>
      </c>
      <c r="AR73" s="151">
        <f t="shared" si="200"/>
        <v>15</v>
      </c>
      <c r="AS73" s="151">
        <f t="shared" si="200"/>
        <v>15</v>
      </c>
      <c r="AT73" s="151">
        <f t="shared" si="200"/>
        <v>15</v>
      </c>
      <c r="AU73" s="151">
        <f t="shared" ref="AU73:BZ73" si="201">AU16</f>
        <v>15</v>
      </c>
      <c r="AV73" s="151">
        <f t="shared" si="201"/>
        <v>15</v>
      </c>
      <c r="AW73" s="151">
        <f t="shared" si="201"/>
        <v>15</v>
      </c>
      <c r="AX73" s="151">
        <f t="shared" si="201"/>
        <v>15</v>
      </c>
      <c r="AY73" s="151">
        <f t="shared" si="201"/>
        <v>15</v>
      </c>
      <c r="AZ73" s="151">
        <f t="shared" si="201"/>
        <v>15</v>
      </c>
      <c r="BA73" s="151">
        <f t="shared" si="201"/>
        <v>15</v>
      </c>
      <c r="BB73" s="151">
        <f t="shared" si="201"/>
        <v>15</v>
      </c>
      <c r="BC73" s="151">
        <f t="shared" si="201"/>
        <v>15</v>
      </c>
      <c r="BD73" s="151">
        <f t="shared" si="201"/>
        <v>15</v>
      </c>
      <c r="BE73" s="151">
        <f t="shared" si="201"/>
        <v>15</v>
      </c>
      <c r="BF73" s="151">
        <f t="shared" si="201"/>
        <v>15</v>
      </c>
      <c r="BG73" s="151">
        <f t="shared" si="201"/>
        <v>15</v>
      </c>
      <c r="BH73" s="151">
        <f t="shared" si="201"/>
        <v>15</v>
      </c>
      <c r="BI73" s="151">
        <f t="shared" si="201"/>
        <v>15</v>
      </c>
      <c r="BJ73" s="151">
        <f t="shared" si="201"/>
        <v>15</v>
      </c>
      <c r="BK73" s="151">
        <f t="shared" si="201"/>
        <v>15</v>
      </c>
      <c r="BL73" s="151">
        <f t="shared" si="201"/>
        <v>15</v>
      </c>
      <c r="BM73" s="151">
        <f t="shared" si="201"/>
        <v>15</v>
      </c>
      <c r="BN73" s="151">
        <f t="shared" si="201"/>
        <v>15</v>
      </c>
      <c r="BO73" s="151">
        <f t="shared" si="201"/>
        <v>15</v>
      </c>
      <c r="BP73" s="151">
        <f t="shared" si="201"/>
        <v>15</v>
      </c>
      <c r="BQ73" s="151">
        <f t="shared" si="201"/>
        <v>15</v>
      </c>
      <c r="BR73" s="151">
        <f t="shared" si="201"/>
        <v>15</v>
      </c>
      <c r="BS73" s="151">
        <f t="shared" si="201"/>
        <v>15</v>
      </c>
      <c r="BT73" s="151">
        <f t="shared" si="201"/>
        <v>15</v>
      </c>
      <c r="BU73" s="151">
        <f t="shared" si="201"/>
        <v>15</v>
      </c>
      <c r="BV73" s="151">
        <f t="shared" si="201"/>
        <v>15</v>
      </c>
      <c r="BW73" s="151">
        <f t="shared" si="201"/>
        <v>15</v>
      </c>
      <c r="BX73" s="151">
        <f t="shared" si="201"/>
        <v>15</v>
      </c>
      <c r="BY73" s="151">
        <f t="shared" si="201"/>
        <v>15</v>
      </c>
      <c r="BZ73" s="151">
        <f t="shared" si="201"/>
        <v>15</v>
      </c>
      <c r="CA73" s="151">
        <f t="shared" ref="CA73:DF73" si="202">CA16</f>
        <v>15</v>
      </c>
      <c r="CB73" s="151">
        <f t="shared" si="202"/>
        <v>15</v>
      </c>
      <c r="CC73" s="151">
        <f t="shared" si="202"/>
        <v>15</v>
      </c>
      <c r="CD73" s="151">
        <f t="shared" si="202"/>
        <v>15</v>
      </c>
      <c r="CE73" s="151">
        <f t="shared" si="202"/>
        <v>15</v>
      </c>
      <c r="CF73" s="151">
        <f t="shared" si="202"/>
        <v>15</v>
      </c>
      <c r="CG73" s="151">
        <f t="shared" si="202"/>
        <v>15</v>
      </c>
      <c r="CH73" s="151">
        <f t="shared" si="202"/>
        <v>15</v>
      </c>
      <c r="CI73" s="151">
        <f t="shared" si="202"/>
        <v>15</v>
      </c>
      <c r="CJ73" s="151">
        <f t="shared" si="202"/>
        <v>15</v>
      </c>
      <c r="CK73" s="151">
        <f t="shared" si="202"/>
        <v>15</v>
      </c>
      <c r="CL73" s="151">
        <f t="shared" si="202"/>
        <v>15</v>
      </c>
      <c r="CM73" s="151">
        <f t="shared" si="202"/>
        <v>15</v>
      </c>
      <c r="CN73" s="151">
        <f t="shared" si="202"/>
        <v>15</v>
      </c>
      <c r="CO73" s="151">
        <f t="shared" si="202"/>
        <v>15</v>
      </c>
      <c r="CP73" s="151">
        <f t="shared" si="202"/>
        <v>15</v>
      </c>
      <c r="CQ73" s="151">
        <f t="shared" si="202"/>
        <v>15</v>
      </c>
      <c r="CR73" s="151">
        <f t="shared" si="202"/>
        <v>15</v>
      </c>
      <c r="CS73" s="151">
        <f t="shared" si="202"/>
        <v>15</v>
      </c>
      <c r="CT73" s="151">
        <f t="shared" si="202"/>
        <v>15</v>
      </c>
      <c r="CU73" s="151">
        <f t="shared" si="202"/>
        <v>15</v>
      </c>
      <c r="CV73" s="151">
        <f t="shared" si="202"/>
        <v>15</v>
      </c>
      <c r="CW73" s="151">
        <f t="shared" si="202"/>
        <v>15</v>
      </c>
      <c r="CX73" s="151">
        <f t="shared" si="202"/>
        <v>15</v>
      </c>
      <c r="CY73" s="151">
        <f t="shared" si="202"/>
        <v>15</v>
      </c>
      <c r="CZ73" s="151">
        <f t="shared" si="202"/>
        <v>15</v>
      </c>
      <c r="DA73" s="151">
        <f t="shared" si="202"/>
        <v>15</v>
      </c>
      <c r="DB73" s="151">
        <f t="shared" si="202"/>
        <v>15</v>
      </c>
      <c r="DC73" s="151">
        <f t="shared" si="202"/>
        <v>15</v>
      </c>
      <c r="DD73" s="151">
        <f t="shared" si="202"/>
        <v>15</v>
      </c>
      <c r="DE73" s="151">
        <f t="shared" si="202"/>
        <v>15</v>
      </c>
      <c r="DF73" s="151">
        <f t="shared" si="202"/>
        <v>15</v>
      </c>
      <c r="DG73" s="151">
        <f t="shared" ref="DG73:EL73" si="203">DG16</f>
        <v>15</v>
      </c>
      <c r="DH73" s="151">
        <f t="shared" si="203"/>
        <v>15</v>
      </c>
      <c r="DI73" s="151">
        <f t="shared" si="203"/>
        <v>15</v>
      </c>
      <c r="DJ73" s="151">
        <f t="shared" si="203"/>
        <v>15</v>
      </c>
      <c r="DK73" s="151">
        <f t="shared" si="203"/>
        <v>15</v>
      </c>
      <c r="DL73" s="151">
        <f t="shared" si="203"/>
        <v>15</v>
      </c>
      <c r="DM73" s="151">
        <f t="shared" si="203"/>
        <v>15</v>
      </c>
      <c r="DN73" s="151">
        <f t="shared" si="203"/>
        <v>15</v>
      </c>
      <c r="DO73" s="151">
        <f t="shared" si="203"/>
        <v>15</v>
      </c>
      <c r="DP73" s="151">
        <f t="shared" si="203"/>
        <v>15</v>
      </c>
      <c r="DQ73" s="151">
        <f t="shared" si="203"/>
        <v>15</v>
      </c>
      <c r="DR73" s="151">
        <f t="shared" si="203"/>
        <v>15</v>
      </c>
      <c r="DS73" s="151">
        <f t="shared" si="203"/>
        <v>15</v>
      </c>
      <c r="DT73" s="151">
        <f t="shared" si="203"/>
        <v>15</v>
      </c>
      <c r="DU73" s="151">
        <f t="shared" si="203"/>
        <v>15</v>
      </c>
      <c r="DV73" s="151">
        <f t="shared" si="203"/>
        <v>15</v>
      </c>
      <c r="DW73" s="151">
        <f t="shared" si="203"/>
        <v>15</v>
      </c>
      <c r="DX73" s="151">
        <f t="shared" si="203"/>
        <v>15</v>
      </c>
      <c r="DY73" s="151">
        <f t="shared" si="203"/>
        <v>15</v>
      </c>
      <c r="DZ73" s="151">
        <f t="shared" si="203"/>
        <v>15</v>
      </c>
      <c r="EA73" s="151">
        <f t="shared" si="203"/>
        <v>15</v>
      </c>
      <c r="EB73" s="151">
        <f t="shared" si="203"/>
        <v>15</v>
      </c>
      <c r="EC73" s="151">
        <f t="shared" si="203"/>
        <v>15</v>
      </c>
      <c r="ED73" s="151">
        <f t="shared" si="203"/>
        <v>15</v>
      </c>
      <c r="EE73" s="151">
        <f t="shared" si="203"/>
        <v>15</v>
      </c>
      <c r="EF73" s="151">
        <f t="shared" si="203"/>
        <v>15</v>
      </c>
      <c r="EG73" s="151">
        <f t="shared" si="203"/>
        <v>15</v>
      </c>
      <c r="EH73" s="151">
        <f t="shared" si="203"/>
        <v>15</v>
      </c>
      <c r="EI73" s="151">
        <f t="shared" si="203"/>
        <v>15</v>
      </c>
      <c r="EJ73" s="151">
        <f t="shared" si="203"/>
        <v>15</v>
      </c>
      <c r="EK73" s="151">
        <f t="shared" si="203"/>
        <v>15</v>
      </c>
      <c r="EL73" s="151">
        <f t="shared" si="203"/>
        <v>15</v>
      </c>
      <c r="EM73" s="151">
        <f t="shared" ref="EM73:FN73" si="204">EM16</f>
        <v>15</v>
      </c>
      <c r="EN73" s="151">
        <f t="shared" si="204"/>
        <v>15</v>
      </c>
      <c r="EO73" s="151">
        <f t="shared" si="204"/>
        <v>15</v>
      </c>
      <c r="EP73" s="151">
        <f t="shared" si="204"/>
        <v>15</v>
      </c>
      <c r="EQ73" s="151">
        <f t="shared" si="204"/>
        <v>15</v>
      </c>
      <c r="ER73" s="151">
        <f t="shared" si="204"/>
        <v>15</v>
      </c>
      <c r="ES73" s="151">
        <f t="shared" si="204"/>
        <v>15</v>
      </c>
      <c r="ET73" s="151">
        <f t="shared" si="204"/>
        <v>15</v>
      </c>
      <c r="EU73" s="151">
        <f t="shared" si="204"/>
        <v>15</v>
      </c>
      <c r="EV73" s="151">
        <f t="shared" si="204"/>
        <v>15</v>
      </c>
      <c r="EW73" s="151">
        <f t="shared" si="204"/>
        <v>15</v>
      </c>
      <c r="EX73" s="151">
        <f t="shared" si="204"/>
        <v>15</v>
      </c>
      <c r="EY73" s="151">
        <f t="shared" si="204"/>
        <v>15</v>
      </c>
      <c r="EZ73" s="151">
        <f t="shared" si="204"/>
        <v>15</v>
      </c>
      <c r="FA73" s="151">
        <f t="shared" si="204"/>
        <v>15</v>
      </c>
      <c r="FB73" s="151">
        <f t="shared" si="204"/>
        <v>15</v>
      </c>
      <c r="FC73" s="151">
        <f t="shared" si="204"/>
        <v>15</v>
      </c>
      <c r="FD73" s="151">
        <f t="shared" si="204"/>
        <v>15</v>
      </c>
      <c r="FE73" s="151">
        <f t="shared" si="204"/>
        <v>15</v>
      </c>
      <c r="FF73" s="151">
        <f t="shared" si="204"/>
        <v>15</v>
      </c>
      <c r="FG73" s="151">
        <f t="shared" si="204"/>
        <v>15</v>
      </c>
      <c r="FH73" s="151">
        <f t="shared" si="204"/>
        <v>15</v>
      </c>
      <c r="FI73" s="151">
        <f t="shared" si="204"/>
        <v>15</v>
      </c>
      <c r="FJ73" s="151">
        <f t="shared" si="204"/>
        <v>15</v>
      </c>
      <c r="FK73" s="151">
        <f t="shared" si="204"/>
        <v>15</v>
      </c>
      <c r="FL73" s="151">
        <f t="shared" si="204"/>
        <v>15</v>
      </c>
      <c r="FM73" s="151">
        <f t="shared" si="204"/>
        <v>15</v>
      </c>
      <c r="FN73" s="898">
        <f t="shared" si="204"/>
        <v>15</v>
      </c>
      <c r="FO73" s="144" t="s">
        <v>243</v>
      </c>
    </row>
    <row r="74" spans="2:171" x14ac:dyDescent="0.2">
      <c r="B74" s="1005">
        <v>44830</v>
      </c>
      <c r="D74" s="144">
        <v>1</v>
      </c>
      <c r="E74" s="144">
        <v>0</v>
      </c>
      <c r="F74" s="144">
        <v>0</v>
      </c>
      <c r="G74" s="144">
        <v>0</v>
      </c>
      <c r="H74" s="144">
        <v>0</v>
      </c>
      <c r="I74" s="144">
        <v>0</v>
      </c>
      <c r="J74" s="144">
        <v>0</v>
      </c>
      <c r="K74" s="144">
        <v>0</v>
      </c>
      <c r="L74" s="144">
        <v>0</v>
      </c>
      <c r="M74" s="144">
        <v>0</v>
      </c>
      <c r="N74" s="144">
        <v>0</v>
      </c>
      <c r="O74" s="144">
        <v>0</v>
      </c>
      <c r="Q74" s="1004">
        <f t="shared" si="187"/>
        <v>1</v>
      </c>
      <c r="AK74" s="721" t="s">
        <v>320</v>
      </c>
      <c r="AL74" s="151">
        <f t="shared" si="200"/>
        <v>15</v>
      </c>
      <c r="AM74" s="151">
        <f t="shared" si="200"/>
        <v>6</v>
      </c>
      <c r="AN74" s="151">
        <f t="shared" si="200"/>
        <v>6</v>
      </c>
      <c r="AO74" s="151">
        <f t="shared" si="200"/>
        <v>6</v>
      </c>
      <c r="AP74" s="151">
        <f t="shared" si="200"/>
        <v>6</v>
      </c>
      <c r="AQ74" s="151">
        <f t="shared" si="200"/>
        <v>6</v>
      </c>
      <c r="AR74" s="151">
        <f t="shared" si="200"/>
        <v>6</v>
      </c>
      <c r="AS74" s="151">
        <f t="shared" si="200"/>
        <v>6</v>
      </c>
      <c r="AT74" s="151">
        <f t="shared" si="200"/>
        <v>6</v>
      </c>
      <c r="AU74" s="151">
        <f t="shared" ref="AU74:BZ74" si="205">AU17</f>
        <v>6</v>
      </c>
      <c r="AV74" s="151">
        <f t="shared" si="205"/>
        <v>6</v>
      </c>
      <c r="AW74" s="151">
        <f t="shared" si="205"/>
        <v>6</v>
      </c>
      <c r="AX74" s="151">
        <f t="shared" si="205"/>
        <v>6</v>
      </c>
      <c r="AY74" s="151">
        <f t="shared" si="205"/>
        <v>5</v>
      </c>
      <c r="AZ74" s="151">
        <f t="shared" si="205"/>
        <v>5</v>
      </c>
      <c r="BA74" s="151">
        <f t="shared" si="205"/>
        <v>5</v>
      </c>
      <c r="BB74" s="151">
        <f t="shared" si="205"/>
        <v>5</v>
      </c>
      <c r="BC74" s="151">
        <f t="shared" si="205"/>
        <v>5</v>
      </c>
      <c r="BD74" s="151">
        <f t="shared" si="205"/>
        <v>5</v>
      </c>
      <c r="BE74" s="151">
        <f t="shared" si="205"/>
        <v>5</v>
      </c>
      <c r="BF74" s="151">
        <f t="shared" si="205"/>
        <v>5</v>
      </c>
      <c r="BG74" s="151">
        <f t="shared" si="205"/>
        <v>5</v>
      </c>
      <c r="BH74" s="151">
        <f t="shared" si="205"/>
        <v>5</v>
      </c>
      <c r="BI74" s="151">
        <f t="shared" si="205"/>
        <v>5</v>
      </c>
      <c r="BJ74" s="151">
        <f t="shared" si="205"/>
        <v>5</v>
      </c>
      <c r="BK74" s="151">
        <f t="shared" si="205"/>
        <v>6</v>
      </c>
      <c r="BL74" s="151">
        <f t="shared" si="205"/>
        <v>6</v>
      </c>
      <c r="BM74" s="151">
        <f t="shared" si="205"/>
        <v>6</v>
      </c>
      <c r="BN74" s="151">
        <f t="shared" si="205"/>
        <v>6</v>
      </c>
      <c r="BO74" s="151">
        <f t="shared" si="205"/>
        <v>6</v>
      </c>
      <c r="BP74" s="151">
        <f t="shared" si="205"/>
        <v>6</v>
      </c>
      <c r="BQ74" s="151">
        <f t="shared" si="205"/>
        <v>6</v>
      </c>
      <c r="BR74" s="151">
        <f t="shared" si="205"/>
        <v>6</v>
      </c>
      <c r="BS74" s="151">
        <f t="shared" si="205"/>
        <v>6</v>
      </c>
      <c r="BT74" s="151">
        <f t="shared" si="205"/>
        <v>6</v>
      </c>
      <c r="BU74" s="151">
        <f t="shared" si="205"/>
        <v>6</v>
      </c>
      <c r="BV74" s="151">
        <f t="shared" si="205"/>
        <v>6</v>
      </c>
      <c r="BW74" s="151">
        <f t="shared" si="205"/>
        <v>6</v>
      </c>
      <c r="BX74" s="151">
        <f t="shared" si="205"/>
        <v>6</v>
      </c>
      <c r="BY74" s="151">
        <f t="shared" si="205"/>
        <v>6</v>
      </c>
      <c r="BZ74" s="151">
        <f t="shared" si="205"/>
        <v>6</v>
      </c>
      <c r="CA74" s="151">
        <f t="shared" ref="CA74:DF74" si="206">CA17</f>
        <v>6</v>
      </c>
      <c r="CB74" s="151">
        <f t="shared" si="206"/>
        <v>6</v>
      </c>
      <c r="CC74" s="151">
        <f t="shared" si="206"/>
        <v>6</v>
      </c>
      <c r="CD74" s="151">
        <f t="shared" si="206"/>
        <v>6</v>
      </c>
      <c r="CE74" s="151">
        <f t="shared" si="206"/>
        <v>6</v>
      </c>
      <c r="CF74" s="151">
        <f t="shared" si="206"/>
        <v>6</v>
      </c>
      <c r="CG74" s="151">
        <f t="shared" si="206"/>
        <v>6</v>
      </c>
      <c r="CH74" s="151">
        <f t="shared" si="206"/>
        <v>6</v>
      </c>
      <c r="CI74" s="151">
        <f t="shared" si="206"/>
        <v>6</v>
      </c>
      <c r="CJ74" s="151">
        <f t="shared" si="206"/>
        <v>6</v>
      </c>
      <c r="CK74" s="151">
        <f t="shared" si="206"/>
        <v>6</v>
      </c>
      <c r="CL74" s="151">
        <f t="shared" si="206"/>
        <v>6</v>
      </c>
      <c r="CM74" s="151">
        <f t="shared" si="206"/>
        <v>6</v>
      </c>
      <c r="CN74" s="151">
        <f t="shared" si="206"/>
        <v>6</v>
      </c>
      <c r="CO74" s="151">
        <f t="shared" si="206"/>
        <v>6</v>
      </c>
      <c r="CP74" s="151">
        <f t="shared" si="206"/>
        <v>6</v>
      </c>
      <c r="CQ74" s="151">
        <f t="shared" si="206"/>
        <v>6</v>
      </c>
      <c r="CR74" s="151">
        <f t="shared" si="206"/>
        <v>6</v>
      </c>
      <c r="CS74" s="151">
        <f t="shared" si="206"/>
        <v>6</v>
      </c>
      <c r="CT74" s="151">
        <f t="shared" si="206"/>
        <v>6</v>
      </c>
      <c r="CU74" s="151">
        <f t="shared" si="206"/>
        <v>6</v>
      </c>
      <c r="CV74" s="151">
        <f t="shared" si="206"/>
        <v>6</v>
      </c>
      <c r="CW74" s="151">
        <f t="shared" si="206"/>
        <v>6</v>
      </c>
      <c r="CX74" s="151">
        <f t="shared" si="206"/>
        <v>6</v>
      </c>
      <c r="CY74" s="151">
        <f t="shared" si="206"/>
        <v>6</v>
      </c>
      <c r="CZ74" s="151">
        <f t="shared" si="206"/>
        <v>6</v>
      </c>
      <c r="DA74" s="151">
        <f t="shared" si="206"/>
        <v>6</v>
      </c>
      <c r="DB74" s="151">
        <f t="shared" si="206"/>
        <v>6</v>
      </c>
      <c r="DC74" s="151">
        <f t="shared" si="206"/>
        <v>6</v>
      </c>
      <c r="DD74" s="151">
        <f t="shared" si="206"/>
        <v>6</v>
      </c>
      <c r="DE74" s="151">
        <f t="shared" si="206"/>
        <v>6</v>
      </c>
      <c r="DF74" s="151">
        <f t="shared" si="206"/>
        <v>6</v>
      </c>
      <c r="DG74" s="151">
        <f t="shared" ref="DG74:EL74" si="207">DG17</f>
        <v>6</v>
      </c>
      <c r="DH74" s="151">
        <f t="shared" si="207"/>
        <v>6</v>
      </c>
      <c r="DI74" s="151">
        <f t="shared" si="207"/>
        <v>6</v>
      </c>
      <c r="DJ74" s="151">
        <f t="shared" si="207"/>
        <v>6</v>
      </c>
      <c r="DK74" s="151">
        <f t="shared" si="207"/>
        <v>6</v>
      </c>
      <c r="DL74" s="151">
        <f t="shared" si="207"/>
        <v>6</v>
      </c>
      <c r="DM74" s="151">
        <f t="shared" si="207"/>
        <v>6</v>
      </c>
      <c r="DN74" s="151">
        <f t="shared" si="207"/>
        <v>6</v>
      </c>
      <c r="DO74" s="151">
        <f t="shared" si="207"/>
        <v>6</v>
      </c>
      <c r="DP74" s="151">
        <f t="shared" si="207"/>
        <v>6</v>
      </c>
      <c r="DQ74" s="151">
        <f t="shared" si="207"/>
        <v>6</v>
      </c>
      <c r="DR74" s="151">
        <f t="shared" si="207"/>
        <v>6</v>
      </c>
      <c r="DS74" s="151">
        <f t="shared" si="207"/>
        <v>6</v>
      </c>
      <c r="DT74" s="151">
        <f t="shared" si="207"/>
        <v>6</v>
      </c>
      <c r="DU74" s="151">
        <f t="shared" si="207"/>
        <v>6</v>
      </c>
      <c r="DV74" s="151">
        <f t="shared" si="207"/>
        <v>6</v>
      </c>
      <c r="DW74" s="151">
        <f t="shared" si="207"/>
        <v>6</v>
      </c>
      <c r="DX74" s="151">
        <f t="shared" si="207"/>
        <v>6</v>
      </c>
      <c r="DY74" s="151">
        <f t="shared" si="207"/>
        <v>6</v>
      </c>
      <c r="DZ74" s="151">
        <f t="shared" si="207"/>
        <v>6</v>
      </c>
      <c r="EA74" s="151">
        <f t="shared" si="207"/>
        <v>6</v>
      </c>
      <c r="EB74" s="151">
        <f t="shared" si="207"/>
        <v>6</v>
      </c>
      <c r="EC74" s="151">
        <f t="shared" si="207"/>
        <v>6</v>
      </c>
      <c r="ED74" s="151">
        <f t="shared" si="207"/>
        <v>6</v>
      </c>
      <c r="EE74" s="151">
        <f t="shared" si="207"/>
        <v>6</v>
      </c>
      <c r="EF74" s="151">
        <f t="shared" si="207"/>
        <v>6</v>
      </c>
      <c r="EG74" s="151">
        <f t="shared" si="207"/>
        <v>6</v>
      </c>
      <c r="EH74" s="151">
        <f t="shared" si="207"/>
        <v>6</v>
      </c>
      <c r="EI74" s="151">
        <f t="shared" si="207"/>
        <v>6</v>
      </c>
      <c r="EJ74" s="151">
        <f t="shared" si="207"/>
        <v>6</v>
      </c>
      <c r="EK74" s="151">
        <f t="shared" si="207"/>
        <v>6</v>
      </c>
      <c r="EL74" s="151">
        <f t="shared" si="207"/>
        <v>6</v>
      </c>
      <c r="EM74" s="151">
        <f t="shared" ref="EM74:FN74" si="208">EM17</f>
        <v>6</v>
      </c>
      <c r="EN74" s="151">
        <f t="shared" si="208"/>
        <v>6</v>
      </c>
      <c r="EO74" s="151">
        <f t="shared" si="208"/>
        <v>6</v>
      </c>
      <c r="EP74" s="151">
        <f t="shared" si="208"/>
        <v>6</v>
      </c>
      <c r="EQ74" s="151">
        <f t="shared" si="208"/>
        <v>6</v>
      </c>
      <c r="ER74" s="151">
        <f t="shared" si="208"/>
        <v>6</v>
      </c>
      <c r="ES74" s="151">
        <f t="shared" si="208"/>
        <v>6</v>
      </c>
      <c r="ET74" s="151">
        <f t="shared" si="208"/>
        <v>6</v>
      </c>
      <c r="EU74" s="151">
        <f t="shared" si="208"/>
        <v>6</v>
      </c>
      <c r="EV74" s="151">
        <f t="shared" si="208"/>
        <v>6</v>
      </c>
      <c r="EW74" s="151">
        <f t="shared" si="208"/>
        <v>6</v>
      </c>
      <c r="EX74" s="151">
        <f t="shared" si="208"/>
        <v>6</v>
      </c>
      <c r="EY74" s="151">
        <f t="shared" si="208"/>
        <v>6</v>
      </c>
      <c r="EZ74" s="151">
        <f t="shared" si="208"/>
        <v>6</v>
      </c>
      <c r="FA74" s="151">
        <f t="shared" si="208"/>
        <v>6</v>
      </c>
      <c r="FB74" s="151">
        <f t="shared" si="208"/>
        <v>6</v>
      </c>
      <c r="FC74" s="151">
        <f t="shared" si="208"/>
        <v>6</v>
      </c>
      <c r="FD74" s="151">
        <f t="shared" si="208"/>
        <v>6</v>
      </c>
      <c r="FE74" s="151">
        <f t="shared" si="208"/>
        <v>6</v>
      </c>
      <c r="FF74" s="151">
        <f t="shared" si="208"/>
        <v>6</v>
      </c>
      <c r="FG74" s="151">
        <f t="shared" si="208"/>
        <v>6</v>
      </c>
      <c r="FH74" s="151">
        <f t="shared" si="208"/>
        <v>6</v>
      </c>
      <c r="FI74" s="151">
        <f t="shared" si="208"/>
        <v>6</v>
      </c>
      <c r="FJ74" s="151">
        <f t="shared" si="208"/>
        <v>6</v>
      </c>
      <c r="FK74" s="151">
        <f t="shared" si="208"/>
        <v>6</v>
      </c>
      <c r="FL74" s="151">
        <f t="shared" si="208"/>
        <v>6</v>
      </c>
      <c r="FM74" s="151">
        <f t="shared" si="208"/>
        <v>6</v>
      </c>
      <c r="FN74" s="898">
        <f t="shared" si="208"/>
        <v>6</v>
      </c>
      <c r="FO74" s="144" t="s">
        <v>243</v>
      </c>
    </row>
    <row r="75" spans="2:171" x14ac:dyDescent="0.2">
      <c r="B75" s="1005">
        <v>44831</v>
      </c>
      <c r="D75" s="144">
        <v>0</v>
      </c>
      <c r="E75" s="144">
        <v>0</v>
      </c>
      <c r="F75" s="144">
        <v>0</v>
      </c>
      <c r="G75" s="144">
        <v>0</v>
      </c>
      <c r="H75" s="144">
        <v>0</v>
      </c>
      <c r="I75" s="144">
        <v>0</v>
      </c>
      <c r="J75" s="144">
        <v>0</v>
      </c>
      <c r="K75" s="144">
        <v>0</v>
      </c>
      <c r="L75" s="144">
        <v>0</v>
      </c>
      <c r="M75" s="144">
        <v>0</v>
      </c>
      <c r="N75" s="144">
        <v>1</v>
      </c>
      <c r="O75" s="144">
        <v>0</v>
      </c>
      <c r="Q75" s="1004">
        <f t="shared" si="187"/>
        <v>1</v>
      </c>
      <c r="AK75" s="721" t="s">
        <v>321</v>
      </c>
      <c r="AL75" s="151">
        <f>AL73-AL74</f>
        <v>0</v>
      </c>
      <c r="AM75" s="151">
        <f>AM73-AM74</f>
        <v>9</v>
      </c>
      <c r="AN75" s="151">
        <f>AN73-AN74</f>
        <v>9</v>
      </c>
      <c r="AO75" s="151">
        <f>AO73-AO74</f>
        <v>9</v>
      </c>
      <c r="AP75" s="151">
        <f t="shared" ref="AP75:AX75" si="209">AP73-AP74</f>
        <v>9</v>
      </c>
      <c r="AQ75" s="151">
        <f>AQ73-AQ74</f>
        <v>9</v>
      </c>
      <c r="AR75" s="151">
        <f t="shared" si="209"/>
        <v>9</v>
      </c>
      <c r="AS75" s="151">
        <f t="shared" si="209"/>
        <v>9</v>
      </c>
      <c r="AT75" s="151">
        <f t="shared" si="209"/>
        <v>9</v>
      </c>
      <c r="AU75" s="151">
        <f t="shared" si="209"/>
        <v>9</v>
      </c>
      <c r="AV75" s="151">
        <f t="shared" si="209"/>
        <v>9</v>
      </c>
      <c r="AW75" s="151">
        <f t="shared" si="209"/>
        <v>9</v>
      </c>
      <c r="AX75" s="151">
        <f t="shared" si="209"/>
        <v>9</v>
      </c>
      <c r="AY75" s="151">
        <f t="shared" ref="AY75:CD75" si="210">AY73-AY74</f>
        <v>10</v>
      </c>
      <c r="AZ75" s="151">
        <f t="shared" si="210"/>
        <v>10</v>
      </c>
      <c r="BA75" s="151">
        <f t="shared" si="210"/>
        <v>10</v>
      </c>
      <c r="BB75" s="151">
        <f t="shared" si="210"/>
        <v>10</v>
      </c>
      <c r="BC75" s="151">
        <f t="shared" si="210"/>
        <v>10</v>
      </c>
      <c r="BD75" s="151">
        <f t="shared" si="210"/>
        <v>10</v>
      </c>
      <c r="BE75" s="151">
        <f t="shared" si="210"/>
        <v>10</v>
      </c>
      <c r="BF75" s="151">
        <f t="shared" si="210"/>
        <v>10</v>
      </c>
      <c r="BG75" s="151">
        <f t="shared" si="210"/>
        <v>10</v>
      </c>
      <c r="BH75" s="151">
        <f t="shared" si="210"/>
        <v>10</v>
      </c>
      <c r="BI75" s="151">
        <f t="shared" si="210"/>
        <v>10</v>
      </c>
      <c r="BJ75" s="151">
        <f t="shared" si="210"/>
        <v>10</v>
      </c>
      <c r="BK75" s="151">
        <f t="shared" si="210"/>
        <v>9</v>
      </c>
      <c r="BL75" s="151">
        <f t="shared" si="210"/>
        <v>9</v>
      </c>
      <c r="BM75" s="151">
        <f t="shared" si="210"/>
        <v>9</v>
      </c>
      <c r="BN75" s="151">
        <f t="shared" si="210"/>
        <v>9</v>
      </c>
      <c r="BO75" s="151">
        <f t="shared" si="210"/>
        <v>9</v>
      </c>
      <c r="BP75" s="151">
        <f t="shared" si="210"/>
        <v>9</v>
      </c>
      <c r="BQ75" s="151">
        <f t="shared" si="210"/>
        <v>9</v>
      </c>
      <c r="BR75" s="151">
        <f t="shared" si="210"/>
        <v>9</v>
      </c>
      <c r="BS75" s="151">
        <f t="shared" si="210"/>
        <v>9</v>
      </c>
      <c r="BT75" s="151">
        <f t="shared" si="210"/>
        <v>9</v>
      </c>
      <c r="BU75" s="151">
        <f t="shared" si="210"/>
        <v>9</v>
      </c>
      <c r="BV75" s="151">
        <f t="shared" si="210"/>
        <v>9</v>
      </c>
      <c r="BW75" s="151">
        <f t="shared" si="210"/>
        <v>9</v>
      </c>
      <c r="BX75" s="151">
        <f t="shared" si="210"/>
        <v>9</v>
      </c>
      <c r="BY75" s="151">
        <f t="shared" si="210"/>
        <v>9</v>
      </c>
      <c r="BZ75" s="151">
        <f t="shared" si="210"/>
        <v>9</v>
      </c>
      <c r="CA75" s="151">
        <f t="shared" si="210"/>
        <v>9</v>
      </c>
      <c r="CB75" s="151">
        <f t="shared" si="210"/>
        <v>9</v>
      </c>
      <c r="CC75" s="151">
        <f t="shared" si="210"/>
        <v>9</v>
      </c>
      <c r="CD75" s="151">
        <f t="shared" si="210"/>
        <v>9</v>
      </c>
      <c r="CE75" s="151">
        <f t="shared" ref="CE75:DJ75" si="211">CE73-CE74</f>
        <v>9</v>
      </c>
      <c r="CF75" s="151">
        <f t="shared" si="211"/>
        <v>9</v>
      </c>
      <c r="CG75" s="151">
        <f t="shared" si="211"/>
        <v>9</v>
      </c>
      <c r="CH75" s="151">
        <f t="shared" si="211"/>
        <v>9</v>
      </c>
      <c r="CI75" s="151">
        <f t="shared" si="211"/>
        <v>9</v>
      </c>
      <c r="CJ75" s="151">
        <f t="shared" si="211"/>
        <v>9</v>
      </c>
      <c r="CK75" s="151">
        <f t="shared" si="211"/>
        <v>9</v>
      </c>
      <c r="CL75" s="151">
        <f t="shared" si="211"/>
        <v>9</v>
      </c>
      <c r="CM75" s="151">
        <f t="shared" si="211"/>
        <v>9</v>
      </c>
      <c r="CN75" s="151">
        <f t="shared" si="211"/>
        <v>9</v>
      </c>
      <c r="CO75" s="151">
        <f t="shared" si="211"/>
        <v>9</v>
      </c>
      <c r="CP75" s="151">
        <f t="shared" si="211"/>
        <v>9</v>
      </c>
      <c r="CQ75" s="151">
        <f t="shared" si="211"/>
        <v>9</v>
      </c>
      <c r="CR75" s="151">
        <f t="shared" si="211"/>
        <v>9</v>
      </c>
      <c r="CS75" s="151">
        <f t="shared" si="211"/>
        <v>9</v>
      </c>
      <c r="CT75" s="151">
        <f t="shared" si="211"/>
        <v>9</v>
      </c>
      <c r="CU75" s="151">
        <f t="shared" si="211"/>
        <v>9</v>
      </c>
      <c r="CV75" s="151">
        <f t="shared" si="211"/>
        <v>9</v>
      </c>
      <c r="CW75" s="151">
        <f t="shared" si="211"/>
        <v>9</v>
      </c>
      <c r="CX75" s="151">
        <f t="shared" si="211"/>
        <v>9</v>
      </c>
      <c r="CY75" s="151">
        <f t="shared" si="211"/>
        <v>9</v>
      </c>
      <c r="CZ75" s="151">
        <f t="shared" si="211"/>
        <v>9</v>
      </c>
      <c r="DA75" s="151">
        <f t="shared" si="211"/>
        <v>9</v>
      </c>
      <c r="DB75" s="151">
        <f t="shared" si="211"/>
        <v>9</v>
      </c>
      <c r="DC75" s="151">
        <f t="shared" si="211"/>
        <v>9</v>
      </c>
      <c r="DD75" s="151">
        <f t="shared" si="211"/>
        <v>9</v>
      </c>
      <c r="DE75" s="151">
        <f t="shared" si="211"/>
        <v>9</v>
      </c>
      <c r="DF75" s="151">
        <f t="shared" si="211"/>
        <v>9</v>
      </c>
      <c r="DG75" s="151">
        <f t="shared" si="211"/>
        <v>9</v>
      </c>
      <c r="DH75" s="151">
        <f t="shared" si="211"/>
        <v>9</v>
      </c>
      <c r="DI75" s="151">
        <f t="shared" si="211"/>
        <v>9</v>
      </c>
      <c r="DJ75" s="151">
        <f t="shared" si="211"/>
        <v>9</v>
      </c>
      <c r="DK75" s="151">
        <f t="shared" ref="DK75:EP75" si="212">DK73-DK74</f>
        <v>9</v>
      </c>
      <c r="DL75" s="151">
        <f t="shared" si="212"/>
        <v>9</v>
      </c>
      <c r="DM75" s="151">
        <f t="shared" si="212"/>
        <v>9</v>
      </c>
      <c r="DN75" s="151">
        <f t="shared" si="212"/>
        <v>9</v>
      </c>
      <c r="DO75" s="151">
        <f t="shared" si="212"/>
        <v>9</v>
      </c>
      <c r="DP75" s="151">
        <f t="shared" si="212"/>
        <v>9</v>
      </c>
      <c r="DQ75" s="151">
        <f t="shared" si="212"/>
        <v>9</v>
      </c>
      <c r="DR75" s="151">
        <f t="shared" si="212"/>
        <v>9</v>
      </c>
      <c r="DS75" s="151">
        <f t="shared" si="212"/>
        <v>9</v>
      </c>
      <c r="DT75" s="151">
        <f t="shared" si="212"/>
        <v>9</v>
      </c>
      <c r="DU75" s="151">
        <f t="shared" si="212"/>
        <v>9</v>
      </c>
      <c r="DV75" s="151">
        <f t="shared" si="212"/>
        <v>9</v>
      </c>
      <c r="DW75" s="151">
        <f t="shared" si="212"/>
        <v>9</v>
      </c>
      <c r="DX75" s="151">
        <f t="shared" si="212"/>
        <v>9</v>
      </c>
      <c r="DY75" s="151">
        <f t="shared" si="212"/>
        <v>9</v>
      </c>
      <c r="DZ75" s="151">
        <f t="shared" si="212"/>
        <v>9</v>
      </c>
      <c r="EA75" s="151">
        <f t="shared" si="212"/>
        <v>9</v>
      </c>
      <c r="EB75" s="151">
        <f t="shared" si="212"/>
        <v>9</v>
      </c>
      <c r="EC75" s="151">
        <f t="shared" si="212"/>
        <v>9</v>
      </c>
      <c r="ED75" s="151">
        <f t="shared" si="212"/>
        <v>9</v>
      </c>
      <c r="EE75" s="151">
        <f t="shared" si="212"/>
        <v>9</v>
      </c>
      <c r="EF75" s="151">
        <f t="shared" si="212"/>
        <v>9</v>
      </c>
      <c r="EG75" s="151">
        <f t="shared" si="212"/>
        <v>9</v>
      </c>
      <c r="EH75" s="151">
        <f t="shared" si="212"/>
        <v>9</v>
      </c>
      <c r="EI75" s="151">
        <f t="shared" si="212"/>
        <v>9</v>
      </c>
      <c r="EJ75" s="151">
        <f t="shared" si="212"/>
        <v>9</v>
      </c>
      <c r="EK75" s="151">
        <f t="shared" si="212"/>
        <v>9</v>
      </c>
      <c r="EL75" s="151">
        <f t="shared" si="212"/>
        <v>9</v>
      </c>
      <c r="EM75" s="151">
        <f t="shared" si="212"/>
        <v>9</v>
      </c>
      <c r="EN75" s="151">
        <f t="shared" si="212"/>
        <v>9</v>
      </c>
      <c r="EO75" s="151">
        <f t="shared" si="212"/>
        <v>9</v>
      </c>
      <c r="EP75" s="151">
        <f t="shared" si="212"/>
        <v>9</v>
      </c>
      <c r="EQ75" s="151">
        <f t="shared" ref="EQ75:FN75" si="213">EQ73-EQ74</f>
        <v>9</v>
      </c>
      <c r="ER75" s="151">
        <f t="shared" si="213"/>
        <v>9</v>
      </c>
      <c r="ES75" s="151">
        <f t="shared" si="213"/>
        <v>9</v>
      </c>
      <c r="ET75" s="151">
        <f t="shared" si="213"/>
        <v>9</v>
      </c>
      <c r="EU75" s="151">
        <f t="shared" si="213"/>
        <v>9</v>
      </c>
      <c r="EV75" s="151">
        <f t="shared" si="213"/>
        <v>9</v>
      </c>
      <c r="EW75" s="151">
        <f t="shared" si="213"/>
        <v>9</v>
      </c>
      <c r="EX75" s="151">
        <f t="shared" si="213"/>
        <v>9</v>
      </c>
      <c r="EY75" s="151">
        <f t="shared" si="213"/>
        <v>9</v>
      </c>
      <c r="EZ75" s="151">
        <f t="shared" si="213"/>
        <v>9</v>
      </c>
      <c r="FA75" s="151">
        <f t="shared" si="213"/>
        <v>9</v>
      </c>
      <c r="FB75" s="151">
        <f t="shared" si="213"/>
        <v>9</v>
      </c>
      <c r="FC75" s="151">
        <f t="shared" si="213"/>
        <v>9</v>
      </c>
      <c r="FD75" s="151">
        <f t="shared" si="213"/>
        <v>9</v>
      </c>
      <c r="FE75" s="151">
        <f t="shared" si="213"/>
        <v>9</v>
      </c>
      <c r="FF75" s="151">
        <f t="shared" si="213"/>
        <v>9</v>
      </c>
      <c r="FG75" s="151">
        <f t="shared" si="213"/>
        <v>9</v>
      </c>
      <c r="FH75" s="151">
        <f t="shared" si="213"/>
        <v>9</v>
      </c>
      <c r="FI75" s="151">
        <f t="shared" si="213"/>
        <v>9</v>
      </c>
      <c r="FJ75" s="151">
        <f t="shared" si="213"/>
        <v>9</v>
      </c>
      <c r="FK75" s="151">
        <f t="shared" si="213"/>
        <v>9</v>
      </c>
      <c r="FL75" s="151">
        <f t="shared" si="213"/>
        <v>9</v>
      </c>
      <c r="FM75" s="151">
        <f t="shared" si="213"/>
        <v>9</v>
      </c>
      <c r="FN75" s="898">
        <f t="shared" si="213"/>
        <v>9</v>
      </c>
      <c r="FO75" s="144" t="s">
        <v>243</v>
      </c>
    </row>
    <row r="76" spans="2:171" x14ac:dyDescent="0.2">
      <c r="B76" s="1005">
        <v>44832</v>
      </c>
      <c r="D76" s="144">
        <v>1</v>
      </c>
      <c r="E76" s="144">
        <v>0</v>
      </c>
      <c r="F76" s="144">
        <v>0</v>
      </c>
      <c r="G76" s="144">
        <v>0</v>
      </c>
      <c r="H76" s="144">
        <v>0</v>
      </c>
      <c r="I76" s="144">
        <v>0</v>
      </c>
      <c r="J76" s="144">
        <v>0</v>
      </c>
      <c r="K76" s="144">
        <v>0</v>
      </c>
      <c r="L76" s="144">
        <v>0</v>
      </c>
      <c r="M76" s="144">
        <v>0</v>
      </c>
      <c r="N76" s="144">
        <v>0</v>
      </c>
      <c r="O76" s="144">
        <v>0</v>
      </c>
      <c r="Q76" s="1004">
        <f>SUM(D76:O76)</f>
        <v>1</v>
      </c>
      <c r="AK76" s="721" t="s">
        <v>365</v>
      </c>
      <c r="AL76" s="151">
        <f>AL56+AL46</f>
        <v>0</v>
      </c>
      <c r="AM76" s="151">
        <f ca="1">AM56+AM46</f>
        <v>4</v>
      </c>
      <c r="AN76" s="151">
        <f t="shared" ref="AN76:BR76" ca="1" si="214">AN56+AN46</f>
        <v>9</v>
      </c>
      <c r="AO76" s="151">
        <f ca="1">AO56+AO46</f>
        <v>9</v>
      </c>
      <c r="AP76" s="151">
        <f t="shared" ca="1" si="214"/>
        <v>9</v>
      </c>
      <c r="AQ76" s="151">
        <f ca="1">AQ56+AQ46</f>
        <v>9</v>
      </c>
      <c r="AR76" s="151">
        <f t="shared" ca="1" si="214"/>
        <v>9</v>
      </c>
      <c r="AS76" s="151">
        <f t="shared" ca="1" si="214"/>
        <v>9</v>
      </c>
      <c r="AT76" s="151">
        <f t="shared" ca="1" si="214"/>
        <v>9</v>
      </c>
      <c r="AU76" s="151">
        <f t="shared" ca="1" si="214"/>
        <v>9</v>
      </c>
      <c r="AV76" s="151">
        <f t="shared" ca="1" si="214"/>
        <v>9</v>
      </c>
      <c r="AW76" s="151">
        <f t="shared" ca="1" si="214"/>
        <v>9</v>
      </c>
      <c r="AX76" s="151">
        <f t="shared" ca="1" si="214"/>
        <v>9</v>
      </c>
      <c r="AY76" s="151">
        <f t="shared" ca="1" si="214"/>
        <v>10</v>
      </c>
      <c r="AZ76" s="151">
        <f t="shared" ca="1" si="214"/>
        <v>10</v>
      </c>
      <c r="BA76" s="151">
        <f t="shared" ca="1" si="214"/>
        <v>10</v>
      </c>
      <c r="BB76" s="151">
        <f t="shared" ca="1" si="214"/>
        <v>10</v>
      </c>
      <c r="BC76" s="151">
        <f t="shared" ca="1" si="214"/>
        <v>10</v>
      </c>
      <c r="BD76" s="151">
        <f t="shared" ca="1" si="214"/>
        <v>10</v>
      </c>
      <c r="BE76" s="151">
        <f t="shared" ca="1" si="214"/>
        <v>10</v>
      </c>
      <c r="BF76" s="151">
        <f t="shared" ca="1" si="214"/>
        <v>10</v>
      </c>
      <c r="BG76" s="151">
        <f t="shared" ca="1" si="214"/>
        <v>10</v>
      </c>
      <c r="BH76" s="151">
        <f t="shared" ca="1" si="214"/>
        <v>10</v>
      </c>
      <c r="BI76" s="151">
        <f t="shared" ca="1" si="214"/>
        <v>10</v>
      </c>
      <c r="BJ76" s="151">
        <f t="shared" ca="1" si="214"/>
        <v>10</v>
      </c>
      <c r="BK76" s="151">
        <f t="shared" ca="1" si="214"/>
        <v>12</v>
      </c>
      <c r="BL76" s="151">
        <f t="shared" ca="1" si="214"/>
        <v>9</v>
      </c>
      <c r="BM76" s="151">
        <f t="shared" ca="1" si="214"/>
        <v>9</v>
      </c>
      <c r="BN76" s="151">
        <f t="shared" ca="1" si="214"/>
        <v>9</v>
      </c>
      <c r="BO76" s="151">
        <f t="shared" ca="1" si="214"/>
        <v>9</v>
      </c>
      <c r="BP76" s="151">
        <f t="shared" ca="1" si="214"/>
        <v>9</v>
      </c>
      <c r="BQ76" s="151">
        <f t="shared" ca="1" si="214"/>
        <v>9</v>
      </c>
      <c r="BR76" s="151">
        <f t="shared" ca="1" si="214"/>
        <v>9</v>
      </c>
      <c r="BS76" s="151">
        <f t="shared" ref="BS76:CX76" ca="1" si="215">BS56+BS46</f>
        <v>9</v>
      </c>
      <c r="BT76" s="151">
        <f t="shared" ca="1" si="215"/>
        <v>9</v>
      </c>
      <c r="BU76" s="151">
        <f t="shared" ca="1" si="215"/>
        <v>9</v>
      </c>
      <c r="BV76" s="151">
        <f t="shared" ca="1" si="215"/>
        <v>9</v>
      </c>
      <c r="BW76" s="151">
        <f t="shared" ca="1" si="215"/>
        <v>9</v>
      </c>
      <c r="BX76" s="151">
        <f t="shared" ca="1" si="215"/>
        <v>9</v>
      </c>
      <c r="BY76" s="151">
        <f t="shared" ca="1" si="215"/>
        <v>9</v>
      </c>
      <c r="BZ76" s="151">
        <f t="shared" ca="1" si="215"/>
        <v>9</v>
      </c>
      <c r="CA76" s="151">
        <f t="shared" ca="1" si="215"/>
        <v>9</v>
      </c>
      <c r="CB76" s="151">
        <f t="shared" ca="1" si="215"/>
        <v>9</v>
      </c>
      <c r="CC76" s="151">
        <f t="shared" ca="1" si="215"/>
        <v>9</v>
      </c>
      <c r="CD76" s="151">
        <f t="shared" ca="1" si="215"/>
        <v>9</v>
      </c>
      <c r="CE76" s="151">
        <f t="shared" ca="1" si="215"/>
        <v>9</v>
      </c>
      <c r="CF76" s="151">
        <f t="shared" ca="1" si="215"/>
        <v>9</v>
      </c>
      <c r="CG76" s="151">
        <f t="shared" ca="1" si="215"/>
        <v>9</v>
      </c>
      <c r="CH76" s="151">
        <f t="shared" ca="1" si="215"/>
        <v>9</v>
      </c>
      <c r="CI76" s="151">
        <f t="shared" ca="1" si="215"/>
        <v>9</v>
      </c>
      <c r="CJ76" s="151">
        <f t="shared" ca="1" si="215"/>
        <v>9</v>
      </c>
      <c r="CK76" s="151">
        <f t="shared" ca="1" si="215"/>
        <v>9</v>
      </c>
      <c r="CL76" s="151">
        <f t="shared" ca="1" si="215"/>
        <v>9</v>
      </c>
      <c r="CM76" s="151">
        <f t="shared" ca="1" si="215"/>
        <v>9</v>
      </c>
      <c r="CN76" s="151">
        <f t="shared" ca="1" si="215"/>
        <v>9</v>
      </c>
      <c r="CO76" s="151">
        <f t="shared" ca="1" si="215"/>
        <v>9</v>
      </c>
      <c r="CP76" s="151">
        <f t="shared" ca="1" si="215"/>
        <v>9</v>
      </c>
      <c r="CQ76" s="151">
        <f t="shared" ca="1" si="215"/>
        <v>9</v>
      </c>
      <c r="CR76" s="151">
        <f t="shared" ca="1" si="215"/>
        <v>9</v>
      </c>
      <c r="CS76" s="151">
        <f t="shared" ca="1" si="215"/>
        <v>9</v>
      </c>
      <c r="CT76" s="151">
        <f t="shared" ca="1" si="215"/>
        <v>9</v>
      </c>
      <c r="CU76" s="151">
        <f t="shared" ca="1" si="215"/>
        <v>9</v>
      </c>
      <c r="CV76" s="151">
        <f t="shared" ca="1" si="215"/>
        <v>9</v>
      </c>
      <c r="CW76" s="151">
        <f t="shared" ca="1" si="215"/>
        <v>9</v>
      </c>
      <c r="CX76" s="151">
        <f t="shared" ca="1" si="215"/>
        <v>9</v>
      </c>
      <c r="CY76" s="151">
        <f t="shared" ref="CY76:ED76" ca="1" si="216">CY56+CY46</f>
        <v>9</v>
      </c>
      <c r="CZ76" s="151">
        <f t="shared" ca="1" si="216"/>
        <v>9</v>
      </c>
      <c r="DA76" s="151">
        <f t="shared" ca="1" si="216"/>
        <v>9</v>
      </c>
      <c r="DB76" s="151">
        <f t="shared" ca="1" si="216"/>
        <v>9</v>
      </c>
      <c r="DC76" s="151">
        <f t="shared" ca="1" si="216"/>
        <v>9</v>
      </c>
      <c r="DD76" s="151">
        <f t="shared" ca="1" si="216"/>
        <v>9</v>
      </c>
      <c r="DE76" s="151">
        <f t="shared" ca="1" si="216"/>
        <v>9</v>
      </c>
      <c r="DF76" s="151">
        <f t="shared" ca="1" si="216"/>
        <v>9</v>
      </c>
      <c r="DG76" s="151">
        <f t="shared" ca="1" si="216"/>
        <v>9</v>
      </c>
      <c r="DH76" s="151">
        <f t="shared" ca="1" si="216"/>
        <v>9</v>
      </c>
      <c r="DI76" s="151">
        <f t="shared" ca="1" si="216"/>
        <v>9</v>
      </c>
      <c r="DJ76" s="151">
        <f t="shared" ca="1" si="216"/>
        <v>9</v>
      </c>
      <c r="DK76" s="151">
        <f t="shared" ca="1" si="216"/>
        <v>9</v>
      </c>
      <c r="DL76" s="151">
        <f t="shared" ca="1" si="216"/>
        <v>9</v>
      </c>
      <c r="DM76" s="151">
        <f t="shared" ca="1" si="216"/>
        <v>9</v>
      </c>
      <c r="DN76" s="151">
        <f t="shared" ca="1" si="216"/>
        <v>9</v>
      </c>
      <c r="DO76" s="151">
        <f t="shared" ca="1" si="216"/>
        <v>9</v>
      </c>
      <c r="DP76" s="151">
        <f t="shared" ca="1" si="216"/>
        <v>9</v>
      </c>
      <c r="DQ76" s="151">
        <f t="shared" ca="1" si="216"/>
        <v>9</v>
      </c>
      <c r="DR76" s="151">
        <f t="shared" ca="1" si="216"/>
        <v>9</v>
      </c>
      <c r="DS76" s="151">
        <f t="shared" ca="1" si="216"/>
        <v>9</v>
      </c>
      <c r="DT76" s="151">
        <f t="shared" ca="1" si="216"/>
        <v>9</v>
      </c>
      <c r="DU76" s="151">
        <f t="shared" ca="1" si="216"/>
        <v>9</v>
      </c>
      <c r="DV76" s="151">
        <f t="shared" ca="1" si="216"/>
        <v>9</v>
      </c>
      <c r="DW76" s="151">
        <f t="shared" ca="1" si="216"/>
        <v>9</v>
      </c>
      <c r="DX76" s="151">
        <f t="shared" ca="1" si="216"/>
        <v>9</v>
      </c>
      <c r="DY76" s="151">
        <f t="shared" ca="1" si="216"/>
        <v>9</v>
      </c>
      <c r="DZ76" s="151">
        <f t="shared" ca="1" si="216"/>
        <v>9</v>
      </c>
      <c r="EA76" s="151">
        <f t="shared" ca="1" si="216"/>
        <v>9</v>
      </c>
      <c r="EB76" s="151">
        <f t="shared" ca="1" si="216"/>
        <v>9</v>
      </c>
      <c r="EC76" s="151">
        <f t="shared" ca="1" si="216"/>
        <v>9</v>
      </c>
      <c r="ED76" s="151">
        <f t="shared" ca="1" si="216"/>
        <v>9</v>
      </c>
      <c r="EE76" s="151">
        <f t="shared" ref="EE76:FN76" ca="1" si="217">EE56+EE46</f>
        <v>9</v>
      </c>
      <c r="EF76" s="151">
        <f t="shared" ca="1" si="217"/>
        <v>9</v>
      </c>
      <c r="EG76" s="151">
        <f t="shared" ca="1" si="217"/>
        <v>9</v>
      </c>
      <c r="EH76" s="151">
        <f t="shared" ca="1" si="217"/>
        <v>9</v>
      </c>
      <c r="EI76" s="151">
        <f t="shared" ca="1" si="217"/>
        <v>9</v>
      </c>
      <c r="EJ76" s="151">
        <f t="shared" ca="1" si="217"/>
        <v>9</v>
      </c>
      <c r="EK76" s="151">
        <f t="shared" ca="1" si="217"/>
        <v>9</v>
      </c>
      <c r="EL76" s="151">
        <f t="shared" ca="1" si="217"/>
        <v>9</v>
      </c>
      <c r="EM76" s="151">
        <f t="shared" ca="1" si="217"/>
        <v>9</v>
      </c>
      <c r="EN76" s="151">
        <f t="shared" ca="1" si="217"/>
        <v>9</v>
      </c>
      <c r="EO76" s="151">
        <f t="shared" ca="1" si="217"/>
        <v>9</v>
      </c>
      <c r="EP76" s="151">
        <f t="shared" ca="1" si="217"/>
        <v>9</v>
      </c>
      <c r="EQ76" s="151">
        <f t="shared" ca="1" si="217"/>
        <v>9</v>
      </c>
      <c r="ER76" s="151">
        <f t="shared" ca="1" si="217"/>
        <v>9</v>
      </c>
      <c r="ES76" s="151">
        <f t="shared" ca="1" si="217"/>
        <v>9</v>
      </c>
      <c r="ET76" s="151">
        <f t="shared" ca="1" si="217"/>
        <v>9</v>
      </c>
      <c r="EU76" s="151">
        <f t="shared" ca="1" si="217"/>
        <v>9</v>
      </c>
      <c r="EV76" s="151">
        <f t="shared" ca="1" si="217"/>
        <v>9</v>
      </c>
      <c r="EW76" s="151">
        <f t="shared" ca="1" si="217"/>
        <v>9</v>
      </c>
      <c r="EX76" s="151">
        <f t="shared" ca="1" si="217"/>
        <v>9</v>
      </c>
      <c r="EY76" s="151">
        <f t="shared" ca="1" si="217"/>
        <v>9</v>
      </c>
      <c r="EZ76" s="151">
        <f t="shared" ca="1" si="217"/>
        <v>9</v>
      </c>
      <c r="FA76" s="151">
        <f t="shared" ca="1" si="217"/>
        <v>9</v>
      </c>
      <c r="FB76" s="151">
        <f t="shared" ca="1" si="217"/>
        <v>9</v>
      </c>
      <c r="FC76" s="151">
        <f t="shared" ca="1" si="217"/>
        <v>9</v>
      </c>
      <c r="FD76" s="151">
        <f t="shared" ca="1" si="217"/>
        <v>9</v>
      </c>
      <c r="FE76" s="151">
        <f t="shared" ca="1" si="217"/>
        <v>9</v>
      </c>
      <c r="FF76" s="151">
        <f t="shared" ca="1" si="217"/>
        <v>9</v>
      </c>
      <c r="FG76" s="151">
        <f t="shared" ca="1" si="217"/>
        <v>9</v>
      </c>
      <c r="FH76" s="151">
        <f t="shared" ca="1" si="217"/>
        <v>9</v>
      </c>
      <c r="FI76" s="151">
        <f t="shared" ca="1" si="217"/>
        <v>9</v>
      </c>
      <c r="FJ76" s="151">
        <f t="shared" ca="1" si="217"/>
        <v>9</v>
      </c>
      <c r="FK76" s="151">
        <f t="shared" ca="1" si="217"/>
        <v>9</v>
      </c>
      <c r="FL76" s="151">
        <f t="shared" ca="1" si="217"/>
        <v>9</v>
      </c>
      <c r="FM76" s="151">
        <f t="shared" ca="1" si="217"/>
        <v>9</v>
      </c>
      <c r="FN76" s="898">
        <f t="shared" ca="1" si="217"/>
        <v>9</v>
      </c>
      <c r="FO76" s="144" t="s">
        <v>243</v>
      </c>
    </row>
    <row r="77" spans="2:171" x14ac:dyDescent="0.2">
      <c r="B77" s="1005">
        <v>44834</v>
      </c>
      <c r="D77" s="144">
        <v>1</v>
      </c>
      <c r="E77" s="144">
        <v>0</v>
      </c>
      <c r="F77" s="144">
        <v>1</v>
      </c>
      <c r="G77" s="144">
        <v>0</v>
      </c>
      <c r="H77" s="144">
        <v>0</v>
      </c>
      <c r="I77" s="144">
        <v>0</v>
      </c>
      <c r="J77" s="144">
        <v>1</v>
      </c>
      <c r="K77" s="144">
        <v>0</v>
      </c>
      <c r="L77" s="144">
        <v>3</v>
      </c>
      <c r="M77" s="144">
        <v>1</v>
      </c>
      <c r="N77" s="144">
        <v>1</v>
      </c>
      <c r="O77" s="144">
        <v>1</v>
      </c>
      <c r="Q77" s="1004">
        <f t="shared" si="187"/>
        <v>9</v>
      </c>
      <c r="AK77" s="996" t="s">
        <v>379</v>
      </c>
      <c r="AL77" s="882">
        <f>AL72+AL75-AL76</f>
        <v>10</v>
      </c>
      <c r="AM77" s="882">
        <f ca="1">AM72+AM75-AM76</f>
        <v>15</v>
      </c>
      <c r="AN77" s="882">
        <f ca="1">AN72+AN75-AN76</f>
        <v>15</v>
      </c>
      <c r="AO77" s="882">
        <f t="shared" ref="AO77:BR77" ca="1" si="218">AO72+AO75-AO76</f>
        <v>15</v>
      </c>
      <c r="AP77" s="882">
        <f t="shared" ca="1" si="218"/>
        <v>15</v>
      </c>
      <c r="AQ77" s="882">
        <f t="shared" ca="1" si="218"/>
        <v>15</v>
      </c>
      <c r="AR77" s="882">
        <f t="shared" ca="1" si="218"/>
        <v>15</v>
      </c>
      <c r="AS77" s="882">
        <f t="shared" ca="1" si="218"/>
        <v>15</v>
      </c>
      <c r="AT77" s="882">
        <f t="shared" ca="1" si="218"/>
        <v>15</v>
      </c>
      <c r="AU77" s="882">
        <f t="shared" ca="1" si="218"/>
        <v>15</v>
      </c>
      <c r="AV77" s="882">
        <f t="shared" ca="1" si="218"/>
        <v>15</v>
      </c>
      <c r="AW77" s="882">
        <f t="shared" ca="1" si="218"/>
        <v>15</v>
      </c>
      <c r="AX77" s="882">
        <f t="shared" ca="1" si="218"/>
        <v>15</v>
      </c>
      <c r="AY77" s="882">
        <f t="shared" ca="1" si="218"/>
        <v>15</v>
      </c>
      <c r="AZ77" s="882">
        <f t="shared" ca="1" si="218"/>
        <v>15</v>
      </c>
      <c r="BA77" s="882">
        <f t="shared" ca="1" si="218"/>
        <v>15</v>
      </c>
      <c r="BB77" s="882">
        <f t="shared" ca="1" si="218"/>
        <v>15</v>
      </c>
      <c r="BC77" s="882">
        <f t="shared" ca="1" si="218"/>
        <v>15</v>
      </c>
      <c r="BD77" s="882">
        <f t="shared" ca="1" si="218"/>
        <v>15</v>
      </c>
      <c r="BE77" s="882">
        <f t="shared" ca="1" si="218"/>
        <v>15</v>
      </c>
      <c r="BF77" s="882">
        <f t="shared" ca="1" si="218"/>
        <v>15</v>
      </c>
      <c r="BG77" s="882">
        <f t="shared" ca="1" si="218"/>
        <v>15</v>
      </c>
      <c r="BH77" s="882">
        <f t="shared" ca="1" si="218"/>
        <v>15</v>
      </c>
      <c r="BI77" s="882">
        <f t="shared" ca="1" si="218"/>
        <v>15</v>
      </c>
      <c r="BJ77" s="882">
        <f ca="1">BJ72+BJ75-BJ76</f>
        <v>15</v>
      </c>
      <c r="BK77" s="882">
        <f t="shared" ca="1" si="218"/>
        <v>12</v>
      </c>
      <c r="BL77" s="882">
        <f t="shared" ca="1" si="218"/>
        <v>12</v>
      </c>
      <c r="BM77" s="882">
        <f t="shared" ca="1" si="218"/>
        <v>12</v>
      </c>
      <c r="BN77" s="882">
        <f t="shared" ca="1" si="218"/>
        <v>12</v>
      </c>
      <c r="BO77" s="882">
        <f t="shared" ca="1" si="218"/>
        <v>12</v>
      </c>
      <c r="BP77" s="882">
        <f t="shared" ca="1" si="218"/>
        <v>12</v>
      </c>
      <c r="BQ77" s="882">
        <f t="shared" ca="1" si="218"/>
        <v>12</v>
      </c>
      <c r="BR77" s="882">
        <f t="shared" ca="1" si="218"/>
        <v>12</v>
      </c>
      <c r="BS77" s="882">
        <f t="shared" ref="BS77:CX77" ca="1" si="219">BS72+BS75-BS76</f>
        <v>12</v>
      </c>
      <c r="BT77" s="882">
        <f t="shared" ca="1" si="219"/>
        <v>12</v>
      </c>
      <c r="BU77" s="882">
        <f t="shared" ca="1" si="219"/>
        <v>12</v>
      </c>
      <c r="BV77" s="882">
        <f t="shared" ca="1" si="219"/>
        <v>12</v>
      </c>
      <c r="BW77" s="882">
        <f t="shared" ca="1" si="219"/>
        <v>12</v>
      </c>
      <c r="BX77" s="882">
        <f t="shared" ca="1" si="219"/>
        <v>12</v>
      </c>
      <c r="BY77" s="882">
        <f t="shared" ca="1" si="219"/>
        <v>12</v>
      </c>
      <c r="BZ77" s="882">
        <f t="shared" ca="1" si="219"/>
        <v>12</v>
      </c>
      <c r="CA77" s="882">
        <f t="shared" ca="1" si="219"/>
        <v>12</v>
      </c>
      <c r="CB77" s="882">
        <f t="shared" ca="1" si="219"/>
        <v>12</v>
      </c>
      <c r="CC77" s="882">
        <f t="shared" ca="1" si="219"/>
        <v>12</v>
      </c>
      <c r="CD77" s="882">
        <f t="shared" ca="1" si="219"/>
        <v>12</v>
      </c>
      <c r="CE77" s="882">
        <f t="shared" ca="1" si="219"/>
        <v>12</v>
      </c>
      <c r="CF77" s="882">
        <f t="shared" ca="1" si="219"/>
        <v>12</v>
      </c>
      <c r="CG77" s="882">
        <f t="shared" ca="1" si="219"/>
        <v>12</v>
      </c>
      <c r="CH77" s="882">
        <f t="shared" ca="1" si="219"/>
        <v>12</v>
      </c>
      <c r="CI77" s="882">
        <f t="shared" ca="1" si="219"/>
        <v>12</v>
      </c>
      <c r="CJ77" s="882">
        <f t="shared" ca="1" si="219"/>
        <v>12</v>
      </c>
      <c r="CK77" s="882">
        <f t="shared" ca="1" si="219"/>
        <v>12</v>
      </c>
      <c r="CL77" s="882">
        <f t="shared" ca="1" si="219"/>
        <v>12</v>
      </c>
      <c r="CM77" s="882">
        <f t="shared" ca="1" si="219"/>
        <v>12</v>
      </c>
      <c r="CN77" s="882">
        <f t="shared" ca="1" si="219"/>
        <v>12</v>
      </c>
      <c r="CO77" s="882">
        <f t="shared" ca="1" si="219"/>
        <v>12</v>
      </c>
      <c r="CP77" s="882">
        <f t="shared" ca="1" si="219"/>
        <v>12</v>
      </c>
      <c r="CQ77" s="882">
        <f t="shared" ca="1" si="219"/>
        <v>12</v>
      </c>
      <c r="CR77" s="882">
        <f t="shared" ca="1" si="219"/>
        <v>12</v>
      </c>
      <c r="CS77" s="882">
        <f t="shared" ca="1" si="219"/>
        <v>12</v>
      </c>
      <c r="CT77" s="882">
        <f t="shared" ca="1" si="219"/>
        <v>12</v>
      </c>
      <c r="CU77" s="882">
        <f t="shared" ca="1" si="219"/>
        <v>12</v>
      </c>
      <c r="CV77" s="882">
        <f t="shared" ca="1" si="219"/>
        <v>12</v>
      </c>
      <c r="CW77" s="882">
        <f t="shared" ca="1" si="219"/>
        <v>12</v>
      </c>
      <c r="CX77" s="882">
        <f t="shared" ca="1" si="219"/>
        <v>12</v>
      </c>
      <c r="CY77" s="882">
        <f t="shared" ref="CY77:ED77" ca="1" si="220">CY72+CY75-CY76</f>
        <v>12</v>
      </c>
      <c r="CZ77" s="882">
        <f t="shared" ca="1" si="220"/>
        <v>12</v>
      </c>
      <c r="DA77" s="882">
        <f t="shared" ca="1" si="220"/>
        <v>12</v>
      </c>
      <c r="DB77" s="882">
        <f t="shared" ca="1" si="220"/>
        <v>12</v>
      </c>
      <c r="DC77" s="882">
        <f t="shared" ca="1" si="220"/>
        <v>12</v>
      </c>
      <c r="DD77" s="882">
        <f t="shared" ca="1" si="220"/>
        <v>12</v>
      </c>
      <c r="DE77" s="882">
        <f t="shared" ca="1" si="220"/>
        <v>12</v>
      </c>
      <c r="DF77" s="882">
        <f t="shared" ca="1" si="220"/>
        <v>12</v>
      </c>
      <c r="DG77" s="882">
        <f t="shared" ca="1" si="220"/>
        <v>12</v>
      </c>
      <c r="DH77" s="882">
        <f t="shared" ca="1" si="220"/>
        <v>12</v>
      </c>
      <c r="DI77" s="882">
        <f t="shared" ca="1" si="220"/>
        <v>12</v>
      </c>
      <c r="DJ77" s="882">
        <f t="shared" ca="1" si="220"/>
        <v>12</v>
      </c>
      <c r="DK77" s="882">
        <f t="shared" ca="1" si="220"/>
        <v>12</v>
      </c>
      <c r="DL77" s="882">
        <f t="shared" ca="1" si="220"/>
        <v>12</v>
      </c>
      <c r="DM77" s="882">
        <f t="shared" ca="1" si="220"/>
        <v>12</v>
      </c>
      <c r="DN77" s="882">
        <f t="shared" ca="1" si="220"/>
        <v>12</v>
      </c>
      <c r="DO77" s="882">
        <f t="shared" ca="1" si="220"/>
        <v>12</v>
      </c>
      <c r="DP77" s="882">
        <f t="shared" ca="1" si="220"/>
        <v>12</v>
      </c>
      <c r="DQ77" s="882">
        <f t="shared" ca="1" si="220"/>
        <v>12</v>
      </c>
      <c r="DR77" s="882">
        <f t="shared" ca="1" si="220"/>
        <v>12</v>
      </c>
      <c r="DS77" s="882">
        <f t="shared" ca="1" si="220"/>
        <v>12</v>
      </c>
      <c r="DT77" s="882">
        <f t="shared" ca="1" si="220"/>
        <v>12</v>
      </c>
      <c r="DU77" s="882">
        <f t="shared" ca="1" si="220"/>
        <v>12</v>
      </c>
      <c r="DV77" s="882">
        <f t="shared" ca="1" si="220"/>
        <v>12</v>
      </c>
      <c r="DW77" s="882">
        <f t="shared" ca="1" si="220"/>
        <v>12</v>
      </c>
      <c r="DX77" s="882">
        <f t="shared" ca="1" si="220"/>
        <v>12</v>
      </c>
      <c r="DY77" s="882">
        <f t="shared" ca="1" si="220"/>
        <v>12</v>
      </c>
      <c r="DZ77" s="882">
        <f t="shared" ca="1" si="220"/>
        <v>12</v>
      </c>
      <c r="EA77" s="882">
        <f t="shared" ca="1" si="220"/>
        <v>12</v>
      </c>
      <c r="EB77" s="882">
        <f t="shared" ca="1" si="220"/>
        <v>12</v>
      </c>
      <c r="EC77" s="882">
        <f t="shared" ca="1" si="220"/>
        <v>12</v>
      </c>
      <c r="ED77" s="882">
        <f t="shared" ca="1" si="220"/>
        <v>12</v>
      </c>
      <c r="EE77" s="882">
        <f t="shared" ref="EE77:FJ77" ca="1" si="221">EE72+EE75-EE76</f>
        <v>12</v>
      </c>
      <c r="EF77" s="882">
        <f t="shared" ca="1" si="221"/>
        <v>12</v>
      </c>
      <c r="EG77" s="882">
        <f t="shared" ca="1" si="221"/>
        <v>12</v>
      </c>
      <c r="EH77" s="882">
        <f t="shared" ca="1" si="221"/>
        <v>12</v>
      </c>
      <c r="EI77" s="882">
        <f t="shared" ca="1" si="221"/>
        <v>12</v>
      </c>
      <c r="EJ77" s="882">
        <f t="shared" ca="1" si="221"/>
        <v>12</v>
      </c>
      <c r="EK77" s="882">
        <f t="shared" ca="1" si="221"/>
        <v>12</v>
      </c>
      <c r="EL77" s="882">
        <f t="shared" ca="1" si="221"/>
        <v>12</v>
      </c>
      <c r="EM77" s="882">
        <f t="shared" ca="1" si="221"/>
        <v>12</v>
      </c>
      <c r="EN77" s="882">
        <f t="shared" ca="1" si="221"/>
        <v>12</v>
      </c>
      <c r="EO77" s="882">
        <f t="shared" ca="1" si="221"/>
        <v>12</v>
      </c>
      <c r="EP77" s="882">
        <f t="shared" ca="1" si="221"/>
        <v>12</v>
      </c>
      <c r="EQ77" s="882">
        <f t="shared" ca="1" si="221"/>
        <v>12</v>
      </c>
      <c r="ER77" s="882">
        <f t="shared" ca="1" si="221"/>
        <v>12</v>
      </c>
      <c r="ES77" s="882">
        <f t="shared" ca="1" si="221"/>
        <v>12</v>
      </c>
      <c r="ET77" s="882">
        <f t="shared" ca="1" si="221"/>
        <v>12</v>
      </c>
      <c r="EU77" s="882">
        <f t="shared" ca="1" si="221"/>
        <v>12</v>
      </c>
      <c r="EV77" s="882">
        <f t="shared" ca="1" si="221"/>
        <v>12</v>
      </c>
      <c r="EW77" s="882">
        <f t="shared" ca="1" si="221"/>
        <v>12</v>
      </c>
      <c r="EX77" s="882">
        <f t="shared" ca="1" si="221"/>
        <v>12</v>
      </c>
      <c r="EY77" s="882">
        <f t="shared" ca="1" si="221"/>
        <v>12</v>
      </c>
      <c r="EZ77" s="882">
        <f t="shared" ca="1" si="221"/>
        <v>12</v>
      </c>
      <c r="FA77" s="882">
        <f t="shared" ca="1" si="221"/>
        <v>12</v>
      </c>
      <c r="FB77" s="882">
        <f t="shared" ca="1" si="221"/>
        <v>12</v>
      </c>
      <c r="FC77" s="882">
        <f t="shared" ca="1" si="221"/>
        <v>12</v>
      </c>
      <c r="FD77" s="882">
        <f t="shared" ca="1" si="221"/>
        <v>12</v>
      </c>
      <c r="FE77" s="882">
        <f t="shared" ca="1" si="221"/>
        <v>12</v>
      </c>
      <c r="FF77" s="882">
        <f t="shared" ca="1" si="221"/>
        <v>12</v>
      </c>
      <c r="FG77" s="882">
        <f t="shared" ca="1" si="221"/>
        <v>12</v>
      </c>
      <c r="FH77" s="882">
        <f t="shared" ca="1" si="221"/>
        <v>12</v>
      </c>
      <c r="FI77" s="882">
        <f t="shared" ca="1" si="221"/>
        <v>12</v>
      </c>
      <c r="FJ77" s="882">
        <f t="shared" ca="1" si="221"/>
        <v>12</v>
      </c>
      <c r="FK77" s="882">
        <f t="shared" ref="FK77:FN77" ca="1" si="222">FK72+FK75-FK76</f>
        <v>12</v>
      </c>
      <c r="FL77" s="882">
        <f t="shared" ca="1" si="222"/>
        <v>12</v>
      </c>
      <c r="FM77" s="882">
        <f t="shared" ca="1" si="222"/>
        <v>12</v>
      </c>
      <c r="FN77" s="1008">
        <f t="shared" ca="1" si="222"/>
        <v>12</v>
      </c>
      <c r="FO77" s="144" t="s">
        <v>243</v>
      </c>
    </row>
    <row r="78" spans="2:171" x14ac:dyDescent="0.2">
      <c r="B78" s="1005">
        <v>44835</v>
      </c>
      <c r="D78" s="144">
        <v>0</v>
      </c>
      <c r="E78" s="144">
        <v>0</v>
      </c>
      <c r="F78" s="144">
        <v>0</v>
      </c>
      <c r="G78" s="144">
        <v>0</v>
      </c>
      <c r="H78" s="144">
        <v>0</v>
      </c>
      <c r="I78" s="144">
        <v>0</v>
      </c>
      <c r="J78" s="144">
        <v>0</v>
      </c>
      <c r="K78" s="144">
        <v>0</v>
      </c>
      <c r="L78" s="144">
        <v>1</v>
      </c>
      <c r="M78" s="144">
        <v>0</v>
      </c>
      <c r="N78" s="144">
        <v>0</v>
      </c>
      <c r="O78" s="144">
        <v>0</v>
      </c>
      <c r="Q78" s="1004">
        <f t="shared" si="187"/>
        <v>1</v>
      </c>
      <c r="AK78" s="996" t="s">
        <v>380</v>
      </c>
      <c r="AL78" s="882">
        <f t="shared" ref="AL78" si="223">AL70-AL77</f>
        <v>234</v>
      </c>
      <c r="AM78" s="882">
        <f ca="1">AM70-AM77</f>
        <v>229</v>
      </c>
      <c r="AN78" s="882">
        <f t="shared" ref="AN78:BR78" ca="1" si="224">AN70-AN77</f>
        <v>229</v>
      </c>
      <c r="AO78" s="882">
        <f t="shared" ca="1" si="224"/>
        <v>229</v>
      </c>
      <c r="AP78" s="882">
        <f t="shared" ca="1" si="224"/>
        <v>229</v>
      </c>
      <c r="AQ78" s="882">
        <f t="shared" ca="1" si="224"/>
        <v>229</v>
      </c>
      <c r="AR78" s="882">
        <f t="shared" ca="1" si="224"/>
        <v>229</v>
      </c>
      <c r="AS78" s="882">
        <f t="shared" ca="1" si="224"/>
        <v>229</v>
      </c>
      <c r="AT78" s="882">
        <f t="shared" ca="1" si="224"/>
        <v>229</v>
      </c>
      <c r="AU78" s="882">
        <f t="shared" ca="1" si="224"/>
        <v>229</v>
      </c>
      <c r="AV78" s="882">
        <f t="shared" ca="1" si="224"/>
        <v>229</v>
      </c>
      <c r="AW78" s="882">
        <f t="shared" ca="1" si="224"/>
        <v>229</v>
      </c>
      <c r="AX78" s="882">
        <f t="shared" ca="1" si="224"/>
        <v>229</v>
      </c>
      <c r="AY78" s="882">
        <f t="shared" ca="1" si="224"/>
        <v>229</v>
      </c>
      <c r="AZ78" s="882">
        <f t="shared" ca="1" si="224"/>
        <v>229</v>
      </c>
      <c r="BA78" s="882">
        <f t="shared" ca="1" si="224"/>
        <v>229</v>
      </c>
      <c r="BB78" s="882">
        <f t="shared" ca="1" si="224"/>
        <v>229</v>
      </c>
      <c r="BC78" s="882">
        <f t="shared" ca="1" si="224"/>
        <v>229</v>
      </c>
      <c r="BD78" s="882">
        <f t="shared" ca="1" si="224"/>
        <v>229</v>
      </c>
      <c r="BE78" s="882">
        <f t="shared" ca="1" si="224"/>
        <v>229</v>
      </c>
      <c r="BF78" s="882">
        <f t="shared" ca="1" si="224"/>
        <v>229</v>
      </c>
      <c r="BG78" s="882">
        <f t="shared" ca="1" si="224"/>
        <v>229</v>
      </c>
      <c r="BH78" s="882">
        <f t="shared" ca="1" si="224"/>
        <v>229</v>
      </c>
      <c r="BI78" s="882">
        <f t="shared" ca="1" si="224"/>
        <v>229</v>
      </c>
      <c r="BJ78" s="882">
        <f t="shared" ca="1" si="224"/>
        <v>229</v>
      </c>
      <c r="BK78" s="882">
        <f t="shared" ca="1" si="224"/>
        <v>232</v>
      </c>
      <c r="BL78" s="882">
        <f t="shared" ca="1" si="224"/>
        <v>232</v>
      </c>
      <c r="BM78" s="882">
        <f t="shared" ca="1" si="224"/>
        <v>232</v>
      </c>
      <c r="BN78" s="882">
        <f t="shared" ca="1" si="224"/>
        <v>232</v>
      </c>
      <c r="BO78" s="882">
        <f t="shared" ca="1" si="224"/>
        <v>232</v>
      </c>
      <c r="BP78" s="882">
        <f t="shared" ca="1" si="224"/>
        <v>232</v>
      </c>
      <c r="BQ78" s="882">
        <f t="shared" ca="1" si="224"/>
        <v>232</v>
      </c>
      <c r="BR78" s="882">
        <f t="shared" ca="1" si="224"/>
        <v>232</v>
      </c>
      <c r="BS78" s="882">
        <f t="shared" ref="BS78:CX78" ca="1" si="225">BS70-BS77</f>
        <v>232</v>
      </c>
      <c r="BT78" s="882">
        <f t="shared" ca="1" si="225"/>
        <v>232</v>
      </c>
      <c r="BU78" s="882">
        <f t="shared" ca="1" si="225"/>
        <v>232</v>
      </c>
      <c r="BV78" s="882">
        <f t="shared" ca="1" si="225"/>
        <v>232</v>
      </c>
      <c r="BW78" s="882">
        <f t="shared" ca="1" si="225"/>
        <v>232</v>
      </c>
      <c r="BX78" s="882">
        <f t="shared" ca="1" si="225"/>
        <v>232</v>
      </c>
      <c r="BY78" s="882">
        <f t="shared" ca="1" si="225"/>
        <v>232</v>
      </c>
      <c r="BZ78" s="882">
        <f t="shared" ca="1" si="225"/>
        <v>232</v>
      </c>
      <c r="CA78" s="882">
        <f t="shared" ca="1" si="225"/>
        <v>232</v>
      </c>
      <c r="CB78" s="882">
        <f t="shared" ca="1" si="225"/>
        <v>232</v>
      </c>
      <c r="CC78" s="882">
        <f t="shared" ca="1" si="225"/>
        <v>232</v>
      </c>
      <c r="CD78" s="882">
        <f t="shared" ca="1" si="225"/>
        <v>232</v>
      </c>
      <c r="CE78" s="882">
        <f t="shared" ca="1" si="225"/>
        <v>232</v>
      </c>
      <c r="CF78" s="882">
        <f t="shared" ca="1" si="225"/>
        <v>232</v>
      </c>
      <c r="CG78" s="882">
        <f t="shared" ca="1" si="225"/>
        <v>232</v>
      </c>
      <c r="CH78" s="882">
        <f t="shared" ca="1" si="225"/>
        <v>232</v>
      </c>
      <c r="CI78" s="882">
        <f t="shared" ca="1" si="225"/>
        <v>232</v>
      </c>
      <c r="CJ78" s="882">
        <f t="shared" ca="1" si="225"/>
        <v>232</v>
      </c>
      <c r="CK78" s="882">
        <f t="shared" ca="1" si="225"/>
        <v>232</v>
      </c>
      <c r="CL78" s="882">
        <f t="shared" ca="1" si="225"/>
        <v>232</v>
      </c>
      <c r="CM78" s="882">
        <f t="shared" ca="1" si="225"/>
        <v>232</v>
      </c>
      <c r="CN78" s="882">
        <f t="shared" ca="1" si="225"/>
        <v>232</v>
      </c>
      <c r="CO78" s="882">
        <f t="shared" ca="1" si="225"/>
        <v>232</v>
      </c>
      <c r="CP78" s="882">
        <f t="shared" ca="1" si="225"/>
        <v>232</v>
      </c>
      <c r="CQ78" s="882">
        <f t="shared" ca="1" si="225"/>
        <v>232</v>
      </c>
      <c r="CR78" s="882">
        <f t="shared" ca="1" si="225"/>
        <v>232</v>
      </c>
      <c r="CS78" s="882">
        <f t="shared" ca="1" si="225"/>
        <v>232</v>
      </c>
      <c r="CT78" s="882">
        <f t="shared" ca="1" si="225"/>
        <v>232</v>
      </c>
      <c r="CU78" s="882">
        <f t="shared" ca="1" si="225"/>
        <v>232</v>
      </c>
      <c r="CV78" s="882">
        <f t="shared" ca="1" si="225"/>
        <v>232</v>
      </c>
      <c r="CW78" s="882">
        <f t="shared" ca="1" si="225"/>
        <v>232</v>
      </c>
      <c r="CX78" s="882">
        <f t="shared" ca="1" si="225"/>
        <v>232</v>
      </c>
      <c r="CY78" s="882">
        <f t="shared" ref="CY78:ED78" ca="1" si="226">CY70-CY77</f>
        <v>232</v>
      </c>
      <c r="CZ78" s="882">
        <f t="shared" ca="1" si="226"/>
        <v>232</v>
      </c>
      <c r="DA78" s="882">
        <f t="shared" ca="1" si="226"/>
        <v>232</v>
      </c>
      <c r="DB78" s="882">
        <f t="shared" ca="1" si="226"/>
        <v>232</v>
      </c>
      <c r="DC78" s="882">
        <f t="shared" ca="1" si="226"/>
        <v>232</v>
      </c>
      <c r="DD78" s="882">
        <f t="shared" ca="1" si="226"/>
        <v>232</v>
      </c>
      <c r="DE78" s="882">
        <f t="shared" ca="1" si="226"/>
        <v>232</v>
      </c>
      <c r="DF78" s="882">
        <f t="shared" ca="1" si="226"/>
        <v>232</v>
      </c>
      <c r="DG78" s="882">
        <f t="shared" ca="1" si="226"/>
        <v>232</v>
      </c>
      <c r="DH78" s="882">
        <f t="shared" ca="1" si="226"/>
        <v>232</v>
      </c>
      <c r="DI78" s="882">
        <f t="shared" ca="1" si="226"/>
        <v>232</v>
      </c>
      <c r="DJ78" s="882">
        <f t="shared" ca="1" si="226"/>
        <v>232</v>
      </c>
      <c r="DK78" s="882">
        <f t="shared" ca="1" si="226"/>
        <v>232</v>
      </c>
      <c r="DL78" s="882">
        <f t="shared" ca="1" si="226"/>
        <v>232</v>
      </c>
      <c r="DM78" s="882">
        <f t="shared" ca="1" si="226"/>
        <v>232</v>
      </c>
      <c r="DN78" s="882">
        <f t="shared" ca="1" si="226"/>
        <v>232</v>
      </c>
      <c r="DO78" s="882">
        <f t="shared" ca="1" si="226"/>
        <v>232</v>
      </c>
      <c r="DP78" s="882">
        <f t="shared" ca="1" si="226"/>
        <v>232</v>
      </c>
      <c r="DQ78" s="882">
        <f t="shared" ca="1" si="226"/>
        <v>232</v>
      </c>
      <c r="DR78" s="882">
        <f t="shared" ca="1" si="226"/>
        <v>232</v>
      </c>
      <c r="DS78" s="882">
        <f t="shared" ca="1" si="226"/>
        <v>232</v>
      </c>
      <c r="DT78" s="882">
        <f t="shared" ca="1" si="226"/>
        <v>232</v>
      </c>
      <c r="DU78" s="882">
        <f t="shared" ca="1" si="226"/>
        <v>232</v>
      </c>
      <c r="DV78" s="882">
        <f t="shared" ca="1" si="226"/>
        <v>232</v>
      </c>
      <c r="DW78" s="882">
        <f t="shared" ca="1" si="226"/>
        <v>232</v>
      </c>
      <c r="DX78" s="882">
        <f t="shared" ca="1" si="226"/>
        <v>232</v>
      </c>
      <c r="DY78" s="882">
        <f t="shared" ca="1" si="226"/>
        <v>232</v>
      </c>
      <c r="DZ78" s="882">
        <f t="shared" ca="1" si="226"/>
        <v>232</v>
      </c>
      <c r="EA78" s="882">
        <f t="shared" ca="1" si="226"/>
        <v>232</v>
      </c>
      <c r="EB78" s="882">
        <f t="shared" ca="1" si="226"/>
        <v>232</v>
      </c>
      <c r="EC78" s="882">
        <f t="shared" ca="1" si="226"/>
        <v>232</v>
      </c>
      <c r="ED78" s="882">
        <f t="shared" ca="1" si="226"/>
        <v>232</v>
      </c>
      <c r="EE78" s="882">
        <f t="shared" ref="EE78:FJ78" ca="1" si="227">EE70-EE77</f>
        <v>232</v>
      </c>
      <c r="EF78" s="882">
        <f t="shared" ca="1" si="227"/>
        <v>232</v>
      </c>
      <c r="EG78" s="882">
        <f t="shared" ca="1" si="227"/>
        <v>232</v>
      </c>
      <c r="EH78" s="882">
        <f t="shared" ca="1" si="227"/>
        <v>232</v>
      </c>
      <c r="EI78" s="882">
        <f t="shared" ca="1" si="227"/>
        <v>232</v>
      </c>
      <c r="EJ78" s="882">
        <f t="shared" ca="1" si="227"/>
        <v>232</v>
      </c>
      <c r="EK78" s="882">
        <f t="shared" ca="1" si="227"/>
        <v>232</v>
      </c>
      <c r="EL78" s="882">
        <f t="shared" ca="1" si="227"/>
        <v>232</v>
      </c>
      <c r="EM78" s="882">
        <f t="shared" ca="1" si="227"/>
        <v>232</v>
      </c>
      <c r="EN78" s="882">
        <f t="shared" ca="1" si="227"/>
        <v>232</v>
      </c>
      <c r="EO78" s="882">
        <f t="shared" ca="1" si="227"/>
        <v>232</v>
      </c>
      <c r="EP78" s="882">
        <f t="shared" ca="1" si="227"/>
        <v>232</v>
      </c>
      <c r="EQ78" s="882">
        <f t="shared" ca="1" si="227"/>
        <v>232</v>
      </c>
      <c r="ER78" s="882">
        <f t="shared" ca="1" si="227"/>
        <v>232</v>
      </c>
      <c r="ES78" s="882">
        <f t="shared" ca="1" si="227"/>
        <v>232</v>
      </c>
      <c r="ET78" s="882">
        <f t="shared" ca="1" si="227"/>
        <v>232</v>
      </c>
      <c r="EU78" s="882">
        <f t="shared" ca="1" si="227"/>
        <v>232</v>
      </c>
      <c r="EV78" s="882">
        <f t="shared" ca="1" si="227"/>
        <v>232</v>
      </c>
      <c r="EW78" s="882">
        <f t="shared" ca="1" si="227"/>
        <v>232</v>
      </c>
      <c r="EX78" s="882">
        <f t="shared" ca="1" si="227"/>
        <v>232</v>
      </c>
      <c r="EY78" s="882">
        <f t="shared" ca="1" si="227"/>
        <v>232</v>
      </c>
      <c r="EZ78" s="882">
        <f t="shared" ca="1" si="227"/>
        <v>232</v>
      </c>
      <c r="FA78" s="882">
        <f t="shared" ca="1" si="227"/>
        <v>232</v>
      </c>
      <c r="FB78" s="882">
        <f t="shared" ca="1" si="227"/>
        <v>232</v>
      </c>
      <c r="FC78" s="882">
        <f t="shared" ca="1" si="227"/>
        <v>232</v>
      </c>
      <c r="FD78" s="882">
        <f t="shared" ca="1" si="227"/>
        <v>232</v>
      </c>
      <c r="FE78" s="882">
        <f t="shared" ca="1" si="227"/>
        <v>232</v>
      </c>
      <c r="FF78" s="882">
        <f t="shared" ca="1" si="227"/>
        <v>232</v>
      </c>
      <c r="FG78" s="882">
        <f t="shared" ca="1" si="227"/>
        <v>232</v>
      </c>
      <c r="FH78" s="882">
        <f t="shared" ca="1" si="227"/>
        <v>232</v>
      </c>
      <c r="FI78" s="882">
        <f t="shared" ca="1" si="227"/>
        <v>232</v>
      </c>
      <c r="FJ78" s="882">
        <f t="shared" ca="1" si="227"/>
        <v>232</v>
      </c>
      <c r="FK78" s="882">
        <f t="shared" ref="FK78:FN78" ca="1" si="228">FK70-FK77</f>
        <v>232</v>
      </c>
      <c r="FL78" s="882">
        <f t="shared" ca="1" si="228"/>
        <v>232</v>
      </c>
      <c r="FM78" s="882">
        <f t="shared" ca="1" si="228"/>
        <v>232</v>
      </c>
      <c r="FN78" s="1008">
        <f t="shared" ca="1" si="228"/>
        <v>232</v>
      </c>
      <c r="FO78" s="144" t="s">
        <v>243</v>
      </c>
    </row>
    <row r="79" spans="2:171" x14ac:dyDescent="0.2">
      <c r="B79" s="1005">
        <v>44837</v>
      </c>
      <c r="D79" s="144">
        <v>1</v>
      </c>
      <c r="E79" s="144">
        <v>0</v>
      </c>
      <c r="F79" s="144">
        <v>0</v>
      </c>
      <c r="G79" s="144">
        <v>0</v>
      </c>
      <c r="H79" s="144">
        <v>0</v>
      </c>
      <c r="I79" s="144">
        <v>0</v>
      </c>
      <c r="J79" s="144">
        <v>0</v>
      </c>
      <c r="K79" s="144">
        <v>0</v>
      </c>
      <c r="L79" s="144">
        <v>0</v>
      </c>
      <c r="M79" s="144">
        <v>1</v>
      </c>
      <c r="N79" s="144">
        <v>0</v>
      </c>
      <c r="O79" s="144">
        <v>0</v>
      </c>
      <c r="Q79" s="1004">
        <f t="shared" si="187"/>
        <v>2</v>
      </c>
      <c r="AK79" s="1009" t="s">
        <v>381</v>
      </c>
      <c r="AL79" s="1001">
        <f>IFERROR(1-(AL65/AL40),0)</f>
        <v>0.95901639344262291</v>
      </c>
      <c r="AM79" s="1001">
        <f t="shared" ref="AM79:BQ79" ca="1" si="229">IFERROR(1-(AM65/AM40),0)</f>
        <v>0.94</v>
      </c>
      <c r="AN79" s="1001">
        <f ca="1">IFERROR(1-(AN65/AN40),0)</f>
        <v>0.94</v>
      </c>
      <c r="AO79" s="1001">
        <f t="shared" ca="1" si="229"/>
        <v>0.94</v>
      </c>
      <c r="AP79" s="1001">
        <f t="shared" ca="1" si="229"/>
        <v>0.94</v>
      </c>
      <c r="AQ79" s="1001">
        <f t="shared" ca="1" si="229"/>
        <v>0.94</v>
      </c>
      <c r="AR79" s="1001">
        <f t="shared" ca="1" si="229"/>
        <v>0.94</v>
      </c>
      <c r="AS79" s="1001">
        <f t="shared" ca="1" si="229"/>
        <v>0.94</v>
      </c>
      <c r="AT79" s="1001">
        <f t="shared" ca="1" si="229"/>
        <v>0.94</v>
      </c>
      <c r="AU79" s="1001">
        <f t="shared" ca="1" si="229"/>
        <v>0.94</v>
      </c>
      <c r="AV79" s="1001">
        <f t="shared" ca="1" si="229"/>
        <v>0.94</v>
      </c>
      <c r="AW79" s="1001">
        <f t="shared" ca="1" si="229"/>
        <v>0.94</v>
      </c>
      <c r="AX79" s="1001">
        <f t="shared" ca="1" si="229"/>
        <v>0.94</v>
      </c>
      <c r="AY79" s="1001">
        <f t="shared" ca="1" si="229"/>
        <v>0.94</v>
      </c>
      <c r="AZ79" s="1001">
        <f t="shared" ca="1" si="229"/>
        <v>0.94000000000000006</v>
      </c>
      <c r="BA79" s="1001">
        <f t="shared" ca="1" si="229"/>
        <v>0.94</v>
      </c>
      <c r="BB79" s="1001">
        <f t="shared" ca="1" si="229"/>
        <v>0.94</v>
      </c>
      <c r="BC79" s="1001">
        <f t="shared" ca="1" si="229"/>
        <v>0.94</v>
      </c>
      <c r="BD79" s="1001">
        <f t="shared" ca="1" si="229"/>
        <v>0.94000000000000006</v>
      </c>
      <c r="BE79" s="1001">
        <f t="shared" ca="1" si="229"/>
        <v>0.94</v>
      </c>
      <c r="BF79" s="1001">
        <f t="shared" ca="1" si="229"/>
        <v>0.94</v>
      </c>
      <c r="BG79" s="1001">
        <f t="shared" ca="1" si="229"/>
        <v>0.94</v>
      </c>
      <c r="BH79" s="1001">
        <f t="shared" ca="1" si="229"/>
        <v>0.94000000000000006</v>
      </c>
      <c r="BI79" s="1001">
        <f t="shared" ca="1" si="229"/>
        <v>0.94</v>
      </c>
      <c r="BJ79" s="1001">
        <f t="shared" ca="1" si="229"/>
        <v>0.94</v>
      </c>
      <c r="BK79" s="1001">
        <f t="shared" ca="1" si="229"/>
        <v>0.95</v>
      </c>
      <c r="BL79" s="1001">
        <f t="shared" ca="1" si="229"/>
        <v>0.95</v>
      </c>
      <c r="BM79" s="1001">
        <f t="shared" ca="1" si="229"/>
        <v>0.95</v>
      </c>
      <c r="BN79" s="1001">
        <f t="shared" ca="1" si="229"/>
        <v>0.95</v>
      </c>
      <c r="BO79" s="1001">
        <f t="shared" ca="1" si="229"/>
        <v>0.95</v>
      </c>
      <c r="BP79" s="1001">
        <f t="shared" ca="1" si="229"/>
        <v>0.95</v>
      </c>
      <c r="BQ79" s="1001">
        <f t="shared" ca="1" si="229"/>
        <v>0.95</v>
      </c>
      <c r="BR79" s="1001">
        <f t="shared" ref="BR79:CW79" ca="1" si="230">IFERROR(1-(BR65/BR40),0)</f>
        <v>0.95</v>
      </c>
      <c r="BS79" s="1001">
        <f t="shared" ca="1" si="230"/>
        <v>0.95</v>
      </c>
      <c r="BT79" s="1001">
        <f t="shared" ca="1" si="230"/>
        <v>0.95</v>
      </c>
      <c r="BU79" s="1001">
        <f t="shared" ca="1" si="230"/>
        <v>0.95</v>
      </c>
      <c r="BV79" s="1001">
        <f t="shared" ca="1" si="230"/>
        <v>0.95</v>
      </c>
      <c r="BW79" s="1001">
        <f t="shared" ca="1" si="230"/>
        <v>0.95</v>
      </c>
      <c r="BX79" s="1001">
        <f t="shared" ca="1" si="230"/>
        <v>0.95</v>
      </c>
      <c r="BY79" s="1001">
        <f t="shared" ca="1" si="230"/>
        <v>0.95</v>
      </c>
      <c r="BZ79" s="1001">
        <f t="shared" ca="1" si="230"/>
        <v>0.95</v>
      </c>
      <c r="CA79" s="1001">
        <f t="shared" ca="1" si="230"/>
        <v>0.95</v>
      </c>
      <c r="CB79" s="1001">
        <f t="shared" ca="1" si="230"/>
        <v>0.95</v>
      </c>
      <c r="CC79" s="1001">
        <f t="shared" ca="1" si="230"/>
        <v>0.95</v>
      </c>
      <c r="CD79" s="1001">
        <f t="shared" ca="1" si="230"/>
        <v>0.95</v>
      </c>
      <c r="CE79" s="1001">
        <f t="shared" ca="1" si="230"/>
        <v>0.95</v>
      </c>
      <c r="CF79" s="1001">
        <f t="shared" ca="1" si="230"/>
        <v>0.95</v>
      </c>
      <c r="CG79" s="1001">
        <f t="shared" ca="1" si="230"/>
        <v>0.95</v>
      </c>
      <c r="CH79" s="1001">
        <f t="shared" ca="1" si="230"/>
        <v>0.95</v>
      </c>
      <c r="CI79" s="1001">
        <f t="shared" ca="1" si="230"/>
        <v>0.95</v>
      </c>
      <c r="CJ79" s="1001">
        <f t="shared" ca="1" si="230"/>
        <v>0.95</v>
      </c>
      <c r="CK79" s="1001">
        <f t="shared" ca="1" si="230"/>
        <v>0.95</v>
      </c>
      <c r="CL79" s="1001">
        <f t="shared" ca="1" si="230"/>
        <v>0.95</v>
      </c>
      <c r="CM79" s="1001">
        <f t="shared" ca="1" si="230"/>
        <v>0.95</v>
      </c>
      <c r="CN79" s="1001">
        <f t="shared" ca="1" si="230"/>
        <v>0.95</v>
      </c>
      <c r="CO79" s="1001">
        <f t="shared" ca="1" si="230"/>
        <v>0.95</v>
      </c>
      <c r="CP79" s="1001">
        <f t="shared" ca="1" si="230"/>
        <v>0.95</v>
      </c>
      <c r="CQ79" s="1001">
        <f t="shared" ca="1" si="230"/>
        <v>0.95</v>
      </c>
      <c r="CR79" s="1001">
        <f t="shared" ca="1" si="230"/>
        <v>0.95</v>
      </c>
      <c r="CS79" s="1001">
        <f t="shared" ca="1" si="230"/>
        <v>0.95</v>
      </c>
      <c r="CT79" s="1001">
        <f t="shared" ca="1" si="230"/>
        <v>0.95</v>
      </c>
      <c r="CU79" s="1001">
        <f t="shared" ca="1" si="230"/>
        <v>0.95</v>
      </c>
      <c r="CV79" s="1001">
        <f t="shared" ca="1" si="230"/>
        <v>0.95</v>
      </c>
      <c r="CW79" s="1001">
        <f t="shared" ca="1" si="230"/>
        <v>0.95</v>
      </c>
      <c r="CX79" s="1001">
        <f t="shared" ref="CX79:EC79" ca="1" si="231">IFERROR(1-(CX65/CX40),0)</f>
        <v>0.95</v>
      </c>
      <c r="CY79" s="1001">
        <f t="shared" ca="1" si="231"/>
        <v>0.95</v>
      </c>
      <c r="CZ79" s="1001">
        <f t="shared" ca="1" si="231"/>
        <v>0.95</v>
      </c>
      <c r="DA79" s="1001">
        <f t="shared" ca="1" si="231"/>
        <v>0.95</v>
      </c>
      <c r="DB79" s="1001">
        <f t="shared" ca="1" si="231"/>
        <v>0.95</v>
      </c>
      <c r="DC79" s="1001">
        <f t="shared" ca="1" si="231"/>
        <v>0.95</v>
      </c>
      <c r="DD79" s="1001">
        <f t="shared" ca="1" si="231"/>
        <v>0.95</v>
      </c>
      <c r="DE79" s="1001">
        <f t="shared" ca="1" si="231"/>
        <v>0.95</v>
      </c>
      <c r="DF79" s="1001">
        <f t="shared" ca="1" si="231"/>
        <v>0.95</v>
      </c>
      <c r="DG79" s="1001">
        <f t="shared" ca="1" si="231"/>
        <v>0.95</v>
      </c>
      <c r="DH79" s="1001">
        <f t="shared" ca="1" si="231"/>
        <v>0.95</v>
      </c>
      <c r="DI79" s="1001">
        <f t="shared" ca="1" si="231"/>
        <v>0.95</v>
      </c>
      <c r="DJ79" s="1001">
        <f t="shared" ca="1" si="231"/>
        <v>0.95</v>
      </c>
      <c r="DK79" s="1001">
        <f t="shared" ca="1" si="231"/>
        <v>0.95</v>
      </c>
      <c r="DL79" s="1001">
        <f t="shared" ca="1" si="231"/>
        <v>0.95</v>
      </c>
      <c r="DM79" s="1001">
        <f t="shared" ca="1" si="231"/>
        <v>0.95</v>
      </c>
      <c r="DN79" s="1001">
        <f t="shared" ca="1" si="231"/>
        <v>0.95</v>
      </c>
      <c r="DO79" s="1001">
        <f t="shared" ca="1" si="231"/>
        <v>0.95</v>
      </c>
      <c r="DP79" s="1001">
        <f t="shared" ca="1" si="231"/>
        <v>0.95</v>
      </c>
      <c r="DQ79" s="1001">
        <f t="shared" ca="1" si="231"/>
        <v>0.95</v>
      </c>
      <c r="DR79" s="1001">
        <f t="shared" ca="1" si="231"/>
        <v>0.95</v>
      </c>
      <c r="DS79" s="1001">
        <f t="shared" ca="1" si="231"/>
        <v>0.95</v>
      </c>
      <c r="DT79" s="1001">
        <f t="shared" ca="1" si="231"/>
        <v>0.95</v>
      </c>
      <c r="DU79" s="1001">
        <f t="shared" ca="1" si="231"/>
        <v>0.95</v>
      </c>
      <c r="DV79" s="1001">
        <f t="shared" ca="1" si="231"/>
        <v>0.95</v>
      </c>
      <c r="DW79" s="1001">
        <f t="shared" ca="1" si="231"/>
        <v>0.95</v>
      </c>
      <c r="DX79" s="1001">
        <f t="shared" ca="1" si="231"/>
        <v>0.95</v>
      </c>
      <c r="DY79" s="1001">
        <f t="shared" ca="1" si="231"/>
        <v>0.95</v>
      </c>
      <c r="DZ79" s="1001">
        <f t="shared" ca="1" si="231"/>
        <v>0.95</v>
      </c>
      <c r="EA79" s="1001">
        <f t="shared" ca="1" si="231"/>
        <v>0.95</v>
      </c>
      <c r="EB79" s="1001">
        <f t="shared" ca="1" si="231"/>
        <v>0.95</v>
      </c>
      <c r="EC79" s="1001">
        <f t="shared" ca="1" si="231"/>
        <v>0.95</v>
      </c>
      <c r="ED79" s="1001">
        <f t="shared" ref="ED79:FN79" ca="1" si="232">IFERROR(1-(ED65/ED40),0)</f>
        <v>0.95</v>
      </c>
      <c r="EE79" s="1001">
        <f t="shared" ca="1" si="232"/>
        <v>0.95</v>
      </c>
      <c r="EF79" s="1001">
        <f t="shared" ca="1" si="232"/>
        <v>0.95</v>
      </c>
      <c r="EG79" s="1001">
        <f t="shared" ca="1" si="232"/>
        <v>0.95</v>
      </c>
      <c r="EH79" s="1001">
        <f t="shared" ca="1" si="232"/>
        <v>0.95</v>
      </c>
      <c r="EI79" s="1001">
        <f t="shared" ca="1" si="232"/>
        <v>0.95</v>
      </c>
      <c r="EJ79" s="1001">
        <f t="shared" ca="1" si="232"/>
        <v>0.95</v>
      </c>
      <c r="EK79" s="1001">
        <f t="shared" ca="1" si="232"/>
        <v>0.95</v>
      </c>
      <c r="EL79" s="1001">
        <f t="shared" ca="1" si="232"/>
        <v>0.95</v>
      </c>
      <c r="EM79" s="1001">
        <f t="shared" ca="1" si="232"/>
        <v>0.95</v>
      </c>
      <c r="EN79" s="1001">
        <f t="shared" ca="1" si="232"/>
        <v>0.95</v>
      </c>
      <c r="EO79" s="1001">
        <f t="shared" ca="1" si="232"/>
        <v>0.95</v>
      </c>
      <c r="EP79" s="1001">
        <f t="shared" ca="1" si="232"/>
        <v>0.95</v>
      </c>
      <c r="EQ79" s="1001">
        <f t="shared" ca="1" si="232"/>
        <v>0.95</v>
      </c>
      <c r="ER79" s="1001">
        <f t="shared" ca="1" si="232"/>
        <v>0.95</v>
      </c>
      <c r="ES79" s="1001">
        <f t="shared" ca="1" si="232"/>
        <v>0.95</v>
      </c>
      <c r="ET79" s="1001">
        <f t="shared" ca="1" si="232"/>
        <v>0.95</v>
      </c>
      <c r="EU79" s="1001">
        <f t="shared" ca="1" si="232"/>
        <v>0.95</v>
      </c>
      <c r="EV79" s="1001">
        <f t="shared" ca="1" si="232"/>
        <v>0.95</v>
      </c>
      <c r="EW79" s="1001">
        <f t="shared" ca="1" si="232"/>
        <v>0.95</v>
      </c>
      <c r="EX79" s="1001">
        <f t="shared" ca="1" si="232"/>
        <v>0.95</v>
      </c>
      <c r="EY79" s="1001">
        <f t="shared" ca="1" si="232"/>
        <v>0.95</v>
      </c>
      <c r="EZ79" s="1001">
        <f t="shared" ca="1" si="232"/>
        <v>0.95</v>
      </c>
      <c r="FA79" s="1001">
        <f t="shared" ca="1" si="232"/>
        <v>0.95</v>
      </c>
      <c r="FB79" s="1001">
        <f t="shared" ca="1" si="232"/>
        <v>0.95</v>
      </c>
      <c r="FC79" s="1001">
        <f t="shared" ca="1" si="232"/>
        <v>0.95</v>
      </c>
      <c r="FD79" s="1001">
        <f t="shared" ca="1" si="232"/>
        <v>0.95</v>
      </c>
      <c r="FE79" s="1001">
        <f t="shared" ca="1" si="232"/>
        <v>0.95</v>
      </c>
      <c r="FF79" s="1001">
        <f t="shared" ca="1" si="232"/>
        <v>0.95</v>
      </c>
      <c r="FG79" s="1001">
        <f t="shared" ca="1" si="232"/>
        <v>0.95</v>
      </c>
      <c r="FH79" s="1001">
        <f t="shared" ca="1" si="232"/>
        <v>0.95</v>
      </c>
      <c r="FI79" s="1001">
        <f t="shared" ca="1" si="232"/>
        <v>0.95</v>
      </c>
      <c r="FJ79" s="1001">
        <f t="shared" ca="1" si="232"/>
        <v>0.95</v>
      </c>
      <c r="FK79" s="1001">
        <f t="shared" ca="1" si="232"/>
        <v>0.95</v>
      </c>
      <c r="FL79" s="1001">
        <f t="shared" ca="1" si="232"/>
        <v>0.95</v>
      </c>
      <c r="FM79" s="1001">
        <f t="shared" ca="1" si="232"/>
        <v>0.95</v>
      </c>
      <c r="FN79" s="1002">
        <f t="shared" ca="1" si="232"/>
        <v>0.95</v>
      </c>
      <c r="FO79" s="223" t="s">
        <v>243</v>
      </c>
    </row>
    <row r="80" spans="2:171" x14ac:dyDescent="0.2">
      <c r="B80" s="1005">
        <v>44840</v>
      </c>
      <c r="D80" s="144">
        <v>0</v>
      </c>
      <c r="E80" s="144">
        <v>0</v>
      </c>
      <c r="F80" s="144">
        <v>0</v>
      </c>
      <c r="G80" s="144">
        <v>0</v>
      </c>
      <c r="H80" s="144">
        <v>1</v>
      </c>
      <c r="I80" s="144">
        <v>0</v>
      </c>
      <c r="J80" s="144">
        <v>0</v>
      </c>
      <c r="K80" s="144">
        <v>0</v>
      </c>
      <c r="L80" s="144">
        <v>0</v>
      </c>
      <c r="M80" s="144">
        <v>0</v>
      </c>
      <c r="N80" s="144">
        <v>0</v>
      </c>
      <c r="O80" s="144">
        <v>0</v>
      </c>
      <c r="Q80" s="1004">
        <f t="shared" si="187"/>
        <v>1</v>
      </c>
      <c r="AK80" s="1010" t="s">
        <v>382</v>
      </c>
      <c r="AM80" s="705"/>
      <c r="AO80" s="705"/>
      <c r="AP80" s="705"/>
      <c r="AQ80" s="705"/>
      <c r="AR80" s="705"/>
      <c r="AS80" s="705"/>
      <c r="AT80" s="705"/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1"/>
      <c r="BW80" s="151"/>
      <c r="BX80" s="151"/>
      <c r="BY80" s="151"/>
      <c r="BZ80" s="151"/>
      <c r="CA80" s="151"/>
      <c r="CB80" s="151"/>
      <c r="CC80" s="151"/>
      <c r="CD80" s="151"/>
      <c r="CE80" s="151"/>
      <c r="CF80" s="151"/>
      <c r="CG80" s="151"/>
      <c r="CH80" s="151"/>
      <c r="CI80" s="151"/>
      <c r="CJ80" s="151"/>
      <c r="CK80" s="151"/>
      <c r="CL80" s="151"/>
      <c r="CM80" s="151"/>
      <c r="CN80" s="151"/>
      <c r="CO80" s="151"/>
      <c r="CP80" s="151"/>
      <c r="CQ80" s="151"/>
      <c r="CR80" s="151"/>
      <c r="CS80" s="151"/>
      <c r="CT80" s="151"/>
      <c r="CU80" s="151"/>
      <c r="CV80" s="151"/>
      <c r="CW80" s="151"/>
      <c r="CX80" s="151"/>
      <c r="CY80" s="151"/>
      <c r="CZ80" s="151"/>
      <c r="DA80" s="151"/>
      <c r="DB80" s="151"/>
      <c r="DC80" s="151"/>
      <c r="DD80" s="151"/>
      <c r="DE80" s="151"/>
      <c r="DF80" s="151"/>
      <c r="DG80" s="151"/>
      <c r="DH80" s="151"/>
      <c r="DI80" s="151"/>
      <c r="DJ80" s="151"/>
      <c r="DK80" s="151"/>
      <c r="DL80" s="151"/>
      <c r="DM80" s="151"/>
      <c r="DN80" s="151"/>
      <c r="DO80" s="151"/>
      <c r="DP80" s="151"/>
      <c r="DQ80" s="151"/>
      <c r="DR80" s="151"/>
      <c r="DS80" s="151"/>
      <c r="DT80" s="151"/>
      <c r="DU80" s="151"/>
      <c r="DV80" s="151"/>
      <c r="DW80" s="151"/>
      <c r="DX80" s="151"/>
      <c r="DY80" s="151"/>
      <c r="DZ80" s="151"/>
      <c r="EA80" s="151"/>
      <c r="EB80" s="151"/>
      <c r="EC80" s="151"/>
      <c r="ED80" s="151"/>
      <c r="EE80" s="151"/>
      <c r="EF80" s="151"/>
      <c r="EG80" s="151"/>
      <c r="EH80" s="151"/>
      <c r="EI80" s="151"/>
      <c r="EJ80" s="151"/>
      <c r="EK80" s="151"/>
      <c r="EL80" s="151"/>
      <c r="EM80" s="151"/>
      <c r="EN80" s="151"/>
      <c r="EO80" s="151"/>
      <c r="EP80" s="151"/>
      <c r="EQ80" s="151"/>
      <c r="ER80" s="151"/>
      <c r="ES80" s="151"/>
      <c r="ET80" s="151"/>
      <c r="EU80" s="151"/>
      <c r="EV80" s="151"/>
      <c r="EW80" s="151"/>
      <c r="EX80" s="151"/>
      <c r="EY80" s="151"/>
      <c r="EZ80" s="151"/>
      <c r="FA80" s="151"/>
      <c r="FB80" s="151"/>
      <c r="FC80" s="151"/>
      <c r="FD80" s="151"/>
      <c r="FE80" s="151"/>
      <c r="FF80" s="151"/>
      <c r="FG80" s="151"/>
      <c r="FH80" s="151"/>
      <c r="FI80" s="151"/>
      <c r="FJ80" s="151"/>
      <c r="FK80" s="151"/>
      <c r="FL80" s="151"/>
      <c r="FM80" s="151"/>
      <c r="FN80" s="898"/>
      <c r="FO80" s="144" t="s">
        <v>243</v>
      </c>
    </row>
    <row r="81" spans="2:171" x14ac:dyDescent="0.2">
      <c r="B81" s="1005">
        <v>44841</v>
      </c>
      <c r="D81" s="144">
        <v>0</v>
      </c>
      <c r="E81" s="144">
        <v>0</v>
      </c>
      <c r="F81" s="144">
        <v>0</v>
      </c>
      <c r="G81" s="144">
        <v>0</v>
      </c>
      <c r="H81" s="144">
        <v>0</v>
      </c>
      <c r="I81" s="144">
        <v>0</v>
      </c>
      <c r="J81" s="144">
        <v>0</v>
      </c>
      <c r="K81" s="144">
        <v>0</v>
      </c>
      <c r="L81" s="144">
        <v>1</v>
      </c>
      <c r="M81" s="144">
        <v>0</v>
      </c>
      <c r="N81" s="144">
        <v>0</v>
      </c>
      <c r="O81" s="144">
        <v>0</v>
      </c>
      <c r="Q81" s="1004">
        <f t="shared" si="187"/>
        <v>1</v>
      </c>
      <c r="AK81" s="721" t="s">
        <v>320</v>
      </c>
      <c r="AL81" s="151">
        <f>AL74</f>
        <v>15</v>
      </c>
      <c r="AM81" s="151">
        <f t="shared" ref="AM81:AX81" si="233">AM74</f>
        <v>6</v>
      </c>
      <c r="AN81" s="151">
        <f t="shared" si="233"/>
        <v>6</v>
      </c>
      <c r="AO81" s="151">
        <f t="shared" si="233"/>
        <v>6</v>
      </c>
      <c r="AP81" s="151">
        <f t="shared" si="233"/>
        <v>6</v>
      </c>
      <c r="AQ81" s="151">
        <f t="shared" si="233"/>
        <v>6</v>
      </c>
      <c r="AR81" s="151">
        <f t="shared" si="233"/>
        <v>6</v>
      </c>
      <c r="AS81" s="151">
        <f t="shared" si="233"/>
        <v>6</v>
      </c>
      <c r="AT81" s="151">
        <f t="shared" si="233"/>
        <v>6</v>
      </c>
      <c r="AU81" s="151">
        <f t="shared" si="233"/>
        <v>6</v>
      </c>
      <c r="AV81" s="151">
        <f t="shared" si="233"/>
        <v>6</v>
      </c>
      <c r="AW81" s="151">
        <f t="shared" si="233"/>
        <v>6</v>
      </c>
      <c r="AX81" s="151">
        <f t="shared" si="233"/>
        <v>6</v>
      </c>
      <c r="AY81" s="151">
        <f t="shared" ref="AY81:CD81" si="234">AY74</f>
        <v>5</v>
      </c>
      <c r="AZ81" s="151">
        <f t="shared" si="234"/>
        <v>5</v>
      </c>
      <c r="BA81" s="151">
        <f t="shared" si="234"/>
        <v>5</v>
      </c>
      <c r="BB81" s="151">
        <f t="shared" si="234"/>
        <v>5</v>
      </c>
      <c r="BC81" s="151">
        <f t="shared" si="234"/>
        <v>5</v>
      </c>
      <c r="BD81" s="151">
        <f t="shared" si="234"/>
        <v>5</v>
      </c>
      <c r="BE81" s="151">
        <f t="shared" si="234"/>
        <v>5</v>
      </c>
      <c r="BF81" s="151">
        <f t="shared" si="234"/>
        <v>5</v>
      </c>
      <c r="BG81" s="151">
        <f t="shared" si="234"/>
        <v>5</v>
      </c>
      <c r="BH81" s="151">
        <f t="shared" si="234"/>
        <v>5</v>
      </c>
      <c r="BI81" s="151">
        <f t="shared" si="234"/>
        <v>5</v>
      </c>
      <c r="BJ81" s="151">
        <f t="shared" si="234"/>
        <v>5</v>
      </c>
      <c r="BK81" s="151">
        <f t="shared" si="234"/>
        <v>6</v>
      </c>
      <c r="BL81" s="151">
        <f t="shared" si="234"/>
        <v>6</v>
      </c>
      <c r="BM81" s="151">
        <f t="shared" si="234"/>
        <v>6</v>
      </c>
      <c r="BN81" s="151">
        <f t="shared" si="234"/>
        <v>6</v>
      </c>
      <c r="BO81" s="151">
        <f t="shared" si="234"/>
        <v>6</v>
      </c>
      <c r="BP81" s="151">
        <f t="shared" si="234"/>
        <v>6</v>
      </c>
      <c r="BQ81" s="151">
        <f t="shared" si="234"/>
        <v>6</v>
      </c>
      <c r="BR81" s="151">
        <f t="shared" si="234"/>
        <v>6</v>
      </c>
      <c r="BS81" s="151">
        <f t="shared" si="234"/>
        <v>6</v>
      </c>
      <c r="BT81" s="151">
        <f t="shared" si="234"/>
        <v>6</v>
      </c>
      <c r="BU81" s="151">
        <f t="shared" si="234"/>
        <v>6</v>
      </c>
      <c r="BV81" s="151">
        <f t="shared" si="234"/>
        <v>6</v>
      </c>
      <c r="BW81" s="151">
        <f t="shared" si="234"/>
        <v>6</v>
      </c>
      <c r="BX81" s="151">
        <f t="shared" si="234"/>
        <v>6</v>
      </c>
      <c r="BY81" s="151">
        <f t="shared" si="234"/>
        <v>6</v>
      </c>
      <c r="BZ81" s="151">
        <f t="shared" si="234"/>
        <v>6</v>
      </c>
      <c r="CA81" s="151">
        <f t="shared" si="234"/>
        <v>6</v>
      </c>
      <c r="CB81" s="151">
        <f t="shared" si="234"/>
        <v>6</v>
      </c>
      <c r="CC81" s="151">
        <f t="shared" si="234"/>
        <v>6</v>
      </c>
      <c r="CD81" s="151">
        <f t="shared" si="234"/>
        <v>6</v>
      </c>
      <c r="CE81" s="151">
        <f t="shared" ref="CE81:DJ81" si="235">CE74</f>
        <v>6</v>
      </c>
      <c r="CF81" s="151">
        <f t="shared" si="235"/>
        <v>6</v>
      </c>
      <c r="CG81" s="151">
        <f t="shared" si="235"/>
        <v>6</v>
      </c>
      <c r="CH81" s="151">
        <f t="shared" si="235"/>
        <v>6</v>
      </c>
      <c r="CI81" s="151">
        <f t="shared" si="235"/>
        <v>6</v>
      </c>
      <c r="CJ81" s="151">
        <f t="shared" si="235"/>
        <v>6</v>
      </c>
      <c r="CK81" s="151">
        <f t="shared" si="235"/>
        <v>6</v>
      </c>
      <c r="CL81" s="151">
        <f t="shared" si="235"/>
        <v>6</v>
      </c>
      <c r="CM81" s="151">
        <f t="shared" si="235"/>
        <v>6</v>
      </c>
      <c r="CN81" s="151">
        <f t="shared" si="235"/>
        <v>6</v>
      </c>
      <c r="CO81" s="151">
        <f t="shared" si="235"/>
        <v>6</v>
      </c>
      <c r="CP81" s="151">
        <f t="shared" si="235"/>
        <v>6</v>
      </c>
      <c r="CQ81" s="151">
        <f t="shared" si="235"/>
        <v>6</v>
      </c>
      <c r="CR81" s="151">
        <f t="shared" si="235"/>
        <v>6</v>
      </c>
      <c r="CS81" s="151">
        <f t="shared" si="235"/>
        <v>6</v>
      </c>
      <c r="CT81" s="151">
        <f t="shared" si="235"/>
        <v>6</v>
      </c>
      <c r="CU81" s="151">
        <f t="shared" si="235"/>
        <v>6</v>
      </c>
      <c r="CV81" s="151">
        <f t="shared" si="235"/>
        <v>6</v>
      </c>
      <c r="CW81" s="151">
        <f t="shared" si="235"/>
        <v>6</v>
      </c>
      <c r="CX81" s="151">
        <f t="shared" si="235"/>
        <v>6</v>
      </c>
      <c r="CY81" s="151">
        <f t="shared" si="235"/>
        <v>6</v>
      </c>
      <c r="CZ81" s="151">
        <f t="shared" si="235"/>
        <v>6</v>
      </c>
      <c r="DA81" s="151">
        <f t="shared" si="235"/>
        <v>6</v>
      </c>
      <c r="DB81" s="151">
        <f t="shared" si="235"/>
        <v>6</v>
      </c>
      <c r="DC81" s="151">
        <f t="shared" si="235"/>
        <v>6</v>
      </c>
      <c r="DD81" s="151">
        <f t="shared" si="235"/>
        <v>6</v>
      </c>
      <c r="DE81" s="151">
        <f t="shared" si="235"/>
        <v>6</v>
      </c>
      <c r="DF81" s="151">
        <f t="shared" si="235"/>
        <v>6</v>
      </c>
      <c r="DG81" s="151">
        <f t="shared" si="235"/>
        <v>6</v>
      </c>
      <c r="DH81" s="151">
        <f t="shared" si="235"/>
        <v>6</v>
      </c>
      <c r="DI81" s="151">
        <f t="shared" si="235"/>
        <v>6</v>
      </c>
      <c r="DJ81" s="151">
        <f t="shared" si="235"/>
        <v>6</v>
      </c>
      <c r="DK81" s="151">
        <f t="shared" ref="DK81:EP81" si="236">DK74</f>
        <v>6</v>
      </c>
      <c r="DL81" s="151">
        <f t="shared" si="236"/>
        <v>6</v>
      </c>
      <c r="DM81" s="151">
        <f t="shared" si="236"/>
        <v>6</v>
      </c>
      <c r="DN81" s="151">
        <f t="shared" si="236"/>
        <v>6</v>
      </c>
      <c r="DO81" s="151">
        <f t="shared" si="236"/>
        <v>6</v>
      </c>
      <c r="DP81" s="151">
        <f t="shared" si="236"/>
        <v>6</v>
      </c>
      <c r="DQ81" s="151">
        <f t="shared" si="236"/>
        <v>6</v>
      </c>
      <c r="DR81" s="151">
        <f t="shared" si="236"/>
        <v>6</v>
      </c>
      <c r="DS81" s="151">
        <f t="shared" si="236"/>
        <v>6</v>
      </c>
      <c r="DT81" s="151">
        <f t="shared" si="236"/>
        <v>6</v>
      </c>
      <c r="DU81" s="151">
        <f t="shared" si="236"/>
        <v>6</v>
      </c>
      <c r="DV81" s="151">
        <f t="shared" si="236"/>
        <v>6</v>
      </c>
      <c r="DW81" s="151">
        <f t="shared" si="236"/>
        <v>6</v>
      </c>
      <c r="DX81" s="151">
        <f t="shared" si="236"/>
        <v>6</v>
      </c>
      <c r="DY81" s="151">
        <f t="shared" si="236"/>
        <v>6</v>
      </c>
      <c r="DZ81" s="151">
        <f t="shared" si="236"/>
        <v>6</v>
      </c>
      <c r="EA81" s="151">
        <f t="shared" si="236"/>
        <v>6</v>
      </c>
      <c r="EB81" s="151">
        <f t="shared" si="236"/>
        <v>6</v>
      </c>
      <c r="EC81" s="151">
        <f t="shared" si="236"/>
        <v>6</v>
      </c>
      <c r="ED81" s="151">
        <f t="shared" si="236"/>
        <v>6</v>
      </c>
      <c r="EE81" s="151">
        <f t="shared" si="236"/>
        <v>6</v>
      </c>
      <c r="EF81" s="151">
        <f t="shared" si="236"/>
        <v>6</v>
      </c>
      <c r="EG81" s="151">
        <f t="shared" si="236"/>
        <v>6</v>
      </c>
      <c r="EH81" s="151">
        <f t="shared" si="236"/>
        <v>6</v>
      </c>
      <c r="EI81" s="151">
        <f t="shared" si="236"/>
        <v>6</v>
      </c>
      <c r="EJ81" s="151">
        <f t="shared" si="236"/>
        <v>6</v>
      </c>
      <c r="EK81" s="151">
        <f t="shared" si="236"/>
        <v>6</v>
      </c>
      <c r="EL81" s="151">
        <f t="shared" si="236"/>
        <v>6</v>
      </c>
      <c r="EM81" s="151">
        <f t="shared" si="236"/>
        <v>6</v>
      </c>
      <c r="EN81" s="151">
        <f t="shared" si="236"/>
        <v>6</v>
      </c>
      <c r="EO81" s="151">
        <f t="shared" si="236"/>
        <v>6</v>
      </c>
      <c r="EP81" s="151">
        <f t="shared" si="236"/>
        <v>6</v>
      </c>
      <c r="EQ81" s="151">
        <f t="shared" ref="EQ81:FN81" si="237">EQ74</f>
        <v>6</v>
      </c>
      <c r="ER81" s="151">
        <f t="shared" si="237"/>
        <v>6</v>
      </c>
      <c r="ES81" s="151">
        <f t="shared" si="237"/>
        <v>6</v>
      </c>
      <c r="ET81" s="151">
        <f t="shared" si="237"/>
        <v>6</v>
      </c>
      <c r="EU81" s="151">
        <f t="shared" si="237"/>
        <v>6</v>
      </c>
      <c r="EV81" s="151">
        <f t="shared" si="237"/>
        <v>6</v>
      </c>
      <c r="EW81" s="151">
        <f t="shared" si="237"/>
        <v>6</v>
      </c>
      <c r="EX81" s="151">
        <f t="shared" si="237"/>
        <v>6</v>
      </c>
      <c r="EY81" s="151">
        <f t="shared" si="237"/>
        <v>6</v>
      </c>
      <c r="EZ81" s="151">
        <f t="shared" si="237"/>
        <v>6</v>
      </c>
      <c r="FA81" s="151">
        <f t="shared" si="237"/>
        <v>6</v>
      </c>
      <c r="FB81" s="151">
        <f t="shared" si="237"/>
        <v>6</v>
      </c>
      <c r="FC81" s="151">
        <f t="shared" si="237"/>
        <v>6</v>
      </c>
      <c r="FD81" s="151">
        <f t="shared" si="237"/>
        <v>6</v>
      </c>
      <c r="FE81" s="151">
        <f t="shared" si="237"/>
        <v>6</v>
      </c>
      <c r="FF81" s="151">
        <f t="shared" si="237"/>
        <v>6</v>
      </c>
      <c r="FG81" s="151">
        <f t="shared" si="237"/>
        <v>6</v>
      </c>
      <c r="FH81" s="151">
        <f t="shared" si="237"/>
        <v>6</v>
      </c>
      <c r="FI81" s="151">
        <f t="shared" si="237"/>
        <v>6</v>
      </c>
      <c r="FJ81" s="151">
        <f t="shared" si="237"/>
        <v>6</v>
      </c>
      <c r="FK81" s="151">
        <f t="shared" si="237"/>
        <v>6</v>
      </c>
      <c r="FL81" s="151">
        <f t="shared" si="237"/>
        <v>6</v>
      </c>
      <c r="FM81" s="151">
        <f t="shared" si="237"/>
        <v>6</v>
      </c>
      <c r="FN81" s="898">
        <f t="shared" si="237"/>
        <v>6</v>
      </c>
      <c r="FO81" s="144" t="s">
        <v>243</v>
      </c>
    </row>
    <row r="82" spans="2:171" x14ac:dyDescent="0.2">
      <c r="B82" s="1005">
        <v>44842</v>
      </c>
      <c r="D82" s="144">
        <v>1</v>
      </c>
      <c r="E82" s="144">
        <v>0</v>
      </c>
      <c r="F82" s="144">
        <v>1</v>
      </c>
      <c r="G82" s="144">
        <v>0</v>
      </c>
      <c r="H82" s="144">
        <v>0</v>
      </c>
      <c r="I82" s="144">
        <v>0</v>
      </c>
      <c r="J82" s="144">
        <v>0</v>
      </c>
      <c r="K82" s="144">
        <v>0</v>
      </c>
      <c r="L82" s="144">
        <v>0</v>
      </c>
      <c r="M82" s="144">
        <v>0</v>
      </c>
      <c r="N82" s="144">
        <v>0</v>
      </c>
      <c r="O82" s="144">
        <v>0</v>
      </c>
      <c r="Q82" s="1004">
        <f t="shared" si="187"/>
        <v>2</v>
      </c>
      <c r="AK82" s="721" t="s">
        <v>365</v>
      </c>
      <c r="AL82" s="151">
        <f t="shared" ref="AL82:BQ82" si="238">AL76</f>
        <v>0</v>
      </c>
      <c r="AM82" s="151">
        <f t="shared" ca="1" si="238"/>
        <v>4</v>
      </c>
      <c r="AN82" s="151">
        <f t="shared" ca="1" si="238"/>
        <v>9</v>
      </c>
      <c r="AO82" s="151">
        <f t="shared" ca="1" si="238"/>
        <v>9</v>
      </c>
      <c r="AP82" s="151">
        <f t="shared" ca="1" si="238"/>
        <v>9</v>
      </c>
      <c r="AQ82" s="151">
        <f t="shared" ca="1" si="238"/>
        <v>9</v>
      </c>
      <c r="AR82" s="151">
        <f t="shared" ca="1" si="238"/>
        <v>9</v>
      </c>
      <c r="AS82" s="151">
        <f t="shared" ca="1" si="238"/>
        <v>9</v>
      </c>
      <c r="AT82" s="151">
        <f t="shared" ca="1" si="238"/>
        <v>9</v>
      </c>
      <c r="AU82" s="151">
        <f t="shared" ca="1" si="238"/>
        <v>9</v>
      </c>
      <c r="AV82" s="151">
        <f t="shared" ca="1" si="238"/>
        <v>9</v>
      </c>
      <c r="AW82" s="151">
        <f t="shared" ca="1" si="238"/>
        <v>9</v>
      </c>
      <c r="AX82" s="151">
        <f t="shared" ca="1" si="238"/>
        <v>9</v>
      </c>
      <c r="AY82" s="151">
        <f t="shared" ca="1" si="238"/>
        <v>10</v>
      </c>
      <c r="AZ82" s="151">
        <f t="shared" ca="1" si="238"/>
        <v>10</v>
      </c>
      <c r="BA82" s="151">
        <f t="shared" ca="1" si="238"/>
        <v>10</v>
      </c>
      <c r="BB82" s="151">
        <f t="shared" ca="1" si="238"/>
        <v>10</v>
      </c>
      <c r="BC82" s="151">
        <f t="shared" ca="1" si="238"/>
        <v>10</v>
      </c>
      <c r="BD82" s="151">
        <f t="shared" ca="1" si="238"/>
        <v>10</v>
      </c>
      <c r="BE82" s="151">
        <f t="shared" ca="1" si="238"/>
        <v>10</v>
      </c>
      <c r="BF82" s="151">
        <f t="shared" ca="1" si="238"/>
        <v>10</v>
      </c>
      <c r="BG82" s="151">
        <f t="shared" ca="1" si="238"/>
        <v>10</v>
      </c>
      <c r="BH82" s="151">
        <f t="shared" ca="1" si="238"/>
        <v>10</v>
      </c>
      <c r="BI82" s="151">
        <f t="shared" ca="1" si="238"/>
        <v>10</v>
      </c>
      <c r="BJ82" s="151">
        <f t="shared" ca="1" si="238"/>
        <v>10</v>
      </c>
      <c r="BK82" s="151">
        <f t="shared" ca="1" si="238"/>
        <v>12</v>
      </c>
      <c r="BL82" s="151">
        <f t="shared" ca="1" si="238"/>
        <v>9</v>
      </c>
      <c r="BM82" s="151">
        <f t="shared" ca="1" si="238"/>
        <v>9</v>
      </c>
      <c r="BN82" s="151">
        <f t="shared" ca="1" si="238"/>
        <v>9</v>
      </c>
      <c r="BO82" s="151">
        <f t="shared" ca="1" si="238"/>
        <v>9</v>
      </c>
      <c r="BP82" s="151">
        <f t="shared" ca="1" si="238"/>
        <v>9</v>
      </c>
      <c r="BQ82" s="151">
        <f t="shared" ca="1" si="238"/>
        <v>9</v>
      </c>
      <c r="BR82" s="151">
        <f t="shared" ref="BR82:CW82" ca="1" si="239">BR76</f>
        <v>9</v>
      </c>
      <c r="BS82" s="151">
        <f t="shared" ca="1" si="239"/>
        <v>9</v>
      </c>
      <c r="BT82" s="151">
        <f t="shared" ca="1" si="239"/>
        <v>9</v>
      </c>
      <c r="BU82" s="151">
        <f t="shared" ca="1" si="239"/>
        <v>9</v>
      </c>
      <c r="BV82" s="151">
        <f t="shared" ca="1" si="239"/>
        <v>9</v>
      </c>
      <c r="BW82" s="151">
        <f t="shared" ca="1" si="239"/>
        <v>9</v>
      </c>
      <c r="BX82" s="151">
        <f t="shared" ca="1" si="239"/>
        <v>9</v>
      </c>
      <c r="BY82" s="151">
        <f t="shared" ca="1" si="239"/>
        <v>9</v>
      </c>
      <c r="BZ82" s="151">
        <f t="shared" ca="1" si="239"/>
        <v>9</v>
      </c>
      <c r="CA82" s="151">
        <f t="shared" ca="1" si="239"/>
        <v>9</v>
      </c>
      <c r="CB82" s="151">
        <f t="shared" ca="1" si="239"/>
        <v>9</v>
      </c>
      <c r="CC82" s="151">
        <f t="shared" ca="1" si="239"/>
        <v>9</v>
      </c>
      <c r="CD82" s="151">
        <f t="shared" ca="1" si="239"/>
        <v>9</v>
      </c>
      <c r="CE82" s="151">
        <f t="shared" ca="1" si="239"/>
        <v>9</v>
      </c>
      <c r="CF82" s="151">
        <f t="shared" ca="1" si="239"/>
        <v>9</v>
      </c>
      <c r="CG82" s="151">
        <f t="shared" ca="1" si="239"/>
        <v>9</v>
      </c>
      <c r="CH82" s="151">
        <f t="shared" ca="1" si="239"/>
        <v>9</v>
      </c>
      <c r="CI82" s="151">
        <f t="shared" ca="1" si="239"/>
        <v>9</v>
      </c>
      <c r="CJ82" s="151">
        <f t="shared" ca="1" si="239"/>
        <v>9</v>
      </c>
      <c r="CK82" s="151">
        <f t="shared" ca="1" si="239"/>
        <v>9</v>
      </c>
      <c r="CL82" s="151">
        <f t="shared" ca="1" si="239"/>
        <v>9</v>
      </c>
      <c r="CM82" s="151">
        <f t="shared" ca="1" si="239"/>
        <v>9</v>
      </c>
      <c r="CN82" s="151">
        <f t="shared" ca="1" si="239"/>
        <v>9</v>
      </c>
      <c r="CO82" s="151">
        <f t="shared" ca="1" si="239"/>
        <v>9</v>
      </c>
      <c r="CP82" s="151">
        <f t="shared" ca="1" si="239"/>
        <v>9</v>
      </c>
      <c r="CQ82" s="151">
        <f t="shared" ca="1" si="239"/>
        <v>9</v>
      </c>
      <c r="CR82" s="151">
        <f t="shared" ca="1" si="239"/>
        <v>9</v>
      </c>
      <c r="CS82" s="151">
        <f t="shared" ca="1" si="239"/>
        <v>9</v>
      </c>
      <c r="CT82" s="151">
        <f t="shared" ca="1" si="239"/>
        <v>9</v>
      </c>
      <c r="CU82" s="151">
        <f t="shared" ca="1" si="239"/>
        <v>9</v>
      </c>
      <c r="CV82" s="151">
        <f t="shared" ca="1" si="239"/>
        <v>9</v>
      </c>
      <c r="CW82" s="151">
        <f t="shared" ca="1" si="239"/>
        <v>9</v>
      </c>
      <c r="CX82" s="151">
        <f t="shared" ref="CX82:EC82" ca="1" si="240">CX76</f>
        <v>9</v>
      </c>
      <c r="CY82" s="151">
        <f t="shared" ca="1" si="240"/>
        <v>9</v>
      </c>
      <c r="CZ82" s="151">
        <f t="shared" ca="1" si="240"/>
        <v>9</v>
      </c>
      <c r="DA82" s="151">
        <f t="shared" ca="1" si="240"/>
        <v>9</v>
      </c>
      <c r="DB82" s="151">
        <f t="shared" ca="1" si="240"/>
        <v>9</v>
      </c>
      <c r="DC82" s="151">
        <f t="shared" ca="1" si="240"/>
        <v>9</v>
      </c>
      <c r="DD82" s="151">
        <f t="shared" ca="1" si="240"/>
        <v>9</v>
      </c>
      <c r="DE82" s="151">
        <f t="shared" ca="1" si="240"/>
        <v>9</v>
      </c>
      <c r="DF82" s="151">
        <f t="shared" ca="1" si="240"/>
        <v>9</v>
      </c>
      <c r="DG82" s="151">
        <f t="shared" ca="1" si="240"/>
        <v>9</v>
      </c>
      <c r="DH82" s="151">
        <f t="shared" ca="1" si="240"/>
        <v>9</v>
      </c>
      <c r="DI82" s="151">
        <f t="shared" ca="1" si="240"/>
        <v>9</v>
      </c>
      <c r="DJ82" s="151">
        <f t="shared" ca="1" si="240"/>
        <v>9</v>
      </c>
      <c r="DK82" s="151">
        <f t="shared" ca="1" si="240"/>
        <v>9</v>
      </c>
      <c r="DL82" s="151">
        <f t="shared" ca="1" si="240"/>
        <v>9</v>
      </c>
      <c r="DM82" s="151">
        <f t="shared" ca="1" si="240"/>
        <v>9</v>
      </c>
      <c r="DN82" s="151">
        <f t="shared" ca="1" si="240"/>
        <v>9</v>
      </c>
      <c r="DO82" s="151">
        <f t="shared" ca="1" si="240"/>
        <v>9</v>
      </c>
      <c r="DP82" s="151">
        <f t="shared" ca="1" si="240"/>
        <v>9</v>
      </c>
      <c r="DQ82" s="151">
        <f t="shared" ca="1" si="240"/>
        <v>9</v>
      </c>
      <c r="DR82" s="151">
        <f t="shared" ca="1" si="240"/>
        <v>9</v>
      </c>
      <c r="DS82" s="151">
        <f t="shared" ca="1" si="240"/>
        <v>9</v>
      </c>
      <c r="DT82" s="151">
        <f t="shared" ca="1" si="240"/>
        <v>9</v>
      </c>
      <c r="DU82" s="151">
        <f t="shared" ca="1" si="240"/>
        <v>9</v>
      </c>
      <c r="DV82" s="151">
        <f t="shared" ca="1" si="240"/>
        <v>9</v>
      </c>
      <c r="DW82" s="151">
        <f t="shared" ca="1" si="240"/>
        <v>9</v>
      </c>
      <c r="DX82" s="151">
        <f t="shared" ca="1" si="240"/>
        <v>9</v>
      </c>
      <c r="DY82" s="151">
        <f t="shared" ca="1" si="240"/>
        <v>9</v>
      </c>
      <c r="DZ82" s="151">
        <f t="shared" ca="1" si="240"/>
        <v>9</v>
      </c>
      <c r="EA82" s="151">
        <f t="shared" ca="1" si="240"/>
        <v>9</v>
      </c>
      <c r="EB82" s="151">
        <f t="shared" ca="1" si="240"/>
        <v>9</v>
      </c>
      <c r="EC82" s="151">
        <f t="shared" ca="1" si="240"/>
        <v>9</v>
      </c>
      <c r="ED82" s="151">
        <f t="shared" ref="ED82:FN82" ca="1" si="241">ED76</f>
        <v>9</v>
      </c>
      <c r="EE82" s="151">
        <f t="shared" ca="1" si="241"/>
        <v>9</v>
      </c>
      <c r="EF82" s="151">
        <f t="shared" ca="1" si="241"/>
        <v>9</v>
      </c>
      <c r="EG82" s="151">
        <f t="shared" ca="1" si="241"/>
        <v>9</v>
      </c>
      <c r="EH82" s="151">
        <f t="shared" ca="1" si="241"/>
        <v>9</v>
      </c>
      <c r="EI82" s="151">
        <f t="shared" ca="1" si="241"/>
        <v>9</v>
      </c>
      <c r="EJ82" s="151">
        <f t="shared" ca="1" si="241"/>
        <v>9</v>
      </c>
      <c r="EK82" s="151">
        <f t="shared" ca="1" si="241"/>
        <v>9</v>
      </c>
      <c r="EL82" s="151">
        <f t="shared" ca="1" si="241"/>
        <v>9</v>
      </c>
      <c r="EM82" s="151">
        <f t="shared" ca="1" si="241"/>
        <v>9</v>
      </c>
      <c r="EN82" s="151">
        <f t="shared" ca="1" si="241"/>
        <v>9</v>
      </c>
      <c r="EO82" s="151">
        <f t="shared" ca="1" si="241"/>
        <v>9</v>
      </c>
      <c r="EP82" s="151">
        <f t="shared" ca="1" si="241"/>
        <v>9</v>
      </c>
      <c r="EQ82" s="151">
        <f t="shared" ca="1" si="241"/>
        <v>9</v>
      </c>
      <c r="ER82" s="151">
        <f t="shared" ca="1" si="241"/>
        <v>9</v>
      </c>
      <c r="ES82" s="151">
        <f t="shared" ca="1" si="241"/>
        <v>9</v>
      </c>
      <c r="ET82" s="151">
        <f t="shared" ca="1" si="241"/>
        <v>9</v>
      </c>
      <c r="EU82" s="151">
        <f t="shared" ca="1" si="241"/>
        <v>9</v>
      </c>
      <c r="EV82" s="151">
        <f t="shared" ca="1" si="241"/>
        <v>9</v>
      </c>
      <c r="EW82" s="151">
        <f t="shared" ca="1" si="241"/>
        <v>9</v>
      </c>
      <c r="EX82" s="151">
        <f t="shared" ca="1" si="241"/>
        <v>9</v>
      </c>
      <c r="EY82" s="151">
        <f t="shared" ca="1" si="241"/>
        <v>9</v>
      </c>
      <c r="EZ82" s="151">
        <f t="shared" ca="1" si="241"/>
        <v>9</v>
      </c>
      <c r="FA82" s="151">
        <f t="shared" ca="1" si="241"/>
        <v>9</v>
      </c>
      <c r="FB82" s="151">
        <f t="shared" ca="1" si="241"/>
        <v>9</v>
      </c>
      <c r="FC82" s="151">
        <f t="shared" ca="1" si="241"/>
        <v>9</v>
      </c>
      <c r="FD82" s="151">
        <f t="shared" ca="1" si="241"/>
        <v>9</v>
      </c>
      <c r="FE82" s="151">
        <f t="shared" ca="1" si="241"/>
        <v>9</v>
      </c>
      <c r="FF82" s="151">
        <f t="shared" ca="1" si="241"/>
        <v>9</v>
      </c>
      <c r="FG82" s="151">
        <f t="shared" ca="1" si="241"/>
        <v>9</v>
      </c>
      <c r="FH82" s="151">
        <f t="shared" ca="1" si="241"/>
        <v>9</v>
      </c>
      <c r="FI82" s="151">
        <f t="shared" ca="1" si="241"/>
        <v>9</v>
      </c>
      <c r="FJ82" s="151">
        <f t="shared" ca="1" si="241"/>
        <v>9</v>
      </c>
      <c r="FK82" s="151">
        <f t="shared" ca="1" si="241"/>
        <v>9</v>
      </c>
      <c r="FL82" s="151">
        <f t="shared" ca="1" si="241"/>
        <v>9</v>
      </c>
      <c r="FM82" s="151">
        <f t="shared" ca="1" si="241"/>
        <v>9</v>
      </c>
      <c r="FN82" s="898">
        <f t="shared" ca="1" si="241"/>
        <v>9</v>
      </c>
      <c r="FO82" s="144" t="s">
        <v>243</v>
      </c>
    </row>
    <row r="83" spans="2:171" x14ac:dyDescent="0.2">
      <c r="B83" s="1005">
        <v>44843</v>
      </c>
      <c r="D83" s="144">
        <v>0</v>
      </c>
      <c r="E83" s="144">
        <v>0</v>
      </c>
      <c r="F83" s="144">
        <v>0</v>
      </c>
      <c r="G83" s="144">
        <v>0</v>
      </c>
      <c r="H83" s="144">
        <v>0</v>
      </c>
      <c r="I83" s="144">
        <v>0</v>
      </c>
      <c r="J83" s="144">
        <v>0</v>
      </c>
      <c r="K83" s="144">
        <v>0</v>
      </c>
      <c r="L83" s="144">
        <v>0</v>
      </c>
      <c r="M83" s="144">
        <v>0</v>
      </c>
      <c r="N83" s="144">
        <v>1</v>
      </c>
      <c r="O83" s="144">
        <v>0</v>
      </c>
      <c r="Q83" s="1004">
        <f t="shared" si="187"/>
        <v>1</v>
      </c>
      <c r="AK83" s="996" t="s">
        <v>383</v>
      </c>
      <c r="AL83" s="882">
        <f t="shared" ref="AL83:BQ83" si="242">SUM(AL81:AL82)</f>
        <v>15</v>
      </c>
      <c r="AM83" s="882">
        <f t="shared" ca="1" si="242"/>
        <v>10</v>
      </c>
      <c r="AN83" s="882">
        <f t="shared" ca="1" si="242"/>
        <v>15</v>
      </c>
      <c r="AO83" s="882">
        <f t="shared" ca="1" si="242"/>
        <v>15</v>
      </c>
      <c r="AP83" s="882">
        <f t="shared" ca="1" si="242"/>
        <v>15</v>
      </c>
      <c r="AQ83" s="882">
        <f t="shared" ca="1" si="242"/>
        <v>15</v>
      </c>
      <c r="AR83" s="882">
        <f t="shared" ca="1" si="242"/>
        <v>15</v>
      </c>
      <c r="AS83" s="882">
        <f t="shared" ca="1" si="242"/>
        <v>15</v>
      </c>
      <c r="AT83" s="882">
        <f t="shared" ca="1" si="242"/>
        <v>15</v>
      </c>
      <c r="AU83" s="882">
        <f t="shared" ca="1" si="242"/>
        <v>15</v>
      </c>
      <c r="AV83" s="882">
        <f t="shared" ca="1" si="242"/>
        <v>15</v>
      </c>
      <c r="AW83" s="882">
        <f t="shared" ca="1" si="242"/>
        <v>15</v>
      </c>
      <c r="AX83" s="882">
        <f t="shared" ca="1" si="242"/>
        <v>15</v>
      </c>
      <c r="AY83" s="882">
        <f t="shared" ca="1" si="242"/>
        <v>15</v>
      </c>
      <c r="AZ83" s="882">
        <f t="shared" ca="1" si="242"/>
        <v>15</v>
      </c>
      <c r="BA83" s="882">
        <f t="shared" ca="1" si="242"/>
        <v>15</v>
      </c>
      <c r="BB83" s="882">
        <f t="shared" ca="1" si="242"/>
        <v>15</v>
      </c>
      <c r="BC83" s="882">
        <f t="shared" ca="1" si="242"/>
        <v>15</v>
      </c>
      <c r="BD83" s="882">
        <f t="shared" ca="1" si="242"/>
        <v>15</v>
      </c>
      <c r="BE83" s="882">
        <f t="shared" ca="1" si="242"/>
        <v>15</v>
      </c>
      <c r="BF83" s="882">
        <f t="shared" ca="1" si="242"/>
        <v>15</v>
      </c>
      <c r="BG83" s="882">
        <f t="shared" ca="1" si="242"/>
        <v>15</v>
      </c>
      <c r="BH83" s="882">
        <f t="shared" ca="1" si="242"/>
        <v>15</v>
      </c>
      <c r="BI83" s="882">
        <f t="shared" ca="1" si="242"/>
        <v>15</v>
      </c>
      <c r="BJ83" s="882">
        <f t="shared" ca="1" si="242"/>
        <v>15</v>
      </c>
      <c r="BK83" s="882">
        <f t="shared" ca="1" si="242"/>
        <v>18</v>
      </c>
      <c r="BL83" s="882">
        <f t="shared" ca="1" si="242"/>
        <v>15</v>
      </c>
      <c r="BM83" s="882">
        <f t="shared" ca="1" si="242"/>
        <v>15</v>
      </c>
      <c r="BN83" s="882">
        <f t="shared" ca="1" si="242"/>
        <v>15</v>
      </c>
      <c r="BO83" s="882">
        <f t="shared" ca="1" si="242"/>
        <v>15</v>
      </c>
      <c r="BP83" s="882">
        <f t="shared" ca="1" si="242"/>
        <v>15</v>
      </c>
      <c r="BQ83" s="882">
        <f t="shared" ca="1" si="242"/>
        <v>15</v>
      </c>
      <c r="BR83" s="882">
        <f t="shared" ref="BR83:CW83" ca="1" si="243">SUM(BR81:BR82)</f>
        <v>15</v>
      </c>
      <c r="BS83" s="882">
        <f t="shared" ca="1" si="243"/>
        <v>15</v>
      </c>
      <c r="BT83" s="882">
        <f t="shared" ca="1" si="243"/>
        <v>15</v>
      </c>
      <c r="BU83" s="882">
        <f t="shared" ca="1" si="243"/>
        <v>15</v>
      </c>
      <c r="BV83" s="882">
        <f t="shared" ca="1" si="243"/>
        <v>15</v>
      </c>
      <c r="BW83" s="882">
        <f t="shared" ca="1" si="243"/>
        <v>15</v>
      </c>
      <c r="BX83" s="882">
        <f t="shared" ca="1" si="243"/>
        <v>15</v>
      </c>
      <c r="BY83" s="882">
        <f t="shared" ca="1" si="243"/>
        <v>15</v>
      </c>
      <c r="BZ83" s="882">
        <f t="shared" ca="1" si="243"/>
        <v>15</v>
      </c>
      <c r="CA83" s="882">
        <f t="shared" ca="1" si="243"/>
        <v>15</v>
      </c>
      <c r="CB83" s="882">
        <f t="shared" ca="1" si="243"/>
        <v>15</v>
      </c>
      <c r="CC83" s="882">
        <f t="shared" ca="1" si="243"/>
        <v>15</v>
      </c>
      <c r="CD83" s="882">
        <f t="shared" ca="1" si="243"/>
        <v>15</v>
      </c>
      <c r="CE83" s="882">
        <f t="shared" ca="1" si="243"/>
        <v>15</v>
      </c>
      <c r="CF83" s="882">
        <f t="shared" ca="1" si="243"/>
        <v>15</v>
      </c>
      <c r="CG83" s="882">
        <f t="shared" ca="1" si="243"/>
        <v>15</v>
      </c>
      <c r="CH83" s="882">
        <f t="shared" ca="1" si="243"/>
        <v>15</v>
      </c>
      <c r="CI83" s="882">
        <f t="shared" ca="1" si="243"/>
        <v>15</v>
      </c>
      <c r="CJ83" s="882">
        <f t="shared" ca="1" si="243"/>
        <v>15</v>
      </c>
      <c r="CK83" s="882">
        <f t="shared" ca="1" si="243"/>
        <v>15</v>
      </c>
      <c r="CL83" s="882">
        <f t="shared" ca="1" si="243"/>
        <v>15</v>
      </c>
      <c r="CM83" s="882">
        <f t="shared" ca="1" si="243"/>
        <v>15</v>
      </c>
      <c r="CN83" s="882">
        <f t="shared" ca="1" si="243"/>
        <v>15</v>
      </c>
      <c r="CO83" s="882">
        <f t="shared" ca="1" si="243"/>
        <v>15</v>
      </c>
      <c r="CP83" s="882">
        <f t="shared" ca="1" si="243"/>
        <v>15</v>
      </c>
      <c r="CQ83" s="882">
        <f t="shared" ca="1" si="243"/>
        <v>15</v>
      </c>
      <c r="CR83" s="882">
        <f t="shared" ca="1" si="243"/>
        <v>15</v>
      </c>
      <c r="CS83" s="882">
        <f t="shared" ca="1" si="243"/>
        <v>15</v>
      </c>
      <c r="CT83" s="882">
        <f t="shared" ca="1" si="243"/>
        <v>15</v>
      </c>
      <c r="CU83" s="882">
        <f t="shared" ca="1" si="243"/>
        <v>15</v>
      </c>
      <c r="CV83" s="882">
        <f t="shared" ca="1" si="243"/>
        <v>15</v>
      </c>
      <c r="CW83" s="882">
        <f t="shared" ca="1" si="243"/>
        <v>15</v>
      </c>
      <c r="CX83" s="882">
        <f t="shared" ref="CX83:EC83" ca="1" si="244">SUM(CX81:CX82)</f>
        <v>15</v>
      </c>
      <c r="CY83" s="882">
        <f t="shared" ca="1" si="244"/>
        <v>15</v>
      </c>
      <c r="CZ83" s="882">
        <f t="shared" ca="1" si="244"/>
        <v>15</v>
      </c>
      <c r="DA83" s="882">
        <f t="shared" ca="1" si="244"/>
        <v>15</v>
      </c>
      <c r="DB83" s="882">
        <f t="shared" ca="1" si="244"/>
        <v>15</v>
      </c>
      <c r="DC83" s="882">
        <f t="shared" ca="1" si="244"/>
        <v>15</v>
      </c>
      <c r="DD83" s="882">
        <f t="shared" ca="1" si="244"/>
        <v>15</v>
      </c>
      <c r="DE83" s="882">
        <f t="shared" ca="1" si="244"/>
        <v>15</v>
      </c>
      <c r="DF83" s="882">
        <f t="shared" ca="1" si="244"/>
        <v>15</v>
      </c>
      <c r="DG83" s="882">
        <f t="shared" ca="1" si="244"/>
        <v>15</v>
      </c>
      <c r="DH83" s="882">
        <f t="shared" ca="1" si="244"/>
        <v>15</v>
      </c>
      <c r="DI83" s="882">
        <f t="shared" ca="1" si="244"/>
        <v>15</v>
      </c>
      <c r="DJ83" s="882">
        <f t="shared" ca="1" si="244"/>
        <v>15</v>
      </c>
      <c r="DK83" s="882">
        <f t="shared" ca="1" si="244"/>
        <v>15</v>
      </c>
      <c r="DL83" s="882">
        <f t="shared" ca="1" si="244"/>
        <v>15</v>
      </c>
      <c r="DM83" s="882">
        <f t="shared" ca="1" si="244"/>
        <v>15</v>
      </c>
      <c r="DN83" s="882">
        <f t="shared" ca="1" si="244"/>
        <v>15</v>
      </c>
      <c r="DO83" s="882">
        <f t="shared" ca="1" si="244"/>
        <v>15</v>
      </c>
      <c r="DP83" s="882">
        <f t="shared" ca="1" si="244"/>
        <v>15</v>
      </c>
      <c r="DQ83" s="882">
        <f t="shared" ca="1" si="244"/>
        <v>15</v>
      </c>
      <c r="DR83" s="882">
        <f t="shared" ca="1" si="244"/>
        <v>15</v>
      </c>
      <c r="DS83" s="882">
        <f t="shared" ca="1" si="244"/>
        <v>15</v>
      </c>
      <c r="DT83" s="882">
        <f t="shared" ca="1" si="244"/>
        <v>15</v>
      </c>
      <c r="DU83" s="882">
        <f t="shared" ca="1" si="244"/>
        <v>15</v>
      </c>
      <c r="DV83" s="882">
        <f t="shared" ca="1" si="244"/>
        <v>15</v>
      </c>
      <c r="DW83" s="882">
        <f t="shared" ca="1" si="244"/>
        <v>15</v>
      </c>
      <c r="DX83" s="882">
        <f t="shared" ca="1" si="244"/>
        <v>15</v>
      </c>
      <c r="DY83" s="882">
        <f t="shared" ca="1" si="244"/>
        <v>15</v>
      </c>
      <c r="DZ83" s="882">
        <f t="shared" ca="1" si="244"/>
        <v>15</v>
      </c>
      <c r="EA83" s="882">
        <f t="shared" ca="1" si="244"/>
        <v>15</v>
      </c>
      <c r="EB83" s="882">
        <f t="shared" ca="1" si="244"/>
        <v>15</v>
      </c>
      <c r="EC83" s="882">
        <f t="shared" ca="1" si="244"/>
        <v>15</v>
      </c>
      <c r="ED83" s="882">
        <f t="shared" ref="ED83:FI83" ca="1" si="245">SUM(ED81:ED82)</f>
        <v>15</v>
      </c>
      <c r="EE83" s="882">
        <f t="shared" ca="1" si="245"/>
        <v>15</v>
      </c>
      <c r="EF83" s="882">
        <f t="shared" ca="1" si="245"/>
        <v>15</v>
      </c>
      <c r="EG83" s="882">
        <f t="shared" ca="1" si="245"/>
        <v>15</v>
      </c>
      <c r="EH83" s="882">
        <f t="shared" ca="1" si="245"/>
        <v>15</v>
      </c>
      <c r="EI83" s="882">
        <f t="shared" ca="1" si="245"/>
        <v>15</v>
      </c>
      <c r="EJ83" s="882">
        <f t="shared" ca="1" si="245"/>
        <v>15</v>
      </c>
      <c r="EK83" s="882">
        <f t="shared" ca="1" si="245"/>
        <v>15</v>
      </c>
      <c r="EL83" s="882">
        <f t="shared" ca="1" si="245"/>
        <v>15</v>
      </c>
      <c r="EM83" s="882">
        <f t="shared" ca="1" si="245"/>
        <v>15</v>
      </c>
      <c r="EN83" s="882">
        <f t="shared" ca="1" si="245"/>
        <v>15</v>
      </c>
      <c r="EO83" s="882">
        <f t="shared" ca="1" si="245"/>
        <v>15</v>
      </c>
      <c r="EP83" s="882">
        <f t="shared" ca="1" si="245"/>
        <v>15</v>
      </c>
      <c r="EQ83" s="882">
        <f t="shared" ca="1" si="245"/>
        <v>15</v>
      </c>
      <c r="ER83" s="882">
        <f t="shared" ca="1" si="245"/>
        <v>15</v>
      </c>
      <c r="ES83" s="882">
        <f t="shared" ca="1" si="245"/>
        <v>15</v>
      </c>
      <c r="ET83" s="882">
        <f t="shared" ca="1" si="245"/>
        <v>15</v>
      </c>
      <c r="EU83" s="882">
        <f t="shared" ca="1" si="245"/>
        <v>15</v>
      </c>
      <c r="EV83" s="882">
        <f t="shared" ca="1" si="245"/>
        <v>15</v>
      </c>
      <c r="EW83" s="882">
        <f t="shared" ca="1" si="245"/>
        <v>15</v>
      </c>
      <c r="EX83" s="882">
        <f t="shared" ca="1" si="245"/>
        <v>15</v>
      </c>
      <c r="EY83" s="882">
        <f t="shared" ca="1" si="245"/>
        <v>15</v>
      </c>
      <c r="EZ83" s="882">
        <f t="shared" ca="1" si="245"/>
        <v>15</v>
      </c>
      <c r="FA83" s="882">
        <f t="shared" ca="1" si="245"/>
        <v>15</v>
      </c>
      <c r="FB83" s="882">
        <f t="shared" ca="1" si="245"/>
        <v>15</v>
      </c>
      <c r="FC83" s="882">
        <f t="shared" ca="1" si="245"/>
        <v>15</v>
      </c>
      <c r="FD83" s="882">
        <f t="shared" ca="1" si="245"/>
        <v>15</v>
      </c>
      <c r="FE83" s="882">
        <f t="shared" ca="1" si="245"/>
        <v>15</v>
      </c>
      <c r="FF83" s="882">
        <f t="shared" ca="1" si="245"/>
        <v>15</v>
      </c>
      <c r="FG83" s="882">
        <f t="shared" ca="1" si="245"/>
        <v>15</v>
      </c>
      <c r="FH83" s="882">
        <f t="shared" ca="1" si="245"/>
        <v>15</v>
      </c>
      <c r="FI83" s="882">
        <f t="shared" ca="1" si="245"/>
        <v>15</v>
      </c>
      <c r="FJ83" s="882">
        <f t="shared" ref="FJ83:FN83" ca="1" si="246">SUM(FJ81:FJ82)</f>
        <v>15</v>
      </c>
      <c r="FK83" s="882">
        <f t="shared" ca="1" si="246"/>
        <v>15</v>
      </c>
      <c r="FL83" s="882">
        <f t="shared" ca="1" si="246"/>
        <v>15</v>
      </c>
      <c r="FM83" s="882">
        <f t="shared" ca="1" si="246"/>
        <v>15</v>
      </c>
      <c r="FN83" s="1008">
        <f t="shared" ca="1" si="246"/>
        <v>15</v>
      </c>
      <c r="FO83" s="144" t="s">
        <v>243</v>
      </c>
    </row>
    <row r="84" spans="2:171" ht="15" thickBot="1" x14ac:dyDescent="0.25">
      <c r="B84" s="1005">
        <v>44844</v>
      </c>
      <c r="D84" s="144">
        <v>0</v>
      </c>
      <c r="E84" s="144">
        <v>0</v>
      </c>
      <c r="F84" s="144">
        <v>0</v>
      </c>
      <c r="G84" s="144">
        <v>0</v>
      </c>
      <c r="H84" s="144">
        <v>0</v>
      </c>
      <c r="I84" s="144">
        <v>0</v>
      </c>
      <c r="J84" s="144">
        <v>0</v>
      </c>
      <c r="K84" s="144">
        <v>0</v>
      </c>
      <c r="L84" s="144">
        <v>1</v>
      </c>
      <c r="M84" s="144">
        <v>0</v>
      </c>
      <c r="N84" s="144">
        <v>0</v>
      </c>
      <c r="O84" s="144">
        <v>0</v>
      </c>
      <c r="Q84" s="1004">
        <f t="shared" si="187"/>
        <v>1</v>
      </c>
      <c r="AK84" s="757" t="s">
        <v>376</v>
      </c>
      <c r="AL84" s="1011">
        <f t="shared" ref="AL84:BQ84" si="247">EOMONTH(AL8,12)</f>
        <v>45291</v>
      </c>
      <c r="AM84" s="1011">
        <f t="shared" si="247"/>
        <v>45322</v>
      </c>
      <c r="AN84" s="1011">
        <f t="shared" si="247"/>
        <v>45351</v>
      </c>
      <c r="AO84" s="1011">
        <f>EOMONTH(AO8,12)</f>
        <v>45382</v>
      </c>
      <c r="AP84" s="1011">
        <f t="shared" si="247"/>
        <v>45412</v>
      </c>
      <c r="AQ84" s="1011">
        <f t="shared" si="247"/>
        <v>45443</v>
      </c>
      <c r="AR84" s="1011">
        <f t="shared" si="247"/>
        <v>45473</v>
      </c>
      <c r="AS84" s="1011">
        <f t="shared" si="247"/>
        <v>45504</v>
      </c>
      <c r="AT84" s="1011">
        <f t="shared" si="247"/>
        <v>45535</v>
      </c>
      <c r="AU84" s="1011">
        <f t="shared" si="247"/>
        <v>45565</v>
      </c>
      <c r="AV84" s="1011">
        <f t="shared" si="247"/>
        <v>45596</v>
      </c>
      <c r="AW84" s="1011">
        <f t="shared" si="247"/>
        <v>45626</v>
      </c>
      <c r="AX84" s="1011">
        <f t="shared" si="247"/>
        <v>45657</v>
      </c>
      <c r="AY84" s="1011">
        <f t="shared" si="247"/>
        <v>45688</v>
      </c>
      <c r="AZ84" s="1011">
        <f t="shared" si="247"/>
        <v>45716</v>
      </c>
      <c r="BA84" s="1011">
        <f t="shared" si="247"/>
        <v>45747</v>
      </c>
      <c r="BB84" s="1011">
        <f t="shared" si="247"/>
        <v>45777</v>
      </c>
      <c r="BC84" s="1011">
        <f t="shared" si="247"/>
        <v>45808</v>
      </c>
      <c r="BD84" s="1011">
        <f t="shared" si="247"/>
        <v>45838</v>
      </c>
      <c r="BE84" s="1011">
        <f t="shared" si="247"/>
        <v>45869</v>
      </c>
      <c r="BF84" s="1011">
        <f t="shared" si="247"/>
        <v>45900</v>
      </c>
      <c r="BG84" s="1011">
        <f t="shared" si="247"/>
        <v>45930</v>
      </c>
      <c r="BH84" s="1011">
        <f t="shared" si="247"/>
        <v>45961</v>
      </c>
      <c r="BI84" s="1011">
        <f t="shared" si="247"/>
        <v>45991</v>
      </c>
      <c r="BJ84" s="1011">
        <f t="shared" si="247"/>
        <v>46022</v>
      </c>
      <c r="BK84" s="1011">
        <f t="shared" si="247"/>
        <v>46053</v>
      </c>
      <c r="BL84" s="1011">
        <f t="shared" si="247"/>
        <v>46081</v>
      </c>
      <c r="BM84" s="1011">
        <f t="shared" si="247"/>
        <v>46112</v>
      </c>
      <c r="BN84" s="1011">
        <f t="shared" si="247"/>
        <v>46142</v>
      </c>
      <c r="BO84" s="1011">
        <f t="shared" si="247"/>
        <v>46173</v>
      </c>
      <c r="BP84" s="1011">
        <f t="shared" si="247"/>
        <v>46203</v>
      </c>
      <c r="BQ84" s="1011">
        <f t="shared" si="247"/>
        <v>46234</v>
      </c>
      <c r="BR84" s="1011">
        <f t="shared" ref="BR84:CW84" si="248">EOMONTH(BR8,12)</f>
        <v>46265</v>
      </c>
      <c r="BS84" s="1011">
        <f t="shared" si="248"/>
        <v>46295</v>
      </c>
      <c r="BT84" s="1011">
        <f t="shared" si="248"/>
        <v>46326</v>
      </c>
      <c r="BU84" s="1011">
        <f t="shared" si="248"/>
        <v>46356</v>
      </c>
      <c r="BV84" s="1011">
        <f t="shared" si="248"/>
        <v>46387</v>
      </c>
      <c r="BW84" s="1011">
        <f t="shared" si="248"/>
        <v>46418</v>
      </c>
      <c r="BX84" s="1011">
        <f t="shared" si="248"/>
        <v>46446</v>
      </c>
      <c r="BY84" s="1011">
        <f t="shared" si="248"/>
        <v>46477</v>
      </c>
      <c r="BZ84" s="1011">
        <f t="shared" si="248"/>
        <v>46507</v>
      </c>
      <c r="CA84" s="1011">
        <f t="shared" si="248"/>
        <v>46538</v>
      </c>
      <c r="CB84" s="1011">
        <f t="shared" si="248"/>
        <v>46568</v>
      </c>
      <c r="CC84" s="1011">
        <f t="shared" si="248"/>
        <v>46599</v>
      </c>
      <c r="CD84" s="1011">
        <f t="shared" si="248"/>
        <v>46630</v>
      </c>
      <c r="CE84" s="1011">
        <f t="shared" si="248"/>
        <v>46660</v>
      </c>
      <c r="CF84" s="1011">
        <f t="shared" si="248"/>
        <v>46691</v>
      </c>
      <c r="CG84" s="1011">
        <f t="shared" si="248"/>
        <v>46721</v>
      </c>
      <c r="CH84" s="1011">
        <f t="shared" si="248"/>
        <v>46752</v>
      </c>
      <c r="CI84" s="1011">
        <f t="shared" si="248"/>
        <v>46783</v>
      </c>
      <c r="CJ84" s="1011">
        <f t="shared" si="248"/>
        <v>46812</v>
      </c>
      <c r="CK84" s="1011">
        <f t="shared" si="248"/>
        <v>46843</v>
      </c>
      <c r="CL84" s="1011">
        <f t="shared" si="248"/>
        <v>46873</v>
      </c>
      <c r="CM84" s="1011">
        <f t="shared" si="248"/>
        <v>46904</v>
      </c>
      <c r="CN84" s="1011">
        <f t="shared" si="248"/>
        <v>46934</v>
      </c>
      <c r="CO84" s="1011">
        <f t="shared" si="248"/>
        <v>46965</v>
      </c>
      <c r="CP84" s="1011">
        <f t="shared" si="248"/>
        <v>46996</v>
      </c>
      <c r="CQ84" s="1011">
        <f t="shared" si="248"/>
        <v>47026</v>
      </c>
      <c r="CR84" s="1011">
        <f t="shared" si="248"/>
        <v>47057</v>
      </c>
      <c r="CS84" s="1011">
        <f t="shared" si="248"/>
        <v>47087</v>
      </c>
      <c r="CT84" s="1011">
        <f t="shared" si="248"/>
        <v>47118</v>
      </c>
      <c r="CU84" s="1011">
        <f t="shared" si="248"/>
        <v>47149</v>
      </c>
      <c r="CV84" s="1011">
        <f t="shared" si="248"/>
        <v>47177</v>
      </c>
      <c r="CW84" s="1011">
        <f t="shared" si="248"/>
        <v>47208</v>
      </c>
      <c r="CX84" s="1011">
        <f t="shared" ref="CX84:EC84" si="249">EOMONTH(CX8,12)</f>
        <v>47238</v>
      </c>
      <c r="CY84" s="1011">
        <f t="shared" si="249"/>
        <v>47269</v>
      </c>
      <c r="CZ84" s="1011">
        <f t="shared" si="249"/>
        <v>47299</v>
      </c>
      <c r="DA84" s="1011">
        <f t="shared" si="249"/>
        <v>47330</v>
      </c>
      <c r="DB84" s="1011">
        <f t="shared" si="249"/>
        <v>47361</v>
      </c>
      <c r="DC84" s="1011">
        <f t="shared" si="249"/>
        <v>47391</v>
      </c>
      <c r="DD84" s="1011">
        <f t="shared" si="249"/>
        <v>47422</v>
      </c>
      <c r="DE84" s="1011">
        <f t="shared" si="249"/>
        <v>47452</v>
      </c>
      <c r="DF84" s="1011">
        <f t="shared" si="249"/>
        <v>47483</v>
      </c>
      <c r="DG84" s="1011">
        <f t="shared" si="249"/>
        <v>47514</v>
      </c>
      <c r="DH84" s="1011">
        <f t="shared" si="249"/>
        <v>47542</v>
      </c>
      <c r="DI84" s="1011">
        <f t="shared" si="249"/>
        <v>47573</v>
      </c>
      <c r="DJ84" s="1011">
        <f t="shared" si="249"/>
        <v>47603</v>
      </c>
      <c r="DK84" s="1011">
        <f t="shared" si="249"/>
        <v>47634</v>
      </c>
      <c r="DL84" s="1011">
        <f t="shared" si="249"/>
        <v>47664</v>
      </c>
      <c r="DM84" s="1011">
        <f t="shared" si="249"/>
        <v>47695</v>
      </c>
      <c r="DN84" s="1011">
        <f t="shared" si="249"/>
        <v>47726</v>
      </c>
      <c r="DO84" s="1011">
        <f t="shared" si="249"/>
        <v>47756</v>
      </c>
      <c r="DP84" s="1011">
        <f t="shared" si="249"/>
        <v>47787</v>
      </c>
      <c r="DQ84" s="1011">
        <f t="shared" si="249"/>
        <v>47817</v>
      </c>
      <c r="DR84" s="1011">
        <f t="shared" si="249"/>
        <v>47848</v>
      </c>
      <c r="DS84" s="1011">
        <f t="shared" si="249"/>
        <v>47879</v>
      </c>
      <c r="DT84" s="1011">
        <f t="shared" si="249"/>
        <v>47907</v>
      </c>
      <c r="DU84" s="1011">
        <f t="shared" si="249"/>
        <v>47938</v>
      </c>
      <c r="DV84" s="1011">
        <f t="shared" si="249"/>
        <v>47968</v>
      </c>
      <c r="DW84" s="1011">
        <f t="shared" si="249"/>
        <v>47999</v>
      </c>
      <c r="DX84" s="1011">
        <f t="shared" si="249"/>
        <v>48029</v>
      </c>
      <c r="DY84" s="1011">
        <f t="shared" si="249"/>
        <v>48060</v>
      </c>
      <c r="DZ84" s="1011">
        <f t="shared" si="249"/>
        <v>48091</v>
      </c>
      <c r="EA84" s="1011">
        <f t="shared" si="249"/>
        <v>48121</v>
      </c>
      <c r="EB84" s="1011">
        <f t="shared" si="249"/>
        <v>48152</v>
      </c>
      <c r="EC84" s="1011">
        <f t="shared" si="249"/>
        <v>48182</v>
      </c>
      <c r="ED84" s="1011">
        <f t="shared" ref="ED84:FN84" si="250">EOMONTH(ED8,12)</f>
        <v>48213</v>
      </c>
      <c r="EE84" s="1011">
        <f t="shared" si="250"/>
        <v>48244</v>
      </c>
      <c r="EF84" s="1011">
        <f t="shared" si="250"/>
        <v>48273</v>
      </c>
      <c r="EG84" s="1011">
        <f t="shared" si="250"/>
        <v>48304</v>
      </c>
      <c r="EH84" s="1011">
        <f t="shared" si="250"/>
        <v>48334</v>
      </c>
      <c r="EI84" s="1011">
        <f t="shared" si="250"/>
        <v>48365</v>
      </c>
      <c r="EJ84" s="1011">
        <f t="shared" si="250"/>
        <v>48395</v>
      </c>
      <c r="EK84" s="1011">
        <f t="shared" si="250"/>
        <v>48426</v>
      </c>
      <c r="EL84" s="1011">
        <f t="shared" si="250"/>
        <v>48457</v>
      </c>
      <c r="EM84" s="1011">
        <f t="shared" si="250"/>
        <v>48487</v>
      </c>
      <c r="EN84" s="1011">
        <f t="shared" si="250"/>
        <v>48518</v>
      </c>
      <c r="EO84" s="1011">
        <f t="shared" si="250"/>
        <v>48548</v>
      </c>
      <c r="EP84" s="1011">
        <f t="shared" si="250"/>
        <v>48579</v>
      </c>
      <c r="EQ84" s="1011">
        <f t="shared" si="250"/>
        <v>48610</v>
      </c>
      <c r="ER84" s="1011">
        <f t="shared" si="250"/>
        <v>48638</v>
      </c>
      <c r="ES84" s="1011">
        <f t="shared" si="250"/>
        <v>48669</v>
      </c>
      <c r="ET84" s="1011">
        <f t="shared" si="250"/>
        <v>48699</v>
      </c>
      <c r="EU84" s="1011">
        <f t="shared" si="250"/>
        <v>48730</v>
      </c>
      <c r="EV84" s="1011">
        <f t="shared" si="250"/>
        <v>48760</v>
      </c>
      <c r="EW84" s="1011">
        <f t="shared" si="250"/>
        <v>48791</v>
      </c>
      <c r="EX84" s="1011">
        <f t="shared" si="250"/>
        <v>48822</v>
      </c>
      <c r="EY84" s="1011">
        <f t="shared" si="250"/>
        <v>48852</v>
      </c>
      <c r="EZ84" s="1011">
        <f t="shared" si="250"/>
        <v>48883</v>
      </c>
      <c r="FA84" s="1011">
        <f t="shared" si="250"/>
        <v>48913</v>
      </c>
      <c r="FB84" s="1011">
        <f t="shared" si="250"/>
        <v>48944</v>
      </c>
      <c r="FC84" s="1011">
        <f t="shared" si="250"/>
        <v>48975</v>
      </c>
      <c r="FD84" s="1011">
        <f t="shared" si="250"/>
        <v>49003</v>
      </c>
      <c r="FE84" s="1011">
        <f t="shared" si="250"/>
        <v>49034</v>
      </c>
      <c r="FF84" s="1011">
        <f t="shared" si="250"/>
        <v>49064</v>
      </c>
      <c r="FG84" s="1011">
        <f t="shared" si="250"/>
        <v>49095</v>
      </c>
      <c r="FH84" s="1011">
        <f t="shared" si="250"/>
        <v>49125</v>
      </c>
      <c r="FI84" s="1011">
        <f t="shared" si="250"/>
        <v>49156</v>
      </c>
      <c r="FJ84" s="1011">
        <f t="shared" si="250"/>
        <v>49187</v>
      </c>
      <c r="FK84" s="1011">
        <f t="shared" si="250"/>
        <v>49217</v>
      </c>
      <c r="FL84" s="1011">
        <f t="shared" si="250"/>
        <v>49248</v>
      </c>
      <c r="FM84" s="1011">
        <f t="shared" si="250"/>
        <v>49278</v>
      </c>
      <c r="FN84" s="1012">
        <f t="shared" si="250"/>
        <v>49309</v>
      </c>
      <c r="FO84" s="144" t="s">
        <v>243</v>
      </c>
    </row>
    <row r="85" spans="2:171" ht="15" thickBot="1" x14ac:dyDescent="0.25">
      <c r="B85" s="1005">
        <v>44845</v>
      </c>
      <c r="D85" s="144">
        <v>0</v>
      </c>
      <c r="E85" s="144">
        <v>0</v>
      </c>
      <c r="F85" s="144">
        <v>0</v>
      </c>
      <c r="G85" s="144">
        <v>0</v>
      </c>
      <c r="H85" s="144">
        <v>0</v>
      </c>
      <c r="I85" s="144">
        <v>0</v>
      </c>
      <c r="J85" s="144">
        <v>0</v>
      </c>
      <c r="K85" s="144">
        <v>0</v>
      </c>
      <c r="L85" s="144">
        <v>1</v>
      </c>
      <c r="M85" s="144">
        <v>0</v>
      </c>
      <c r="N85" s="144">
        <v>0</v>
      </c>
      <c r="O85" s="144">
        <v>0</v>
      </c>
      <c r="Q85" s="1004">
        <f t="shared" si="187"/>
        <v>1</v>
      </c>
      <c r="AU85" s="151"/>
      <c r="AV85" s="151"/>
      <c r="AW85" s="151"/>
      <c r="AX85" s="151"/>
      <c r="AY85" s="151"/>
      <c r="AZ85" s="151"/>
      <c r="BA85" s="151"/>
      <c r="BB85" s="151"/>
      <c r="BC85" s="151"/>
      <c r="BD85" s="151"/>
      <c r="BE85" s="151"/>
      <c r="BF85" s="151"/>
      <c r="BG85" s="151"/>
      <c r="BH85" s="151"/>
      <c r="FO85" s="144" t="s">
        <v>243</v>
      </c>
    </row>
    <row r="86" spans="2:171" x14ac:dyDescent="0.2">
      <c r="B86" s="1005">
        <v>44856</v>
      </c>
      <c r="D86" s="144">
        <v>0</v>
      </c>
      <c r="E86" s="144">
        <v>0</v>
      </c>
      <c r="F86" s="144">
        <v>0</v>
      </c>
      <c r="G86" s="144">
        <v>0</v>
      </c>
      <c r="H86" s="144">
        <v>0</v>
      </c>
      <c r="I86" s="144">
        <v>0</v>
      </c>
      <c r="J86" s="144">
        <v>0</v>
      </c>
      <c r="K86" s="144">
        <v>0</v>
      </c>
      <c r="L86" s="144">
        <v>0</v>
      </c>
      <c r="M86" s="144">
        <v>0</v>
      </c>
      <c r="N86" s="144">
        <v>1</v>
      </c>
      <c r="O86" s="144">
        <v>1</v>
      </c>
      <c r="Q86" s="1004">
        <f t="shared" si="187"/>
        <v>2</v>
      </c>
      <c r="AK86" s="990" t="s">
        <v>384</v>
      </c>
      <c r="AL86" s="905"/>
      <c r="AM86" s="905"/>
      <c r="AN86" s="905"/>
      <c r="AO86" s="905"/>
      <c r="AP86" s="905"/>
      <c r="AQ86" s="905"/>
      <c r="AR86" s="905"/>
      <c r="AS86" s="905"/>
      <c r="AT86" s="905"/>
      <c r="AU86" s="905"/>
      <c r="AV86" s="905"/>
      <c r="AW86" s="905"/>
      <c r="AX86" s="690"/>
      <c r="AY86" s="690"/>
      <c r="AZ86" s="690"/>
      <c r="BA86" s="690"/>
      <c r="BB86" s="690"/>
      <c r="BC86" s="690"/>
      <c r="BD86" s="690"/>
      <c r="BE86" s="690"/>
      <c r="BF86" s="690"/>
      <c r="BG86" s="690"/>
      <c r="BH86" s="690"/>
      <c r="BI86" s="690"/>
      <c r="BJ86" s="690"/>
      <c r="BK86" s="690"/>
      <c r="BL86" s="690"/>
      <c r="BM86" s="690"/>
      <c r="BN86" s="690"/>
      <c r="BO86" s="690"/>
      <c r="BP86" s="690"/>
      <c r="BQ86" s="690"/>
      <c r="BR86" s="690"/>
      <c r="BS86" s="690"/>
      <c r="BT86" s="690"/>
      <c r="BU86" s="690"/>
      <c r="BV86" s="690"/>
      <c r="BW86" s="690"/>
      <c r="BX86" s="690"/>
      <c r="BY86" s="690"/>
      <c r="BZ86" s="690"/>
      <c r="CA86" s="690"/>
      <c r="CB86" s="690"/>
      <c r="CC86" s="690"/>
      <c r="CD86" s="690"/>
      <c r="CE86" s="690"/>
      <c r="CF86" s="690"/>
      <c r="CG86" s="690"/>
      <c r="CH86" s="690"/>
      <c r="CI86" s="690"/>
      <c r="CJ86" s="690"/>
      <c r="CK86" s="690"/>
      <c r="CL86" s="690"/>
      <c r="CM86" s="690"/>
      <c r="CN86" s="690"/>
      <c r="CO86" s="690"/>
      <c r="CP86" s="690"/>
      <c r="CQ86" s="690"/>
      <c r="CR86" s="690"/>
      <c r="CS86" s="690"/>
      <c r="CT86" s="690"/>
      <c r="CU86" s="690"/>
      <c r="CV86" s="690"/>
      <c r="CW86" s="690"/>
      <c r="CX86" s="690"/>
      <c r="CY86" s="690"/>
      <c r="CZ86" s="690"/>
      <c r="DA86" s="690"/>
      <c r="DB86" s="690"/>
      <c r="DC86" s="690"/>
      <c r="DD86" s="690"/>
      <c r="DE86" s="690"/>
      <c r="DF86" s="690"/>
      <c r="DG86" s="690"/>
      <c r="DH86" s="690"/>
      <c r="DI86" s="690"/>
      <c r="DJ86" s="690"/>
      <c r="DK86" s="690"/>
      <c r="DL86" s="690"/>
      <c r="DM86" s="690"/>
      <c r="DN86" s="690"/>
      <c r="DO86" s="690"/>
      <c r="DP86" s="690"/>
      <c r="DQ86" s="690"/>
      <c r="DR86" s="690"/>
      <c r="DS86" s="690"/>
      <c r="DT86" s="690"/>
      <c r="DU86" s="690"/>
      <c r="DV86" s="690"/>
      <c r="DW86" s="690"/>
      <c r="DX86" s="690"/>
      <c r="DY86" s="690"/>
      <c r="DZ86" s="690"/>
      <c r="EA86" s="690"/>
      <c r="EB86" s="690"/>
      <c r="EC86" s="690"/>
      <c r="ED86" s="690"/>
      <c r="EE86" s="690"/>
      <c r="EF86" s="690"/>
      <c r="EG86" s="690"/>
      <c r="EH86" s="690"/>
      <c r="EI86" s="690"/>
      <c r="EJ86" s="690"/>
      <c r="EK86" s="690"/>
      <c r="EL86" s="690"/>
      <c r="EM86" s="690"/>
      <c r="EN86" s="690"/>
      <c r="EO86" s="690"/>
      <c r="EP86" s="690"/>
      <c r="EQ86" s="690"/>
      <c r="ER86" s="690"/>
      <c r="ES86" s="690"/>
      <c r="ET86" s="690"/>
      <c r="EU86" s="690"/>
      <c r="EV86" s="690"/>
      <c r="EW86" s="690"/>
      <c r="EX86" s="690"/>
      <c r="EY86" s="690"/>
      <c r="EZ86" s="690"/>
      <c r="FA86" s="690"/>
      <c r="FB86" s="690"/>
      <c r="FC86" s="690"/>
      <c r="FD86" s="690"/>
      <c r="FE86" s="690"/>
      <c r="FF86" s="690"/>
      <c r="FG86" s="690"/>
      <c r="FH86" s="690"/>
      <c r="FI86" s="690"/>
      <c r="FJ86" s="690"/>
      <c r="FK86" s="690"/>
      <c r="FL86" s="690"/>
      <c r="FM86" s="690"/>
      <c r="FN86" s="696"/>
      <c r="FO86" s="144" t="s">
        <v>243</v>
      </c>
    </row>
    <row r="87" spans="2:171" x14ac:dyDescent="0.2">
      <c r="B87" s="1005">
        <v>44857</v>
      </c>
      <c r="D87" s="144">
        <v>0</v>
      </c>
      <c r="E87" s="144">
        <v>0</v>
      </c>
      <c r="F87" s="144">
        <v>1</v>
      </c>
      <c r="G87" s="144">
        <v>0</v>
      </c>
      <c r="H87" s="144">
        <v>0</v>
      </c>
      <c r="I87" s="144">
        <v>0</v>
      </c>
      <c r="J87" s="144">
        <v>0</v>
      </c>
      <c r="K87" s="144">
        <v>0</v>
      </c>
      <c r="L87" s="144">
        <v>0</v>
      </c>
      <c r="M87" s="144">
        <v>0</v>
      </c>
      <c r="N87" s="144">
        <v>0</v>
      </c>
      <c r="O87" s="144">
        <v>0</v>
      </c>
      <c r="Q87" s="1004">
        <f t="shared" si="187"/>
        <v>1</v>
      </c>
      <c r="AK87" s="721" t="s">
        <v>385</v>
      </c>
      <c r="AL87" s="151">
        <f>AL71</f>
        <v>234</v>
      </c>
      <c r="AM87" s="151">
        <f>AL89</f>
        <v>234</v>
      </c>
      <c r="AN87" s="151">
        <f t="shared" ref="AN87:AY87" si="251">AM89</f>
        <v>225</v>
      </c>
      <c r="AO87" s="151">
        <f t="shared" si="251"/>
        <v>216</v>
      </c>
      <c r="AP87" s="151">
        <f t="shared" si="251"/>
        <v>207</v>
      </c>
      <c r="AQ87" s="151">
        <f t="shared" si="251"/>
        <v>198</v>
      </c>
      <c r="AR87" s="151">
        <f t="shared" si="251"/>
        <v>189</v>
      </c>
      <c r="AS87" s="151">
        <f t="shared" si="251"/>
        <v>180</v>
      </c>
      <c r="AT87" s="151">
        <f t="shared" si="251"/>
        <v>171</v>
      </c>
      <c r="AU87" s="151">
        <f t="shared" si="251"/>
        <v>162</v>
      </c>
      <c r="AV87" s="151">
        <f t="shared" si="251"/>
        <v>153</v>
      </c>
      <c r="AW87" s="151">
        <f t="shared" si="251"/>
        <v>144</v>
      </c>
      <c r="AX87" s="151">
        <f t="shared" si="251"/>
        <v>135</v>
      </c>
      <c r="AY87" s="151">
        <f t="shared" si="251"/>
        <v>126</v>
      </c>
      <c r="AZ87" s="151">
        <f t="shared" ref="AZ87:CE87" si="252">AY89</f>
        <v>116</v>
      </c>
      <c r="BA87" s="151">
        <f t="shared" si="252"/>
        <v>106</v>
      </c>
      <c r="BB87" s="151">
        <f t="shared" si="252"/>
        <v>96</v>
      </c>
      <c r="BC87" s="151">
        <f t="shared" si="252"/>
        <v>86</v>
      </c>
      <c r="BD87" s="151">
        <f t="shared" si="252"/>
        <v>76</v>
      </c>
      <c r="BE87" s="151">
        <f t="shared" si="252"/>
        <v>66</v>
      </c>
      <c r="BF87" s="151">
        <f t="shared" si="252"/>
        <v>56</v>
      </c>
      <c r="BG87" s="151">
        <f t="shared" si="252"/>
        <v>46</v>
      </c>
      <c r="BH87" s="151">
        <f t="shared" si="252"/>
        <v>36</v>
      </c>
      <c r="BI87" s="151">
        <f t="shared" si="252"/>
        <v>26</v>
      </c>
      <c r="BJ87" s="151">
        <f t="shared" si="252"/>
        <v>16</v>
      </c>
      <c r="BK87" s="151">
        <f t="shared" si="252"/>
        <v>6</v>
      </c>
      <c r="BL87" s="151">
        <f t="shared" si="252"/>
        <v>0</v>
      </c>
      <c r="BM87" s="151">
        <f t="shared" si="252"/>
        <v>0</v>
      </c>
      <c r="BN87" s="151">
        <f t="shared" si="252"/>
        <v>0</v>
      </c>
      <c r="BO87" s="151">
        <f>BN89</f>
        <v>0</v>
      </c>
      <c r="BP87" s="151">
        <f t="shared" si="252"/>
        <v>0</v>
      </c>
      <c r="BQ87" s="151">
        <f t="shared" si="252"/>
        <v>0</v>
      </c>
      <c r="BR87" s="151">
        <f t="shared" si="252"/>
        <v>0</v>
      </c>
      <c r="BS87" s="151">
        <f t="shared" si="252"/>
        <v>0</v>
      </c>
      <c r="BT87" s="151">
        <f t="shared" si="252"/>
        <v>0</v>
      </c>
      <c r="BU87" s="151">
        <f t="shared" si="252"/>
        <v>0</v>
      </c>
      <c r="BV87" s="151">
        <f t="shared" si="252"/>
        <v>0</v>
      </c>
      <c r="BW87" s="151">
        <f t="shared" si="252"/>
        <v>0</v>
      </c>
      <c r="BX87" s="151">
        <f t="shared" si="252"/>
        <v>0</v>
      </c>
      <c r="BY87" s="151">
        <f t="shared" si="252"/>
        <v>0</v>
      </c>
      <c r="BZ87" s="151">
        <f t="shared" si="252"/>
        <v>0</v>
      </c>
      <c r="CA87" s="151">
        <f t="shared" si="252"/>
        <v>0</v>
      </c>
      <c r="CB87" s="151">
        <f t="shared" si="252"/>
        <v>0</v>
      </c>
      <c r="CC87" s="151">
        <f t="shared" si="252"/>
        <v>0</v>
      </c>
      <c r="CD87" s="151">
        <f t="shared" si="252"/>
        <v>0</v>
      </c>
      <c r="CE87" s="151">
        <f t="shared" si="252"/>
        <v>0</v>
      </c>
      <c r="CF87" s="151">
        <f t="shared" ref="CF87:DK87" si="253">CE89</f>
        <v>0</v>
      </c>
      <c r="CG87" s="151">
        <f t="shared" si="253"/>
        <v>0</v>
      </c>
      <c r="CH87" s="151">
        <f t="shared" si="253"/>
        <v>0</v>
      </c>
      <c r="CI87" s="151">
        <f t="shared" si="253"/>
        <v>0</v>
      </c>
      <c r="CJ87" s="151">
        <f t="shared" si="253"/>
        <v>0</v>
      </c>
      <c r="CK87" s="151">
        <f t="shared" si="253"/>
        <v>0</v>
      </c>
      <c r="CL87" s="151">
        <f t="shared" si="253"/>
        <v>0</v>
      </c>
      <c r="CM87" s="151">
        <f t="shared" si="253"/>
        <v>0</v>
      </c>
      <c r="CN87" s="151">
        <f t="shared" si="253"/>
        <v>0</v>
      </c>
      <c r="CO87" s="151">
        <f t="shared" si="253"/>
        <v>0</v>
      </c>
      <c r="CP87" s="151">
        <f t="shared" si="253"/>
        <v>0</v>
      </c>
      <c r="CQ87" s="151">
        <f t="shared" si="253"/>
        <v>0</v>
      </c>
      <c r="CR87" s="151">
        <f t="shared" si="253"/>
        <v>0</v>
      </c>
      <c r="CS87" s="151">
        <f t="shared" si="253"/>
        <v>0</v>
      </c>
      <c r="CT87" s="151">
        <f t="shared" si="253"/>
        <v>0</v>
      </c>
      <c r="CU87" s="151">
        <f t="shared" si="253"/>
        <v>0</v>
      </c>
      <c r="CV87" s="151">
        <f t="shared" si="253"/>
        <v>0</v>
      </c>
      <c r="CW87" s="151">
        <f t="shared" si="253"/>
        <v>0</v>
      </c>
      <c r="CX87" s="151">
        <f t="shared" si="253"/>
        <v>0</v>
      </c>
      <c r="CY87" s="151">
        <f t="shared" si="253"/>
        <v>0</v>
      </c>
      <c r="CZ87" s="151">
        <f t="shared" si="253"/>
        <v>0</v>
      </c>
      <c r="DA87" s="151">
        <f t="shared" si="253"/>
        <v>0</v>
      </c>
      <c r="DB87" s="151">
        <f t="shared" si="253"/>
        <v>0</v>
      </c>
      <c r="DC87" s="151">
        <f t="shared" si="253"/>
        <v>0</v>
      </c>
      <c r="DD87" s="151">
        <f t="shared" si="253"/>
        <v>0</v>
      </c>
      <c r="DE87" s="151">
        <f t="shared" si="253"/>
        <v>0</v>
      </c>
      <c r="DF87" s="151">
        <f t="shared" si="253"/>
        <v>0</v>
      </c>
      <c r="DG87" s="151">
        <f t="shared" si="253"/>
        <v>0</v>
      </c>
      <c r="DH87" s="151">
        <f t="shared" si="253"/>
        <v>0</v>
      </c>
      <c r="DI87" s="151">
        <f t="shared" si="253"/>
        <v>0</v>
      </c>
      <c r="DJ87" s="151">
        <f t="shared" si="253"/>
        <v>0</v>
      </c>
      <c r="DK87" s="151">
        <f t="shared" si="253"/>
        <v>0</v>
      </c>
      <c r="DL87" s="151">
        <f t="shared" ref="DL87:EQ87" si="254">DK89</f>
        <v>0</v>
      </c>
      <c r="DM87" s="151">
        <f t="shared" si="254"/>
        <v>0</v>
      </c>
      <c r="DN87" s="151">
        <f t="shared" si="254"/>
        <v>0</v>
      </c>
      <c r="DO87" s="151">
        <f t="shared" si="254"/>
        <v>0</v>
      </c>
      <c r="DP87" s="151">
        <f t="shared" si="254"/>
        <v>0</v>
      </c>
      <c r="DQ87" s="151">
        <f t="shared" si="254"/>
        <v>0</v>
      </c>
      <c r="DR87" s="151">
        <f t="shared" si="254"/>
        <v>0</v>
      </c>
      <c r="DS87" s="151">
        <f t="shared" si="254"/>
        <v>0</v>
      </c>
      <c r="DT87" s="151">
        <f t="shared" si="254"/>
        <v>0</v>
      </c>
      <c r="DU87" s="151">
        <f t="shared" si="254"/>
        <v>0</v>
      </c>
      <c r="DV87" s="151">
        <f t="shared" si="254"/>
        <v>0</v>
      </c>
      <c r="DW87" s="151">
        <f t="shared" si="254"/>
        <v>0</v>
      </c>
      <c r="DX87" s="151">
        <f t="shared" si="254"/>
        <v>0</v>
      </c>
      <c r="DY87" s="151">
        <f t="shared" si="254"/>
        <v>0</v>
      </c>
      <c r="DZ87" s="151">
        <f t="shared" si="254"/>
        <v>0</v>
      </c>
      <c r="EA87" s="151">
        <f t="shared" si="254"/>
        <v>0</v>
      </c>
      <c r="EB87" s="151">
        <f t="shared" si="254"/>
        <v>0</v>
      </c>
      <c r="EC87" s="151">
        <f t="shared" si="254"/>
        <v>0</v>
      </c>
      <c r="ED87" s="151">
        <f t="shared" si="254"/>
        <v>0</v>
      </c>
      <c r="EE87" s="151">
        <f t="shared" si="254"/>
        <v>0</v>
      </c>
      <c r="EF87" s="151">
        <f t="shared" si="254"/>
        <v>0</v>
      </c>
      <c r="EG87" s="151">
        <f t="shared" si="254"/>
        <v>0</v>
      </c>
      <c r="EH87" s="151">
        <f t="shared" si="254"/>
        <v>0</v>
      </c>
      <c r="EI87" s="151">
        <f t="shared" si="254"/>
        <v>0</v>
      </c>
      <c r="EJ87" s="151">
        <f t="shared" si="254"/>
        <v>0</v>
      </c>
      <c r="EK87" s="151">
        <f t="shared" si="254"/>
        <v>0</v>
      </c>
      <c r="EL87" s="151">
        <f t="shared" si="254"/>
        <v>0</v>
      </c>
      <c r="EM87" s="151">
        <f t="shared" si="254"/>
        <v>0</v>
      </c>
      <c r="EN87" s="151">
        <f t="shared" si="254"/>
        <v>0</v>
      </c>
      <c r="EO87" s="151">
        <f t="shared" si="254"/>
        <v>0</v>
      </c>
      <c r="EP87" s="151">
        <f t="shared" si="254"/>
        <v>0</v>
      </c>
      <c r="EQ87" s="151">
        <f t="shared" si="254"/>
        <v>0</v>
      </c>
      <c r="ER87" s="151">
        <f t="shared" ref="ER87:FN87" si="255">EQ89</f>
        <v>0</v>
      </c>
      <c r="ES87" s="151">
        <f t="shared" si="255"/>
        <v>0</v>
      </c>
      <c r="ET87" s="151">
        <f t="shared" si="255"/>
        <v>0</v>
      </c>
      <c r="EU87" s="151">
        <f t="shared" si="255"/>
        <v>0</v>
      </c>
      <c r="EV87" s="151">
        <f t="shared" si="255"/>
        <v>0</v>
      </c>
      <c r="EW87" s="151">
        <f t="shared" si="255"/>
        <v>0</v>
      </c>
      <c r="EX87" s="151">
        <f t="shared" si="255"/>
        <v>0</v>
      </c>
      <c r="EY87" s="151">
        <f t="shared" si="255"/>
        <v>0</v>
      </c>
      <c r="EZ87" s="151">
        <f t="shared" si="255"/>
        <v>0</v>
      </c>
      <c r="FA87" s="151">
        <f t="shared" si="255"/>
        <v>0</v>
      </c>
      <c r="FB87" s="151">
        <f t="shared" si="255"/>
        <v>0</v>
      </c>
      <c r="FC87" s="151">
        <f t="shared" si="255"/>
        <v>0</v>
      </c>
      <c r="FD87" s="151">
        <f t="shared" si="255"/>
        <v>0</v>
      </c>
      <c r="FE87" s="151">
        <f t="shared" si="255"/>
        <v>0</v>
      </c>
      <c r="FF87" s="151">
        <f t="shared" si="255"/>
        <v>0</v>
      </c>
      <c r="FG87" s="151">
        <f t="shared" si="255"/>
        <v>0</v>
      </c>
      <c r="FH87" s="151">
        <f t="shared" si="255"/>
        <v>0</v>
      </c>
      <c r="FI87" s="151">
        <f t="shared" si="255"/>
        <v>0</v>
      </c>
      <c r="FJ87" s="151">
        <f t="shared" si="255"/>
        <v>0</v>
      </c>
      <c r="FK87" s="151">
        <f t="shared" si="255"/>
        <v>0</v>
      </c>
      <c r="FL87" s="151">
        <f t="shared" si="255"/>
        <v>0</v>
      </c>
      <c r="FM87" s="151">
        <f t="shared" si="255"/>
        <v>0</v>
      </c>
      <c r="FN87" s="898">
        <f t="shared" si="255"/>
        <v>0</v>
      </c>
      <c r="FO87" s="144" t="s">
        <v>243</v>
      </c>
    </row>
    <row r="88" spans="2:171" x14ac:dyDescent="0.2">
      <c r="B88" s="1005">
        <v>44859</v>
      </c>
      <c r="D88" s="144">
        <v>0</v>
      </c>
      <c r="E88" s="144">
        <v>0</v>
      </c>
      <c r="F88" s="144">
        <v>0</v>
      </c>
      <c r="G88" s="144">
        <v>0</v>
      </c>
      <c r="H88" s="144">
        <v>0</v>
      </c>
      <c r="I88" s="144">
        <v>0</v>
      </c>
      <c r="J88" s="144">
        <v>0</v>
      </c>
      <c r="K88" s="144">
        <v>0</v>
      </c>
      <c r="L88" s="144">
        <v>0</v>
      </c>
      <c r="M88" s="144">
        <v>0</v>
      </c>
      <c r="N88" s="144">
        <v>1</v>
      </c>
      <c r="O88" s="144">
        <v>0</v>
      </c>
      <c r="Q88" s="1004">
        <f t="shared" si="187"/>
        <v>1</v>
      </c>
      <c r="AK88" s="721" t="s">
        <v>321</v>
      </c>
      <c r="AL88" s="151">
        <f t="shared" ref="AL88:AX88" si="256">MIN(AL75,AL87)</f>
        <v>0</v>
      </c>
      <c r="AM88" s="151">
        <f>MIN(AM75,AM87)</f>
        <v>9</v>
      </c>
      <c r="AN88" s="151">
        <f>MIN(AN75,AN87)</f>
        <v>9</v>
      </c>
      <c r="AO88" s="151">
        <f t="shared" si="256"/>
        <v>9</v>
      </c>
      <c r="AP88" s="151">
        <f t="shared" si="256"/>
        <v>9</v>
      </c>
      <c r="AQ88" s="151">
        <f t="shared" si="256"/>
        <v>9</v>
      </c>
      <c r="AR88" s="151">
        <f t="shared" si="256"/>
        <v>9</v>
      </c>
      <c r="AS88" s="151">
        <f t="shared" si="256"/>
        <v>9</v>
      </c>
      <c r="AT88" s="151">
        <f>MIN(AT75,AT87)</f>
        <v>9</v>
      </c>
      <c r="AU88" s="151">
        <f t="shared" si="256"/>
        <v>9</v>
      </c>
      <c r="AV88" s="151">
        <f t="shared" si="256"/>
        <v>9</v>
      </c>
      <c r="AW88" s="151">
        <f t="shared" si="256"/>
        <v>9</v>
      </c>
      <c r="AX88" s="151">
        <f t="shared" si="256"/>
        <v>9</v>
      </c>
      <c r="AY88" s="151">
        <f t="shared" ref="AY88:CD88" si="257">MIN(AY75,AY87)</f>
        <v>10</v>
      </c>
      <c r="AZ88" s="151">
        <f t="shared" si="257"/>
        <v>10</v>
      </c>
      <c r="BA88" s="151">
        <f t="shared" si="257"/>
        <v>10</v>
      </c>
      <c r="BB88" s="151">
        <f t="shared" si="257"/>
        <v>10</v>
      </c>
      <c r="BC88" s="151">
        <f t="shared" si="257"/>
        <v>10</v>
      </c>
      <c r="BD88" s="151">
        <f t="shared" si="257"/>
        <v>10</v>
      </c>
      <c r="BE88" s="151">
        <f t="shared" si="257"/>
        <v>10</v>
      </c>
      <c r="BF88" s="151">
        <f t="shared" si="257"/>
        <v>10</v>
      </c>
      <c r="BG88" s="151">
        <f t="shared" si="257"/>
        <v>10</v>
      </c>
      <c r="BH88" s="151">
        <f t="shared" si="257"/>
        <v>10</v>
      </c>
      <c r="BI88" s="151">
        <f t="shared" si="257"/>
        <v>10</v>
      </c>
      <c r="BJ88" s="151">
        <f t="shared" si="257"/>
        <v>10</v>
      </c>
      <c r="BK88" s="151">
        <f t="shared" si="257"/>
        <v>6</v>
      </c>
      <c r="BL88" s="151">
        <f t="shared" si="257"/>
        <v>0</v>
      </c>
      <c r="BM88" s="151">
        <f t="shared" si="257"/>
        <v>0</v>
      </c>
      <c r="BN88" s="151">
        <f t="shared" si="257"/>
        <v>0</v>
      </c>
      <c r="BO88" s="151">
        <f>MIN(BO75,BO87)</f>
        <v>0</v>
      </c>
      <c r="BP88" s="151">
        <f t="shared" si="257"/>
        <v>0</v>
      </c>
      <c r="BQ88" s="151">
        <f t="shared" si="257"/>
        <v>0</v>
      </c>
      <c r="BR88" s="151">
        <f t="shared" si="257"/>
        <v>0</v>
      </c>
      <c r="BS88" s="151">
        <f t="shared" si="257"/>
        <v>0</v>
      </c>
      <c r="BT88" s="151">
        <f t="shared" si="257"/>
        <v>0</v>
      </c>
      <c r="BU88" s="151">
        <f t="shared" si="257"/>
        <v>0</v>
      </c>
      <c r="BV88" s="151">
        <f t="shared" si="257"/>
        <v>0</v>
      </c>
      <c r="BW88" s="151">
        <f t="shared" si="257"/>
        <v>0</v>
      </c>
      <c r="BX88" s="151">
        <f t="shared" si="257"/>
        <v>0</v>
      </c>
      <c r="BY88" s="151">
        <f t="shared" si="257"/>
        <v>0</v>
      </c>
      <c r="BZ88" s="151">
        <f t="shared" si="257"/>
        <v>0</v>
      </c>
      <c r="CA88" s="151">
        <f t="shared" si="257"/>
        <v>0</v>
      </c>
      <c r="CB88" s="151">
        <f t="shared" si="257"/>
        <v>0</v>
      </c>
      <c r="CC88" s="151">
        <f t="shared" si="257"/>
        <v>0</v>
      </c>
      <c r="CD88" s="151">
        <f t="shared" si="257"/>
        <v>0</v>
      </c>
      <c r="CE88" s="151">
        <f t="shared" ref="CE88:DJ88" si="258">MIN(CE75,CE87)</f>
        <v>0</v>
      </c>
      <c r="CF88" s="151">
        <f t="shared" si="258"/>
        <v>0</v>
      </c>
      <c r="CG88" s="151">
        <f t="shared" si="258"/>
        <v>0</v>
      </c>
      <c r="CH88" s="151">
        <f t="shared" si="258"/>
        <v>0</v>
      </c>
      <c r="CI88" s="151">
        <f t="shared" si="258"/>
        <v>0</v>
      </c>
      <c r="CJ88" s="151">
        <f t="shared" si="258"/>
        <v>0</v>
      </c>
      <c r="CK88" s="151">
        <f t="shared" si="258"/>
        <v>0</v>
      </c>
      <c r="CL88" s="151">
        <f t="shared" si="258"/>
        <v>0</v>
      </c>
      <c r="CM88" s="151">
        <f t="shared" si="258"/>
        <v>0</v>
      </c>
      <c r="CN88" s="151">
        <f t="shared" si="258"/>
        <v>0</v>
      </c>
      <c r="CO88" s="151">
        <f t="shared" si="258"/>
        <v>0</v>
      </c>
      <c r="CP88" s="151">
        <f t="shared" si="258"/>
        <v>0</v>
      </c>
      <c r="CQ88" s="151">
        <f t="shared" si="258"/>
        <v>0</v>
      </c>
      <c r="CR88" s="151">
        <f t="shared" si="258"/>
        <v>0</v>
      </c>
      <c r="CS88" s="151">
        <f t="shared" si="258"/>
        <v>0</v>
      </c>
      <c r="CT88" s="151">
        <f t="shared" si="258"/>
        <v>0</v>
      </c>
      <c r="CU88" s="151">
        <f t="shared" si="258"/>
        <v>0</v>
      </c>
      <c r="CV88" s="151">
        <f t="shared" si="258"/>
        <v>0</v>
      </c>
      <c r="CW88" s="151">
        <f t="shared" si="258"/>
        <v>0</v>
      </c>
      <c r="CX88" s="151">
        <f t="shared" si="258"/>
        <v>0</v>
      </c>
      <c r="CY88" s="151">
        <f t="shared" si="258"/>
        <v>0</v>
      </c>
      <c r="CZ88" s="151">
        <f t="shared" si="258"/>
        <v>0</v>
      </c>
      <c r="DA88" s="151">
        <f t="shared" si="258"/>
        <v>0</v>
      </c>
      <c r="DB88" s="151">
        <f t="shared" si="258"/>
        <v>0</v>
      </c>
      <c r="DC88" s="151">
        <f t="shared" si="258"/>
        <v>0</v>
      </c>
      <c r="DD88" s="151">
        <f t="shared" si="258"/>
        <v>0</v>
      </c>
      <c r="DE88" s="151">
        <f t="shared" si="258"/>
        <v>0</v>
      </c>
      <c r="DF88" s="151">
        <f t="shared" si="258"/>
        <v>0</v>
      </c>
      <c r="DG88" s="151">
        <f t="shared" si="258"/>
        <v>0</v>
      </c>
      <c r="DH88" s="151">
        <f t="shared" si="258"/>
        <v>0</v>
      </c>
      <c r="DI88" s="151">
        <f t="shared" si="258"/>
        <v>0</v>
      </c>
      <c r="DJ88" s="151">
        <f t="shared" si="258"/>
        <v>0</v>
      </c>
      <c r="DK88" s="151">
        <f t="shared" ref="DK88:EP88" si="259">MIN(DK75,DK87)</f>
        <v>0</v>
      </c>
      <c r="DL88" s="151">
        <f t="shared" si="259"/>
        <v>0</v>
      </c>
      <c r="DM88" s="151">
        <f t="shared" si="259"/>
        <v>0</v>
      </c>
      <c r="DN88" s="151">
        <f t="shared" si="259"/>
        <v>0</v>
      </c>
      <c r="DO88" s="151">
        <f t="shared" si="259"/>
        <v>0</v>
      </c>
      <c r="DP88" s="151">
        <f t="shared" si="259"/>
        <v>0</v>
      </c>
      <c r="DQ88" s="151">
        <f t="shared" si="259"/>
        <v>0</v>
      </c>
      <c r="DR88" s="151">
        <f t="shared" si="259"/>
        <v>0</v>
      </c>
      <c r="DS88" s="151">
        <f t="shared" si="259"/>
        <v>0</v>
      </c>
      <c r="DT88" s="151">
        <f t="shared" si="259"/>
        <v>0</v>
      </c>
      <c r="DU88" s="151">
        <f t="shared" si="259"/>
        <v>0</v>
      </c>
      <c r="DV88" s="151">
        <f t="shared" si="259"/>
        <v>0</v>
      </c>
      <c r="DW88" s="151">
        <f t="shared" si="259"/>
        <v>0</v>
      </c>
      <c r="DX88" s="151">
        <f t="shared" si="259"/>
        <v>0</v>
      </c>
      <c r="DY88" s="151">
        <f t="shared" si="259"/>
        <v>0</v>
      </c>
      <c r="DZ88" s="151">
        <f t="shared" si="259"/>
        <v>0</v>
      </c>
      <c r="EA88" s="151">
        <f t="shared" si="259"/>
        <v>0</v>
      </c>
      <c r="EB88" s="151">
        <f t="shared" si="259"/>
        <v>0</v>
      </c>
      <c r="EC88" s="151">
        <f t="shared" si="259"/>
        <v>0</v>
      </c>
      <c r="ED88" s="151">
        <f t="shared" si="259"/>
        <v>0</v>
      </c>
      <c r="EE88" s="151">
        <f t="shared" si="259"/>
        <v>0</v>
      </c>
      <c r="EF88" s="151">
        <f t="shared" si="259"/>
        <v>0</v>
      </c>
      <c r="EG88" s="151">
        <f t="shared" si="259"/>
        <v>0</v>
      </c>
      <c r="EH88" s="151">
        <f t="shared" si="259"/>
        <v>0</v>
      </c>
      <c r="EI88" s="151">
        <f t="shared" si="259"/>
        <v>0</v>
      </c>
      <c r="EJ88" s="151">
        <f t="shared" si="259"/>
        <v>0</v>
      </c>
      <c r="EK88" s="151">
        <f t="shared" si="259"/>
        <v>0</v>
      </c>
      <c r="EL88" s="151">
        <f t="shared" si="259"/>
        <v>0</v>
      </c>
      <c r="EM88" s="151">
        <f t="shared" si="259"/>
        <v>0</v>
      </c>
      <c r="EN88" s="151">
        <f t="shared" si="259"/>
        <v>0</v>
      </c>
      <c r="EO88" s="151">
        <f t="shared" si="259"/>
        <v>0</v>
      </c>
      <c r="EP88" s="151">
        <f t="shared" si="259"/>
        <v>0</v>
      </c>
      <c r="EQ88" s="151">
        <f t="shared" ref="EQ88:FN88" si="260">MIN(EQ75,EQ87)</f>
        <v>0</v>
      </c>
      <c r="ER88" s="151">
        <f t="shared" si="260"/>
        <v>0</v>
      </c>
      <c r="ES88" s="151">
        <f t="shared" si="260"/>
        <v>0</v>
      </c>
      <c r="ET88" s="151">
        <f t="shared" si="260"/>
        <v>0</v>
      </c>
      <c r="EU88" s="151">
        <f t="shared" si="260"/>
        <v>0</v>
      </c>
      <c r="EV88" s="151">
        <f t="shared" si="260"/>
        <v>0</v>
      </c>
      <c r="EW88" s="151">
        <f t="shared" si="260"/>
        <v>0</v>
      </c>
      <c r="EX88" s="151">
        <f t="shared" si="260"/>
        <v>0</v>
      </c>
      <c r="EY88" s="151">
        <f t="shared" si="260"/>
        <v>0</v>
      </c>
      <c r="EZ88" s="151">
        <f t="shared" si="260"/>
        <v>0</v>
      </c>
      <c r="FA88" s="151">
        <f t="shared" si="260"/>
        <v>0</v>
      </c>
      <c r="FB88" s="151">
        <f t="shared" si="260"/>
        <v>0</v>
      </c>
      <c r="FC88" s="151">
        <f t="shared" si="260"/>
        <v>0</v>
      </c>
      <c r="FD88" s="151">
        <f t="shared" si="260"/>
        <v>0</v>
      </c>
      <c r="FE88" s="151">
        <f t="shared" si="260"/>
        <v>0</v>
      </c>
      <c r="FF88" s="151">
        <f t="shared" si="260"/>
        <v>0</v>
      </c>
      <c r="FG88" s="151">
        <f t="shared" si="260"/>
        <v>0</v>
      </c>
      <c r="FH88" s="151">
        <f t="shared" si="260"/>
        <v>0</v>
      </c>
      <c r="FI88" s="151">
        <f t="shared" si="260"/>
        <v>0</v>
      </c>
      <c r="FJ88" s="151">
        <f t="shared" si="260"/>
        <v>0</v>
      </c>
      <c r="FK88" s="151">
        <f t="shared" si="260"/>
        <v>0</v>
      </c>
      <c r="FL88" s="151">
        <f t="shared" si="260"/>
        <v>0</v>
      </c>
      <c r="FM88" s="151">
        <f t="shared" si="260"/>
        <v>0</v>
      </c>
      <c r="FN88" s="898">
        <f t="shared" si="260"/>
        <v>0</v>
      </c>
      <c r="FO88" s="145" t="s">
        <v>243</v>
      </c>
    </row>
    <row r="89" spans="2:171" x14ac:dyDescent="0.2">
      <c r="B89" s="1005">
        <v>44860</v>
      </c>
      <c r="D89" s="144">
        <v>0</v>
      </c>
      <c r="E89" s="144">
        <v>0</v>
      </c>
      <c r="F89" s="144">
        <v>0</v>
      </c>
      <c r="G89" s="144">
        <v>0</v>
      </c>
      <c r="H89" s="144">
        <v>0</v>
      </c>
      <c r="I89" s="144">
        <v>0</v>
      </c>
      <c r="J89" s="144">
        <v>0</v>
      </c>
      <c r="K89" s="144">
        <v>0</v>
      </c>
      <c r="L89" s="144">
        <v>1</v>
      </c>
      <c r="M89" s="144">
        <v>0</v>
      </c>
      <c r="N89" s="144">
        <v>0</v>
      </c>
      <c r="O89" s="144">
        <v>0</v>
      </c>
      <c r="Q89" s="1004">
        <f t="shared" si="187"/>
        <v>1</v>
      </c>
      <c r="AK89" s="996" t="s">
        <v>386</v>
      </c>
      <c r="AL89" s="882">
        <f>AL87-AL88</f>
        <v>234</v>
      </c>
      <c r="AM89" s="882">
        <f>AM87-AM88</f>
        <v>225</v>
      </c>
      <c r="AN89" s="882">
        <f t="shared" ref="AN89:AX89" si="261">AN87-AN88</f>
        <v>216</v>
      </c>
      <c r="AO89" s="882">
        <f t="shared" si="261"/>
        <v>207</v>
      </c>
      <c r="AP89" s="882">
        <f t="shared" si="261"/>
        <v>198</v>
      </c>
      <c r="AQ89" s="882">
        <f t="shared" si="261"/>
        <v>189</v>
      </c>
      <c r="AR89" s="882">
        <f t="shared" si="261"/>
        <v>180</v>
      </c>
      <c r="AS89" s="882">
        <f t="shared" si="261"/>
        <v>171</v>
      </c>
      <c r="AT89" s="882">
        <f t="shared" si="261"/>
        <v>162</v>
      </c>
      <c r="AU89" s="882">
        <f t="shared" si="261"/>
        <v>153</v>
      </c>
      <c r="AV89" s="882">
        <f t="shared" si="261"/>
        <v>144</v>
      </c>
      <c r="AW89" s="882">
        <f t="shared" si="261"/>
        <v>135</v>
      </c>
      <c r="AX89" s="882">
        <f t="shared" si="261"/>
        <v>126</v>
      </c>
      <c r="AY89" s="882">
        <f t="shared" ref="AY89:CD89" si="262">AY87-AY88</f>
        <v>116</v>
      </c>
      <c r="AZ89" s="882">
        <f t="shared" si="262"/>
        <v>106</v>
      </c>
      <c r="BA89" s="882">
        <f t="shared" si="262"/>
        <v>96</v>
      </c>
      <c r="BB89" s="882">
        <f t="shared" si="262"/>
        <v>86</v>
      </c>
      <c r="BC89" s="882">
        <f t="shared" si="262"/>
        <v>76</v>
      </c>
      <c r="BD89" s="882">
        <f t="shared" si="262"/>
        <v>66</v>
      </c>
      <c r="BE89" s="882">
        <f t="shared" si="262"/>
        <v>56</v>
      </c>
      <c r="BF89" s="882">
        <f t="shared" si="262"/>
        <v>46</v>
      </c>
      <c r="BG89" s="882">
        <f t="shared" si="262"/>
        <v>36</v>
      </c>
      <c r="BH89" s="882">
        <f t="shared" si="262"/>
        <v>26</v>
      </c>
      <c r="BI89" s="882">
        <f t="shared" si="262"/>
        <v>16</v>
      </c>
      <c r="BJ89" s="882">
        <f t="shared" si="262"/>
        <v>6</v>
      </c>
      <c r="BK89" s="882">
        <f t="shared" si="262"/>
        <v>0</v>
      </c>
      <c r="BL89" s="882">
        <f t="shared" si="262"/>
        <v>0</v>
      </c>
      <c r="BM89" s="882">
        <f t="shared" si="262"/>
        <v>0</v>
      </c>
      <c r="BN89" s="882">
        <f>BN87-BN88</f>
        <v>0</v>
      </c>
      <c r="BO89" s="882">
        <f>BO87-BO88</f>
        <v>0</v>
      </c>
      <c r="BP89" s="882">
        <f t="shared" si="262"/>
        <v>0</v>
      </c>
      <c r="BQ89" s="882">
        <f t="shared" si="262"/>
        <v>0</v>
      </c>
      <c r="BR89" s="882">
        <f t="shared" si="262"/>
        <v>0</v>
      </c>
      <c r="BS89" s="882">
        <f t="shared" si="262"/>
        <v>0</v>
      </c>
      <c r="BT89" s="882">
        <f t="shared" si="262"/>
        <v>0</v>
      </c>
      <c r="BU89" s="882">
        <f t="shared" si="262"/>
        <v>0</v>
      </c>
      <c r="BV89" s="882">
        <f t="shared" si="262"/>
        <v>0</v>
      </c>
      <c r="BW89" s="882">
        <f t="shared" si="262"/>
        <v>0</v>
      </c>
      <c r="BX89" s="882">
        <f t="shared" si="262"/>
        <v>0</v>
      </c>
      <c r="BY89" s="882">
        <f t="shared" si="262"/>
        <v>0</v>
      </c>
      <c r="BZ89" s="882">
        <f t="shared" si="262"/>
        <v>0</v>
      </c>
      <c r="CA89" s="882">
        <f t="shared" si="262"/>
        <v>0</v>
      </c>
      <c r="CB89" s="882">
        <f t="shared" si="262"/>
        <v>0</v>
      </c>
      <c r="CC89" s="882">
        <f t="shared" si="262"/>
        <v>0</v>
      </c>
      <c r="CD89" s="882">
        <f t="shared" si="262"/>
        <v>0</v>
      </c>
      <c r="CE89" s="882">
        <f t="shared" ref="CE89:DJ89" si="263">CE87-CE88</f>
        <v>0</v>
      </c>
      <c r="CF89" s="882">
        <f t="shared" si="263"/>
        <v>0</v>
      </c>
      <c r="CG89" s="882">
        <f t="shared" si="263"/>
        <v>0</v>
      </c>
      <c r="CH89" s="882">
        <f t="shared" si="263"/>
        <v>0</v>
      </c>
      <c r="CI89" s="882">
        <f t="shared" si="263"/>
        <v>0</v>
      </c>
      <c r="CJ89" s="882">
        <f t="shared" si="263"/>
        <v>0</v>
      </c>
      <c r="CK89" s="882">
        <f t="shared" si="263"/>
        <v>0</v>
      </c>
      <c r="CL89" s="882">
        <f t="shared" si="263"/>
        <v>0</v>
      </c>
      <c r="CM89" s="882">
        <f t="shared" si="263"/>
        <v>0</v>
      </c>
      <c r="CN89" s="882">
        <f t="shared" si="263"/>
        <v>0</v>
      </c>
      <c r="CO89" s="882">
        <f t="shared" si="263"/>
        <v>0</v>
      </c>
      <c r="CP89" s="882">
        <f t="shared" si="263"/>
        <v>0</v>
      </c>
      <c r="CQ89" s="882">
        <f t="shared" si="263"/>
        <v>0</v>
      </c>
      <c r="CR89" s="882">
        <f t="shared" si="263"/>
        <v>0</v>
      </c>
      <c r="CS89" s="882">
        <f t="shared" si="263"/>
        <v>0</v>
      </c>
      <c r="CT89" s="882">
        <f t="shared" si="263"/>
        <v>0</v>
      </c>
      <c r="CU89" s="882">
        <f t="shared" si="263"/>
        <v>0</v>
      </c>
      <c r="CV89" s="882">
        <f t="shared" si="263"/>
        <v>0</v>
      </c>
      <c r="CW89" s="882">
        <f t="shared" si="263"/>
        <v>0</v>
      </c>
      <c r="CX89" s="882">
        <f t="shared" si="263"/>
        <v>0</v>
      </c>
      <c r="CY89" s="882">
        <f t="shared" si="263"/>
        <v>0</v>
      </c>
      <c r="CZ89" s="882">
        <f t="shared" si="263"/>
        <v>0</v>
      </c>
      <c r="DA89" s="882">
        <f t="shared" si="263"/>
        <v>0</v>
      </c>
      <c r="DB89" s="882">
        <f t="shared" si="263"/>
        <v>0</v>
      </c>
      <c r="DC89" s="882">
        <f t="shared" si="263"/>
        <v>0</v>
      </c>
      <c r="DD89" s="882">
        <f t="shared" si="263"/>
        <v>0</v>
      </c>
      <c r="DE89" s="882">
        <f t="shared" si="263"/>
        <v>0</v>
      </c>
      <c r="DF89" s="882">
        <f t="shared" si="263"/>
        <v>0</v>
      </c>
      <c r="DG89" s="882">
        <f t="shared" si="263"/>
        <v>0</v>
      </c>
      <c r="DH89" s="882">
        <f t="shared" si="263"/>
        <v>0</v>
      </c>
      <c r="DI89" s="882">
        <f t="shared" si="263"/>
        <v>0</v>
      </c>
      <c r="DJ89" s="882">
        <f t="shared" si="263"/>
        <v>0</v>
      </c>
      <c r="DK89" s="882">
        <f t="shared" ref="DK89:EP89" si="264">DK87-DK88</f>
        <v>0</v>
      </c>
      <c r="DL89" s="882">
        <f t="shared" si="264"/>
        <v>0</v>
      </c>
      <c r="DM89" s="882">
        <f t="shared" si="264"/>
        <v>0</v>
      </c>
      <c r="DN89" s="882">
        <f t="shared" si="264"/>
        <v>0</v>
      </c>
      <c r="DO89" s="882">
        <f t="shared" si="264"/>
        <v>0</v>
      </c>
      <c r="DP89" s="882">
        <f t="shared" si="264"/>
        <v>0</v>
      </c>
      <c r="DQ89" s="882">
        <f t="shared" si="264"/>
        <v>0</v>
      </c>
      <c r="DR89" s="882">
        <f t="shared" si="264"/>
        <v>0</v>
      </c>
      <c r="DS89" s="882">
        <f t="shared" si="264"/>
        <v>0</v>
      </c>
      <c r="DT89" s="882">
        <f t="shared" si="264"/>
        <v>0</v>
      </c>
      <c r="DU89" s="882">
        <f t="shared" si="264"/>
        <v>0</v>
      </c>
      <c r="DV89" s="882">
        <f t="shared" si="264"/>
        <v>0</v>
      </c>
      <c r="DW89" s="882">
        <f t="shared" si="264"/>
        <v>0</v>
      </c>
      <c r="DX89" s="882">
        <f t="shared" si="264"/>
        <v>0</v>
      </c>
      <c r="DY89" s="882">
        <f t="shared" si="264"/>
        <v>0</v>
      </c>
      <c r="DZ89" s="882">
        <f t="shared" si="264"/>
        <v>0</v>
      </c>
      <c r="EA89" s="882">
        <f t="shared" si="264"/>
        <v>0</v>
      </c>
      <c r="EB89" s="882">
        <f t="shared" si="264"/>
        <v>0</v>
      </c>
      <c r="EC89" s="882">
        <f t="shared" si="264"/>
        <v>0</v>
      </c>
      <c r="ED89" s="882">
        <f t="shared" si="264"/>
        <v>0</v>
      </c>
      <c r="EE89" s="882">
        <f t="shared" si="264"/>
        <v>0</v>
      </c>
      <c r="EF89" s="882">
        <f t="shared" si="264"/>
        <v>0</v>
      </c>
      <c r="EG89" s="882">
        <f t="shared" si="264"/>
        <v>0</v>
      </c>
      <c r="EH89" s="882">
        <f t="shared" si="264"/>
        <v>0</v>
      </c>
      <c r="EI89" s="882">
        <f t="shared" si="264"/>
        <v>0</v>
      </c>
      <c r="EJ89" s="882">
        <f t="shared" si="264"/>
        <v>0</v>
      </c>
      <c r="EK89" s="882">
        <f t="shared" si="264"/>
        <v>0</v>
      </c>
      <c r="EL89" s="882">
        <f t="shared" si="264"/>
        <v>0</v>
      </c>
      <c r="EM89" s="882">
        <f t="shared" si="264"/>
        <v>0</v>
      </c>
      <c r="EN89" s="882">
        <f t="shared" si="264"/>
        <v>0</v>
      </c>
      <c r="EO89" s="882">
        <f t="shared" si="264"/>
        <v>0</v>
      </c>
      <c r="EP89" s="882">
        <f t="shared" si="264"/>
        <v>0</v>
      </c>
      <c r="EQ89" s="882">
        <f t="shared" ref="EQ89:FN89" si="265">EQ87-EQ88</f>
        <v>0</v>
      </c>
      <c r="ER89" s="882">
        <f t="shared" si="265"/>
        <v>0</v>
      </c>
      <c r="ES89" s="882">
        <f t="shared" si="265"/>
        <v>0</v>
      </c>
      <c r="ET89" s="882">
        <f t="shared" si="265"/>
        <v>0</v>
      </c>
      <c r="EU89" s="882">
        <f t="shared" si="265"/>
        <v>0</v>
      </c>
      <c r="EV89" s="882">
        <f t="shared" si="265"/>
        <v>0</v>
      </c>
      <c r="EW89" s="882">
        <f t="shared" si="265"/>
        <v>0</v>
      </c>
      <c r="EX89" s="882">
        <f t="shared" si="265"/>
        <v>0</v>
      </c>
      <c r="EY89" s="882">
        <f t="shared" si="265"/>
        <v>0</v>
      </c>
      <c r="EZ89" s="882">
        <f t="shared" si="265"/>
        <v>0</v>
      </c>
      <c r="FA89" s="882">
        <f t="shared" si="265"/>
        <v>0</v>
      </c>
      <c r="FB89" s="882">
        <f t="shared" si="265"/>
        <v>0</v>
      </c>
      <c r="FC89" s="882">
        <f t="shared" si="265"/>
        <v>0</v>
      </c>
      <c r="FD89" s="882">
        <f t="shared" si="265"/>
        <v>0</v>
      </c>
      <c r="FE89" s="882">
        <f t="shared" si="265"/>
        <v>0</v>
      </c>
      <c r="FF89" s="882">
        <f t="shared" si="265"/>
        <v>0</v>
      </c>
      <c r="FG89" s="882">
        <f t="shared" si="265"/>
        <v>0</v>
      </c>
      <c r="FH89" s="882">
        <f t="shared" si="265"/>
        <v>0</v>
      </c>
      <c r="FI89" s="882">
        <f t="shared" si="265"/>
        <v>0</v>
      </c>
      <c r="FJ89" s="882">
        <f t="shared" si="265"/>
        <v>0</v>
      </c>
      <c r="FK89" s="882">
        <f t="shared" si="265"/>
        <v>0</v>
      </c>
      <c r="FL89" s="882">
        <f t="shared" si="265"/>
        <v>0</v>
      </c>
      <c r="FM89" s="882">
        <f t="shared" si="265"/>
        <v>0</v>
      </c>
      <c r="FN89" s="1008">
        <f t="shared" si="265"/>
        <v>0</v>
      </c>
      <c r="FO89" s="144" t="s">
        <v>243</v>
      </c>
    </row>
    <row r="90" spans="2:171" x14ac:dyDescent="0.2">
      <c r="B90" s="1005">
        <v>44863</v>
      </c>
      <c r="D90" s="144">
        <v>0</v>
      </c>
      <c r="E90" s="144">
        <v>0</v>
      </c>
      <c r="F90" s="144">
        <v>0</v>
      </c>
      <c r="G90" s="144">
        <v>0</v>
      </c>
      <c r="H90" s="144">
        <v>0</v>
      </c>
      <c r="I90" s="144">
        <v>0</v>
      </c>
      <c r="J90" s="144">
        <v>0</v>
      </c>
      <c r="K90" s="144">
        <v>0</v>
      </c>
      <c r="L90" s="145">
        <v>0</v>
      </c>
      <c r="M90" s="144">
        <v>1</v>
      </c>
      <c r="N90" s="144">
        <v>0</v>
      </c>
      <c r="O90" s="144">
        <v>0</v>
      </c>
      <c r="Q90" s="1004">
        <f t="shared" si="187"/>
        <v>1</v>
      </c>
      <c r="AK90" s="721"/>
      <c r="AU90" s="151"/>
      <c r="AV90" s="151"/>
      <c r="AW90" s="151"/>
      <c r="AX90" s="151"/>
      <c r="AY90" s="151"/>
      <c r="AZ90" s="151"/>
      <c r="BA90" s="151"/>
      <c r="BB90" s="151"/>
      <c r="BC90" s="151"/>
      <c r="BD90" s="151"/>
      <c r="BE90" s="151"/>
      <c r="BF90" s="151"/>
      <c r="BG90" s="151"/>
      <c r="BH90" s="151"/>
      <c r="FN90" s="703"/>
      <c r="FO90" s="144" t="s">
        <v>243</v>
      </c>
    </row>
    <row r="91" spans="2:171" x14ac:dyDescent="0.2">
      <c r="B91" s="1005">
        <v>44869</v>
      </c>
      <c r="D91" s="144">
        <v>0</v>
      </c>
      <c r="E91" s="144">
        <v>0</v>
      </c>
      <c r="F91" s="144">
        <v>0</v>
      </c>
      <c r="G91" s="144">
        <v>0</v>
      </c>
      <c r="H91" s="144">
        <v>1</v>
      </c>
      <c r="I91" s="144">
        <v>0</v>
      </c>
      <c r="J91" s="144">
        <v>0</v>
      </c>
      <c r="K91" s="144">
        <v>0</v>
      </c>
      <c r="L91" s="145">
        <v>0</v>
      </c>
      <c r="M91" s="144">
        <v>0</v>
      </c>
      <c r="N91" s="144">
        <v>0</v>
      </c>
      <c r="O91" s="144">
        <v>0</v>
      </c>
      <c r="Q91" s="1004">
        <f t="shared" si="187"/>
        <v>1</v>
      </c>
      <c r="AK91" s="721" t="s">
        <v>383</v>
      </c>
      <c r="AL91" s="151">
        <v>0</v>
      </c>
      <c r="AM91" s="151">
        <f>AL93</f>
        <v>0</v>
      </c>
      <c r="AN91" s="151">
        <f ca="1">AM93</f>
        <v>4</v>
      </c>
      <c r="AO91" s="151">
        <f t="shared" ref="AO91:BR91" ca="1" si="266">AN93</f>
        <v>13</v>
      </c>
      <c r="AP91" s="151">
        <f t="shared" ca="1" si="266"/>
        <v>22</v>
      </c>
      <c r="AQ91" s="151">
        <f t="shared" ca="1" si="266"/>
        <v>31</v>
      </c>
      <c r="AR91" s="151">
        <f t="shared" ca="1" si="266"/>
        <v>40</v>
      </c>
      <c r="AS91" s="151">
        <f t="shared" ca="1" si="266"/>
        <v>49</v>
      </c>
      <c r="AT91" s="151">
        <f t="shared" ca="1" si="266"/>
        <v>58</v>
      </c>
      <c r="AU91" s="151">
        <f t="shared" ca="1" si="266"/>
        <v>67</v>
      </c>
      <c r="AV91" s="151">
        <f t="shared" ca="1" si="266"/>
        <v>76</v>
      </c>
      <c r="AW91" s="151">
        <f t="shared" ca="1" si="266"/>
        <v>85</v>
      </c>
      <c r="AX91" s="151">
        <f t="shared" ca="1" si="266"/>
        <v>94</v>
      </c>
      <c r="AY91" s="151">
        <f t="shared" ca="1" si="266"/>
        <v>103</v>
      </c>
      <c r="AZ91" s="151">
        <f t="shared" ca="1" si="266"/>
        <v>113</v>
      </c>
      <c r="BA91" s="151">
        <f t="shared" ca="1" si="266"/>
        <v>123</v>
      </c>
      <c r="BB91" s="151">
        <f t="shared" ca="1" si="266"/>
        <v>133</v>
      </c>
      <c r="BC91" s="151">
        <f t="shared" ca="1" si="266"/>
        <v>143</v>
      </c>
      <c r="BD91" s="151">
        <f t="shared" ca="1" si="266"/>
        <v>153</v>
      </c>
      <c r="BE91" s="151">
        <f t="shared" ca="1" si="266"/>
        <v>163</v>
      </c>
      <c r="BF91" s="151">
        <f t="shared" ca="1" si="266"/>
        <v>173</v>
      </c>
      <c r="BG91" s="151">
        <f t="shared" ca="1" si="266"/>
        <v>183</v>
      </c>
      <c r="BH91" s="151">
        <f t="shared" ca="1" si="266"/>
        <v>193</v>
      </c>
      <c r="BI91" s="151">
        <f t="shared" ca="1" si="266"/>
        <v>203</v>
      </c>
      <c r="BJ91" s="151">
        <f t="shared" ca="1" si="266"/>
        <v>213</v>
      </c>
      <c r="BK91" s="151">
        <f t="shared" ca="1" si="266"/>
        <v>223</v>
      </c>
      <c r="BL91" s="151">
        <f t="shared" ca="1" si="266"/>
        <v>232</v>
      </c>
      <c r="BM91" s="151">
        <f t="shared" ca="1" si="266"/>
        <v>232</v>
      </c>
      <c r="BN91" s="151">
        <f t="shared" ca="1" si="266"/>
        <v>232</v>
      </c>
      <c r="BO91" s="151">
        <f t="shared" ca="1" si="266"/>
        <v>232</v>
      </c>
      <c r="BP91" s="151">
        <f t="shared" ca="1" si="266"/>
        <v>232</v>
      </c>
      <c r="BQ91" s="151">
        <f t="shared" ca="1" si="266"/>
        <v>232</v>
      </c>
      <c r="BR91" s="151">
        <f t="shared" ca="1" si="266"/>
        <v>232</v>
      </c>
      <c r="BS91" s="151">
        <f t="shared" ref="BS91:CX91" ca="1" si="267">BR93</f>
        <v>232</v>
      </c>
      <c r="BT91" s="151">
        <f t="shared" ca="1" si="267"/>
        <v>232</v>
      </c>
      <c r="BU91" s="151">
        <f t="shared" ca="1" si="267"/>
        <v>232</v>
      </c>
      <c r="BV91" s="151">
        <f t="shared" ca="1" si="267"/>
        <v>232</v>
      </c>
      <c r="BW91" s="151">
        <f t="shared" ca="1" si="267"/>
        <v>232</v>
      </c>
      <c r="BX91" s="151">
        <f t="shared" ca="1" si="267"/>
        <v>232</v>
      </c>
      <c r="BY91" s="151">
        <f t="shared" ca="1" si="267"/>
        <v>232</v>
      </c>
      <c r="BZ91" s="151">
        <f t="shared" ca="1" si="267"/>
        <v>232</v>
      </c>
      <c r="CA91" s="151">
        <f t="shared" ca="1" si="267"/>
        <v>232</v>
      </c>
      <c r="CB91" s="151">
        <f t="shared" ca="1" si="267"/>
        <v>232</v>
      </c>
      <c r="CC91" s="151">
        <f t="shared" ca="1" si="267"/>
        <v>232</v>
      </c>
      <c r="CD91" s="151">
        <f t="shared" ca="1" si="267"/>
        <v>232</v>
      </c>
      <c r="CE91" s="151">
        <f t="shared" ca="1" si="267"/>
        <v>232</v>
      </c>
      <c r="CF91" s="151">
        <f t="shared" ca="1" si="267"/>
        <v>232</v>
      </c>
      <c r="CG91" s="151">
        <f t="shared" ca="1" si="267"/>
        <v>232</v>
      </c>
      <c r="CH91" s="151">
        <f t="shared" ca="1" si="267"/>
        <v>232</v>
      </c>
      <c r="CI91" s="151">
        <f t="shared" ca="1" si="267"/>
        <v>232</v>
      </c>
      <c r="CJ91" s="151">
        <f t="shared" ca="1" si="267"/>
        <v>232</v>
      </c>
      <c r="CK91" s="151">
        <f t="shared" ca="1" si="267"/>
        <v>232</v>
      </c>
      <c r="CL91" s="151">
        <f t="shared" ca="1" si="267"/>
        <v>232</v>
      </c>
      <c r="CM91" s="151">
        <f t="shared" ca="1" si="267"/>
        <v>232</v>
      </c>
      <c r="CN91" s="151">
        <f t="shared" ca="1" si="267"/>
        <v>232</v>
      </c>
      <c r="CO91" s="151">
        <f t="shared" ca="1" si="267"/>
        <v>232</v>
      </c>
      <c r="CP91" s="151">
        <f t="shared" ca="1" si="267"/>
        <v>232</v>
      </c>
      <c r="CQ91" s="151">
        <f t="shared" ca="1" si="267"/>
        <v>232</v>
      </c>
      <c r="CR91" s="151">
        <f t="shared" ca="1" si="267"/>
        <v>232</v>
      </c>
      <c r="CS91" s="151">
        <f t="shared" ca="1" si="267"/>
        <v>232</v>
      </c>
      <c r="CT91" s="151">
        <f t="shared" ca="1" si="267"/>
        <v>232</v>
      </c>
      <c r="CU91" s="151">
        <f t="shared" ca="1" si="267"/>
        <v>232</v>
      </c>
      <c r="CV91" s="151">
        <f t="shared" ca="1" si="267"/>
        <v>232</v>
      </c>
      <c r="CW91" s="151">
        <f t="shared" ca="1" si="267"/>
        <v>232</v>
      </c>
      <c r="CX91" s="151">
        <f t="shared" ca="1" si="267"/>
        <v>232</v>
      </c>
      <c r="CY91" s="151">
        <f t="shared" ref="CY91:ED91" ca="1" si="268">CX93</f>
        <v>232</v>
      </c>
      <c r="CZ91" s="151">
        <f t="shared" ca="1" si="268"/>
        <v>232</v>
      </c>
      <c r="DA91" s="151">
        <f t="shared" ca="1" si="268"/>
        <v>232</v>
      </c>
      <c r="DB91" s="151">
        <f t="shared" ca="1" si="268"/>
        <v>232</v>
      </c>
      <c r="DC91" s="151">
        <f t="shared" ca="1" si="268"/>
        <v>232</v>
      </c>
      <c r="DD91" s="151">
        <f t="shared" ca="1" si="268"/>
        <v>232</v>
      </c>
      <c r="DE91" s="151">
        <f t="shared" ca="1" si="268"/>
        <v>232</v>
      </c>
      <c r="DF91" s="151">
        <f t="shared" ca="1" si="268"/>
        <v>232</v>
      </c>
      <c r="DG91" s="151">
        <f t="shared" ca="1" si="268"/>
        <v>232</v>
      </c>
      <c r="DH91" s="151">
        <f t="shared" ca="1" si="268"/>
        <v>232</v>
      </c>
      <c r="DI91" s="151">
        <f t="shared" ca="1" si="268"/>
        <v>232</v>
      </c>
      <c r="DJ91" s="151">
        <f t="shared" ca="1" si="268"/>
        <v>232</v>
      </c>
      <c r="DK91" s="151">
        <f t="shared" ca="1" si="268"/>
        <v>232</v>
      </c>
      <c r="DL91" s="151">
        <f t="shared" ca="1" si="268"/>
        <v>232</v>
      </c>
      <c r="DM91" s="151">
        <f t="shared" ca="1" si="268"/>
        <v>232</v>
      </c>
      <c r="DN91" s="151">
        <f t="shared" ca="1" si="268"/>
        <v>232</v>
      </c>
      <c r="DO91" s="151">
        <f t="shared" ca="1" si="268"/>
        <v>232</v>
      </c>
      <c r="DP91" s="151">
        <f t="shared" ca="1" si="268"/>
        <v>232</v>
      </c>
      <c r="DQ91" s="151">
        <f t="shared" ca="1" si="268"/>
        <v>232</v>
      </c>
      <c r="DR91" s="151">
        <f t="shared" ca="1" si="268"/>
        <v>232</v>
      </c>
      <c r="DS91" s="151">
        <f t="shared" ca="1" si="268"/>
        <v>232</v>
      </c>
      <c r="DT91" s="151">
        <f t="shared" ca="1" si="268"/>
        <v>232</v>
      </c>
      <c r="DU91" s="151">
        <f t="shared" ca="1" si="268"/>
        <v>232</v>
      </c>
      <c r="DV91" s="151">
        <f t="shared" ca="1" si="268"/>
        <v>232</v>
      </c>
      <c r="DW91" s="151">
        <f t="shared" ca="1" si="268"/>
        <v>232</v>
      </c>
      <c r="DX91" s="151">
        <f t="shared" ca="1" si="268"/>
        <v>232</v>
      </c>
      <c r="DY91" s="151">
        <f t="shared" ca="1" si="268"/>
        <v>232</v>
      </c>
      <c r="DZ91" s="151">
        <f t="shared" ca="1" si="268"/>
        <v>232</v>
      </c>
      <c r="EA91" s="151">
        <f t="shared" ca="1" si="268"/>
        <v>232</v>
      </c>
      <c r="EB91" s="151">
        <f t="shared" ca="1" si="268"/>
        <v>232</v>
      </c>
      <c r="EC91" s="151">
        <f t="shared" ca="1" si="268"/>
        <v>232</v>
      </c>
      <c r="ED91" s="151">
        <f t="shared" ca="1" si="268"/>
        <v>232</v>
      </c>
      <c r="EE91" s="151">
        <f t="shared" ref="EE91:FN91" ca="1" si="269">ED93</f>
        <v>232</v>
      </c>
      <c r="EF91" s="151">
        <f t="shared" ca="1" si="269"/>
        <v>232</v>
      </c>
      <c r="EG91" s="151">
        <f t="shared" ca="1" si="269"/>
        <v>232</v>
      </c>
      <c r="EH91" s="151">
        <f t="shared" ca="1" si="269"/>
        <v>232</v>
      </c>
      <c r="EI91" s="151">
        <f t="shared" ca="1" si="269"/>
        <v>232</v>
      </c>
      <c r="EJ91" s="151">
        <f t="shared" ca="1" si="269"/>
        <v>232</v>
      </c>
      <c r="EK91" s="151">
        <f t="shared" ca="1" si="269"/>
        <v>232</v>
      </c>
      <c r="EL91" s="151">
        <f t="shared" ca="1" si="269"/>
        <v>232</v>
      </c>
      <c r="EM91" s="151">
        <f t="shared" ca="1" si="269"/>
        <v>232</v>
      </c>
      <c r="EN91" s="151">
        <f t="shared" ca="1" si="269"/>
        <v>232</v>
      </c>
      <c r="EO91" s="151">
        <f t="shared" ca="1" si="269"/>
        <v>232</v>
      </c>
      <c r="EP91" s="151">
        <f t="shared" ca="1" si="269"/>
        <v>232</v>
      </c>
      <c r="EQ91" s="151">
        <f t="shared" ca="1" si="269"/>
        <v>232</v>
      </c>
      <c r="ER91" s="151">
        <f t="shared" ca="1" si="269"/>
        <v>232</v>
      </c>
      <c r="ES91" s="151">
        <f t="shared" ca="1" si="269"/>
        <v>232</v>
      </c>
      <c r="ET91" s="151">
        <f t="shared" ca="1" si="269"/>
        <v>232</v>
      </c>
      <c r="EU91" s="151">
        <f t="shared" ca="1" si="269"/>
        <v>232</v>
      </c>
      <c r="EV91" s="151">
        <f t="shared" ca="1" si="269"/>
        <v>232</v>
      </c>
      <c r="EW91" s="151">
        <f t="shared" ca="1" si="269"/>
        <v>232</v>
      </c>
      <c r="EX91" s="151">
        <f t="shared" ca="1" si="269"/>
        <v>232</v>
      </c>
      <c r="EY91" s="151">
        <f t="shared" ca="1" si="269"/>
        <v>232</v>
      </c>
      <c r="EZ91" s="151">
        <f t="shared" ca="1" si="269"/>
        <v>232</v>
      </c>
      <c r="FA91" s="151">
        <f t="shared" ca="1" si="269"/>
        <v>232</v>
      </c>
      <c r="FB91" s="151">
        <f t="shared" ca="1" si="269"/>
        <v>232</v>
      </c>
      <c r="FC91" s="151">
        <f t="shared" ca="1" si="269"/>
        <v>232</v>
      </c>
      <c r="FD91" s="151">
        <f t="shared" ca="1" si="269"/>
        <v>232</v>
      </c>
      <c r="FE91" s="151">
        <f t="shared" ca="1" si="269"/>
        <v>232</v>
      </c>
      <c r="FF91" s="151">
        <f t="shared" ca="1" si="269"/>
        <v>232</v>
      </c>
      <c r="FG91" s="151">
        <f t="shared" ca="1" si="269"/>
        <v>232</v>
      </c>
      <c r="FH91" s="151">
        <f t="shared" ca="1" si="269"/>
        <v>232</v>
      </c>
      <c r="FI91" s="151">
        <f t="shared" ca="1" si="269"/>
        <v>232</v>
      </c>
      <c r="FJ91" s="151">
        <f t="shared" ca="1" si="269"/>
        <v>232</v>
      </c>
      <c r="FK91" s="151">
        <f t="shared" ca="1" si="269"/>
        <v>232</v>
      </c>
      <c r="FL91" s="151">
        <f t="shared" ca="1" si="269"/>
        <v>232</v>
      </c>
      <c r="FM91" s="151">
        <f t="shared" ca="1" si="269"/>
        <v>232</v>
      </c>
      <c r="FN91" s="898">
        <f t="shared" ca="1" si="269"/>
        <v>232</v>
      </c>
      <c r="FO91" s="144" t="s">
        <v>243</v>
      </c>
    </row>
    <row r="92" spans="2:171" x14ac:dyDescent="0.2">
      <c r="B92" s="1005">
        <v>44874</v>
      </c>
      <c r="D92" s="144">
        <v>0</v>
      </c>
      <c r="E92" s="144">
        <v>0</v>
      </c>
      <c r="F92" s="144">
        <v>0</v>
      </c>
      <c r="G92" s="144">
        <v>0</v>
      </c>
      <c r="H92" s="144">
        <v>0</v>
      </c>
      <c r="I92" s="144">
        <v>0</v>
      </c>
      <c r="J92" s="144">
        <v>0</v>
      </c>
      <c r="K92" s="144">
        <v>0</v>
      </c>
      <c r="L92" s="145">
        <v>1</v>
      </c>
      <c r="M92" s="144">
        <v>0</v>
      </c>
      <c r="N92" s="144">
        <v>0</v>
      </c>
      <c r="O92" s="144">
        <v>0</v>
      </c>
      <c r="Q92" s="1004">
        <f t="shared" si="187"/>
        <v>1</v>
      </c>
      <c r="AK92" s="721" t="s">
        <v>387</v>
      </c>
      <c r="AL92" s="151">
        <f>IF((AL78-AL91)&lt;AL76,(AL78-AL91),AL76)</f>
        <v>0</v>
      </c>
      <c r="AM92" s="151">
        <f ca="1">IF((AM78-AM91)&lt;AM76,(AM78-AM91),AM76)</f>
        <v>4</v>
      </c>
      <c r="AN92" s="151">
        <f ca="1">IF((AN78-AN91)&lt;AN76,(AN78-AN91),AN76)</f>
        <v>9</v>
      </c>
      <c r="AO92" s="151">
        <f t="shared" ref="AO92:BQ92" ca="1" si="270">IF((AO78-AO91)&lt;AO76,(AO78-AO91),AO76)</f>
        <v>9</v>
      </c>
      <c r="AP92" s="151">
        <f t="shared" ca="1" si="270"/>
        <v>9</v>
      </c>
      <c r="AQ92" s="151">
        <f t="shared" ca="1" si="270"/>
        <v>9</v>
      </c>
      <c r="AR92" s="151">
        <f t="shared" ca="1" si="270"/>
        <v>9</v>
      </c>
      <c r="AS92" s="151">
        <f t="shared" ca="1" si="270"/>
        <v>9</v>
      </c>
      <c r="AT92" s="151">
        <f t="shared" ca="1" si="270"/>
        <v>9</v>
      </c>
      <c r="AU92" s="151">
        <f t="shared" ca="1" si="270"/>
        <v>9</v>
      </c>
      <c r="AV92" s="151">
        <f t="shared" ca="1" si="270"/>
        <v>9</v>
      </c>
      <c r="AW92" s="151">
        <f t="shared" ca="1" si="270"/>
        <v>9</v>
      </c>
      <c r="AX92" s="151">
        <f t="shared" ca="1" si="270"/>
        <v>9</v>
      </c>
      <c r="AY92" s="151">
        <f t="shared" ca="1" si="270"/>
        <v>10</v>
      </c>
      <c r="AZ92" s="151">
        <f t="shared" ca="1" si="270"/>
        <v>10</v>
      </c>
      <c r="BA92" s="151">
        <f t="shared" ca="1" si="270"/>
        <v>10</v>
      </c>
      <c r="BB92" s="151">
        <f t="shared" ca="1" si="270"/>
        <v>10</v>
      </c>
      <c r="BC92" s="151">
        <f t="shared" ca="1" si="270"/>
        <v>10</v>
      </c>
      <c r="BD92" s="151">
        <f t="shared" ca="1" si="270"/>
        <v>10</v>
      </c>
      <c r="BE92" s="151">
        <f t="shared" ca="1" si="270"/>
        <v>10</v>
      </c>
      <c r="BF92" s="151">
        <f t="shared" ca="1" si="270"/>
        <v>10</v>
      </c>
      <c r="BG92" s="151">
        <f t="shared" ca="1" si="270"/>
        <v>10</v>
      </c>
      <c r="BH92" s="151">
        <f t="shared" ca="1" si="270"/>
        <v>10</v>
      </c>
      <c r="BI92" s="151">
        <f t="shared" ca="1" si="270"/>
        <v>10</v>
      </c>
      <c r="BJ92" s="151">
        <f t="shared" ca="1" si="270"/>
        <v>10</v>
      </c>
      <c r="BK92" s="151">
        <f t="shared" ca="1" si="270"/>
        <v>9</v>
      </c>
      <c r="BL92" s="151">
        <f t="shared" ca="1" si="270"/>
        <v>0</v>
      </c>
      <c r="BM92" s="151">
        <f t="shared" ca="1" si="270"/>
        <v>0</v>
      </c>
      <c r="BN92" s="151">
        <f t="shared" ca="1" si="270"/>
        <v>0</v>
      </c>
      <c r="BO92" s="151">
        <f t="shared" ca="1" si="270"/>
        <v>0</v>
      </c>
      <c r="BP92" s="151">
        <f t="shared" ca="1" si="270"/>
        <v>0</v>
      </c>
      <c r="BQ92" s="151">
        <f t="shared" ca="1" si="270"/>
        <v>0</v>
      </c>
      <c r="BR92" s="151">
        <f t="shared" ref="BR92:CW92" ca="1" si="271">IF((BR78-BR91)&lt;BR76,(BR78-BR91),BR76)</f>
        <v>0</v>
      </c>
      <c r="BS92" s="151">
        <f t="shared" ca="1" si="271"/>
        <v>0</v>
      </c>
      <c r="BT92" s="151">
        <f t="shared" ca="1" si="271"/>
        <v>0</v>
      </c>
      <c r="BU92" s="151">
        <f t="shared" ca="1" si="271"/>
        <v>0</v>
      </c>
      <c r="BV92" s="151">
        <f t="shared" ca="1" si="271"/>
        <v>0</v>
      </c>
      <c r="BW92" s="151">
        <f t="shared" ca="1" si="271"/>
        <v>0</v>
      </c>
      <c r="BX92" s="151">
        <f t="shared" ca="1" si="271"/>
        <v>0</v>
      </c>
      <c r="BY92" s="151">
        <f t="shared" ca="1" si="271"/>
        <v>0</v>
      </c>
      <c r="BZ92" s="151">
        <f t="shared" ca="1" si="271"/>
        <v>0</v>
      </c>
      <c r="CA92" s="151">
        <f t="shared" ca="1" si="271"/>
        <v>0</v>
      </c>
      <c r="CB92" s="151">
        <f t="shared" ca="1" si="271"/>
        <v>0</v>
      </c>
      <c r="CC92" s="151">
        <f t="shared" ca="1" si="271"/>
        <v>0</v>
      </c>
      <c r="CD92" s="151">
        <f t="shared" ca="1" si="271"/>
        <v>0</v>
      </c>
      <c r="CE92" s="151">
        <f t="shared" ca="1" si="271"/>
        <v>0</v>
      </c>
      <c r="CF92" s="151">
        <f t="shared" ca="1" si="271"/>
        <v>0</v>
      </c>
      <c r="CG92" s="151">
        <f t="shared" ca="1" si="271"/>
        <v>0</v>
      </c>
      <c r="CH92" s="151">
        <f t="shared" ca="1" si="271"/>
        <v>0</v>
      </c>
      <c r="CI92" s="151">
        <f t="shared" ca="1" si="271"/>
        <v>0</v>
      </c>
      <c r="CJ92" s="151">
        <f t="shared" ca="1" si="271"/>
        <v>0</v>
      </c>
      <c r="CK92" s="151">
        <f t="shared" ca="1" si="271"/>
        <v>0</v>
      </c>
      <c r="CL92" s="151">
        <f t="shared" ca="1" si="271"/>
        <v>0</v>
      </c>
      <c r="CM92" s="151">
        <f t="shared" ca="1" si="271"/>
        <v>0</v>
      </c>
      <c r="CN92" s="151">
        <f t="shared" ca="1" si="271"/>
        <v>0</v>
      </c>
      <c r="CO92" s="151">
        <f t="shared" ca="1" si="271"/>
        <v>0</v>
      </c>
      <c r="CP92" s="151">
        <f t="shared" ca="1" si="271"/>
        <v>0</v>
      </c>
      <c r="CQ92" s="151">
        <f t="shared" ca="1" si="271"/>
        <v>0</v>
      </c>
      <c r="CR92" s="151">
        <f t="shared" ca="1" si="271"/>
        <v>0</v>
      </c>
      <c r="CS92" s="151">
        <f t="shared" ca="1" si="271"/>
        <v>0</v>
      </c>
      <c r="CT92" s="151">
        <f t="shared" ca="1" si="271"/>
        <v>0</v>
      </c>
      <c r="CU92" s="151">
        <f t="shared" ca="1" si="271"/>
        <v>0</v>
      </c>
      <c r="CV92" s="151">
        <f t="shared" ca="1" si="271"/>
        <v>0</v>
      </c>
      <c r="CW92" s="151">
        <f t="shared" ca="1" si="271"/>
        <v>0</v>
      </c>
      <c r="CX92" s="151">
        <f t="shared" ref="CX92:EC92" ca="1" si="272">IF((CX78-CX91)&lt;CX76,(CX78-CX91),CX76)</f>
        <v>0</v>
      </c>
      <c r="CY92" s="151">
        <f t="shared" ca="1" si="272"/>
        <v>0</v>
      </c>
      <c r="CZ92" s="151">
        <f t="shared" ca="1" si="272"/>
        <v>0</v>
      </c>
      <c r="DA92" s="151">
        <f t="shared" ca="1" si="272"/>
        <v>0</v>
      </c>
      <c r="DB92" s="151">
        <f t="shared" ca="1" si="272"/>
        <v>0</v>
      </c>
      <c r="DC92" s="151">
        <f t="shared" ca="1" si="272"/>
        <v>0</v>
      </c>
      <c r="DD92" s="151">
        <f t="shared" ca="1" si="272"/>
        <v>0</v>
      </c>
      <c r="DE92" s="151">
        <f t="shared" ca="1" si="272"/>
        <v>0</v>
      </c>
      <c r="DF92" s="151">
        <f t="shared" ca="1" si="272"/>
        <v>0</v>
      </c>
      <c r="DG92" s="151">
        <f t="shared" ca="1" si="272"/>
        <v>0</v>
      </c>
      <c r="DH92" s="151">
        <f t="shared" ca="1" si="272"/>
        <v>0</v>
      </c>
      <c r="DI92" s="151">
        <f t="shared" ca="1" si="272"/>
        <v>0</v>
      </c>
      <c r="DJ92" s="151">
        <f t="shared" ca="1" si="272"/>
        <v>0</v>
      </c>
      <c r="DK92" s="151">
        <f t="shared" ca="1" si="272"/>
        <v>0</v>
      </c>
      <c r="DL92" s="151">
        <f t="shared" ca="1" si="272"/>
        <v>0</v>
      </c>
      <c r="DM92" s="151">
        <f t="shared" ca="1" si="272"/>
        <v>0</v>
      </c>
      <c r="DN92" s="151">
        <f t="shared" ca="1" si="272"/>
        <v>0</v>
      </c>
      <c r="DO92" s="151">
        <f t="shared" ca="1" si="272"/>
        <v>0</v>
      </c>
      <c r="DP92" s="151">
        <f t="shared" ca="1" si="272"/>
        <v>0</v>
      </c>
      <c r="DQ92" s="151">
        <f t="shared" ca="1" si="272"/>
        <v>0</v>
      </c>
      <c r="DR92" s="151">
        <f t="shared" ca="1" si="272"/>
        <v>0</v>
      </c>
      <c r="DS92" s="151">
        <f t="shared" ca="1" si="272"/>
        <v>0</v>
      </c>
      <c r="DT92" s="151">
        <f t="shared" ca="1" si="272"/>
        <v>0</v>
      </c>
      <c r="DU92" s="151">
        <f t="shared" ca="1" si="272"/>
        <v>0</v>
      </c>
      <c r="DV92" s="151">
        <f t="shared" ca="1" si="272"/>
        <v>0</v>
      </c>
      <c r="DW92" s="151">
        <f t="shared" ca="1" si="272"/>
        <v>0</v>
      </c>
      <c r="DX92" s="151">
        <f t="shared" ca="1" si="272"/>
        <v>0</v>
      </c>
      <c r="DY92" s="151">
        <f t="shared" ca="1" si="272"/>
        <v>0</v>
      </c>
      <c r="DZ92" s="151">
        <f t="shared" ca="1" si="272"/>
        <v>0</v>
      </c>
      <c r="EA92" s="151">
        <f t="shared" ca="1" si="272"/>
        <v>0</v>
      </c>
      <c r="EB92" s="151">
        <f t="shared" ca="1" si="272"/>
        <v>0</v>
      </c>
      <c r="EC92" s="151">
        <f t="shared" ca="1" si="272"/>
        <v>0</v>
      </c>
      <c r="ED92" s="151">
        <f t="shared" ref="ED92:FI92" ca="1" si="273">IF((ED78-ED91)&lt;ED76,(ED78-ED91),ED76)</f>
        <v>0</v>
      </c>
      <c r="EE92" s="151">
        <f t="shared" ca="1" si="273"/>
        <v>0</v>
      </c>
      <c r="EF92" s="151">
        <f t="shared" ca="1" si="273"/>
        <v>0</v>
      </c>
      <c r="EG92" s="151">
        <f t="shared" ca="1" si="273"/>
        <v>0</v>
      </c>
      <c r="EH92" s="151">
        <f t="shared" ca="1" si="273"/>
        <v>0</v>
      </c>
      <c r="EI92" s="151">
        <f t="shared" ca="1" si="273"/>
        <v>0</v>
      </c>
      <c r="EJ92" s="151">
        <f t="shared" ca="1" si="273"/>
        <v>0</v>
      </c>
      <c r="EK92" s="151">
        <f t="shared" ca="1" si="273"/>
        <v>0</v>
      </c>
      <c r="EL92" s="151">
        <f t="shared" ca="1" si="273"/>
        <v>0</v>
      </c>
      <c r="EM92" s="151">
        <f t="shared" ca="1" si="273"/>
        <v>0</v>
      </c>
      <c r="EN92" s="151">
        <f t="shared" ca="1" si="273"/>
        <v>0</v>
      </c>
      <c r="EO92" s="151">
        <f t="shared" ca="1" si="273"/>
        <v>0</v>
      </c>
      <c r="EP92" s="151">
        <f t="shared" ca="1" si="273"/>
        <v>0</v>
      </c>
      <c r="EQ92" s="151">
        <f t="shared" ca="1" si="273"/>
        <v>0</v>
      </c>
      <c r="ER92" s="151">
        <f t="shared" ca="1" si="273"/>
        <v>0</v>
      </c>
      <c r="ES92" s="151">
        <f t="shared" ca="1" si="273"/>
        <v>0</v>
      </c>
      <c r="ET92" s="151">
        <f t="shared" ca="1" si="273"/>
        <v>0</v>
      </c>
      <c r="EU92" s="151">
        <f t="shared" ca="1" si="273"/>
        <v>0</v>
      </c>
      <c r="EV92" s="151">
        <f t="shared" ca="1" si="273"/>
        <v>0</v>
      </c>
      <c r="EW92" s="151">
        <f t="shared" ca="1" si="273"/>
        <v>0</v>
      </c>
      <c r="EX92" s="151">
        <f t="shared" ca="1" si="273"/>
        <v>0</v>
      </c>
      <c r="EY92" s="151">
        <f t="shared" ca="1" si="273"/>
        <v>0</v>
      </c>
      <c r="EZ92" s="151">
        <f t="shared" ca="1" si="273"/>
        <v>0</v>
      </c>
      <c r="FA92" s="151">
        <f t="shared" ca="1" si="273"/>
        <v>0</v>
      </c>
      <c r="FB92" s="151">
        <f t="shared" ca="1" si="273"/>
        <v>0</v>
      </c>
      <c r="FC92" s="151">
        <f t="shared" ca="1" si="273"/>
        <v>0</v>
      </c>
      <c r="FD92" s="151">
        <f t="shared" ca="1" si="273"/>
        <v>0</v>
      </c>
      <c r="FE92" s="151">
        <f t="shared" ca="1" si="273"/>
        <v>0</v>
      </c>
      <c r="FF92" s="151">
        <f t="shared" ca="1" si="273"/>
        <v>0</v>
      </c>
      <c r="FG92" s="151">
        <f t="shared" ca="1" si="273"/>
        <v>0</v>
      </c>
      <c r="FH92" s="151">
        <f t="shared" ca="1" si="273"/>
        <v>0</v>
      </c>
      <c r="FI92" s="151">
        <f t="shared" ca="1" si="273"/>
        <v>0</v>
      </c>
      <c r="FJ92" s="151">
        <f t="shared" ref="FJ92:FN92" ca="1" si="274">IF((FJ78-FJ91)&lt;FJ76,(FJ78-FJ91),FJ76)</f>
        <v>0</v>
      </c>
      <c r="FK92" s="151">
        <f t="shared" ca="1" si="274"/>
        <v>0</v>
      </c>
      <c r="FL92" s="151">
        <f t="shared" ca="1" si="274"/>
        <v>0</v>
      </c>
      <c r="FM92" s="151">
        <f t="shared" ca="1" si="274"/>
        <v>0</v>
      </c>
      <c r="FN92" s="898">
        <f t="shared" ca="1" si="274"/>
        <v>0</v>
      </c>
      <c r="FO92" s="144" t="s">
        <v>243</v>
      </c>
    </row>
    <row r="93" spans="2:171" x14ac:dyDescent="0.2">
      <c r="B93" s="1005">
        <v>44875</v>
      </c>
      <c r="D93" s="144">
        <v>1</v>
      </c>
      <c r="E93" s="144">
        <v>0</v>
      </c>
      <c r="F93" s="144">
        <v>0</v>
      </c>
      <c r="G93" s="144">
        <v>0</v>
      </c>
      <c r="H93" s="144">
        <v>0</v>
      </c>
      <c r="I93" s="144">
        <v>0</v>
      </c>
      <c r="J93" s="144">
        <v>0</v>
      </c>
      <c r="K93" s="144">
        <v>0</v>
      </c>
      <c r="L93" s="145">
        <v>0</v>
      </c>
      <c r="M93" s="144">
        <v>1</v>
      </c>
      <c r="N93" s="144">
        <v>0</v>
      </c>
      <c r="O93" s="144">
        <v>0</v>
      </c>
      <c r="Q93" s="1004">
        <f t="shared" si="187"/>
        <v>2</v>
      </c>
      <c r="AK93" s="996" t="s">
        <v>388</v>
      </c>
      <c r="AL93" s="882">
        <f t="shared" ref="AL93:BQ93" si="275">SUM(AL91:AL92)</f>
        <v>0</v>
      </c>
      <c r="AM93" s="882">
        <f ca="1">SUM(AM91:AM92)</f>
        <v>4</v>
      </c>
      <c r="AN93" s="882">
        <f t="shared" ca="1" si="275"/>
        <v>13</v>
      </c>
      <c r="AO93" s="882">
        <f t="shared" ca="1" si="275"/>
        <v>22</v>
      </c>
      <c r="AP93" s="882">
        <f t="shared" ca="1" si="275"/>
        <v>31</v>
      </c>
      <c r="AQ93" s="882">
        <f t="shared" ca="1" si="275"/>
        <v>40</v>
      </c>
      <c r="AR93" s="882">
        <f t="shared" ca="1" si="275"/>
        <v>49</v>
      </c>
      <c r="AS93" s="882">
        <f t="shared" ca="1" si="275"/>
        <v>58</v>
      </c>
      <c r="AT93" s="882">
        <f t="shared" ca="1" si="275"/>
        <v>67</v>
      </c>
      <c r="AU93" s="882">
        <f t="shared" ca="1" si="275"/>
        <v>76</v>
      </c>
      <c r="AV93" s="882">
        <f t="shared" ca="1" si="275"/>
        <v>85</v>
      </c>
      <c r="AW93" s="882">
        <f t="shared" ca="1" si="275"/>
        <v>94</v>
      </c>
      <c r="AX93" s="882">
        <f t="shared" ca="1" si="275"/>
        <v>103</v>
      </c>
      <c r="AY93" s="882">
        <f t="shared" ca="1" si="275"/>
        <v>113</v>
      </c>
      <c r="AZ93" s="882">
        <f t="shared" ca="1" si="275"/>
        <v>123</v>
      </c>
      <c r="BA93" s="882">
        <f t="shared" ca="1" si="275"/>
        <v>133</v>
      </c>
      <c r="BB93" s="882">
        <f t="shared" ca="1" si="275"/>
        <v>143</v>
      </c>
      <c r="BC93" s="882">
        <f t="shared" ca="1" si="275"/>
        <v>153</v>
      </c>
      <c r="BD93" s="882">
        <f t="shared" ca="1" si="275"/>
        <v>163</v>
      </c>
      <c r="BE93" s="882">
        <f t="shared" ca="1" si="275"/>
        <v>173</v>
      </c>
      <c r="BF93" s="882">
        <f t="shared" ca="1" si="275"/>
        <v>183</v>
      </c>
      <c r="BG93" s="882">
        <f t="shared" ca="1" si="275"/>
        <v>193</v>
      </c>
      <c r="BH93" s="882">
        <f t="shared" ca="1" si="275"/>
        <v>203</v>
      </c>
      <c r="BI93" s="882">
        <f t="shared" ca="1" si="275"/>
        <v>213</v>
      </c>
      <c r="BJ93" s="882">
        <f t="shared" ca="1" si="275"/>
        <v>223</v>
      </c>
      <c r="BK93" s="882">
        <f t="shared" ca="1" si="275"/>
        <v>232</v>
      </c>
      <c r="BL93" s="882">
        <f t="shared" ca="1" si="275"/>
        <v>232</v>
      </c>
      <c r="BM93" s="882">
        <f t="shared" ca="1" si="275"/>
        <v>232</v>
      </c>
      <c r="BN93" s="882">
        <f t="shared" ca="1" si="275"/>
        <v>232</v>
      </c>
      <c r="BO93" s="882">
        <f t="shared" ca="1" si="275"/>
        <v>232</v>
      </c>
      <c r="BP93" s="882">
        <f t="shared" ca="1" si="275"/>
        <v>232</v>
      </c>
      <c r="BQ93" s="882">
        <f t="shared" ca="1" si="275"/>
        <v>232</v>
      </c>
      <c r="BR93" s="882">
        <f t="shared" ref="BR93:CW93" ca="1" si="276">SUM(BR91:BR92)</f>
        <v>232</v>
      </c>
      <c r="BS93" s="882">
        <f t="shared" ca="1" si="276"/>
        <v>232</v>
      </c>
      <c r="BT93" s="882">
        <f t="shared" ca="1" si="276"/>
        <v>232</v>
      </c>
      <c r="BU93" s="882">
        <f t="shared" ca="1" si="276"/>
        <v>232</v>
      </c>
      <c r="BV93" s="882">
        <f t="shared" ca="1" si="276"/>
        <v>232</v>
      </c>
      <c r="BW93" s="882">
        <f t="shared" ca="1" si="276"/>
        <v>232</v>
      </c>
      <c r="BX93" s="882">
        <f t="shared" ca="1" si="276"/>
        <v>232</v>
      </c>
      <c r="BY93" s="882">
        <f t="shared" ca="1" si="276"/>
        <v>232</v>
      </c>
      <c r="BZ93" s="882">
        <f t="shared" ca="1" si="276"/>
        <v>232</v>
      </c>
      <c r="CA93" s="882">
        <f t="shared" ca="1" si="276"/>
        <v>232</v>
      </c>
      <c r="CB93" s="882">
        <f t="shared" ca="1" si="276"/>
        <v>232</v>
      </c>
      <c r="CC93" s="882">
        <f t="shared" ca="1" si="276"/>
        <v>232</v>
      </c>
      <c r="CD93" s="882">
        <f t="shared" ca="1" si="276"/>
        <v>232</v>
      </c>
      <c r="CE93" s="882">
        <f t="shared" ca="1" si="276"/>
        <v>232</v>
      </c>
      <c r="CF93" s="882">
        <f t="shared" ca="1" si="276"/>
        <v>232</v>
      </c>
      <c r="CG93" s="882">
        <f t="shared" ca="1" si="276"/>
        <v>232</v>
      </c>
      <c r="CH93" s="882">
        <f t="shared" ca="1" si="276"/>
        <v>232</v>
      </c>
      <c r="CI93" s="882">
        <f t="shared" ca="1" si="276"/>
        <v>232</v>
      </c>
      <c r="CJ93" s="882">
        <f t="shared" ca="1" si="276"/>
        <v>232</v>
      </c>
      <c r="CK93" s="882">
        <f t="shared" ca="1" si="276"/>
        <v>232</v>
      </c>
      <c r="CL93" s="882">
        <f t="shared" ca="1" si="276"/>
        <v>232</v>
      </c>
      <c r="CM93" s="882">
        <f t="shared" ca="1" si="276"/>
        <v>232</v>
      </c>
      <c r="CN93" s="882">
        <f t="shared" ca="1" si="276"/>
        <v>232</v>
      </c>
      <c r="CO93" s="882">
        <f t="shared" ca="1" si="276"/>
        <v>232</v>
      </c>
      <c r="CP93" s="882">
        <f t="shared" ca="1" si="276"/>
        <v>232</v>
      </c>
      <c r="CQ93" s="882">
        <f t="shared" ca="1" si="276"/>
        <v>232</v>
      </c>
      <c r="CR93" s="882">
        <f t="shared" ca="1" si="276"/>
        <v>232</v>
      </c>
      <c r="CS93" s="882">
        <f t="shared" ca="1" si="276"/>
        <v>232</v>
      </c>
      <c r="CT93" s="882">
        <f t="shared" ca="1" si="276"/>
        <v>232</v>
      </c>
      <c r="CU93" s="882">
        <f t="shared" ca="1" si="276"/>
        <v>232</v>
      </c>
      <c r="CV93" s="882">
        <f t="shared" ca="1" si="276"/>
        <v>232</v>
      </c>
      <c r="CW93" s="882">
        <f t="shared" ca="1" si="276"/>
        <v>232</v>
      </c>
      <c r="CX93" s="882">
        <f t="shared" ref="CX93:EC93" ca="1" si="277">SUM(CX91:CX92)</f>
        <v>232</v>
      </c>
      <c r="CY93" s="882">
        <f t="shared" ca="1" si="277"/>
        <v>232</v>
      </c>
      <c r="CZ93" s="882">
        <f t="shared" ca="1" si="277"/>
        <v>232</v>
      </c>
      <c r="DA93" s="882">
        <f t="shared" ca="1" si="277"/>
        <v>232</v>
      </c>
      <c r="DB93" s="882">
        <f t="shared" ca="1" si="277"/>
        <v>232</v>
      </c>
      <c r="DC93" s="882">
        <f t="shared" ca="1" si="277"/>
        <v>232</v>
      </c>
      <c r="DD93" s="882">
        <f t="shared" ca="1" si="277"/>
        <v>232</v>
      </c>
      <c r="DE93" s="882">
        <f t="shared" ca="1" si="277"/>
        <v>232</v>
      </c>
      <c r="DF93" s="882">
        <f t="shared" ca="1" si="277"/>
        <v>232</v>
      </c>
      <c r="DG93" s="882">
        <f t="shared" ca="1" si="277"/>
        <v>232</v>
      </c>
      <c r="DH93" s="882">
        <f t="shared" ca="1" si="277"/>
        <v>232</v>
      </c>
      <c r="DI93" s="882">
        <f t="shared" ca="1" si="277"/>
        <v>232</v>
      </c>
      <c r="DJ93" s="882">
        <f t="shared" ca="1" si="277"/>
        <v>232</v>
      </c>
      <c r="DK93" s="882">
        <f t="shared" ca="1" si="277"/>
        <v>232</v>
      </c>
      <c r="DL93" s="882">
        <f t="shared" ca="1" si="277"/>
        <v>232</v>
      </c>
      <c r="DM93" s="882">
        <f t="shared" ca="1" si="277"/>
        <v>232</v>
      </c>
      <c r="DN93" s="882">
        <f t="shared" ca="1" si="277"/>
        <v>232</v>
      </c>
      <c r="DO93" s="882">
        <f t="shared" ca="1" si="277"/>
        <v>232</v>
      </c>
      <c r="DP93" s="882">
        <f t="shared" ca="1" si="277"/>
        <v>232</v>
      </c>
      <c r="DQ93" s="882">
        <f t="shared" ca="1" si="277"/>
        <v>232</v>
      </c>
      <c r="DR93" s="882">
        <f t="shared" ca="1" si="277"/>
        <v>232</v>
      </c>
      <c r="DS93" s="882">
        <f t="shared" ca="1" si="277"/>
        <v>232</v>
      </c>
      <c r="DT93" s="882">
        <f t="shared" ca="1" si="277"/>
        <v>232</v>
      </c>
      <c r="DU93" s="882">
        <f t="shared" ca="1" si="277"/>
        <v>232</v>
      </c>
      <c r="DV93" s="882">
        <f t="shared" ca="1" si="277"/>
        <v>232</v>
      </c>
      <c r="DW93" s="882">
        <f t="shared" ca="1" si="277"/>
        <v>232</v>
      </c>
      <c r="DX93" s="882">
        <f t="shared" ca="1" si="277"/>
        <v>232</v>
      </c>
      <c r="DY93" s="882">
        <f t="shared" ca="1" si="277"/>
        <v>232</v>
      </c>
      <c r="DZ93" s="882">
        <f t="shared" ca="1" si="277"/>
        <v>232</v>
      </c>
      <c r="EA93" s="882">
        <f t="shared" ca="1" si="277"/>
        <v>232</v>
      </c>
      <c r="EB93" s="882">
        <f t="shared" ca="1" si="277"/>
        <v>232</v>
      </c>
      <c r="EC93" s="882">
        <f t="shared" ca="1" si="277"/>
        <v>232</v>
      </c>
      <c r="ED93" s="882">
        <f t="shared" ref="ED93:FI93" ca="1" si="278">SUM(ED91:ED92)</f>
        <v>232</v>
      </c>
      <c r="EE93" s="882">
        <f t="shared" ca="1" si="278"/>
        <v>232</v>
      </c>
      <c r="EF93" s="882">
        <f t="shared" ca="1" si="278"/>
        <v>232</v>
      </c>
      <c r="EG93" s="882">
        <f t="shared" ca="1" si="278"/>
        <v>232</v>
      </c>
      <c r="EH93" s="882">
        <f t="shared" ca="1" si="278"/>
        <v>232</v>
      </c>
      <c r="EI93" s="882">
        <f t="shared" ca="1" si="278"/>
        <v>232</v>
      </c>
      <c r="EJ93" s="882">
        <f t="shared" ca="1" si="278"/>
        <v>232</v>
      </c>
      <c r="EK93" s="882">
        <f t="shared" ca="1" si="278"/>
        <v>232</v>
      </c>
      <c r="EL93" s="882">
        <f t="shared" ca="1" si="278"/>
        <v>232</v>
      </c>
      <c r="EM93" s="882">
        <f t="shared" ca="1" si="278"/>
        <v>232</v>
      </c>
      <c r="EN93" s="882">
        <f t="shared" ca="1" si="278"/>
        <v>232</v>
      </c>
      <c r="EO93" s="882">
        <f t="shared" ca="1" si="278"/>
        <v>232</v>
      </c>
      <c r="EP93" s="882">
        <f t="shared" ca="1" si="278"/>
        <v>232</v>
      </c>
      <c r="EQ93" s="882">
        <f t="shared" ca="1" si="278"/>
        <v>232</v>
      </c>
      <c r="ER93" s="882">
        <f t="shared" ca="1" si="278"/>
        <v>232</v>
      </c>
      <c r="ES93" s="882">
        <f t="shared" ca="1" si="278"/>
        <v>232</v>
      </c>
      <c r="ET93" s="882">
        <f t="shared" ca="1" si="278"/>
        <v>232</v>
      </c>
      <c r="EU93" s="882">
        <f t="shared" ca="1" si="278"/>
        <v>232</v>
      </c>
      <c r="EV93" s="882">
        <f t="shared" ca="1" si="278"/>
        <v>232</v>
      </c>
      <c r="EW93" s="882">
        <f t="shared" ca="1" si="278"/>
        <v>232</v>
      </c>
      <c r="EX93" s="882">
        <f t="shared" ca="1" si="278"/>
        <v>232</v>
      </c>
      <c r="EY93" s="882">
        <f t="shared" ca="1" si="278"/>
        <v>232</v>
      </c>
      <c r="EZ93" s="882">
        <f t="shared" ca="1" si="278"/>
        <v>232</v>
      </c>
      <c r="FA93" s="882">
        <f t="shared" ca="1" si="278"/>
        <v>232</v>
      </c>
      <c r="FB93" s="882">
        <f t="shared" ca="1" si="278"/>
        <v>232</v>
      </c>
      <c r="FC93" s="882">
        <f t="shared" ca="1" si="278"/>
        <v>232</v>
      </c>
      <c r="FD93" s="882">
        <f t="shared" ca="1" si="278"/>
        <v>232</v>
      </c>
      <c r="FE93" s="882">
        <f t="shared" ca="1" si="278"/>
        <v>232</v>
      </c>
      <c r="FF93" s="882">
        <f t="shared" ca="1" si="278"/>
        <v>232</v>
      </c>
      <c r="FG93" s="882">
        <f t="shared" ca="1" si="278"/>
        <v>232</v>
      </c>
      <c r="FH93" s="882">
        <f t="shared" ca="1" si="278"/>
        <v>232</v>
      </c>
      <c r="FI93" s="882">
        <f t="shared" ca="1" si="278"/>
        <v>232</v>
      </c>
      <c r="FJ93" s="882">
        <f t="shared" ref="FJ93:FN93" ca="1" si="279">SUM(FJ91:FJ92)</f>
        <v>232</v>
      </c>
      <c r="FK93" s="882">
        <f t="shared" ca="1" si="279"/>
        <v>232</v>
      </c>
      <c r="FL93" s="882">
        <f t="shared" ca="1" si="279"/>
        <v>232</v>
      </c>
      <c r="FM93" s="882">
        <f t="shared" ca="1" si="279"/>
        <v>232</v>
      </c>
      <c r="FN93" s="1008">
        <f t="shared" ca="1" si="279"/>
        <v>232</v>
      </c>
      <c r="FO93" s="144" t="s">
        <v>243</v>
      </c>
    </row>
    <row r="94" spans="2:171" x14ac:dyDescent="0.2">
      <c r="B94" s="1005">
        <v>44876</v>
      </c>
      <c r="D94" s="144">
        <v>0</v>
      </c>
      <c r="E94" s="144">
        <v>0</v>
      </c>
      <c r="F94" s="144">
        <v>0</v>
      </c>
      <c r="G94" s="144">
        <v>0</v>
      </c>
      <c r="H94" s="144">
        <v>0</v>
      </c>
      <c r="I94" s="144">
        <v>0</v>
      </c>
      <c r="J94" s="144">
        <v>0</v>
      </c>
      <c r="K94" s="144">
        <v>0</v>
      </c>
      <c r="L94" s="145">
        <v>0</v>
      </c>
      <c r="M94" s="144">
        <v>0</v>
      </c>
      <c r="N94" s="144">
        <v>1</v>
      </c>
      <c r="O94" s="144">
        <v>0</v>
      </c>
      <c r="Q94" s="1004">
        <f t="shared" si="187"/>
        <v>1</v>
      </c>
      <c r="AK94" s="721"/>
      <c r="AU94" s="151"/>
      <c r="AV94" s="151"/>
      <c r="AW94" s="151"/>
      <c r="AX94" s="151"/>
      <c r="AY94" s="151"/>
      <c r="AZ94" s="151"/>
      <c r="BA94" s="151"/>
      <c r="BB94" s="151"/>
      <c r="BC94" s="151"/>
      <c r="BD94" s="151"/>
      <c r="BE94" s="151"/>
      <c r="BF94" s="151"/>
      <c r="BG94" s="151"/>
      <c r="BH94" s="151"/>
      <c r="BI94" s="151"/>
      <c r="BJ94" s="151"/>
      <c r="BK94" s="151"/>
      <c r="BL94" s="151"/>
      <c r="BM94" s="151"/>
      <c r="BN94" s="151"/>
      <c r="BO94" s="151"/>
      <c r="BP94" s="151"/>
      <c r="BQ94" s="151"/>
      <c r="BR94" s="151"/>
      <c r="BS94" s="151"/>
      <c r="BT94" s="151"/>
      <c r="BU94" s="151"/>
      <c r="BV94" s="151"/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  <c r="CO94" s="151"/>
      <c r="CP94" s="151"/>
      <c r="CQ94" s="151"/>
      <c r="CR94" s="151"/>
      <c r="CS94" s="151"/>
      <c r="CT94" s="151"/>
      <c r="CU94" s="151"/>
      <c r="CV94" s="151"/>
      <c r="CW94" s="151"/>
      <c r="CX94" s="151"/>
      <c r="CY94" s="151"/>
      <c r="CZ94" s="151"/>
      <c r="DA94" s="151"/>
      <c r="DB94" s="151"/>
      <c r="DC94" s="151"/>
      <c r="DD94" s="151"/>
      <c r="DE94" s="151"/>
      <c r="DF94" s="151"/>
      <c r="DG94" s="151"/>
      <c r="DH94" s="151"/>
      <c r="DI94" s="151"/>
      <c r="DJ94" s="151"/>
      <c r="DK94" s="151"/>
      <c r="DL94" s="151"/>
      <c r="DM94" s="151"/>
      <c r="DN94" s="151"/>
      <c r="DO94" s="151"/>
      <c r="DP94" s="151"/>
      <c r="DQ94" s="151"/>
      <c r="DR94" s="151"/>
      <c r="DS94" s="151"/>
      <c r="DT94" s="151"/>
      <c r="DU94" s="151"/>
      <c r="DV94" s="151"/>
      <c r="DW94" s="151"/>
      <c r="DX94" s="151"/>
      <c r="DY94" s="151"/>
      <c r="DZ94" s="151"/>
      <c r="EA94" s="151"/>
      <c r="EB94" s="151"/>
      <c r="EC94" s="151"/>
      <c r="ED94" s="151"/>
      <c r="EE94" s="151"/>
      <c r="EF94" s="151"/>
      <c r="EG94" s="151"/>
      <c r="EH94" s="151"/>
      <c r="EI94" s="151"/>
      <c r="EJ94" s="151"/>
      <c r="EK94" s="151"/>
      <c r="EL94" s="151"/>
      <c r="EM94" s="151"/>
      <c r="EN94" s="151"/>
      <c r="EO94" s="151"/>
      <c r="EP94" s="151"/>
      <c r="EQ94" s="151"/>
      <c r="ER94" s="151"/>
      <c r="ES94" s="151"/>
      <c r="ET94" s="151"/>
      <c r="EU94" s="151"/>
      <c r="EV94" s="151"/>
      <c r="EW94" s="151"/>
      <c r="EX94" s="151"/>
      <c r="EY94" s="151"/>
      <c r="EZ94" s="151"/>
      <c r="FA94" s="151"/>
      <c r="FB94" s="151"/>
      <c r="FC94" s="151"/>
      <c r="FD94" s="151"/>
      <c r="FE94" s="151"/>
      <c r="FF94" s="151"/>
      <c r="FG94" s="151"/>
      <c r="FH94" s="151"/>
      <c r="FI94" s="151"/>
      <c r="FJ94" s="151"/>
      <c r="FK94" s="151"/>
      <c r="FL94" s="151"/>
      <c r="FM94" s="151"/>
      <c r="FN94" s="898"/>
      <c r="FO94" s="144" t="s">
        <v>243</v>
      </c>
    </row>
    <row r="95" spans="2:171" x14ac:dyDescent="0.2">
      <c r="B95" s="1005">
        <v>44879</v>
      </c>
      <c r="D95" s="144">
        <v>0</v>
      </c>
      <c r="E95" s="144">
        <v>0</v>
      </c>
      <c r="F95" s="144">
        <v>0</v>
      </c>
      <c r="G95" s="144">
        <v>0</v>
      </c>
      <c r="H95" s="144">
        <v>0</v>
      </c>
      <c r="I95" s="144">
        <v>0</v>
      </c>
      <c r="J95" s="144">
        <v>0</v>
      </c>
      <c r="K95" s="144">
        <v>0</v>
      </c>
      <c r="L95" s="145">
        <v>1</v>
      </c>
      <c r="M95" s="144">
        <v>0</v>
      </c>
      <c r="N95" s="144">
        <v>0</v>
      </c>
      <c r="O95" s="144">
        <v>0</v>
      </c>
      <c r="Q95" s="1004">
        <f t="shared" si="187"/>
        <v>1</v>
      </c>
      <c r="AK95" s="721" t="s">
        <v>389</v>
      </c>
      <c r="AL95" s="225">
        <f t="shared" ref="AL95:BQ95" si="280">IFERROR(AL89/AL78,0)</f>
        <v>1</v>
      </c>
      <c r="AM95" s="225">
        <f t="shared" ca="1" si="280"/>
        <v>0.98253275109170302</v>
      </c>
      <c r="AN95" s="225">
        <f t="shared" ca="1" si="280"/>
        <v>0.94323144104803491</v>
      </c>
      <c r="AO95" s="225">
        <f t="shared" ca="1" si="280"/>
        <v>0.90393013100436681</v>
      </c>
      <c r="AP95" s="225">
        <f t="shared" ca="1" si="280"/>
        <v>0.86462882096069871</v>
      </c>
      <c r="AQ95" s="225">
        <f t="shared" ca="1" si="280"/>
        <v>0.8253275109170306</v>
      </c>
      <c r="AR95" s="225">
        <f t="shared" ca="1" si="280"/>
        <v>0.78602620087336239</v>
      </c>
      <c r="AS95" s="225">
        <f t="shared" ca="1" si="280"/>
        <v>0.74672489082969429</v>
      </c>
      <c r="AT95" s="705">
        <f t="shared" ca="1" si="280"/>
        <v>0.70742358078602618</v>
      </c>
      <c r="AU95" s="705">
        <f t="shared" ca="1" si="280"/>
        <v>0.66812227074235808</v>
      </c>
      <c r="AV95" s="705">
        <f t="shared" ca="1" si="280"/>
        <v>0.62882096069868998</v>
      </c>
      <c r="AW95" s="705">
        <f t="shared" ca="1" si="280"/>
        <v>0.58951965065502188</v>
      </c>
      <c r="AX95" s="705">
        <f t="shared" ca="1" si="280"/>
        <v>0.55021834061135366</v>
      </c>
      <c r="AY95" s="705">
        <f t="shared" ca="1" si="280"/>
        <v>0.50655021834061131</v>
      </c>
      <c r="AZ95" s="705">
        <f t="shared" ca="1" si="280"/>
        <v>0.46288209606986902</v>
      </c>
      <c r="BA95" s="705">
        <f t="shared" ca="1" si="280"/>
        <v>0.41921397379912662</v>
      </c>
      <c r="BB95" s="705">
        <f t="shared" ca="1" si="280"/>
        <v>0.37554585152838427</v>
      </c>
      <c r="BC95" s="705">
        <f t="shared" ca="1" si="280"/>
        <v>0.33187772925764192</v>
      </c>
      <c r="BD95" s="705">
        <f t="shared" ca="1" si="280"/>
        <v>0.28820960698689957</v>
      </c>
      <c r="BE95" s="705">
        <f t="shared" ca="1" si="280"/>
        <v>0.24454148471615719</v>
      </c>
      <c r="BF95" s="705">
        <f t="shared" ca="1" si="280"/>
        <v>0.20087336244541484</v>
      </c>
      <c r="BG95" s="705">
        <f t="shared" ca="1" si="280"/>
        <v>0.15720524017467249</v>
      </c>
      <c r="BH95" s="705">
        <f t="shared" ca="1" si="280"/>
        <v>0.11353711790393013</v>
      </c>
      <c r="BI95" s="705">
        <f t="shared" ca="1" si="280"/>
        <v>6.9868995633187769E-2</v>
      </c>
      <c r="BJ95" s="705">
        <f t="shared" ca="1" si="280"/>
        <v>2.6200873362445413E-2</v>
      </c>
      <c r="BK95" s="705">
        <f t="shared" ca="1" si="280"/>
        <v>0</v>
      </c>
      <c r="BL95" s="705">
        <f t="shared" ca="1" si="280"/>
        <v>0</v>
      </c>
      <c r="BM95" s="705">
        <f t="shared" ca="1" si="280"/>
        <v>0</v>
      </c>
      <c r="BN95" s="705">
        <f t="shared" ca="1" si="280"/>
        <v>0</v>
      </c>
      <c r="BO95" s="705">
        <f t="shared" ca="1" si="280"/>
        <v>0</v>
      </c>
      <c r="BP95" s="705">
        <f t="shared" ca="1" si="280"/>
        <v>0</v>
      </c>
      <c r="BQ95" s="705">
        <f t="shared" ca="1" si="280"/>
        <v>0</v>
      </c>
      <c r="BR95" s="705">
        <f t="shared" ref="BR95:CW95" ca="1" si="281">IFERROR(BR89/BR78,0)</f>
        <v>0</v>
      </c>
      <c r="BS95" s="705">
        <f t="shared" ca="1" si="281"/>
        <v>0</v>
      </c>
      <c r="BT95" s="705">
        <f t="shared" ca="1" si="281"/>
        <v>0</v>
      </c>
      <c r="BU95" s="705">
        <f t="shared" ca="1" si="281"/>
        <v>0</v>
      </c>
      <c r="BV95" s="705">
        <f t="shared" ca="1" si="281"/>
        <v>0</v>
      </c>
      <c r="BW95" s="705">
        <f t="shared" ca="1" si="281"/>
        <v>0</v>
      </c>
      <c r="BX95" s="705">
        <f t="shared" ca="1" si="281"/>
        <v>0</v>
      </c>
      <c r="BY95" s="705">
        <f t="shared" ca="1" si="281"/>
        <v>0</v>
      </c>
      <c r="BZ95" s="705">
        <f t="shared" ca="1" si="281"/>
        <v>0</v>
      </c>
      <c r="CA95" s="705">
        <f t="shared" ca="1" si="281"/>
        <v>0</v>
      </c>
      <c r="CB95" s="705">
        <f t="shared" ca="1" si="281"/>
        <v>0</v>
      </c>
      <c r="CC95" s="705">
        <f t="shared" ca="1" si="281"/>
        <v>0</v>
      </c>
      <c r="CD95" s="705">
        <f t="shared" ca="1" si="281"/>
        <v>0</v>
      </c>
      <c r="CE95" s="705">
        <f t="shared" ca="1" si="281"/>
        <v>0</v>
      </c>
      <c r="CF95" s="705">
        <f t="shared" ca="1" si="281"/>
        <v>0</v>
      </c>
      <c r="CG95" s="705">
        <f t="shared" ca="1" si="281"/>
        <v>0</v>
      </c>
      <c r="CH95" s="705">
        <f t="shared" ca="1" si="281"/>
        <v>0</v>
      </c>
      <c r="CI95" s="705">
        <f t="shared" ca="1" si="281"/>
        <v>0</v>
      </c>
      <c r="CJ95" s="705">
        <f t="shared" ca="1" si="281"/>
        <v>0</v>
      </c>
      <c r="CK95" s="705">
        <f t="shared" ca="1" si="281"/>
        <v>0</v>
      </c>
      <c r="CL95" s="705">
        <f t="shared" ca="1" si="281"/>
        <v>0</v>
      </c>
      <c r="CM95" s="705">
        <f t="shared" ca="1" si="281"/>
        <v>0</v>
      </c>
      <c r="CN95" s="705">
        <f t="shared" ca="1" si="281"/>
        <v>0</v>
      </c>
      <c r="CO95" s="705">
        <f t="shared" ca="1" si="281"/>
        <v>0</v>
      </c>
      <c r="CP95" s="705">
        <f t="shared" ca="1" si="281"/>
        <v>0</v>
      </c>
      <c r="CQ95" s="705">
        <f t="shared" ca="1" si="281"/>
        <v>0</v>
      </c>
      <c r="CR95" s="705">
        <f t="shared" ca="1" si="281"/>
        <v>0</v>
      </c>
      <c r="CS95" s="705">
        <f t="shared" ca="1" si="281"/>
        <v>0</v>
      </c>
      <c r="CT95" s="705">
        <f t="shared" ca="1" si="281"/>
        <v>0</v>
      </c>
      <c r="CU95" s="705">
        <f t="shared" ca="1" si="281"/>
        <v>0</v>
      </c>
      <c r="CV95" s="705">
        <f t="shared" ca="1" si="281"/>
        <v>0</v>
      </c>
      <c r="CW95" s="705">
        <f t="shared" ca="1" si="281"/>
        <v>0</v>
      </c>
      <c r="CX95" s="705">
        <f t="shared" ref="CX95:EC95" ca="1" si="282">IFERROR(CX89/CX78,0)</f>
        <v>0</v>
      </c>
      <c r="CY95" s="705">
        <f t="shared" ca="1" si="282"/>
        <v>0</v>
      </c>
      <c r="CZ95" s="705">
        <f t="shared" ca="1" si="282"/>
        <v>0</v>
      </c>
      <c r="DA95" s="705">
        <f t="shared" ca="1" si="282"/>
        <v>0</v>
      </c>
      <c r="DB95" s="705">
        <f t="shared" ca="1" si="282"/>
        <v>0</v>
      </c>
      <c r="DC95" s="705">
        <f t="shared" ca="1" si="282"/>
        <v>0</v>
      </c>
      <c r="DD95" s="705">
        <f t="shared" ca="1" si="282"/>
        <v>0</v>
      </c>
      <c r="DE95" s="705">
        <f t="shared" ca="1" si="282"/>
        <v>0</v>
      </c>
      <c r="DF95" s="705">
        <f t="shared" ca="1" si="282"/>
        <v>0</v>
      </c>
      <c r="DG95" s="705">
        <f t="shared" ca="1" si="282"/>
        <v>0</v>
      </c>
      <c r="DH95" s="705">
        <f t="shared" ca="1" si="282"/>
        <v>0</v>
      </c>
      <c r="DI95" s="705">
        <f t="shared" ca="1" si="282"/>
        <v>0</v>
      </c>
      <c r="DJ95" s="705">
        <f t="shared" ca="1" si="282"/>
        <v>0</v>
      </c>
      <c r="DK95" s="705">
        <f t="shared" ca="1" si="282"/>
        <v>0</v>
      </c>
      <c r="DL95" s="705">
        <f t="shared" ca="1" si="282"/>
        <v>0</v>
      </c>
      <c r="DM95" s="705">
        <f t="shared" ca="1" si="282"/>
        <v>0</v>
      </c>
      <c r="DN95" s="705">
        <f t="shared" ca="1" si="282"/>
        <v>0</v>
      </c>
      <c r="DO95" s="705">
        <f t="shared" ca="1" si="282"/>
        <v>0</v>
      </c>
      <c r="DP95" s="705">
        <f t="shared" ca="1" si="282"/>
        <v>0</v>
      </c>
      <c r="DQ95" s="705">
        <f t="shared" ca="1" si="282"/>
        <v>0</v>
      </c>
      <c r="DR95" s="705">
        <f t="shared" ca="1" si="282"/>
        <v>0</v>
      </c>
      <c r="DS95" s="705">
        <f t="shared" ca="1" si="282"/>
        <v>0</v>
      </c>
      <c r="DT95" s="705">
        <f t="shared" ca="1" si="282"/>
        <v>0</v>
      </c>
      <c r="DU95" s="705">
        <f t="shared" ca="1" si="282"/>
        <v>0</v>
      </c>
      <c r="DV95" s="705">
        <f t="shared" ca="1" si="282"/>
        <v>0</v>
      </c>
      <c r="DW95" s="705">
        <f t="shared" ca="1" si="282"/>
        <v>0</v>
      </c>
      <c r="DX95" s="705">
        <f t="shared" ca="1" si="282"/>
        <v>0</v>
      </c>
      <c r="DY95" s="705">
        <f t="shared" ca="1" si="282"/>
        <v>0</v>
      </c>
      <c r="DZ95" s="705">
        <f t="shared" ca="1" si="282"/>
        <v>0</v>
      </c>
      <c r="EA95" s="705">
        <f t="shared" ca="1" si="282"/>
        <v>0</v>
      </c>
      <c r="EB95" s="705">
        <f t="shared" ca="1" si="282"/>
        <v>0</v>
      </c>
      <c r="EC95" s="705">
        <f t="shared" ca="1" si="282"/>
        <v>0</v>
      </c>
      <c r="ED95" s="705">
        <f t="shared" ref="ED95:FN95" ca="1" si="283">IFERROR(ED89/ED78,0)</f>
        <v>0</v>
      </c>
      <c r="EE95" s="705">
        <f t="shared" ca="1" si="283"/>
        <v>0</v>
      </c>
      <c r="EF95" s="705">
        <f t="shared" ca="1" si="283"/>
        <v>0</v>
      </c>
      <c r="EG95" s="705">
        <f t="shared" ca="1" si="283"/>
        <v>0</v>
      </c>
      <c r="EH95" s="705">
        <f t="shared" ca="1" si="283"/>
        <v>0</v>
      </c>
      <c r="EI95" s="705">
        <f t="shared" ca="1" si="283"/>
        <v>0</v>
      </c>
      <c r="EJ95" s="705">
        <f t="shared" ca="1" si="283"/>
        <v>0</v>
      </c>
      <c r="EK95" s="705">
        <f t="shared" ca="1" si="283"/>
        <v>0</v>
      </c>
      <c r="EL95" s="705">
        <f t="shared" ca="1" si="283"/>
        <v>0</v>
      </c>
      <c r="EM95" s="705">
        <f t="shared" ca="1" si="283"/>
        <v>0</v>
      </c>
      <c r="EN95" s="705">
        <f t="shared" ca="1" si="283"/>
        <v>0</v>
      </c>
      <c r="EO95" s="705">
        <f t="shared" ca="1" si="283"/>
        <v>0</v>
      </c>
      <c r="EP95" s="705">
        <f t="shared" ca="1" si="283"/>
        <v>0</v>
      </c>
      <c r="EQ95" s="705">
        <f t="shared" ca="1" si="283"/>
        <v>0</v>
      </c>
      <c r="ER95" s="705">
        <f t="shared" ca="1" si="283"/>
        <v>0</v>
      </c>
      <c r="ES95" s="705">
        <f t="shared" ca="1" si="283"/>
        <v>0</v>
      </c>
      <c r="ET95" s="705">
        <f t="shared" ca="1" si="283"/>
        <v>0</v>
      </c>
      <c r="EU95" s="705">
        <f t="shared" ca="1" si="283"/>
        <v>0</v>
      </c>
      <c r="EV95" s="705">
        <f t="shared" ca="1" si="283"/>
        <v>0</v>
      </c>
      <c r="EW95" s="705">
        <f t="shared" ca="1" si="283"/>
        <v>0</v>
      </c>
      <c r="EX95" s="705">
        <f t="shared" ca="1" si="283"/>
        <v>0</v>
      </c>
      <c r="EY95" s="705">
        <f t="shared" ca="1" si="283"/>
        <v>0</v>
      </c>
      <c r="EZ95" s="705">
        <f t="shared" ca="1" si="283"/>
        <v>0</v>
      </c>
      <c r="FA95" s="705">
        <f t="shared" ca="1" si="283"/>
        <v>0</v>
      </c>
      <c r="FB95" s="705">
        <f t="shared" ca="1" si="283"/>
        <v>0</v>
      </c>
      <c r="FC95" s="705">
        <f t="shared" ca="1" si="283"/>
        <v>0</v>
      </c>
      <c r="FD95" s="705">
        <f t="shared" ca="1" si="283"/>
        <v>0</v>
      </c>
      <c r="FE95" s="705">
        <f t="shared" ca="1" si="283"/>
        <v>0</v>
      </c>
      <c r="FF95" s="705">
        <f t="shared" ca="1" si="283"/>
        <v>0</v>
      </c>
      <c r="FG95" s="705">
        <f t="shared" ca="1" si="283"/>
        <v>0</v>
      </c>
      <c r="FH95" s="705">
        <f t="shared" ca="1" si="283"/>
        <v>0</v>
      </c>
      <c r="FI95" s="705">
        <f t="shared" ca="1" si="283"/>
        <v>0</v>
      </c>
      <c r="FJ95" s="705">
        <f t="shared" ca="1" si="283"/>
        <v>0</v>
      </c>
      <c r="FK95" s="705">
        <f t="shared" ca="1" si="283"/>
        <v>0</v>
      </c>
      <c r="FL95" s="705">
        <f t="shared" ca="1" si="283"/>
        <v>0</v>
      </c>
      <c r="FM95" s="705">
        <f t="shared" ca="1" si="283"/>
        <v>0</v>
      </c>
      <c r="FN95" s="981">
        <f t="shared" ca="1" si="283"/>
        <v>0</v>
      </c>
      <c r="FO95" s="144" t="s">
        <v>243</v>
      </c>
    </row>
    <row r="96" spans="2:171" ht="15" thickBot="1" x14ac:dyDescent="0.25">
      <c r="B96" s="1005">
        <v>44882</v>
      </c>
      <c r="D96" s="144">
        <v>0</v>
      </c>
      <c r="E96" s="144">
        <v>0</v>
      </c>
      <c r="F96" s="144">
        <v>0</v>
      </c>
      <c r="G96" s="144">
        <v>0</v>
      </c>
      <c r="H96" s="144">
        <v>0</v>
      </c>
      <c r="I96" s="144">
        <v>0</v>
      </c>
      <c r="J96" s="144">
        <v>0</v>
      </c>
      <c r="K96" s="144">
        <v>0</v>
      </c>
      <c r="L96" s="145">
        <v>0</v>
      </c>
      <c r="M96" s="144">
        <v>1</v>
      </c>
      <c r="N96" s="144">
        <v>0</v>
      </c>
      <c r="O96" s="144">
        <v>0</v>
      </c>
      <c r="Q96" s="1004">
        <f t="shared" si="187"/>
        <v>1</v>
      </c>
      <c r="AK96" s="757" t="s">
        <v>390</v>
      </c>
      <c r="AL96" s="1013">
        <f t="shared" ref="AL96:BQ96" si="284">IFERROR(AL93/AL78,0)</f>
        <v>0</v>
      </c>
      <c r="AM96" s="1013">
        <f t="shared" ca="1" si="284"/>
        <v>1.7467248908296942E-2</v>
      </c>
      <c r="AN96" s="1013">
        <f t="shared" ca="1" si="284"/>
        <v>5.6768558951965066E-2</v>
      </c>
      <c r="AO96" s="1013">
        <f t="shared" ca="1" si="284"/>
        <v>9.606986899563319E-2</v>
      </c>
      <c r="AP96" s="1013">
        <f t="shared" ca="1" si="284"/>
        <v>0.13537117903930132</v>
      </c>
      <c r="AQ96" s="1013">
        <f t="shared" ca="1" si="284"/>
        <v>0.17467248908296942</v>
      </c>
      <c r="AR96" s="1013">
        <f t="shared" ca="1" si="284"/>
        <v>0.21397379912663755</v>
      </c>
      <c r="AS96" s="1013">
        <f t="shared" ca="1" si="284"/>
        <v>0.25327510917030566</v>
      </c>
      <c r="AT96" s="1014">
        <f t="shared" ca="1" si="284"/>
        <v>0.29257641921397382</v>
      </c>
      <c r="AU96" s="1014">
        <f t="shared" ca="1" si="284"/>
        <v>0.33187772925764192</v>
      </c>
      <c r="AV96" s="1014">
        <f t="shared" ca="1" si="284"/>
        <v>0.37117903930131002</v>
      </c>
      <c r="AW96" s="1014">
        <f t="shared" ca="1" si="284"/>
        <v>0.41048034934497818</v>
      </c>
      <c r="AX96" s="1014">
        <f t="shared" ca="1" si="284"/>
        <v>0.44978165938864628</v>
      </c>
      <c r="AY96" s="1014">
        <f t="shared" ca="1" si="284"/>
        <v>0.49344978165938863</v>
      </c>
      <c r="AZ96" s="1014">
        <f t="shared" ca="1" si="284"/>
        <v>0.53711790393013104</v>
      </c>
      <c r="BA96" s="1014">
        <f t="shared" ca="1" si="284"/>
        <v>0.58078602620087338</v>
      </c>
      <c r="BB96" s="1014">
        <f t="shared" ca="1" si="284"/>
        <v>0.62445414847161573</v>
      </c>
      <c r="BC96" s="1014">
        <f t="shared" ca="1" si="284"/>
        <v>0.66812227074235808</v>
      </c>
      <c r="BD96" s="1014">
        <f t="shared" ca="1" si="284"/>
        <v>0.71179039301310043</v>
      </c>
      <c r="BE96" s="1014">
        <f t="shared" ca="1" si="284"/>
        <v>0.75545851528384278</v>
      </c>
      <c r="BF96" s="1014">
        <f t="shared" ca="1" si="284"/>
        <v>0.79912663755458513</v>
      </c>
      <c r="BG96" s="1014">
        <f t="shared" ca="1" si="284"/>
        <v>0.84279475982532748</v>
      </c>
      <c r="BH96" s="1014">
        <f t="shared" ca="1" si="284"/>
        <v>0.88646288209606983</v>
      </c>
      <c r="BI96" s="1014">
        <f t="shared" ca="1" si="284"/>
        <v>0.93013100436681218</v>
      </c>
      <c r="BJ96" s="1014">
        <f t="shared" ca="1" si="284"/>
        <v>0.97379912663755464</v>
      </c>
      <c r="BK96" s="1014">
        <f t="shared" ca="1" si="284"/>
        <v>1</v>
      </c>
      <c r="BL96" s="1014">
        <f t="shared" ca="1" si="284"/>
        <v>1</v>
      </c>
      <c r="BM96" s="1014">
        <f t="shared" ca="1" si="284"/>
        <v>1</v>
      </c>
      <c r="BN96" s="1014">
        <f t="shared" ca="1" si="284"/>
        <v>1</v>
      </c>
      <c r="BO96" s="1014">
        <f t="shared" ca="1" si="284"/>
        <v>1</v>
      </c>
      <c r="BP96" s="1014">
        <f t="shared" ca="1" si="284"/>
        <v>1</v>
      </c>
      <c r="BQ96" s="1014">
        <f t="shared" ca="1" si="284"/>
        <v>1</v>
      </c>
      <c r="BR96" s="1014">
        <f t="shared" ref="BR96:CW96" ca="1" si="285">IFERROR(BR93/BR78,0)</f>
        <v>1</v>
      </c>
      <c r="BS96" s="1014">
        <f t="shared" ca="1" si="285"/>
        <v>1</v>
      </c>
      <c r="BT96" s="1014">
        <f t="shared" ca="1" si="285"/>
        <v>1</v>
      </c>
      <c r="BU96" s="1014">
        <f t="shared" ca="1" si="285"/>
        <v>1</v>
      </c>
      <c r="BV96" s="1014">
        <f t="shared" ca="1" si="285"/>
        <v>1</v>
      </c>
      <c r="BW96" s="1014">
        <f t="shared" ca="1" si="285"/>
        <v>1</v>
      </c>
      <c r="BX96" s="1014">
        <f t="shared" ca="1" si="285"/>
        <v>1</v>
      </c>
      <c r="BY96" s="1014">
        <f t="shared" ca="1" si="285"/>
        <v>1</v>
      </c>
      <c r="BZ96" s="1014">
        <f t="shared" ca="1" si="285"/>
        <v>1</v>
      </c>
      <c r="CA96" s="1014">
        <f t="shared" ca="1" si="285"/>
        <v>1</v>
      </c>
      <c r="CB96" s="1014">
        <f t="shared" ca="1" si="285"/>
        <v>1</v>
      </c>
      <c r="CC96" s="1014">
        <f t="shared" ca="1" si="285"/>
        <v>1</v>
      </c>
      <c r="CD96" s="1014">
        <f t="shared" ca="1" si="285"/>
        <v>1</v>
      </c>
      <c r="CE96" s="1014">
        <f t="shared" ca="1" si="285"/>
        <v>1</v>
      </c>
      <c r="CF96" s="1014">
        <f t="shared" ca="1" si="285"/>
        <v>1</v>
      </c>
      <c r="CG96" s="1014">
        <f t="shared" ca="1" si="285"/>
        <v>1</v>
      </c>
      <c r="CH96" s="1014">
        <f t="shared" ca="1" si="285"/>
        <v>1</v>
      </c>
      <c r="CI96" s="1014">
        <f t="shared" ca="1" si="285"/>
        <v>1</v>
      </c>
      <c r="CJ96" s="1014">
        <f t="shared" ca="1" si="285"/>
        <v>1</v>
      </c>
      <c r="CK96" s="1014">
        <f t="shared" ca="1" si="285"/>
        <v>1</v>
      </c>
      <c r="CL96" s="1014">
        <f t="shared" ca="1" si="285"/>
        <v>1</v>
      </c>
      <c r="CM96" s="1014">
        <f t="shared" ca="1" si="285"/>
        <v>1</v>
      </c>
      <c r="CN96" s="1014">
        <f t="shared" ca="1" si="285"/>
        <v>1</v>
      </c>
      <c r="CO96" s="1014">
        <f t="shared" ca="1" si="285"/>
        <v>1</v>
      </c>
      <c r="CP96" s="1014">
        <f t="shared" ca="1" si="285"/>
        <v>1</v>
      </c>
      <c r="CQ96" s="1014">
        <f t="shared" ca="1" si="285"/>
        <v>1</v>
      </c>
      <c r="CR96" s="1014">
        <f t="shared" ca="1" si="285"/>
        <v>1</v>
      </c>
      <c r="CS96" s="1014">
        <f t="shared" ca="1" si="285"/>
        <v>1</v>
      </c>
      <c r="CT96" s="1014">
        <f t="shared" ca="1" si="285"/>
        <v>1</v>
      </c>
      <c r="CU96" s="1014">
        <f t="shared" ca="1" si="285"/>
        <v>1</v>
      </c>
      <c r="CV96" s="1014">
        <f t="shared" ca="1" si="285"/>
        <v>1</v>
      </c>
      <c r="CW96" s="1014">
        <f t="shared" ca="1" si="285"/>
        <v>1</v>
      </c>
      <c r="CX96" s="1014">
        <f t="shared" ref="CX96:EC96" ca="1" si="286">IFERROR(CX93/CX78,0)</f>
        <v>1</v>
      </c>
      <c r="CY96" s="1014">
        <f t="shared" ca="1" si="286"/>
        <v>1</v>
      </c>
      <c r="CZ96" s="1014">
        <f t="shared" ca="1" si="286"/>
        <v>1</v>
      </c>
      <c r="DA96" s="1014">
        <f t="shared" ca="1" si="286"/>
        <v>1</v>
      </c>
      <c r="DB96" s="1014">
        <f t="shared" ca="1" si="286"/>
        <v>1</v>
      </c>
      <c r="DC96" s="1014">
        <f t="shared" ca="1" si="286"/>
        <v>1</v>
      </c>
      <c r="DD96" s="1014">
        <f t="shared" ca="1" si="286"/>
        <v>1</v>
      </c>
      <c r="DE96" s="1014">
        <f t="shared" ca="1" si="286"/>
        <v>1</v>
      </c>
      <c r="DF96" s="1014">
        <f t="shared" ca="1" si="286"/>
        <v>1</v>
      </c>
      <c r="DG96" s="1014">
        <f t="shared" ca="1" si="286"/>
        <v>1</v>
      </c>
      <c r="DH96" s="1014">
        <f t="shared" ca="1" si="286"/>
        <v>1</v>
      </c>
      <c r="DI96" s="1014">
        <f t="shared" ca="1" si="286"/>
        <v>1</v>
      </c>
      <c r="DJ96" s="1014">
        <f t="shared" ca="1" si="286"/>
        <v>1</v>
      </c>
      <c r="DK96" s="1014">
        <f t="shared" ca="1" si="286"/>
        <v>1</v>
      </c>
      <c r="DL96" s="1014">
        <f t="shared" ca="1" si="286"/>
        <v>1</v>
      </c>
      <c r="DM96" s="1014">
        <f t="shared" ca="1" si="286"/>
        <v>1</v>
      </c>
      <c r="DN96" s="1014">
        <f t="shared" ca="1" si="286"/>
        <v>1</v>
      </c>
      <c r="DO96" s="1014">
        <f t="shared" ca="1" si="286"/>
        <v>1</v>
      </c>
      <c r="DP96" s="1014">
        <f t="shared" ca="1" si="286"/>
        <v>1</v>
      </c>
      <c r="DQ96" s="1014">
        <f t="shared" ca="1" si="286"/>
        <v>1</v>
      </c>
      <c r="DR96" s="1014">
        <f t="shared" ca="1" si="286"/>
        <v>1</v>
      </c>
      <c r="DS96" s="1014">
        <f t="shared" ca="1" si="286"/>
        <v>1</v>
      </c>
      <c r="DT96" s="1014">
        <f t="shared" ca="1" si="286"/>
        <v>1</v>
      </c>
      <c r="DU96" s="1014">
        <f t="shared" ca="1" si="286"/>
        <v>1</v>
      </c>
      <c r="DV96" s="1014">
        <f t="shared" ca="1" si="286"/>
        <v>1</v>
      </c>
      <c r="DW96" s="1014">
        <f t="shared" ca="1" si="286"/>
        <v>1</v>
      </c>
      <c r="DX96" s="1014">
        <f t="shared" ca="1" si="286"/>
        <v>1</v>
      </c>
      <c r="DY96" s="1014">
        <f t="shared" ca="1" si="286"/>
        <v>1</v>
      </c>
      <c r="DZ96" s="1014">
        <f t="shared" ca="1" si="286"/>
        <v>1</v>
      </c>
      <c r="EA96" s="1014">
        <f t="shared" ca="1" si="286"/>
        <v>1</v>
      </c>
      <c r="EB96" s="1014">
        <f t="shared" ca="1" si="286"/>
        <v>1</v>
      </c>
      <c r="EC96" s="1014">
        <f t="shared" ca="1" si="286"/>
        <v>1</v>
      </c>
      <c r="ED96" s="1014">
        <f t="shared" ref="ED96:FN96" ca="1" si="287">IFERROR(ED93/ED78,0)</f>
        <v>1</v>
      </c>
      <c r="EE96" s="1014">
        <f t="shared" ca="1" si="287"/>
        <v>1</v>
      </c>
      <c r="EF96" s="1014">
        <f t="shared" ca="1" si="287"/>
        <v>1</v>
      </c>
      <c r="EG96" s="1014">
        <f t="shared" ca="1" si="287"/>
        <v>1</v>
      </c>
      <c r="EH96" s="1014">
        <f t="shared" ca="1" si="287"/>
        <v>1</v>
      </c>
      <c r="EI96" s="1014">
        <f t="shared" ca="1" si="287"/>
        <v>1</v>
      </c>
      <c r="EJ96" s="1014">
        <f t="shared" ca="1" si="287"/>
        <v>1</v>
      </c>
      <c r="EK96" s="1014">
        <f t="shared" ca="1" si="287"/>
        <v>1</v>
      </c>
      <c r="EL96" s="1014">
        <f t="shared" ca="1" si="287"/>
        <v>1</v>
      </c>
      <c r="EM96" s="1014">
        <f t="shared" ca="1" si="287"/>
        <v>1</v>
      </c>
      <c r="EN96" s="1014">
        <f t="shared" ca="1" si="287"/>
        <v>1</v>
      </c>
      <c r="EO96" s="1014">
        <f t="shared" ca="1" si="287"/>
        <v>1</v>
      </c>
      <c r="EP96" s="1014">
        <f t="shared" ca="1" si="287"/>
        <v>1</v>
      </c>
      <c r="EQ96" s="1014">
        <f t="shared" ca="1" si="287"/>
        <v>1</v>
      </c>
      <c r="ER96" s="1014">
        <f t="shared" ca="1" si="287"/>
        <v>1</v>
      </c>
      <c r="ES96" s="1014">
        <f t="shared" ca="1" si="287"/>
        <v>1</v>
      </c>
      <c r="ET96" s="1014">
        <f t="shared" ca="1" si="287"/>
        <v>1</v>
      </c>
      <c r="EU96" s="1014">
        <f t="shared" ca="1" si="287"/>
        <v>1</v>
      </c>
      <c r="EV96" s="1014">
        <f t="shared" ca="1" si="287"/>
        <v>1</v>
      </c>
      <c r="EW96" s="1014">
        <f t="shared" ca="1" si="287"/>
        <v>1</v>
      </c>
      <c r="EX96" s="1014">
        <f t="shared" ca="1" si="287"/>
        <v>1</v>
      </c>
      <c r="EY96" s="1014">
        <f t="shared" ca="1" si="287"/>
        <v>1</v>
      </c>
      <c r="EZ96" s="1014">
        <f t="shared" ca="1" si="287"/>
        <v>1</v>
      </c>
      <c r="FA96" s="1014">
        <f t="shared" ca="1" si="287"/>
        <v>1</v>
      </c>
      <c r="FB96" s="1014">
        <f t="shared" ca="1" si="287"/>
        <v>1</v>
      </c>
      <c r="FC96" s="1014">
        <f t="shared" ca="1" si="287"/>
        <v>1</v>
      </c>
      <c r="FD96" s="1014">
        <f t="shared" ca="1" si="287"/>
        <v>1</v>
      </c>
      <c r="FE96" s="1014">
        <f t="shared" ca="1" si="287"/>
        <v>1</v>
      </c>
      <c r="FF96" s="1014">
        <f t="shared" ca="1" si="287"/>
        <v>1</v>
      </c>
      <c r="FG96" s="1014">
        <f t="shared" ca="1" si="287"/>
        <v>1</v>
      </c>
      <c r="FH96" s="1014">
        <f t="shared" ca="1" si="287"/>
        <v>1</v>
      </c>
      <c r="FI96" s="1014">
        <f t="shared" ca="1" si="287"/>
        <v>1</v>
      </c>
      <c r="FJ96" s="1014">
        <f t="shared" ca="1" si="287"/>
        <v>1</v>
      </c>
      <c r="FK96" s="1014">
        <f t="shared" ca="1" si="287"/>
        <v>1</v>
      </c>
      <c r="FL96" s="1014">
        <f t="shared" ca="1" si="287"/>
        <v>1</v>
      </c>
      <c r="FM96" s="1014">
        <f t="shared" ca="1" si="287"/>
        <v>1</v>
      </c>
      <c r="FN96" s="1015">
        <f t="shared" ca="1" si="287"/>
        <v>1</v>
      </c>
      <c r="FO96" s="144" t="s">
        <v>243</v>
      </c>
    </row>
    <row r="97" spans="2:171" x14ac:dyDescent="0.2">
      <c r="B97" s="1005">
        <v>44883</v>
      </c>
      <c r="D97" s="144">
        <v>1</v>
      </c>
      <c r="E97" s="144">
        <v>0</v>
      </c>
      <c r="F97" s="144">
        <v>0</v>
      </c>
      <c r="G97" s="144">
        <v>0</v>
      </c>
      <c r="H97" s="144">
        <v>0</v>
      </c>
      <c r="I97" s="144">
        <v>0</v>
      </c>
      <c r="J97" s="144">
        <v>0</v>
      </c>
      <c r="K97" s="144">
        <v>0</v>
      </c>
      <c r="L97" s="145">
        <v>0</v>
      </c>
      <c r="M97" s="144">
        <v>1</v>
      </c>
      <c r="N97" s="144">
        <v>0</v>
      </c>
      <c r="O97" s="144">
        <v>0</v>
      </c>
      <c r="Q97" s="1004">
        <f t="shared" si="187"/>
        <v>2</v>
      </c>
      <c r="AU97" s="151"/>
      <c r="AV97" s="151"/>
      <c r="AW97" s="151"/>
      <c r="AX97" s="151"/>
      <c r="AY97" s="151"/>
      <c r="AZ97" s="151"/>
      <c r="BA97" s="151"/>
      <c r="BB97" s="151"/>
      <c r="BC97" s="151"/>
      <c r="BD97" s="151"/>
      <c r="BE97" s="151"/>
      <c r="BF97" s="151"/>
      <c r="FO97" s="144" t="s">
        <v>243</v>
      </c>
    </row>
    <row r="98" spans="2:171" x14ac:dyDescent="0.2">
      <c r="B98" s="1005">
        <v>44884</v>
      </c>
      <c r="D98" s="144">
        <v>0</v>
      </c>
      <c r="E98" s="144">
        <v>0</v>
      </c>
      <c r="F98" s="144">
        <v>0</v>
      </c>
      <c r="G98" s="144">
        <v>0</v>
      </c>
      <c r="H98" s="144">
        <v>0</v>
      </c>
      <c r="I98" s="144">
        <v>0</v>
      </c>
      <c r="J98" s="144">
        <v>0</v>
      </c>
      <c r="K98" s="144">
        <v>0</v>
      </c>
      <c r="L98" s="145">
        <v>1</v>
      </c>
      <c r="M98" s="144">
        <v>0</v>
      </c>
      <c r="N98" s="144">
        <v>0</v>
      </c>
      <c r="O98" s="144">
        <v>0</v>
      </c>
      <c r="Q98" s="1004">
        <f t="shared" si="187"/>
        <v>1</v>
      </c>
      <c r="AJ98" s="155" t="str">
        <f ca="1">IFERROR(INDEX(AM98:FN98,MATCH("ERROR",AM98:FN98,0)),"OK")</f>
        <v>OK</v>
      </c>
      <c r="AK98" s="317" t="s">
        <v>391</v>
      </c>
      <c r="AL98" s="301" t="str">
        <f t="shared" ref="AL98:BQ98" si="288">IF((AL93+AL89)=AL78,"OK","ERROR")</f>
        <v>OK</v>
      </c>
      <c r="AM98" s="301" t="str">
        <f ca="1">IF((AM93+AM89)=AM78,"OK","ERROR")</f>
        <v>OK</v>
      </c>
      <c r="AN98" s="301" t="str">
        <f t="shared" ca="1" si="288"/>
        <v>OK</v>
      </c>
      <c r="AO98" s="301" t="str">
        <f t="shared" ca="1" si="288"/>
        <v>OK</v>
      </c>
      <c r="AP98" s="301" t="str">
        <f t="shared" ca="1" si="288"/>
        <v>OK</v>
      </c>
      <c r="AQ98" s="301" t="str">
        <f t="shared" ca="1" si="288"/>
        <v>OK</v>
      </c>
      <c r="AR98" s="301" t="str">
        <f t="shared" ca="1" si="288"/>
        <v>OK</v>
      </c>
      <c r="AS98" s="301" t="str">
        <f t="shared" ca="1" si="288"/>
        <v>OK</v>
      </c>
      <c r="AT98" s="301" t="str">
        <f t="shared" ca="1" si="288"/>
        <v>OK</v>
      </c>
      <c r="AU98" s="301" t="str">
        <f t="shared" ca="1" si="288"/>
        <v>OK</v>
      </c>
      <c r="AV98" s="301" t="str">
        <f t="shared" ca="1" si="288"/>
        <v>OK</v>
      </c>
      <c r="AW98" s="301" t="str">
        <f t="shared" ca="1" si="288"/>
        <v>OK</v>
      </c>
      <c r="AX98" s="301" t="str">
        <f t="shared" ca="1" si="288"/>
        <v>OK</v>
      </c>
      <c r="AY98" s="301" t="str">
        <f t="shared" ca="1" si="288"/>
        <v>OK</v>
      </c>
      <c r="AZ98" s="301" t="str">
        <f t="shared" ca="1" si="288"/>
        <v>OK</v>
      </c>
      <c r="BA98" s="301" t="str">
        <f t="shared" ca="1" si="288"/>
        <v>OK</v>
      </c>
      <c r="BB98" s="301" t="str">
        <f t="shared" ca="1" si="288"/>
        <v>OK</v>
      </c>
      <c r="BC98" s="301" t="str">
        <f t="shared" ca="1" si="288"/>
        <v>OK</v>
      </c>
      <c r="BD98" s="301" t="str">
        <f t="shared" ca="1" si="288"/>
        <v>OK</v>
      </c>
      <c r="BE98" s="301" t="str">
        <f t="shared" ca="1" si="288"/>
        <v>OK</v>
      </c>
      <c r="BF98" s="301" t="str">
        <f t="shared" ca="1" si="288"/>
        <v>OK</v>
      </c>
      <c r="BG98" s="301" t="str">
        <f t="shared" ca="1" si="288"/>
        <v>OK</v>
      </c>
      <c r="BH98" s="301" t="str">
        <f t="shared" ca="1" si="288"/>
        <v>OK</v>
      </c>
      <c r="BI98" s="301" t="str">
        <f t="shared" ca="1" si="288"/>
        <v>OK</v>
      </c>
      <c r="BJ98" s="301" t="str">
        <f t="shared" ca="1" si="288"/>
        <v>OK</v>
      </c>
      <c r="BK98" s="301" t="str">
        <f t="shared" ca="1" si="288"/>
        <v>OK</v>
      </c>
      <c r="BL98" s="301" t="str">
        <f t="shared" ca="1" si="288"/>
        <v>OK</v>
      </c>
      <c r="BM98" s="301" t="str">
        <f t="shared" ca="1" si="288"/>
        <v>OK</v>
      </c>
      <c r="BN98" s="301" t="str">
        <f t="shared" ca="1" si="288"/>
        <v>OK</v>
      </c>
      <c r="BO98" s="301" t="str">
        <f t="shared" ca="1" si="288"/>
        <v>OK</v>
      </c>
      <c r="BP98" s="301" t="str">
        <f t="shared" ca="1" si="288"/>
        <v>OK</v>
      </c>
      <c r="BQ98" s="301" t="str">
        <f t="shared" ca="1" si="288"/>
        <v>OK</v>
      </c>
      <c r="BR98" s="301" t="str">
        <f t="shared" ref="BR98:CW98" ca="1" si="289">IF((BR93+BR89)=BR78,"OK","ERROR")</f>
        <v>OK</v>
      </c>
      <c r="BS98" s="301" t="str">
        <f t="shared" ca="1" si="289"/>
        <v>OK</v>
      </c>
      <c r="BT98" s="301" t="str">
        <f t="shared" ca="1" si="289"/>
        <v>OK</v>
      </c>
      <c r="BU98" s="301" t="str">
        <f t="shared" ca="1" si="289"/>
        <v>OK</v>
      </c>
      <c r="BV98" s="301" t="str">
        <f t="shared" ca="1" si="289"/>
        <v>OK</v>
      </c>
      <c r="BW98" s="301" t="str">
        <f t="shared" ca="1" si="289"/>
        <v>OK</v>
      </c>
      <c r="BX98" s="301" t="str">
        <f t="shared" ca="1" si="289"/>
        <v>OK</v>
      </c>
      <c r="BY98" s="301" t="str">
        <f t="shared" ca="1" si="289"/>
        <v>OK</v>
      </c>
      <c r="BZ98" s="301" t="str">
        <f t="shared" ca="1" si="289"/>
        <v>OK</v>
      </c>
      <c r="CA98" s="301" t="str">
        <f t="shared" ca="1" si="289"/>
        <v>OK</v>
      </c>
      <c r="CB98" s="301" t="str">
        <f t="shared" ca="1" si="289"/>
        <v>OK</v>
      </c>
      <c r="CC98" s="301" t="str">
        <f t="shared" ca="1" si="289"/>
        <v>OK</v>
      </c>
      <c r="CD98" s="301" t="str">
        <f t="shared" ca="1" si="289"/>
        <v>OK</v>
      </c>
      <c r="CE98" s="301" t="str">
        <f t="shared" ca="1" si="289"/>
        <v>OK</v>
      </c>
      <c r="CF98" s="301" t="str">
        <f t="shared" ca="1" si="289"/>
        <v>OK</v>
      </c>
      <c r="CG98" s="301" t="str">
        <f t="shared" ca="1" si="289"/>
        <v>OK</v>
      </c>
      <c r="CH98" s="301" t="str">
        <f t="shared" ca="1" si="289"/>
        <v>OK</v>
      </c>
      <c r="CI98" s="301" t="str">
        <f t="shared" ca="1" si="289"/>
        <v>OK</v>
      </c>
      <c r="CJ98" s="301" t="str">
        <f t="shared" ca="1" si="289"/>
        <v>OK</v>
      </c>
      <c r="CK98" s="301" t="str">
        <f t="shared" ca="1" si="289"/>
        <v>OK</v>
      </c>
      <c r="CL98" s="301" t="str">
        <f t="shared" ca="1" si="289"/>
        <v>OK</v>
      </c>
      <c r="CM98" s="301" t="str">
        <f t="shared" ca="1" si="289"/>
        <v>OK</v>
      </c>
      <c r="CN98" s="301" t="str">
        <f t="shared" ca="1" si="289"/>
        <v>OK</v>
      </c>
      <c r="CO98" s="301" t="str">
        <f t="shared" ca="1" si="289"/>
        <v>OK</v>
      </c>
      <c r="CP98" s="301" t="str">
        <f t="shared" ca="1" si="289"/>
        <v>OK</v>
      </c>
      <c r="CQ98" s="301" t="str">
        <f t="shared" ca="1" si="289"/>
        <v>OK</v>
      </c>
      <c r="CR98" s="301" t="str">
        <f t="shared" ca="1" si="289"/>
        <v>OK</v>
      </c>
      <c r="CS98" s="301" t="str">
        <f t="shared" ca="1" si="289"/>
        <v>OK</v>
      </c>
      <c r="CT98" s="301" t="str">
        <f t="shared" ca="1" si="289"/>
        <v>OK</v>
      </c>
      <c r="CU98" s="301" t="str">
        <f t="shared" ca="1" si="289"/>
        <v>OK</v>
      </c>
      <c r="CV98" s="301" t="str">
        <f t="shared" ca="1" si="289"/>
        <v>OK</v>
      </c>
      <c r="CW98" s="301" t="str">
        <f t="shared" ca="1" si="289"/>
        <v>OK</v>
      </c>
      <c r="CX98" s="301" t="str">
        <f t="shared" ref="CX98:EC98" ca="1" si="290">IF((CX93+CX89)=CX78,"OK","ERROR")</f>
        <v>OK</v>
      </c>
      <c r="CY98" s="301" t="str">
        <f t="shared" ca="1" si="290"/>
        <v>OK</v>
      </c>
      <c r="CZ98" s="301" t="str">
        <f t="shared" ca="1" si="290"/>
        <v>OK</v>
      </c>
      <c r="DA98" s="301" t="str">
        <f t="shared" ca="1" si="290"/>
        <v>OK</v>
      </c>
      <c r="DB98" s="301" t="str">
        <f t="shared" ca="1" si="290"/>
        <v>OK</v>
      </c>
      <c r="DC98" s="301" t="str">
        <f t="shared" ca="1" si="290"/>
        <v>OK</v>
      </c>
      <c r="DD98" s="301" t="str">
        <f t="shared" ca="1" si="290"/>
        <v>OK</v>
      </c>
      <c r="DE98" s="301" t="str">
        <f t="shared" ca="1" si="290"/>
        <v>OK</v>
      </c>
      <c r="DF98" s="301" t="str">
        <f t="shared" ca="1" si="290"/>
        <v>OK</v>
      </c>
      <c r="DG98" s="301" t="str">
        <f t="shared" ca="1" si="290"/>
        <v>OK</v>
      </c>
      <c r="DH98" s="301" t="str">
        <f t="shared" ca="1" si="290"/>
        <v>OK</v>
      </c>
      <c r="DI98" s="301" t="str">
        <f t="shared" ca="1" si="290"/>
        <v>OK</v>
      </c>
      <c r="DJ98" s="301" t="str">
        <f t="shared" ca="1" si="290"/>
        <v>OK</v>
      </c>
      <c r="DK98" s="301" t="str">
        <f t="shared" ca="1" si="290"/>
        <v>OK</v>
      </c>
      <c r="DL98" s="301" t="str">
        <f t="shared" ca="1" si="290"/>
        <v>OK</v>
      </c>
      <c r="DM98" s="301" t="str">
        <f t="shared" ca="1" si="290"/>
        <v>OK</v>
      </c>
      <c r="DN98" s="301" t="str">
        <f t="shared" ca="1" si="290"/>
        <v>OK</v>
      </c>
      <c r="DO98" s="301" t="str">
        <f t="shared" ca="1" si="290"/>
        <v>OK</v>
      </c>
      <c r="DP98" s="301" t="str">
        <f t="shared" ca="1" si="290"/>
        <v>OK</v>
      </c>
      <c r="DQ98" s="301" t="str">
        <f t="shared" ca="1" si="290"/>
        <v>OK</v>
      </c>
      <c r="DR98" s="301" t="str">
        <f t="shared" ca="1" si="290"/>
        <v>OK</v>
      </c>
      <c r="DS98" s="301" t="str">
        <f t="shared" ca="1" si="290"/>
        <v>OK</v>
      </c>
      <c r="DT98" s="301" t="str">
        <f t="shared" ca="1" si="290"/>
        <v>OK</v>
      </c>
      <c r="DU98" s="301" t="str">
        <f t="shared" ca="1" si="290"/>
        <v>OK</v>
      </c>
      <c r="DV98" s="301" t="str">
        <f t="shared" ca="1" si="290"/>
        <v>OK</v>
      </c>
      <c r="DW98" s="301" t="str">
        <f t="shared" ca="1" si="290"/>
        <v>OK</v>
      </c>
      <c r="DX98" s="301" t="str">
        <f t="shared" ca="1" si="290"/>
        <v>OK</v>
      </c>
      <c r="DY98" s="301" t="str">
        <f t="shared" ca="1" si="290"/>
        <v>OK</v>
      </c>
      <c r="DZ98" s="301" t="str">
        <f t="shared" ca="1" si="290"/>
        <v>OK</v>
      </c>
      <c r="EA98" s="301" t="str">
        <f t="shared" ca="1" si="290"/>
        <v>OK</v>
      </c>
      <c r="EB98" s="301" t="str">
        <f t="shared" ca="1" si="290"/>
        <v>OK</v>
      </c>
      <c r="EC98" s="301" t="str">
        <f t="shared" ca="1" si="290"/>
        <v>OK</v>
      </c>
      <c r="ED98" s="301" t="str">
        <f t="shared" ref="ED98:FN98" ca="1" si="291">IF((ED93+ED89)=ED78,"OK","ERROR")</f>
        <v>OK</v>
      </c>
      <c r="EE98" s="301" t="str">
        <f t="shared" ca="1" si="291"/>
        <v>OK</v>
      </c>
      <c r="EF98" s="301" t="str">
        <f t="shared" ca="1" si="291"/>
        <v>OK</v>
      </c>
      <c r="EG98" s="301" t="str">
        <f t="shared" ca="1" si="291"/>
        <v>OK</v>
      </c>
      <c r="EH98" s="301" t="str">
        <f t="shared" ca="1" si="291"/>
        <v>OK</v>
      </c>
      <c r="EI98" s="301" t="str">
        <f t="shared" ca="1" si="291"/>
        <v>OK</v>
      </c>
      <c r="EJ98" s="301" t="str">
        <f t="shared" ca="1" si="291"/>
        <v>OK</v>
      </c>
      <c r="EK98" s="301" t="str">
        <f t="shared" ca="1" si="291"/>
        <v>OK</v>
      </c>
      <c r="EL98" s="301" t="str">
        <f t="shared" ca="1" si="291"/>
        <v>OK</v>
      </c>
      <c r="EM98" s="301" t="str">
        <f t="shared" ca="1" si="291"/>
        <v>OK</v>
      </c>
      <c r="EN98" s="301" t="str">
        <f t="shared" ca="1" si="291"/>
        <v>OK</v>
      </c>
      <c r="EO98" s="301" t="str">
        <f t="shared" ca="1" si="291"/>
        <v>OK</v>
      </c>
      <c r="EP98" s="301" t="str">
        <f t="shared" ca="1" si="291"/>
        <v>OK</v>
      </c>
      <c r="EQ98" s="301" t="str">
        <f t="shared" ca="1" si="291"/>
        <v>OK</v>
      </c>
      <c r="ER98" s="301" t="str">
        <f t="shared" ca="1" si="291"/>
        <v>OK</v>
      </c>
      <c r="ES98" s="301" t="str">
        <f t="shared" ca="1" si="291"/>
        <v>OK</v>
      </c>
      <c r="ET98" s="301" t="str">
        <f t="shared" ca="1" si="291"/>
        <v>OK</v>
      </c>
      <c r="EU98" s="301" t="str">
        <f t="shared" ca="1" si="291"/>
        <v>OK</v>
      </c>
      <c r="EV98" s="301" t="str">
        <f t="shared" ca="1" si="291"/>
        <v>OK</v>
      </c>
      <c r="EW98" s="301" t="str">
        <f t="shared" ca="1" si="291"/>
        <v>OK</v>
      </c>
      <c r="EX98" s="301" t="str">
        <f t="shared" ca="1" si="291"/>
        <v>OK</v>
      </c>
      <c r="EY98" s="301" t="str">
        <f t="shared" ca="1" si="291"/>
        <v>OK</v>
      </c>
      <c r="EZ98" s="301" t="str">
        <f t="shared" ca="1" si="291"/>
        <v>OK</v>
      </c>
      <c r="FA98" s="301" t="str">
        <f t="shared" ca="1" si="291"/>
        <v>OK</v>
      </c>
      <c r="FB98" s="301" t="str">
        <f t="shared" ca="1" si="291"/>
        <v>OK</v>
      </c>
      <c r="FC98" s="301" t="str">
        <f t="shared" ca="1" si="291"/>
        <v>OK</v>
      </c>
      <c r="FD98" s="301" t="str">
        <f t="shared" ca="1" si="291"/>
        <v>OK</v>
      </c>
      <c r="FE98" s="301" t="str">
        <f t="shared" ca="1" si="291"/>
        <v>OK</v>
      </c>
      <c r="FF98" s="301" t="str">
        <f t="shared" ca="1" si="291"/>
        <v>OK</v>
      </c>
      <c r="FG98" s="301" t="str">
        <f t="shared" ca="1" si="291"/>
        <v>OK</v>
      </c>
      <c r="FH98" s="301" t="str">
        <f t="shared" ca="1" si="291"/>
        <v>OK</v>
      </c>
      <c r="FI98" s="301" t="str">
        <f t="shared" ca="1" si="291"/>
        <v>OK</v>
      </c>
      <c r="FJ98" s="301" t="str">
        <f t="shared" ca="1" si="291"/>
        <v>OK</v>
      </c>
      <c r="FK98" s="301" t="str">
        <f t="shared" ca="1" si="291"/>
        <v>OK</v>
      </c>
      <c r="FL98" s="301" t="str">
        <f t="shared" ca="1" si="291"/>
        <v>OK</v>
      </c>
      <c r="FM98" s="301" t="str">
        <f t="shared" ca="1" si="291"/>
        <v>OK</v>
      </c>
      <c r="FN98" s="301" t="str">
        <f t="shared" ca="1" si="291"/>
        <v>OK</v>
      </c>
      <c r="FO98" s="144" t="s">
        <v>243</v>
      </c>
    </row>
    <row r="99" spans="2:171" x14ac:dyDescent="0.2">
      <c r="B99" s="1005">
        <v>44888</v>
      </c>
      <c r="D99" s="144">
        <v>0</v>
      </c>
      <c r="E99" s="144">
        <v>0</v>
      </c>
      <c r="F99" s="144">
        <v>0</v>
      </c>
      <c r="G99" s="144">
        <v>0</v>
      </c>
      <c r="H99" s="144">
        <v>0</v>
      </c>
      <c r="I99" s="144">
        <v>0</v>
      </c>
      <c r="J99" s="144">
        <v>1</v>
      </c>
      <c r="K99" s="144">
        <v>0</v>
      </c>
      <c r="L99" s="145">
        <v>0</v>
      </c>
      <c r="M99" s="144">
        <v>0</v>
      </c>
      <c r="N99" s="144">
        <v>0</v>
      </c>
      <c r="O99" s="144">
        <v>0</v>
      </c>
      <c r="Q99" s="1004">
        <f t="shared" si="187"/>
        <v>1</v>
      </c>
      <c r="AK99" s="144" t="s">
        <v>849</v>
      </c>
      <c r="AL99" s="982"/>
      <c r="AM99" s="151">
        <f ca="1">AM31</f>
        <v>0</v>
      </c>
      <c r="AN99" s="151">
        <f t="shared" ref="AN99:CY99" ca="1" si="292">AN31</f>
        <v>5</v>
      </c>
      <c r="AO99" s="151">
        <f t="shared" ca="1" si="292"/>
        <v>10</v>
      </c>
      <c r="AP99" s="151">
        <f t="shared" ca="1" si="292"/>
        <v>15</v>
      </c>
      <c r="AQ99" s="151">
        <f t="shared" ca="1" si="292"/>
        <v>20</v>
      </c>
      <c r="AR99" s="151">
        <f t="shared" ca="1" si="292"/>
        <v>25</v>
      </c>
      <c r="AS99" s="151">
        <f t="shared" ca="1" si="292"/>
        <v>30</v>
      </c>
      <c r="AT99" s="151">
        <f t="shared" ca="1" si="292"/>
        <v>35</v>
      </c>
      <c r="AU99" s="151">
        <f t="shared" ca="1" si="292"/>
        <v>40</v>
      </c>
      <c r="AV99" s="151">
        <f t="shared" ca="1" si="292"/>
        <v>45</v>
      </c>
      <c r="AW99" s="151">
        <f t="shared" ca="1" si="292"/>
        <v>50</v>
      </c>
      <c r="AX99" s="151">
        <f t="shared" ca="1" si="292"/>
        <v>55</v>
      </c>
      <c r="AY99" s="151">
        <f t="shared" ca="1" si="292"/>
        <v>60</v>
      </c>
      <c r="AZ99" s="151">
        <f t="shared" ca="1" si="292"/>
        <v>68</v>
      </c>
      <c r="BA99" s="151">
        <f t="shared" ca="1" si="292"/>
        <v>76</v>
      </c>
      <c r="BB99" s="151">
        <f t="shared" ca="1" si="292"/>
        <v>84</v>
      </c>
      <c r="BC99" s="151">
        <f t="shared" ca="1" si="292"/>
        <v>92</v>
      </c>
      <c r="BD99" s="151">
        <f t="shared" ca="1" si="292"/>
        <v>100</v>
      </c>
      <c r="BE99" s="151">
        <f t="shared" ca="1" si="292"/>
        <v>108</v>
      </c>
      <c r="BF99" s="151">
        <f t="shared" ca="1" si="292"/>
        <v>116</v>
      </c>
      <c r="BG99" s="151">
        <f t="shared" ca="1" si="292"/>
        <v>123</v>
      </c>
      <c r="BH99" s="151">
        <f t="shared" ca="1" si="292"/>
        <v>130</v>
      </c>
      <c r="BI99" s="151">
        <f t="shared" ca="1" si="292"/>
        <v>137</v>
      </c>
      <c r="BJ99" s="151">
        <f t="shared" ca="1" si="292"/>
        <v>144</v>
      </c>
      <c r="BK99" s="151">
        <f t="shared" ca="1" si="292"/>
        <v>151</v>
      </c>
      <c r="BL99" s="151">
        <f t="shared" ca="1" si="292"/>
        <v>158</v>
      </c>
      <c r="BM99" s="151">
        <f t="shared" ca="1" si="292"/>
        <v>165</v>
      </c>
      <c r="BN99" s="151">
        <f t="shared" ca="1" si="292"/>
        <v>170</v>
      </c>
      <c r="BO99" s="151">
        <f t="shared" ca="1" si="292"/>
        <v>175</v>
      </c>
      <c r="BP99" s="151">
        <f t="shared" ca="1" si="292"/>
        <v>180</v>
      </c>
      <c r="BQ99" s="151">
        <f t="shared" ca="1" si="292"/>
        <v>185</v>
      </c>
      <c r="BR99" s="151">
        <f t="shared" ca="1" si="292"/>
        <v>190</v>
      </c>
      <c r="BS99" s="151">
        <f t="shared" ca="1" si="292"/>
        <v>195</v>
      </c>
      <c r="BT99" s="151">
        <f t="shared" ca="1" si="292"/>
        <v>195</v>
      </c>
      <c r="BU99" s="151">
        <f t="shared" ca="1" si="292"/>
        <v>195</v>
      </c>
      <c r="BV99" s="151">
        <f t="shared" ca="1" si="292"/>
        <v>195</v>
      </c>
      <c r="BW99" s="151">
        <f t="shared" ca="1" si="292"/>
        <v>195</v>
      </c>
      <c r="BX99" s="151">
        <f t="shared" ca="1" si="292"/>
        <v>195</v>
      </c>
      <c r="BY99" s="151">
        <f t="shared" ca="1" si="292"/>
        <v>195</v>
      </c>
      <c r="BZ99" s="151">
        <f t="shared" ca="1" si="292"/>
        <v>195</v>
      </c>
      <c r="CA99" s="151">
        <f t="shared" ca="1" si="292"/>
        <v>195</v>
      </c>
      <c r="CB99" s="151">
        <f t="shared" ca="1" si="292"/>
        <v>195</v>
      </c>
      <c r="CC99" s="151">
        <f t="shared" ca="1" si="292"/>
        <v>195</v>
      </c>
      <c r="CD99" s="151">
        <f t="shared" ca="1" si="292"/>
        <v>195</v>
      </c>
      <c r="CE99" s="151">
        <f t="shared" ca="1" si="292"/>
        <v>195</v>
      </c>
      <c r="CF99" s="151">
        <f t="shared" ca="1" si="292"/>
        <v>195</v>
      </c>
      <c r="CG99" s="151">
        <f t="shared" ca="1" si="292"/>
        <v>195</v>
      </c>
      <c r="CH99" s="151">
        <f t="shared" ca="1" si="292"/>
        <v>195</v>
      </c>
      <c r="CI99" s="151">
        <f t="shared" ca="1" si="292"/>
        <v>195</v>
      </c>
      <c r="CJ99" s="151">
        <f t="shared" ca="1" si="292"/>
        <v>195</v>
      </c>
      <c r="CK99" s="151">
        <f t="shared" ca="1" si="292"/>
        <v>195</v>
      </c>
      <c r="CL99" s="151">
        <f t="shared" ca="1" si="292"/>
        <v>195</v>
      </c>
      <c r="CM99" s="151">
        <f t="shared" ca="1" si="292"/>
        <v>195</v>
      </c>
      <c r="CN99" s="151">
        <f t="shared" ca="1" si="292"/>
        <v>195</v>
      </c>
      <c r="CO99" s="151">
        <f t="shared" ca="1" si="292"/>
        <v>195</v>
      </c>
      <c r="CP99" s="151">
        <f t="shared" ca="1" si="292"/>
        <v>195</v>
      </c>
      <c r="CQ99" s="151">
        <f t="shared" ca="1" si="292"/>
        <v>195</v>
      </c>
      <c r="CR99" s="151">
        <f t="shared" ca="1" si="292"/>
        <v>195</v>
      </c>
      <c r="CS99" s="151">
        <f t="shared" ca="1" si="292"/>
        <v>195</v>
      </c>
      <c r="CT99" s="151">
        <f t="shared" ca="1" si="292"/>
        <v>195</v>
      </c>
      <c r="CU99" s="151">
        <f t="shared" ca="1" si="292"/>
        <v>195</v>
      </c>
      <c r="CV99" s="151">
        <f t="shared" ca="1" si="292"/>
        <v>195</v>
      </c>
      <c r="CW99" s="151">
        <f t="shared" ca="1" si="292"/>
        <v>195</v>
      </c>
      <c r="CX99" s="151">
        <f t="shared" ca="1" si="292"/>
        <v>195</v>
      </c>
      <c r="CY99" s="151">
        <f t="shared" ca="1" si="292"/>
        <v>195</v>
      </c>
      <c r="CZ99" s="151">
        <f t="shared" ref="CZ99:FK99" ca="1" si="293">CZ31</f>
        <v>195</v>
      </c>
      <c r="DA99" s="151">
        <f t="shared" ca="1" si="293"/>
        <v>195</v>
      </c>
      <c r="DB99" s="151">
        <f t="shared" ca="1" si="293"/>
        <v>195</v>
      </c>
      <c r="DC99" s="151">
        <f t="shared" ca="1" si="293"/>
        <v>195</v>
      </c>
      <c r="DD99" s="151">
        <f t="shared" ca="1" si="293"/>
        <v>195</v>
      </c>
      <c r="DE99" s="151">
        <f t="shared" ca="1" si="293"/>
        <v>195</v>
      </c>
      <c r="DF99" s="151">
        <f t="shared" ca="1" si="293"/>
        <v>195</v>
      </c>
      <c r="DG99" s="151">
        <f t="shared" ca="1" si="293"/>
        <v>195</v>
      </c>
      <c r="DH99" s="151">
        <f t="shared" ca="1" si="293"/>
        <v>195</v>
      </c>
      <c r="DI99" s="151">
        <f t="shared" ca="1" si="293"/>
        <v>195</v>
      </c>
      <c r="DJ99" s="151">
        <f t="shared" ca="1" si="293"/>
        <v>195</v>
      </c>
      <c r="DK99" s="151">
        <f t="shared" ca="1" si="293"/>
        <v>195</v>
      </c>
      <c r="DL99" s="151">
        <f t="shared" ca="1" si="293"/>
        <v>195</v>
      </c>
      <c r="DM99" s="151">
        <f t="shared" ca="1" si="293"/>
        <v>195</v>
      </c>
      <c r="DN99" s="151">
        <f t="shared" ca="1" si="293"/>
        <v>195</v>
      </c>
      <c r="DO99" s="151">
        <f t="shared" ca="1" si="293"/>
        <v>195</v>
      </c>
      <c r="DP99" s="151">
        <f t="shared" ca="1" si="293"/>
        <v>195</v>
      </c>
      <c r="DQ99" s="151">
        <f t="shared" ca="1" si="293"/>
        <v>195</v>
      </c>
      <c r="DR99" s="151">
        <f t="shared" ca="1" si="293"/>
        <v>195</v>
      </c>
      <c r="DS99" s="151">
        <f t="shared" ca="1" si="293"/>
        <v>195</v>
      </c>
      <c r="DT99" s="151">
        <f t="shared" ca="1" si="293"/>
        <v>195</v>
      </c>
      <c r="DU99" s="151">
        <f t="shared" ca="1" si="293"/>
        <v>195</v>
      </c>
      <c r="DV99" s="151">
        <f t="shared" ca="1" si="293"/>
        <v>195</v>
      </c>
      <c r="DW99" s="151">
        <f t="shared" ca="1" si="293"/>
        <v>195</v>
      </c>
      <c r="DX99" s="151">
        <f t="shared" ca="1" si="293"/>
        <v>195</v>
      </c>
      <c r="DY99" s="151">
        <f t="shared" ca="1" si="293"/>
        <v>195</v>
      </c>
      <c r="DZ99" s="151">
        <f t="shared" ca="1" si="293"/>
        <v>195</v>
      </c>
      <c r="EA99" s="151">
        <f t="shared" ca="1" si="293"/>
        <v>195</v>
      </c>
      <c r="EB99" s="151">
        <f t="shared" ca="1" si="293"/>
        <v>195</v>
      </c>
      <c r="EC99" s="151">
        <f t="shared" ca="1" si="293"/>
        <v>195</v>
      </c>
      <c r="ED99" s="151">
        <f t="shared" ca="1" si="293"/>
        <v>195</v>
      </c>
      <c r="EE99" s="151">
        <f t="shared" ca="1" si="293"/>
        <v>195</v>
      </c>
      <c r="EF99" s="151">
        <f t="shared" ca="1" si="293"/>
        <v>195</v>
      </c>
      <c r="EG99" s="151">
        <f t="shared" ca="1" si="293"/>
        <v>195</v>
      </c>
      <c r="EH99" s="151">
        <f t="shared" ca="1" si="293"/>
        <v>195</v>
      </c>
      <c r="EI99" s="151">
        <f t="shared" ca="1" si="293"/>
        <v>195</v>
      </c>
      <c r="EJ99" s="151">
        <f t="shared" ca="1" si="293"/>
        <v>195</v>
      </c>
      <c r="EK99" s="151">
        <f t="shared" ca="1" si="293"/>
        <v>195</v>
      </c>
      <c r="EL99" s="151">
        <f t="shared" ca="1" si="293"/>
        <v>195</v>
      </c>
      <c r="EM99" s="151">
        <f t="shared" ca="1" si="293"/>
        <v>195</v>
      </c>
      <c r="EN99" s="151">
        <f t="shared" ca="1" si="293"/>
        <v>195</v>
      </c>
      <c r="EO99" s="151">
        <f t="shared" ca="1" si="293"/>
        <v>195</v>
      </c>
      <c r="EP99" s="151">
        <f t="shared" ca="1" si="293"/>
        <v>195</v>
      </c>
      <c r="EQ99" s="151">
        <f t="shared" ca="1" si="293"/>
        <v>195</v>
      </c>
      <c r="ER99" s="151">
        <f t="shared" ca="1" si="293"/>
        <v>195</v>
      </c>
      <c r="ES99" s="151">
        <f t="shared" ca="1" si="293"/>
        <v>195</v>
      </c>
      <c r="ET99" s="151">
        <f t="shared" ca="1" si="293"/>
        <v>195</v>
      </c>
      <c r="EU99" s="151">
        <f t="shared" ca="1" si="293"/>
        <v>195</v>
      </c>
      <c r="EV99" s="151">
        <f t="shared" ca="1" si="293"/>
        <v>195</v>
      </c>
      <c r="EW99" s="151">
        <f t="shared" ca="1" si="293"/>
        <v>195</v>
      </c>
      <c r="EX99" s="151">
        <f t="shared" ca="1" si="293"/>
        <v>195</v>
      </c>
      <c r="EY99" s="151">
        <f t="shared" ca="1" si="293"/>
        <v>195</v>
      </c>
      <c r="EZ99" s="151">
        <f t="shared" ca="1" si="293"/>
        <v>195</v>
      </c>
      <c r="FA99" s="151">
        <f t="shared" ca="1" si="293"/>
        <v>195</v>
      </c>
      <c r="FB99" s="151">
        <f t="shared" ca="1" si="293"/>
        <v>195</v>
      </c>
      <c r="FC99" s="151">
        <f t="shared" ca="1" si="293"/>
        <v>195</v>
      </c>
      <c r="FD99" s="151">
        <f t="shared" ca="1" si="293"/>
        <v>195</v>
      </c>
      <c r="FE99" s="151">
        <f t="shared" ca="1" si="293"/>
        <v>195</v>
      </c>
      <c r="FF99" s="151">
        <f t="shared" ca="1" si="293"/>
        <v>195</v>
      </c>
      <c r="FG99" s="151">
        <f t="shared" ca="1" si="293"/>
        <v>195</v>
      </c>
      <c r="FH99" s="151">
        <f t="shared" ca="1" si="293"/>
        <v>195</v>
      </c>
      <c r="FI99" s="151">
        <f t="shared" ca="1" si="293"/>
        <v>195</v>
      </c>
      <c r="FJ99" s="151">
        <f t="shared" ca="1" si="293"/>
        <v>195</v>
      </c>
      <c r="FK99" s="151">
        <f t="shared" ca="1" si="293"/>
        <v>195</v>
      </c>
      <c r="FL99" s="151">
        <f t="shared" ref="FL99:FN99" ca="1" si="294">FL31</f>
        <v>195</v>
      </c>
      <c r="FM99" s="151">
        <f t="shared" ca="1" si="294"/>
        <v>195</v>
      </c>
      <c r="FN99" s="151">
        <f t="shared" ca="1" si="294"/>
        <v>195</v>
      </c>
      <c r="FO99" s="144" t="s">
        <v>243</v>
      </c>
    </row>
    <row r="100" spans="2:171" x14ac:dyDescent="0.2">
      <c r="B100" s="1005">
        <v>44890</v>
      </c>
      <c r="D100" s="144">
        <v>0</v>
      </c>
      <c r="E100" s="144">
        <v>0</v>
      </c>
      <c r="F100" s="144">
        <v>1</v>
      </c>
      <c r="G100" s="144">
        <v>0</v>
      </c>
      <c r="H100" s="144">
        <v>0</v>
      </c>
      <c r="I100" s="144">
        <v>0</v>
      </c>
      <c r="J100" s="144">
        <v>0</v>
      </c>
      <c r="K100" s="144">
        <v>0</v>
      </c>
      <c r="L100" s="145">
        <v>0</v>
      </c>
      <c r="M100" s="144">
        <v>0</v>
      </c>
      <c r="N100" s="144">
        <v>0</v>
      </c>
      <c r="O100" s="144">
        <v>0</v>
      </c>
      <c r="Q100" s="1004">
        <f t="shared" si="187"/>
        <v>1</v>
      </c>
      <c r="AK100" s="144" t="s">
        <v>850</v>
      </c>
      <c r="AL100" s="1016"/>
      <c r="AM100" s="1017">
        <f ca="1">MAX(AM78-AM99,0)</f>
        <v>229</v>
      </c>
      <c r="AN100" s="1017">
        <f t="shared" ref="AN100:CY100" ca="1" si="295">MAX(AN78-AN99,0)</f>
        <v>224</v>
      </c>
      <c r="AO100" s="1017">
        <f t="shared" ca="1" si="295"/>
        <v>219</v>
      </c>
      <c r="AP100" s="1017">
        <f t="shared" ca="1" si="295"/>
        <v>214</v>
      </c>
      <c r="AQ100" s="1017">
        <f t="shared" ca="1" si="295"/>
        <v>209</v>
      </c>
      <c r="AR100" s="1017">
        <f t="shared" ca="1" si="295"/>
        <v>204</v>
      </c>
      <c r="AS100" s="1017">
        <f t="shared" ca="1" si="295"/>
        <v>199</v>
      </c>
      <c r="AT100" s="1017">
        <f t="shared" ca="1" si="295"/>
        <v>194</v>
      </c>
      <c r="AU100" s="1017">
        <f t="shared" ca="1" si="295"/>
        <v>189</v>
      </c>
      <c r="AV100" s="1017">
        <f t="shared" ca="1" si="295"/>
        <v>184</v>
      </c>
      <c r="AW100" s="1017">
        <f t="shared" ca="1" si="295"/>
        <v>179</v>
      </c>
      <c r="AX100" s="1017">
        <f t="shared" ca="1" si="295"/>
        <v>174</v>
      </c>
      <c r="AY100" s="1017">
        <f t="shared" ca="1" si="295"/>
        <v>169</v>
      </c>
      <c r="AZ100" s="1017">
        <f t="shared" ca="1" si="295"/>
        <v>161</v>
      </c>
      <c r="BA100" s="1017">
        <f t="shared" ca="1" si="295"/>
        <v>153</v>
      </c>
      <c r="BB100" s="1017">
        <f t="shared" ca="1" si="295"/>
        <v>145</v>
      </c>
      <c r="BC100" s="1017">
        <f t="shared" ca="1" si="295"/>
        <v>137</v>
      </c>
      <c r="BD100" s="1017">
        <f t="shared" ca="1" si="295"/>
        <v>129</v>
      </c>
      <c r="BE100" s="1017">
        <f t="shared" ca="1" si="295"/>
        <v>121</v>
      </c>
      <c r="BF100" s="1017">
        <f t="shared" ca="1" si="295"/>
        <v>113</v>
      </c>
      <c r="BG100" s="1017">
        <f t="shared" ca="1" si="295"/>
        <v>106</v>
      </c>
      <c r="BH100" s="1017">
        <f t="shared" ca="1" si="295"/>
        <v>99</v>
      </c>
      <c r="BI100" s="1017">
        <f t="shared" ca="1" si="295"/>
        <v>92</v>
      </c>
      <c r="BJ100" s="1017">
        <f t="shared" ca="1" si="295"/>
        <v>85</v>
      </c>
      <c r="BK100" s="1017">
        <f t="shared" ca="1" si="295"/>
        <v>81</v>
      </c>
      <c r="BL100" s="1017">
        <f t="shared" ca="1" si="295"/>
        <v>74</v>
      </c>
      <c r="BM100" s="1017">
        <f t="shared" ca="1" si="295"/>
        <v>67</v>
      </c>
      <c r="BN100" s="1017">
        <f t="shared" ca="1" si="295"/>
        <v>62</v>
      </c>
      <c r="BO100" s="1017">
        <f t="shared" ca="1" si="295"/>
        <v>57</v>
      </c>
      <c r="BP100" s="1017">
        <f t="shared" ca="1" si="295"/>
        <v>52</v>
      </c>
      <c r="BQ100" s="1017">
        <f t="shared" ca="1" si="295"/>
        <v>47</v>
      </c>
      <c r="BR100" s="1017">
        <f t="shared" ca="1" si="295"/>
        <v>42</v>
      </c>
      <c r="BS100" s="1017">
        <f t="shared" ca="1" si="295"/>
        <v>37</v>
      </c>
      <c r="BT100" s="1017">
        <f t="shared" ca="1" si="295"/>
        <v>37</v>
      </c>
      <c r="BU100" s="1017">
        <f t="shared" ca="1" si="295"/>
        <v>37</v>
      </c>
      <c r="BV100" s="1017">
        <f t="shared" ca="1" si="295"/>
        <v>37</v>
      </c>
      <c r="BW100" s="1017">
        <f t="shared" ca="1" si="295"/>
        <v>37</v>
      </c>
      <c r="BX100" s="1017">
        <f t="shared" ca="1" si="295"/>
        <v>37</v>
      </c>
      <c r="BY100" s="1017">
        <f t="shared" ca="1" si="295"/>
        <v>37</v>
      </c>
      <c r="BZ100" s="1017">
        <f t="shared" ca="1" si="295"/>
        <v>37</v>
      </c>
      <c r="CA100" s="1017">
        <f t="shared" ca="1" si="295"/>
        <v>37</v>
      </c>
      <c r="CB100" s="1017">
        <f t="shared" ca="1" si="295"/>
        <v>37</v>
      </c>
      <c r="CC100" s="1017">
        <f t="shared" ca="1" si="295"/>
        <v>37</v>
      </c>
      <c r="CD100" s="1017">
        <f t="shared" ca="1" si="295"/>
        <v>37</v>
      </c>
      <c r="CE100" s="1017">
        <f t="shared" ca="1" si="295"/>
        <v>37</v>
      </c>
      <c r="CF100" s="1017">
        <f t="shared" ca="1" si="295"/>
        <v>37</v>
      </c>
      <c r="CG100" s="1017">
        <f t="shared" ca="1" si="295"/>
        <v>37</v>
      </c>
      <c r="CH100" s="1017">
        <f t="shared" ca="1" si="295"/>
        <v>37</v>
      </c>
      <c r="CI100" s="1017">
        <f t="shared" ca="1" si="295"/>
        <v>37</v>
      </c>
      <c r="CJ100" s="1017">
        <f t="shared" ca="1" si="295"/>
        <v>37</v>
      </c>
      <c r="CK100" s="1017">
        <f t="shared" ca="1" si="295"/>
        <v>37</v>
      </c>
      <c r="CL100" s="1017">
        <f t="shared" ca="1" si="295"/>
        <v>37</v>
      </c>
      <c r="CM100" s="1017">
        <f t="shared" ca="1" si="295"/>
        <v>37</v>
      </c>
      <c r="CN100" s="1017">
        <f t="shared" ca="1" si="295"/>
        <v>37</v>
      </c>
      <c r="CO100" s="1017">
        <f t="shared" ca="1" si="295"/>
        <v>37</v>
      </c>
      <c r="CP100" s="1017">
        <f t="shared" ca="1" si="295"/>
        <v>37</v>
      </c>
      <c r="CQ100" s="1017">
        <f t="shared" ca="1" si="295"/>
        <v>37</v>
      </c>
      <c r="CR100" s="1017">
        <f t="shared" ca="1" si="295"/>
        <v>37</v>
      </c>
      <c r="CS100" s="1017">
        <f t="shared" ca="1" si="295"/>
        <v>37</v>
      </c>
      <c r="CT100" s="1017">
        <f t="shared" ca="1" si="295"/>
        <v>37</v>
      </c>
      <c r="CU100" s="1017">
        <f t="shared" ca="1" si="295"/>
        <v>37</v>
      </c>
      <c r="CV100" s="1017">
        <f t="shared" ca="1" si="295"/>
        <v>37</v>
      </c>
      <c r="CW100" s="1017">
        <f t="shared" ca="1" si="295"/>
        <v>37</v>
      </c>
      <c r="CX100" s="1017">
        <f t="shared" ca="1" si="295"/>
        <v>37</v>
      </c>
      <c r="CY100" s="1017">
        <f t="shared" ca="1" si="295"/>
        <v>37</v>
      </c>
      <c r="CZ100" s="1017">
        <f t="shared" ref="CZ100:FK100" ca="1" si="296">MAX(CZ78-CZ99,0)</f>
        <v>37</v>
      </c>
      <c r="DA100" s="1017">
        <f t="shared" ca="1" si="296"/>
        <v>37</v>
      </c>
      <c r="DB100" s="1017">
        <f t="shared" ca="1" si="296"/>
        <v>37</v>
      </c>
      <c r="DC100" s="1017">
        <f t="shared" ca="1" si="296"/>
        <v>37</v>
      </c>
      <c r="DD100" s="1017">
        <f t="shared" ca="1" si="296"/>
        <v>37</v>
      </c>
      <c r="DE100" s="1017">
        <f t="shared" ca="1" si="296"/>
        <v>37</v>
      </c>
      <c r="DF100" s="1017">
        <f t="shared" ca="1" si="296"/>
        <v>37</v>
      </c>
      <c r="DG100" s="1017">
        <f t="shared" ca="1" si="296"/>
        <v>37</v>
      </c>
      <c r="DH100" s="1017">
        <f t="shared" ca="1" si="296"/>
        <v>37</v>
      </c>
      <c r="DI100" s="1017">
        <f t="shared" ca="1" si="296"/>
        <v>37</v>
      </c>
      <c r="DJ100" s="1017">
        <f t="shared" ca="1" si="296"/>
        <v>37</v>
      </c>
      <c r="DK100" s="1017">
        <f t="shared" ca="1" si="296"/>
        <v>37</v>
      </c>
      <c r="DL100" s="1017">
        <f t="shared" ca="1" si="296"/>
        <v>37</v>
      </c>
      <c r="DM100" s="1017">
        <f t="shared" ca="1" si="296"/>
        <v>37</v>
      </c>
      <c r="DN100" s="1017">
        <f t="shared" ca="1" si="296"/>
        <v>37</v>
      </c>
      <c r="DO100" s="1017">
        <f t="shared" ca="1" si="296"/>
        <v>37</v>
      </c>
      <c r="DP100" s="1017">
        <f t="shared" ca="1" si="296"/>
        <v>37</v>
      </c>
      <c r="DQ100" s="1017">
        <f t="shared" ca="1" si="296"/>
        <v>37</v>
      </c>
      <c r="DR100" s="1017">
        <f t="shared" ca="1" si="296"/>
        <v>37</v>
      </c>
      <c r="DS100" s="1017">
        <f t="shared" ca="1" si="296"/>
        <v>37</v>
      </c>
      <c r="DT100" s="1017">
        <f t="shared" ca="1" si="296"/>
        <v>37</v>
      </c>
      <c r="DU100" s="1017">
        <f t="shared" ca="1" si="296"/>
        <v>37</v>
      </c>
      <c r="DV100" s="1017">
        <f t="shared" ca="1" si="296"/>
        <v>37</v>
      </c>
      <c r="DW100" s="1017">
        <f t="shared" ca="1" si="296"/>
        <v>37</v>
      </c>
      <c r="DX100" s="1017">
        <f t="shared" ca="1" si="296"/>
        <v>37</v>
      </c>
      <c r="DY100" s="1017">
        <f t="shared" ca="1" si="296"/>
        <v>37</v>
      </c>
      <c r="DZ100" s="1017">
        <f t="shared" ca="1" si="296"/>
        <v>37</v>
      </c>
      <c r="EA100" s="1017">
        <f t="shared" ca="1" si="296"/>
        <v>37</v>
      </c>
      <c r="EB100" s="1017">
        <f t="shared" ca="1" si="296"/>
        <v>37</v>
      </c>
      <c r="EC100" s="1017">
        <f t="shared" ca="1" si="296"/>
        <v>37</v>
      </c>
      <c r="ED100" s="1017">
        <f t="shared" ca="1" si="296"/>
        <v>37</v>
      </c>
      <c r="EE100" s="1017">
        <f t="shared" ca="1" si="296"/>
        <v>37</v>
      </c>
      <c r="EF100" s="1017">
        <f t="shared" ca="1" si="296"/>
        <v>37</v>
      </c>
      <c r="EG100" s="1017">
        <f t="shared" ca="1" si="296"/>
        <v>37</v>
      </c>
      <c r="EH100" s="1017">
        <f t="shared" ca="1" si="296"/>
        <v>37</v>
      </c>
      <c r="EI100" s="1017">
        <f t="shared" ca="1" si="296"/>
        <v>37</v>
      </c>
      <c r="EJ100" s="1017">
        <f t="shared" ca="1" si="296"/>
        <v>37</v>
      </c>
      <c r="EK100" s="1017">
        <f t="shared" ca="1" si="296"/>
        <v>37</v>
      </c>
      <c r="EL100" s="1017">
        <f t="shared" ca="1" si="296"/>
        <v>37</v>
      </c>
      <c r="EM100" s="1017">
        <f t="shared" ca="1" si="296"/>
        <v>37</v>
      </c>
      <c r="EN100" s="1017">
        <f t="shared" ca="1" si="296"/>
        <v>37</v>
      </c>
      <c r="EO100" s="1017">
        <f t="shared" ca="1" si="296"/>
        <v>37</v>
      </c>
      <c r="EP100" s="1017">
        <f t="shared" ca="1" si="296"/>
        <v>37</v>
      </c>
      <c r="EQ100" s="1017">
        <f t="shared" ca="1" si="296"/>
        <v>37</v>
      </c>
      <c r="ER100" s="1017">
        <f t="shared" ca="1" si="296"/>
        <v>37</v>
      </c>
      <c r="ES100" s="1017">
        <f t="shared" ca="1" si="296"/>
        <v>37</v>
      </c>
      <c r="ET100" s="1017">
        <f t="shared" ca="1" si="296"/>
        <v>37</v>
      </c>
      <c r="EU100" s="1017">
        <f t="shared" ca="1" si="296"/>
        <v>37</v>
      </c>
      <c r="EV100" s="1017">
        <f t="shared" ca="1" si="296"/>
        <v>37</v>
      </c>
      <c r="EW100" s="1017">
        <f t="shared" ca="1" si="296"/>
        <v>37</v>
      </c>
      <c r="EX100" s="1017">
        <f t="shared" ca="1" si="296"/>
        <v>37</v>
      </c>
      <c r="EY100" s="1017">
        <f t="shared" ca="1" si="296"/>
        <v>37</v>
      </c>
      <c r="EZ100" s="1017">
        <f t="shared" ca="1" si="296"/>
        <v>37</v>
      </c>
      <c r="FA100" s="1017">
        <f t="shared" ca="1" si="296"/>
        <v>37</v>
      </c>
      <c r="FB100" s="1017">
        <f t="shared" ca="1" si="296"/>
        <v>37</v>
      </c>
      <c r="FC100" s="1017">
        <f t="shared" ca="1" si="296"/>
        <v>37</v>
      </c>
      <c r="FD100" s="1017">
        <f t="shared" ca="1" si="296"/>
        <v>37</v>
      </c>
      <c r="FE100" s="1017">
        <f t="shared" ca="1" si="296"/>
        <v>37</v>
      </c>
      <c r="FF100" s="1017">
        <f t="shared" ca="1" si="296"/>
        <v>37</v>
      </c>
      <c r="FG100" s="1017">
        <f t="shared" ca="1" si="296"/>
        <v>37</v>
      </c>
      <c r="FH100" s="1017">
        <f t="shared" ca="1" si="296"/>
        <v>37</v>
      </c>
      <c r="FI100" s="1017">
        <f t="shared" ca="1" si="296"/>
        <v>37</v>
      </c>
      <c r="FJ100" s="1017">
        <f t="shared" ca="1" si="296"/>
        <v>37</v>
      </c>
      <c r="FK100" s="1017">
        <f t="shared" ca="1" si="296"/>
        <v>37</v>
      </c>
      <c r="FL100" s="1017">
        <f t="shared" ref="FL100:FN100" ca="1" si="297">MAX(FL78-FL99,0)</f>
        <v>37</v>
      </c>
      <c r="FM100" s="1017">
        <f t="shared" ca="1" si="297"/>
        <v>37</v>
      </c>
      <c r="FN100" s="1017">
        <f t="shared" ca="1" si="297"/>
        <v>37</v>
      </c>
      <c r="FO100" s="144" t="s">
        <v>243</v>
      </c>
    </row>
    <row r="101" spans="2:171" x14ac:dyDescent="0.2">
      <c r="B101" s="1005">
        <v>44891</v>
      </c>
      <c r="D101" s="144">
        <v>0</v>
      </c>
      <c r="E101" s="144">
        <v>0</v>
      </c>
      <c r="F101" s="144">
        <v>0</v>
      </c>
      <c r="G101" s="144">
        <v>0</v>
      </c>
      <c r="H101" s="144">
        <v>0</v>
      </c>
      <c r="I101" s="144">
        <v>0</v>
      </c>
      <c r="J101" s="144">
        <v>0</v>
      </c>
      <c r="K101" s="144">
        <v>0</v>
      </c>
      <c r="L101" s="145">
        <v>1</v>
      </c>
      <c r="M101" s="144">
        <v>0</v>
      </c>
      <c r="N101" s="144">
        <v>0</v>
      </c>
      <c r="O101" s="144">
        <v>0</v>
      </c>
      <c r="Q101" s="1004">
        <f t="shared" si="187"/>
        <v>1</v>
      </c>
      <c r="AU101" s="151"/>
      <c r="AV101" s="151"/>
      <c r="AW101" s="151"/>
      <c r="AX101" s="151"/>
      <c r="AY101" s="151"/>
      <c r="AZ101" s="151"/>
      <c r="BA101" s="151"/>
      <c r="BB101" s="151"/>
      <c r="BC101" s="151"/>
      <c r="BD101" s="151"/>
      <c r="BE101" s="151"/>
      <c r="BF101" s="151"/>
      <c r="BG101" s="151"/>
      <c r="BH101" s="151"/>
      <c r="BI101" s="151"/>
      <c r="BJ101" s="151"/>
      <c r="BK101" s="151"/>
      <c r="BL101" s="151"/>
      <c r="BM101" s="151"/>
      <c r="BN101" s="151"/>
      <c r="BO101" s="151"/>
      <c r="BP101" s="151"/>
      <c r="BQ101" s="151"/>
      <c r="BR101" s="151"/>
      <c r="BS101" s="151"/>
      <c r="BT101" s="151"/>
      <c r="BU101" s="151"/>
      <c r="BV101" s="151"/>
      <c r="BW101" s="151"/>
      <c r="BX101" s="151"/>
      <c r="BY101" s="151"/>
      <c r="BZ101" s="151"/>
      <c r="CA101" s="151"/>
      <c r="CB101" s="151"/>
      <c r="CC101" s="151"/>
      <c r="CD101" s="151"/>
      <c r="CE101" s="151"/>
      <c r="CF101" s="151"/>
      <c r="CG101" s="151"/>
      <c r="CH101" s="151"/>
      <c r="CI101" s="151"/>
      <c r="CJ101" s="151"/>
      <c r="CK101" s="151"/>
      <c r="CL101" s="151"/>
      <c r="CM101" s="151"/>
      <c r="CN101" s="151"/>
      <c r="CO101" s="151"/>
      <c r="CP101" s="151"/>
      <c r="CQ101" s="151"/>
      <c r="CR101" s="151"/>
      <c r="CS101" s="151"/>
      <c r="CT101" s="151"/>
      <c r="CU101" s="151"/>
      <c r="CV101" s="151"/>
      <c r="CW101" s="151"/>
      <c r="CX101" s="151"/>
      <c r="CY101" s="151"/>
      <c r="CZ101" s="151"/>
      <c r="DA101" s="151"/>
      <c r="DB101" s="151"/>
      <c r="DC101" s="151"/>
      <c r="DD101" s="151"/>
      <c r="DE101" s="151"/>
      <c r="DF101" s="151"/>
      <c r="DG101" s="151"/>
      <c r="DH101" s="151"/>
      <c r="DI101" s="151"/>
      <c r="DJ101" s="151"/>
      <c r="DK101" s="151"/>
      <c r="DL101" s="151"/>
      <c r="DM101" s="151"/>
      <c r="DN101" s="151"/>
      <c r="DO101" s="151"/>
      <c r="DP101" s="151"/>
      <c r="DQ101" s="151"/>
      <c r="DR101" s="151"/>
      <c r="DS101" s="151"/>
      <c r="DT101" s="151"/>
      <c r="DU101" s="151"/>
      <c r="DV101" s="151"/>
      <c r="DW101" s="151"/>
      <c r="DX101" s="151"/>
      <c r="DY101" s="151"/>
      <c r="DZ101" s="151"/>
      <c r="EA101" s="151"/>
      <c r="EB101" s="151"/>
      <c r="EC101" s="151"/>
      <c r="ED101" s="151"/>
      <c r="EE101" s="151"/>
      <c r="EF101" s="151"/>
      <c r="EG101" s="151"/>
      <c r="EH101" s="151"/>
      <c r="EI101" s="151"/>
      <c r="EJ101" s="151"/>
      <c r="EK101" s="151"/>
      <c r="EL101" s="151"/>
      <c r="EM101" s="151"/>
      <c r="EN101" s="151"/>
      <c r="EO101" s="151"/>
      <c r="EP101" s="151"/>
      <c r="EQ101" s="151"/>
      <c r="ER101" s="151"/>
      <c r="ES101" s="151"/>
      <c r="ET101" s="151"/>
      <c r="EU101" s="151"/>
      <c r="EV101" s="151"/>
      <c r="EW101" s="151"/>
      <c r="EX101" s="151"/>
      <c r="EY101" s="151"/>
      <c r="EZ101" s="151"/>
      <c r="FA101" s="151"/>
      <c r="FB101" s="151"/>
      <c r="FC101" s="151"/>
      <c r="FD101" s="151"/>
      <c r="FE101" s="151"/>
      <c r="FF101" s="151"/>
      <c r="FG101" s="151"/>
      <c r="FH101" s="151"/>
      <c r="FI101" s="151"/>
      <c r="FJ101" s="151"/>
      <c r="FK101" s="151"/>
      <c r="FL101" s="151"/>
      <c r="FM101" s="151"/>
      <c r="FN101" s="151"/>
      <c r="FO101" s="144" t="s">
        <v>243</v>
      </c>
    </row>
    <row r="102" spans="2:171" x14ac:dyDescent="0.2">
      <c r="B102" s="1005">
        <v>44897</v>
      </c>
      <c r="D102" s="144">
        <v>0</v>
      </c>
      <c r="E102" s="144">
        <v>0</v>
      </c>
      <c r="F102" s="144">
        <v>1</v>
      </c>
      <c r="G102" s="144">
        <v>0</v>
      </c>
      <c r="H102" s="144">
        <v>0</v>
      </c>
      <c r="I102" s="144">
        <v>0</v>
      </c>
      <c r="J102" s="144">
        <v>0</v>
      </c>
      <c r="K102" s="144">
        <v>0</v>
      </c>
      <c r="L102" s="145">
        <v>0</v>
      </c>
      <c r="M102" s="144">
        <v>0</v>
      </c>
      <c r="N102" s="144">
        <v>0</v>
      </c>
      <c r="O102" s="144">
        <v>0</v>
      </c>
      <c r="Q102" s="1004">
        <f t="shared" si="187"/>
        <v>1</v>
      </c>
      <c r="AM102" s="982"/>
      <c r="AN102" s="982"/>
      <c r="AO102" s="982"/>
      <c r="AP102" s="982"/>
      <c r="AQ102" s="982"/>
      <c r="AR102" s="982"/>
      <c r="AS102" s="982"/>
      <c r="AT102" s="982"/>
      <c r="AU102" s="982"/>
      <c r="AV102" s="982"/>
      <c r="AW102" s="982"/>
      <c r="AX102" s="982"/>
      <c r="AY102" s="982"/>
      <c r="AZ102" s="982"/>
      <c r="BA102" s="982"/>
      <c r="BB102" s="982"/>
      <c r="BC102" s="982"/>
      <c r="BD102" s="982"/>
      <c r="BE102" s="982"/>
      <c r="BF102" s="982"/>
      <c r="BG102" s="982"/>
      <c r="BH102" s="982"/>
      <c r="BI102" s="982"/>
      <c r="BJ102" s="982"/>
      <c r="BK102" s="982"/>
      <c r="BL102" s="982"/>
      <c r="BM102" s="982"/>
      <c r="BN102" s="982"/>
      <c r="BO102" s="982"/>
      <c r="BP102" s="982"/>
      <c r="BQ102" s="982"/>
      <c r="BR102" s="982"/>
      <c r="BS102" s="982"/>
      <c r="BT102" s="982"/>
      <c r="BU102" s="982"/>
      <c r="BV102" s="982"/>
      <c r="BW102" s="982"/>
      <c r="BX102" s="982"/>
      <c r="BY102" s="982"/>
      <c r="BZ102" s="982"/>
      <c r="CA102" s="982"/>
      <c r="CB102" s="982"/>
      <c r="CC102" s="982"/>
      <c r="CD102" s="982"/>
      <c r="CE102" s="982"/>
      <c r="CF102" s="982"/>
      <c r="CG102" s="982"/>
      <c r="CH102" s="982"/>
      <c r="CI102" s="982"/>
      <c r="CJ102" s="982"/>
      <c r="CK102" s="982"/>
      <c r="CL102" s="982"/>
      <c r="CM102" s="982"/>
      <c r="CN102" s="982"/>
      <c r="CO102" s="982"/>
      <c r="CP102" s="982"/>
      <c r="CQ102" s="982"/>
      <c r="CR102" s="982"/>
      <c r="CS102" s="982"/>
      <c r="CT102" s="982"/>
      <c r="CU102" s="982"/>
      <c r="CV102" s="982"/>
      <c r="CW102" s="982"/>
      <c r="CX102" s="982"/>
      <c r="CY102" s="982"/>
      <c r="CZ102" s="982"/>
      <c r="DA102" s="982"/>
      <c r="DB102" s="982"/>
      <c r="DC102" s="982"/>
      <c r="DD102" s="982"/>
      <c r="DE102" s="982"/>
      <c r="DF102" s="982"/>
      <c r="DG102" s="982"/>
      <c r="DH102" s="982"/>
      <c r="DI102" s="982"/>
      <c r="DJ102" s="982"/>
      <c r="DK102" s="982"/>
      <c r="DL102" s="982"/>
      <c r="DM102" s="982"/>
      <c r="DN102" s="982"/>
      <c r="DO102" s="982"/>
      <c r="DP102" s="982"/>
      <c r="DQ102" s="982"/>
      <c r="DR102" s="982"/>
      <c r="DS102" s="982"/>
      <c r="DT102" s="982"/>
      <c r="DU102" s="982"/>
      <c r="DV102" s="982"/>
      <c r="DW102" s="982"/>
      <c r="DX102" s="982"/>
      <c r="DY102" s="982"/>
      <c r="DZ102" s="982"/>
      <c r="EA102" s="982"/>
      <c r="EB102" s="982"/>
      <c r="EC102" s="982"/>
      <c r="ED102" s="982"/>
      <c r="EE102" s="982"/>
      <c r="EF102" s="982"/>
      <c r="EG102" s="982"/>
      <c r="EH102" s="982"/>
      <c r="EI102" s="982"/>
      <c r="EJ102" s="982"/>
      <c r="EK102" s="982"/>
      <c r="EL102" s="982"/>
      <c r="EM102" s="982"/>
      <c r="EN102" s="982"/>
      <c r="EO102" s="982"/>
      <c r="EP102" s="982"/>
      <c r="EQ102" s="982"/>
      <c r="ER102" s="982"/>
      <c r="ES102" s="982"/>
      <c r="ET102" s="982"/>
      <c r="EU102" s="982"/>
      <c r="EV102" s="982"/>
      <c r="EW102" s="982"/>
      <c r="EX102" s="982"/>
      <c r="EY102" s="982"/>
      <c r="EZ102" s="982"/>
      <c r="FA102" s="982"/>
      <c r="FB102" s="982"/>
      <c r="FC102" s="982"/>
      <c r="FD102" s="982"/>
      <c r="FE102" s="982"/>
      <c r="FF102" s="982"/>
      <c r="FG102" s="982"/>
      <c r="FH102" s="982"/>
      <c r="FI102" s="982"/>
      <c r="FJ102" s="982"/>
      <c r="FK102" s="982"/>
      <c r="FL102" s="982"/>
      <c r="FM102" s="982"/>
      <c r="FN102" s="982"/>
      <c r="FO102" s="144" t="s">
        <v>243</v>
      </c>
    </row>
    <row r="103" spans="2:171" x14ac:dyDescent="0.2">
      <c r="B103" s="1005">
        <v>44903</v>
      </c>
      <c r="D103" s="144">
        <v>0</v>
      </c>
      <c r="E103" s="144">
        <v>0</v>
      </c>
      <c r="F103" s="144">
        <v>0</v>
      </c>
      <c r="G103" s="144">
        <v>0</v>
      </c>
      <c r="H103" s="144">
        <v>0</v>
      </c>
      <c r="I103" s="144">
        <v>0</v>
      </c>
      <c r="J103" s="144">
        <v>0</v>
      </c>
      <c r="K103" s="144">
        <v>0</v>
      </c>
      <c r="L103" s="145">
        <v>2</v>
      </c>
      <c r="M103" s="144">
        <v>0</v>
      </c>
      <c r="N103" s="144">
        <v>0</v>
      </c>
      <c r="O103" s="144">
        <v>0</v>
      </c>
      <c r="Q103" s="1004">
        <f t="shared" si="187"/>
        <v>2</v>
      </c>
      <c r="AM103" s="982"/>
      <c r="AN103" s="982"/>
      <c r="AO103" s="982"/>
      <c r="AP103" s="982"/>
      <c r="AQ103" s="982"/>
      <c r="AR103" s="982"/>
      <c r="AS103" s="982"/>
      <c r="AT103" s="982"/>
      <c r="AU103" s="982"/>
      <c r="AV103" s="982"/>
      <c r="AW103" s="982"/>
      <c r="AX103" s="982"/>
      <c r="AY103" s="982"/>
      <c r="AZ103" s="982"/>
      <c r="BA103" s="982"/>
      <c r="BB103" s="982"/>
      <c r="BC103" s="982"/>
      <c r="BD103" s="982"/>
      <c r="BE103" s="982"/>
      <c r="BF103" s="982"/>
      <c r="BG103" s="982"/>
      <c r="BH103" s="982"/>
      <c r="BI103" s="982"/>
      <c r="BJ103" s="982"/>
      <c r="BK103" s="982"/>
      <c r="BL103" s="982"/>
      <c r="BM103" s="982"/>
      <c r="BN103" s="982"/>
      <c r="BO103" s="982"/>
      <c r="BP103" s="982"/>
      <c r="BQ103" s="982"/>
      <c r="BR103" s="982"/>
      <c r="BS103" s="982"/>
      <c r="BT103" s="982"/>
      <c r="BU103" s="982"/>
      <c r="BV103" s="982"/>
      <c r="BW103" s="982"/>
      <c r="BX103" s="982"/>
      <c r="BY103" s="982"/>
      <c r="BZ103" s="982"/>
      <c r="CA103" s="982"/>
      <c r="CB103" s="982"/>
      <c r="CC103" s="982"/>
      <c r="CD103" s="982"/>
      <c r="CE103" s="982"/>
      <c r="CF103" s="982"/>
      <c r="CG103" s="982"/>
      <c r="CH103" s="982"/>
      <c r="CI103" s="982"/>
      <c r="CJ103" s="982"/>
      <c r="CK103" s="982"/>
      <c r="CL103" s="982"/>
      <c r="CM103" s="982"/>
      <c r="CN103" s="982"/>
      <c r="CO103" s="982"/>
      <c r="CP103" s="982"/>
      <c r="CQ103" s="982"/>
      <c r="CR103" s="982"/>
      <c r="CS103" s="982"/>
      <c r="CT103" s="982"/>
      <c r="CU103" s="982"/>
      <c r="CV103" s="982"/>
      <c r="CW103" s="982"/>
      <c r="CX103" s="982"/>
      <c r="CY103" s="982"/>
      <c r="CZ103" s="982"/>
      <c r="DA103" s="982"/>
      <c r="DB103" s="982"/>
      <c r="DC103" s="982"/>
      <c r="DD103" s="982"/>
      <c r="DE103" s="982"/>
      <c r="DF103" s="982"/>
      <c r="DG103" s="982"/>
      <c r="DH103" s="982"/>
      <c r="DI103" s="982"/>
      <c r="DJ103" s="982"/>
      <c r="DK103" s="982"/>
      <c r="DL103" s="982"/>
      <c r="DM103" s="982"/>
      <c r="DN103" s="982"/>
      <c r="DO103" s="982"/>
      <c r="DP103" s="982"/>
      <c r="DQ103" s="982"/>
      <c r="DR103" s="982"/>
      <c r="DS103" s="982"/>
      <c r="DT103" s="982"/>
      <c r="DU103" s="982"/>
      <c r="DV103" s="982"/>
      <c r="DW103" s="982"/>
      <c r="DX103" s="982"/>
      <c r="DY103" s="982"/>
      <c r="DZ103" s="982"/>
      <c r="EA103" s="982"/>
      <c r="EB103" s="982"/>
      <c r="EC103" s="982"/>
      <c r="ED103" s="982"/>
      <c r="EE103" s="982"/>
      <c r="EF103" s="982"/>
      <c r="EG103" s="982"/>
      <c r="EH103" s="982"/>
      <c r="EI103" s="982"/>
      <c r="EJ103" s="982"/>
      <c r="EK103" s="982"/>
      <c r="EL103" s="982"/>
      <c r="EM103" s="982"/>
      <c r="EN103" s="982"/>
      <c r="EO103" s="982"/>
      <c r="EP103" s="982"/>
      <c r="EQ103" s="982"/>
      <c r="ER103" s="982"/>
      <c r="ES103" s="982"/>
      <c r="ET103" s="982"/>
      <c r="EU103" s="982"/>
      <c r="EV103" s="982"/>
      <c r="EW103" s="982"/>
      <c r="EX103" s="982"/>
      <c r="EY103" s="982"/>
      <c r="EZ103" s="982"/>
      <c r="FA103" s="982"/>
      <c r="FB103" s="982"/>
      <c r="FC103" s="982"/>
      <c r="FD103" s="982"/>
      <c r="FE103" s="982"/>
      <c r="FF103" s="982"/>
      <c r="FG103" s="982"/>
      <c r="FH103" s="982"/>
      <c r="FI103" s="982"/>
      <c r="FJ103" s="982"/>
      <c r="FK103" s="982"/>
      <c r="FL103" s="982"/>
      <c r="FM103" s="982"/>
      <c r="FN103" s="982"/>
      <c r="FO103" s="144" t="s">
        <v>243</v>
      </c>
    </row>
    <row r="104" spans="2:171" x14ac:dyDescent="0.2">
      <c r="B104" s="1005">
        <v>44909</v>
      </c>
      <c r="D104" s="144">
        <v>0</v>
      </c>
      <c r="E104" s="144">
        <v>0</v>
      </c>
      <c r="F104" s="144">
        <v>0</v>
      </c>
      <c r="G104" s="144">
        <v>0</v>
      </c>
      <c r="H104" s="144">
        <v>0</v>
      </c>
      <c r="I104" s="144">
        <v>0</v>
      </c>
      <c r="J104" s="144">
        <v>0</v>
      </c>
      <c r="K104" s="144">
        <v>0</v>
      </c>
      <c r="L104" s="145">
        <v>0</v>
      </c>
      <c r="M104" s="144">
        <v>0</v>
      </c>
      <c r="N104" s="144">
        <v>1</v>
      </c>
      <c r="O104" s="144">
        <v>0</v>
      </c>
      <c r="Q104" s="1004">
        <f t="shared" si="187"/>
        <v>1</v>
      </c>
      <c r="AU104" s="151"/>
      <c r="AV104" s="151"/>
      <c r="AW104" s="151"/>
      <c r="AX104" s="151"/>
      <c r="AY104" s="151"/>
      <c r="AZ104" s="151"/>
      <c r="BA104" s="151"/>
      <c r="BB104" s="151"/>
      <c r="BC104" s="151"/>
      <c r="BD104" s="151"/>
      <c r="BE104" s="151"/>
      <c r="BF104" s="151"/>
      <c r="FO104" s="144" t="s">
        <v>243</v>
      </c>
    </row>
    <row r="105" spans="2:171" x14ac:dyDescent="0.2">
      <c r="B105" s="1005">
        <v>44910</v>
      </c>
      <c r="D105" s="144">
        <v>1</v>
      </c>
      <c r="E105" s="144">
        <v>0</v>
      </c>
      <c r="F105" s="144">
        <v>0</v>
      </c>
      <c r="G105" s="144">
        <v>0</v>
      </c>
      <c r="H105" s="144">
        <v>0</v>
      </c>
      <c r="I105" s="144">
        <v>0</v>
      </c>
      <c r="J105" s="144">
        <v>0</v>
      </c>
      <c r="K105" s="144">
        <v>0</v>
      </c>
      <c r="L105" s="145">
        <v>0</v>
      </c>
      <c r="M105" s="144">
        <v>0</v>
      </c>
      <c r="N105" s="144">
        <v>1</v>
      </c>
      <c r="O105" s="144">
        <v>0</v>
      </c>
      <c r="Q105" s="1004">
        <f t="shared" si="187"/>
        <v>2</v>
      </c>
      <c r="AU105" s="151"/>
      <c r="AV105" s="151"/>
      <c r="AW105" s="151"/>
      <c r="AX105" s="151"/>
      <c r="AY105" s="151"/>
      <c r="AZ105" s="151"/>
      <c r="BA105" s="151"/>
      <c r="BB105" s="151"/>
      <c r="BC105" s="151"/>
      <c r="BD105" s="151"/>
      <c r="BE105" s="151"/>
      <c r="BF105" s="151"/>
      <c r="BG105" s="151"/>
      <c r="BH105" s="151"/>
      <c r="BI105" s="151"/>
      <c r="BJ105" s="151"/>
      <c r="BK105" s="151"/>
      <c r="BL105" s="151"/>
      <c r="BM105" s="151"/>
      <c r="BN105" s="151"/>
      <c r="BO105" s="151"/>
      <c r="BP105" s="151"/>
      <c r="BQ105" s="151"/>
      <c r="BR105" s="151"/>
      <c r="BS105" s="151"/>
      <c r="BT105" s="151"/>
      <c r="BU105" s="151"/>
      <c r="BV105" s="151"/>
      <c r="BW105" s="151"/>
      <c r="BX105" s="151"/>
      <c r="BY105" s="151"/>
      <c r="BZ105" s="151"/>
      <c r="CA105" s="151"/>
      <c r="CB105" s="151"/>
      <c r="CC105" s="151"/>
      <c r="CD105" s="151"/>
      <c r="CE105" s="151"/>
      <c r="CF105" s="151"/>
      <c r="CG105" s="151"/>
      <c r="CH105" s="151"/>
      <c r="CI105" s="151"/>
      <c r="CJ105" s="151"/>
      <c r="CK105" s="151"/>
      <c r="CL105" s="151"/>
      <c r="CM105" s="151"/>
      <c r="CN105" s="151"/>
      <c r="CO105" s="151"/>
      <c r="CP105" s="151"/>
      <c r="CQ105" s="151"/>
      <c r="CR105" s="151"/>
      <c r="CS105" s="151"/>
      <c r="CT105" s="151"/>
      <c r="CU105" s="151"/>
      <c r="CV105" s="151"/>
      <c r="CW105" s="151"/>
      <c r="CX105" s="151"/>
      <c r="CY105" s="151"/>
      <c r="CZ105" s="151"/>
      <c r="DA105" s="151"/>
      <c r="DB105" s="151"/>
      <c r="DC105" s="151"/>
      <c r="DD105" s="151"/>
      <c r="DE105" s="151"/>
      <c r="DF105" s="151"/>
      <c r="DG105" s="151"/>
      <c r="DH105" s="151"/>
      <c r="DI105" s="151"/>
      <c r="DJ105" s="151"/>
      <c r="DK105" s="151"/>
      <c r="DL105" s="151"/>
      <c r="DM105" s="151"/>
      <c r="DN105" s="151"/>
      <c r="DO105" s="151"/>
      <c r="DP105" s="151"/>
      <c r="DQ105" s="151"/>
      <c r="DR105" s="151"/>
      <c r="DS105" s="151"/>
      <c r="DT105" s="151"/>
      <c r="DU105" s="151"/>
      <c r="DV105" s="151"/>
      <c r="DW105" s="151"/>
      <c r="DX105" s="151"/>
      <c r="DY105" s="151"/>
      <c r="DZ105" s="151"/>
      <c r="EA105" s="151"/>
      <c r="EB105" s="151"/>
      <c r="EC105" s="151"/>
      <c r="ED105" s="151"/>
      <c r="EE105" s="151"/>
      <c r="EF105" s="151"/>
      <c r="EG105" s="151"/>
      <c r="EH105" s="151"/>
      <c r="EI105" s="151"/>
      <c r="EJ105" s="151"/>
      <c r="EK105" s="151"/>
      <c r="EL105" s="151"/>
      <c r="EM105" s="151"/>
      <c r="EN105" s="151"/>
      <c r="EO105" s="151"/>
      <c r="EP105" s="151"/>
      <c r="EQ105" s="151"/>
      <c r="ER105" s="151"/>
      <c r="ES105" s="151"/>
      <c r="ET105" s="151"/>
      <c r="EU105" s="151"/>
      <c r="EV105" s="151"/>
      <c r="EW105" s="151"/>
      <c r="EX105" s="151"/>
      <c r="EY105" s="151"/>
      <c r="EZ105" s="151"/>
      <c r="FA105" s="151"/>
      <c r="FB105" s="151"/>
      <c r="FC105" s="151"/>
      <c r="FD105" s="151"/>
      <c r="FE105" s="151"/>
      <c r="FF105" s="151"/>
      <c r="FG105" s="151"/>
      <c r="FH105" s="151"/>
      <c r="FI105" s="151"/>
      <c r="FJ105" s="151"/>
      <c r="FK105" s="151"/>
      <c r="FL105" s="151"/>
      <c r="FM105" s="151"/>
      <c r="FN105" s="151"/>
      <c r="FO105" s="144" t="s">
        <v>243</v>
      </c>
    </row>
    <row r="106" spans="2:171" x14ac:dyDescent="0.2">
      <c r="B106" s="1005">
        <v>44912</v>
      </c>
      <c r="D106" s="144">
        <v>1</v>
      </c>
      <c r="E106" s="144">
        <v>0</v>
      </c>
      <c r="F106" s="144">
        <v>0</v>
      </c>
      <c r="G106" s="144">
        <v>0</v>
      </c>
      <c r="H106" s="144">
        <v>0</v>
      </c>
      <c r="I106" s="144">
        <v>0</v>
      </c>
      <c r="J106" s="144">
        <v>0</v>
      </c>
      <c r="K106" s="144">
        <v>0</v>
      </c>
      <c r="L106" s="145">
        <v>0</v>
      </c>
      <c r="M106" s="144">
        <v>0</v>
      </c>
      <c r="N106" s="144">
        <v>0</v>
      </c>
      <c r="O106" s="144">
        <v>0</v>
      </c>
      <c r="Q106" s="1004">
        <f t="shared" si="187"/>
        <v>1</v>
      </c>
      <c r="AU106" s="151"/>
      <c r="AV106" s="151"/>
      <c r="AW106" s="151"/>
      <c r="AX106" s="151"/>
      <c r="AY106" s="151"/>
      <c r="AZ106" s="151"/>
      <c r="BA106" s="151"/>
      <c r="BB106" s="151"/>
      <c r="BC106" s="151"/>
      <c r="BD106" s="151"/>
      <c r="BE106" s="151"/>
      <c r="BF106" s="151"/>
      <c r="BG106" s="151"/>
      <c r="BH106" s="151"/>
      <c r="BI106" s="151"/>
      <c r="BJ106" s="151"/>
      <c r="BK106" s="151"/>
      <c r="BL106" s="151"/>
      <c r="BM106" s="151"/>
      <c r="BN106" s="151"/>
      <c r="BO106" s="151"/>
      <c r="BP106" s="151"/>
      <c r="BQ106" s="151"/>
      <c r="BR106" s="151"/>
      <c r="BS106" s="151"/>
      <c r="BT106" s="151"/>
      <c r="BU106" s="151"/>
      <c r="BV106" s="151"/>
      <c r="BW106" s="151"/>
      <c r="BX106" s="151"/>
      <c r="BY106" s="151"/>
      <c r="BZ106" s="151"/>
      <c r="CA106" s="151"/>
      <c r="CB106" s="151"/>
      <c r="CC106" s="151"/>
      <c r="CD106" s="151"/>
      <c r="CE106" s="151"/>
      <c r="CF106" s="151"/>
      <c r="CG106" s="151"/>
      <c r="CH106" s="151"/>
      <c r="CI106" s="151"/>
      <c r="CJ106" s="151"/>
      <c r="CK106" s="151"/>
      <c r="CL106" s="151"/>
      <c r="CM106" s="151"/>
      <c r="CN106" s="151"/>
      <c r="CO106" s="151"/>
      <c r="CP106" s="151"/>
      <c r="CQ106" s="151"/>
      <c r="CR106" s="151"/>
      <c r="CS106" s="151"/>
      <c r="CT106" s="151"/>
      <c r="CU106" s="151"/>
      <c r="CV106" s="151"/>
      <c r="CW106" s="151"/>
      <c r="CX106" s="151"/>
      <c r="CY106" s="151"/>
      <c r="CZ106" s="151"/>
      <c r="DA106" s="151"/>
      <c r="DB106" s="151"/>
      <c r="DC106" s="151"/>
      <c r="DD106" s="151"/>
      <c r="DE106" s="151"/>
      <c r="DF106" s="151"/>
      <c r="DG106" s="151"/>
      <c r="DH106" s="151"/>
      <c r="DI106" s="151"/>
      <c r="DJ106" s="151"/>
      <c r="DK106" s="151"/>
      <c r="DL106" s="151"/>
      <c r="DM106" s="151"/>
      <c r="DN106" s="151"/>
      <c r="DO106" s="151"/>
      <c r="DP106" s="151"/>
      <c r="DQ106" s="151"/>
      <c r="DR106" s="151"/>
      <c r="DS106" s="151"/>
      <c r="DT106" s="151"/>
      <c r="DU106" s="151"/>
      <c r="DV106" s="151"/>
      <c r="DW106" s="151"/>
      <c r="DX106" s="151"/>
      <c r="DY106" s="151"/>
      <c r="DZ106" s="151"/>
      <c r="EA106" s="151"/>
      <c r="EB106" s="151"/>
      <c r="EC106" s="151"/>
      <c r="ED106" s="151"/>
      <c r="EE106" s="151"/>
      <c r="EF106" s="151"/>
      <c r="EG106" s="151"/>
      <c r="EH106" s="151"/>
      <c r="EI106" s="151"/>
      <c r="EJ106" s="151"/>
      <c r="EK106" s="151"/>
      <c r="EL106" s="151"/>
      <c r="EM106" s="151"/>
      <c r="EN106" s="151"/>
      <c r="EO106" s="151"/>
      <c r="EP106" s="151"/>
      <c r="EQ106" s="151"/>
      <c r="ER106" s="151"/>
      <c r="ES106" s="151"/>
      <c r="ET106" s="151"/>
      <c r="EU106" s="151"/>
      <c r="EV106" s="151"/>
      <c r="EW106" s="151"/>
      <c r="EX106" s="151"/>
      <c r="EY106" s="151"/>
      <c r="EZ106" s="151"/>
      <c r="FA106" s="151"/>
      <c r="FB106" s="151"/>
      <c r="FC106" s="151"/>
      <c r="FD106" s="151"/>
      <c r="FE106" s="151"/>
      <c r="FF106" s="151"/>
      <c r="FG106" s="151"/>
      <c r="FH106" s="151"/>
      <c r="FI106" s="151"/>
      <c r="FJ106" s="151"/>
      <c r="FK106" s="151"/>
      <c r="FL106" s="151"/>
      <c r="FM106" s="151"/>
      <c r="FN106" s="151"/>
      <c r="FO106" s="144" t="s">
        <v>243</v>
      </c>
    </row>
    <row r="107" spans="2:171" x14ac:dyDescent="0.2">
      <c r="B107" s="1005">
        <v>44915</v>
      </c>
      <c r="D107" s="144">
        <v>0</v>
      </c>
      <c r="E107" s="144">
        <v>0</v>
      </c>
      <c r="F107" s="144">
        <v>0</v>
      </c>
      <c r="G107" s="144">
        <v>0</v>
      </c>
      <c r="H107" s="144">
        <v>0</v>
      </c>
      <c r="I107" s="144">
        <v>0</v>
      </c>
      <c r="J107" s="144">
        <v>0</v>
      </c>
      <c r="K107" s="144">
        <v>0</v>
      </c>
      <c r="L107" s="145">
        <v>1</v>
      </c>
      <c r="M107" s="144">
        <v>0</v>
      </c>
      <c r="N107" s="144">
        <v>0</v>
      </c>
      <c r="O107" s="144">
        <v>0</v>
      </c>
      <c r="Q107" s="1004">
        <f t="shared" si="187"/>
        <v>1</v>
      </c>
      <c r="AV107" s="151"/>
      <c r="AW107" s="151"/>
      <c r="AX107" s="151"/>
      <c r="AY107" s="151"/>
      <c r="AZ107" s="151"/>
      <c r="BA107" s="151"/>
      <c r="BB107" s="151"/>
      <c r="BC107" s="151"/>
      <c r="BD107" s="151"/>
      <c r="BE107" s="151"/>
      <c r="BF107" s="151"/>
      <c r="BG107" s="151"/>
      <c r="BH107" s="151"/>
      <c r="BI107" s="151"/>
      <c r="BJ107" s="151"/>
      <c r="BK107" s="151"/>
      <c r="BL107" s="151"/>
      <c r="BM107" s="151"/>
      <c r="BN107" s="151"/>
      <c r="BO107" s="151"/>
      <c r="BP107" s="151"/>
      <c r="BQ107" s="151"/>
      <c r="BR107" s="151"/>
      <c r="BS107" s="151"/>
      <c r="BT107" s="151"/>
      <c r="BU107" s="151"/>
      <c r="BV107" s="151"/>
      <c r="BW107" s="151"/>
      <c r="BX107" s="151"/>
      <c r="BY107" s="151"/>
      <c r="BZ107" s="151"/>
      <c r="CA107" s="151"/>
      <c r="CB107" s="151"/>
      <c r="CC107" s="151"/>
      <c r="CD107" s="151"/>
      <c r="CE107" s="151"/>
      <c r="CF107" s="151"/>
      <c r="CG107" s="151"/>
      <c r="CH107" s="151"/>
      <c r="CI107" s="151"/>
      <c r="CJ107" s="151"/>
      <c r="CK107" s="151"/>
      <c r="CL107" s="151"/>
      <c r="CM107" s="151"/>
      <c r="CN107" s="151"/>
      <c r="CO107" s="151"/>
      <c r="CP107" s="151"/>
      <c r="CQ107" s="151"/>
      <c r="CR107" s="151"/>
      <c r="CS107" s="151"/>
      <c r="CT107" s="151"/>
      <c r="CU107" s="151"/>
      <c r="CV107" s="151"/>
      <c r="CW107" s="151"/>
      <c r="CX107" s="151"/>
      <c r="CY107" s="151"/>
      <c r="CZ107" s="151"/>
      <c r="DA107" s="151"/>
      <c r="DB107" s="151"/>
      <c r="DC107" s="151"/>
      <c r="DD107" s="151"/>
      <c r="DE107" s="151"/>
      <c r="DF107" s="151"/>
      <c r="DG107" s="151"/>
      <c r="DH107" s="151"/>
      <c r="DI107" s="151"/>
      <c r="DJ107" s="151"/>
      <c r="DK107" s="151"/>
      <c r="DL107" s="151"/>
      <c r="DM107" s="151"/>
      <c r="DN107" s="151"/>
      <c r="DO107" s="151"/>
      <c r="DP107" s="151"/>
      <c r="DQ107" s="151"/>
      <c r="DR107" s="151"/>
      <c r="DS107" s="151"/>
      <c r="DT107" s="151"/>
      <c r="DU107" s="151"/>
      <c r="DV107" s="151"/>
      <c r="DW107" s="151"/>
      <c r="DX107" s="151"/>
      <c r="DY107" s="151"/>
      <c r="DZ107" s="151"/>
      <c r="EA107" s="151"/>
      <c r="EB107" s="151"/>
      <c r="EC107" s="151"/>
      <c r="ED107" s="151"/>
      <c r="EE107" s="151"/>
      <c r="EF107" s="151"/>
      <c r="EG107" s="151"/>
      <c r="EH107" s="151"/>
      <c r="EI107" s="151"/>
      <c r="EJ107" s="151"/>
      <c r="EK107" s="151"/>
      <c r="EL107" s="151"/>
      <c r="EM107" s="151"/>
      <c r="EN107" s="151"/>
      <c r="EO107" s="151"/>
      <c r="EP107" s="151"/>
      <c r="EQ107" s="151"/>
      <c r="ER107" s="151"/>
      <c r="ES107" s="151"/>
      <c r="ET107" s="151"/>
      <c r="EU107" s="151"/>
      <c r="EV107" s="151"/>
      <c r="EW107" s="151"/>
      <c r="EX107" s="151"/>
      <c r="EY107" s="151"/>
      <c r="EZ107" s="151"/>
      <c r="FA107" s="151"/>
      <c r="FB107" s="151"/>
      <c r="FC107" s="151"/>
      <c r="FD107" s="151"/>
      <c r="FE107" s="151"/>
      <c r="FF107" s="151"/>
      <c r="FG107" s="151"/>
      <c r="FH107" s="151"/>
      <c r="FI107" s="151"/>
      <c r="FJ107" s="151"/>
      <c r="FK107" s="151"/>
      <c r="FL107" s="151"/>
      <c r="FM107" s="151"/>
      <c r="FN107" s="151"/>
      <c r="FO107" s="144" t="s">
        <v>243</v>
      </c>
    </row>
    <row r="108" spans="2:171" x14ac:dyDescent="0.2">
      <c r="B108" s="1005">
        <v>44924</v>
      </c>
      <c r="D108" s="144">
        <v>0</v>
      </c>
      <c r="E108" s="144">
        <v>0</v>
      </c>
      <c r="F108" s="144">
        <v>0</v>
      </c>
      <c r="G108" s="144">
        <v>0</v>
      </c>
      <c r="H108" s="144">
        <v>0</v>
      </c>
      <c r="I108" s="144">
        <v>0</v>
      </c>
      <c r="J108" s="144">
        <v>0</v>
      </c>
      <c r="K108" s="144">
        <v>0</v>
      </c>
      <c r="L108" s="145">
        <v>0</v>
      </c>
      <c r="M108" s="144">
        <v>1</v>
      </c>
      <c r="N108" s="144">
        <v>0</v>
      </c>
      <c r="O108" s="144">
        <v>0</v>
      </c>
      <c r="Q108" s="1004">
        <f t="shared" si="187"/>
        <v>1</v>
      </c>
      <c r="AU108" s="151"/>
      <c r="FO108" s="144" t="s">
        <v>243</v>
      </c>
    </row>
    <row r="109" spans="2:171" x14ac:dyDescent="0.2">
      <c r="B109" s="1005">
        <v>44926</v>
      </c>
      <c r="D109" s="144">
        <v>0</v>
      </c>
      <c r="E109" s="144">
        <v>0</v>
      </c>
      <c r="F109" s="144">
        <v>0</v>
      </c>
      <c r="G109" s="144">
        <v>0</v>
      </c>
      <c r="H109" s="144">
        <v>0</v>
      </c>
      <c r="I109" s="144">
        <v>0</v>
      </c>
      <c r="J109" s="144">
        <v>1</v>
      </c>
      <c r="K109" s="144">
        <v>0</v>
      </c>
      <c r="L109" s="145">
        <v>2</v>
      </c>
      <c r="M109" s="144">
        <v>0</v>
      </c>
      <c r="N109" s="144">
        <v>0</v>
      </c>
      <c r="O109" s="144">
        <v>0</v>
      </c>
      <c r="Q109" s="1004">
        <f t="shared" si="187"/>
        <v>3</v>
      </c>
      <c r="AU109" s="151"/>
      <c r="AV109" s="151"/>
      <c r="AW109" s="151"/>
      <c r="AX109" s="151"/>
      <c r="AY109" s="151"/>
      <c r="AZ109" s="151"/>
      <c r="BA109" s="151"/>
      <c r="BB109" s="151"/>
      <c r="BC109" s="151"/>
      <c r="BD109" s="151"/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151"/>
      <c r="BZ109" s="151"/>
      <c r="CA109" s="151"/>
      <c r="CB109" s="151"/>
      <c r="CC109" s="151"/>
      <c r="CD109" s="151"/>
      <c r="CE109" s="151"/>
      <c r="CF109" s="151"/>
      <c r="CG109" s="151"/>
      <c r="CH109" s="151"/>
      <c r="CI109" s="151"/>
      <c r="CJ109" s="151"/>
      <c r="CK109" s="151"/>
      <c r="CL109" s="151"/>
      <c r="CM109" s="151"/>
      <c r="CN109" s="151"/>
      <c r="CO109" s="151"/>
      <c r="CP109" s="151"/>
      <c r="CQ109" s="151"/>
      <c r="CR109" s="151"/>
      <c r="CS109" s="151"/>
      <c r="CT109" s="151"/>
      <c r="CU109" s="151"/>
      <c r="CV109" s="151"/>
      <c r="CW109" s="151"/>
      <c r="CX109" s="151"/>
      <c r="CY109" s="151"/>
      <c r="CZ109" s="151"/>
      <c r="DA109" s="151"/>
      <c r="DB109" s="151"/>
      <c r="DC109" s="151"/>
      <c r="DD109" s="151"/>
      <c r="DE109" s="151"/>
      <c r="DF109" s="151"/>
      <c r="DG109" s="151"/>
      <c r="DH109" s="151"/>
      <c r="DI109" s="151"/>
      <c r="DJ109" s="151"/>
      <c r="DK109" s="151"/>
      <c r="DL109" s="151"/>
      <c r="DM109" s="151"/>
      <c r="DN109" s="151"/>
      <c r="DO109" s="151"/>
      <c r="DP109" s="151"/>
      <c r="DQ109" s="151"/>
      <c r="DR109" s="151"/>
      <c r="DS109" s="151"/>
      <c r="DT109" s="151"/>
      <c r="DU109" s="151"/>
      <c r="DV109" s="151"/>
      <c r="DW109" s="151"/>
      <c r="DX109" s="151"/>
      <c r="DY109" s="151"/>
      <c r="DZ109" s="151"/>
      <c r="EA109" s="151"/>
      <c r="EB109" s="151"/>
      <c r="EC109" s="151"/>
      <c r="ED109" s="151"/>
      <c r="EE109" s="151"/>
      <c r="EF109" s="151"/>
      <c r="EG109" s="151"/>
      <c r="EH109" s="151"/>
      <c r="EI109" s="151"/>
      <c r="EJ109" s="151"/>
      <c r="EK109" s="151"/>
      <c r="EL109" s="151"/>
      <c r="EM109" s="151"/>
      <c r="EN109" s="151"/>
      <c r="EO109" s="151"/>
      <c r="EP109" s="151"/>
      <c r="EQ109" s="151"/>
      <c r="ER109" s="151"/>
      <c r="ES109" s="151"/>
      <c r="ET109" s="151"/>
      <c r="EU109" s="151"/>
      <c r="EV109" s="151"/>
      <c r="EW109" s="151"/>
      <c r="EX109" s="151"/>
      <c r="EY109" s="151"/>
      <c r="EZ109" s="151"/>
      <c r="FA109" s="151"/>
      <c r="FB109" s="151"/>
      <c r="FC109" s="151"/>
      <c r="FD109" s="151"/>
      <c r="FE109" s="151"/>
      <c r="FF109" s="151"/>
      <c r="FG109" s="151"/>
      <c r="FH109" s="151"/>
      <c r="FI109" s="151"/>
      <c r="FJ109" s="151"/>
      <c r="FK109" s="151"/>
      <c r="FL109" s="151"/>
      <c r="FM109" s="151"/>
      <c r="FN109" s="151"/>
      <c r="FO109" s="144" t="s">
        <v>243</v>
      </c>
    </row>
    <row r="110" spans="2:171" x14ac:dyDescent="0.2">
      <c r="B110" s="1005">
        <v>44929</v>
      </c>
      <c r="D110" s="144">
        <v>0</v>
      </c>
      <c r="E110" s="144">
        <v>0</v>
      </c>
      <c r="F110" s="144">
        <v>0</v>
      </c>
      <c r="G110" s="144">
        <v>0</v>
      </c>
      <c r="H110" s="144">
        <v>0</v>
      </c>
      <c r="I110" s="144">
        <v>0</v>
      </c>
      <c r="J110" s="144">
        <v>0</v>
      </c>
      <c r="K110" s="144">
        <v>0</v>
      </c>
      <c r="L110" s="145">
        <v>2</v>
      </c>
      <c r="M110" s="144">
        <v>0</v>
      </c>
      <c r="N110" s="144">
        <v>0</v>
      </c>
      <c r="O110" s="144">
        <v>0</v>
      </c>
      <c r="Q110" s="1004">
        <f t="shared" si="187"/>
        <v>2</v>
      </c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151"/>
      <c r="BT110" s="151"/>
      <c r="BU110" s="151"/>
      <c r="BV110" s="151"/>
      <c r="BW110" s="151"/>
      <c r="BX110" s="151"/>
      <c r="BY110" s="151"/>
      <c r="BZ110" s="151"/>
      <c r="CA110" s="151"/>
      <c r="CB110" s="151"/>
      <c r="CC110" s="151"/>
      <c r="CD110" s="151"/>
      <c r="CE110" s="151"/>
      <c r="CF110" s="151"/>
      <c r="CG110" s="151"/>
      <c r="CH110" s="151"/>
      <c r="CI110" s="151"/>
      <c r="CJ110" s="151"/>
      <c r="CK110" s="151"/>
      <c r="CL110" s="151"/>
      <c r="CM110" s="151"/>
      <c r="CN110" s="151"/>
      <c r="CO110" s="151"/>
      <c r="CP110" s="151"/>
      <c r="CQ110" s="151"/>
      <c r="CR110" s="151"/>
      <c r="CS110" s="151"/>
      <c r="CT110" s="151"/>
      <c r="CU110" s="151"/>
      <c r="CV110" s="151"/>
      <c r="CW110" s="151"/>
      <c r="CX110" s="151"/>
      <c r="CY110" s="151"/>
      <c r="CZ110" s="151"/>
      <c r="DA110" s="151"/>
      <c r="DB110" s="151"/>
      <c r="DC110" s="151"/>
      <c r="DD110" s="151"/>
      <c r="DE110" s="151"/>
      <c r="DF110" s="151"/>
      <c r="DG110" s="151"/>
      <c r="DH110" s="151"/>
      <c r="DI110" s="151"/>
      <c r="DJ110" s="151"/>
      <c r="DK110" s="151"/>
      <c r="DL110" s="151"/>
      <c r="DM110" s="151"/>
      <c r="DN110" s="151"/>
      <c r="DO110" s="151"/>
      <c r="DP110" s="151"/>
      <c r="DQ110" s="151"/>
      <c r="DR110" s="151"/>
      <c r="DS110" s="151"/>
      <c r="DT110" s="151"/>
      <c r="DU110" s="151"/>
      <c r="DV110" s="151"/>
      <c r="DW110" s="151"/>
      <c r="DX110" s="151"/>
      <c r="DY110" s="151"/>
      <c r="DZ110" s="151"/>
      <c r="EA110" s="151"/>
      <c r="EB110" s="151"/>
      <c r="EC110" s="151"/>
      <c r="ED110" s="151"/>
      <c r="EE110" s="151"/>
      <c r="EF110" s="151"/>
      <c r="EG110" s="151"/>
      <c r="EH110" s="151"/>
      <c r="EI110" s="151"/>
      <c r="EJ110" s="151"/>
      <c r="EK110" s="151"/>
      <c r="EL110" s="151"/>
      <c r="EM110" s="151"/>
      <c r="EN110" s="151"/>
      <c r="EO110" s="151"/>
      <c r="EP110" s="151"/>
      <c r="EQ110" s="151"/>
      <c r="ER110" s="151"/>
      <c r="ES110" s="151"/>
      <c r="ET110" s="151"/>
      <c r="EU110" s="151"/>
      <c r="EV110" s="151"/>
      <c r="EW110" s="151"/>
      <c r="EX110" s="151"/>
      <c r="EY110" s="151"/>
      <c r="EZ110" s="151"/>
      <c r="FA110" s="151"/>
      <c r="FB110" s="151"/>
      <c r="FC110" s="151"/>
      <c r="FD110" s="151"/>
      <c r="FE110" s="151"/>
      <c r="FF110" s="151"/>
      <c r="FG110" s="151"/>
      <c r="FH110" s="151"/>
      <c r="FI110" s="151"/>
      <c r="FJ110" s="151"/>
      <c r="FK110" s="151"/>
      <c r="FL110" s="151"/>
      <c r="FM110" s="151"/>
      <c r="FN110" s="151"/>
      <c r="FO110" s="144" t="s">
        <v>243</v>
      </c>
    </row>
    <row r="111" spans="2:171" x14ac:dyDescent="0.2">
      <c r="B111" s="1005">
        <v>44931</v>
      </c>
      <c r="D111" s="144">
        <v>0</v>
      </c>
      <c r="E111" s="144">
        <v>0</v>
      </c>
      <c r="F111" s="144">
        <v>0</v>
      </c>
      <c r="G111" s="144">
        <v>0</v>
      </c>
      <c r="H111" s="144">
        <v>0</v>
      </c>
      <c r="I111" s="144">
        <v>0</v>
      </c>
      <c r="J111" s="144">
        <v>0</v>
      </c>
      <c r="K111" s="144">
        <v>0</v>
      </c>
      <c r="L111" s="145">
        <v>0</v>
      </c>
      <c r="M111" s="144">
        <v>1</v>
      </c>
      <c r="N111" s="144">
        <v>0</v>
      </c>
      <c r="O111" s="144">
        <v>0</v>
      </c>
      <c r="Q111" s="1004">
        <f t="shared" si="187"/>
        <v>1</v>
      </c>
      <c r="AV111" s="151"/>
      <c r="AW111" s="151"/>
      <c r="AX111" s="151"/>
      <c r="AY111" s="151"/>
      <c r="AZ111" s="151"/>
      <c r="BA111" s="151"/>
      <c r="BB111" s="151"/>
      <c r="BC111" s="151"/>
      <c r="BD111" s="151"/>
      <c r="BE111" s="151"/>
      <c r="BF111" s="151"/>
      <c r="BG111" s="151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151"/>
      <c r="CH111" s="151"/>
      <c r="CI111" s="151"/>
      <c r="CJ111" s="151"/>
      <c r="CK111" s="151"/>
      <c r="CL111" s="151"/>
      <c r="CM111" s="151"/>
      <c r="CN111" s="151"/>
      <c r="CO111" s="151"/>
      <c r="CP111" s="151"/>
      <c r="CQ111" s="151"/>
      <c r="CR111" s="151"/>
      <c r="CS111" s="151"/>
      <c r="CT111" s="151"/>
      <c r="CU111" s="151"/>
      <c r="CV111" s="151"/>
      <c r="CW111" s="151"/>
      <c r="CX111" s="151"/>
      <c r="CY111" s="151"/>
      <c r="CZ111" s="151"/>
      <c r="DA111" s="151"/>
      <c r="DB111" s="151"/>
      <c r="DC111" s="151"/>
      <c r="DD111" s="151"/>
      <c r="DE111" s="151"/>
      <c r="DF111" s="151"/>
      <c r="DG111" s="151"/>
      <c r="DH111" s="151"/>
      <c r="DI111" s="151"/>
      <c r="DJ111" s="151"/>
      <c r="DK111" s="151"/>
      <c r="DL111" s="151"/>
      <c r="DM111" s="151"/>
      <c r="DN111" s="151"/>
      <c r="DO111" s="151"/>
      <c r="DP111" s="151"/>
      <c r="DQ111" s="151"/>
      <c r="DR111" s="151"/>
      <c r="DS111" s="151"/>
      <c r="DT111" s="151"/>
      <c r="DU111" s="151"/>
      <c r="DV111" s="151"/>
      <c r="DW111" s="151"/>
      <c r="DX111" s="151"/>
      <c r="DY111" s="151"/>
      <c r="DZ111" s="151"/>
      <c r="EA111" s="151"/>
      <c r="EB111" s="151"/>
      <c r="EC111" s="151"/>
      <c r="ED111" s="151"/>
      <c r="EE111" s="151"/>
      <c r="EF111" s="151"/>
      <c r="EG111" s="151"/>
      <c r="EH111" s="151"/>
      <c r="EI111" s="151"/>
      <c r="EJ111" s="151"/>
      <c r="EK111" s="151"/>
      <c r="EL111" s="151"/>
      <c r="EM111" s="151"/>
      <c r="EN111" s="151"/>
      <c r="EO111" s="151"/>
      <c r="EP111" s="151"/>
      <c r="EQ111" s="151"/>
      <c r="ER111" s="151"/>
      <c r="ES111" s="151"/>
      <c r="ET111" s="151"/>
      <c r="EU111" s="151"/>
      <c r="EV111" s="151"/>
      <c r="EW111" s="151"/>
      <c r="EX111" s="151"/>
      <c r="EY111" s="151"/>
      <c r="EZ111" s="151"/>
      <c r="FA111" s="151"/>
      <c r="FB111" s="151"/>
      <c r="FC111" s="151"/>
      <c r="FD111" s="151"/>
      <c r="FE111" s="151"/>
      <c r="FF111" s="151"/>
      <c r="FG111" s="151"/>
      <c r="FH111" s="151"/>
      <c r="FI111" s="151"/>
      <c r="FJ111" s="151"/>
      <c r="FK111" s="151"/>
      <c r="FL111" s="151"/>
      <c r="FM111" s="151"/>
      <c r="FN111" s="151"/>
      <c r="FO111" s="144" t="s">
        <v>243</v>
      </c>
    </row>
    <row r="112" spans="2:171" x14ac:dyDescent="0.2">
      <c r="B112" s="1005">
        <v>44943</v>
      </c>
      <c r="D112" s="144">
        <v>0</v>
      </c>
      <c r="E112" s="144">
        <v>0</v>
      </c>
      <c r="F112" s="144">
        <v>0</v>
      </c>
      <c r="G112" s="144">
        <v>0</v>
      </c>
      <c r="H112" s="144">
        <v>0</v>
      </c>
      <c r="I112" s="144">
        <v>0</v>
      </c>
      <c r="J112" s="144">
        <v>1</v>
      </c>
      <c r="K112" s="144">
        <v>0</v>
      </c>
      <c r="L112" s="145">
        <v>0</v>
      </c>
      <c r="M112" s="144">
        <v>0</v>
      </c>
      <c r="N112" s="144">
        <v>0</v>
      </c>
      <c r="O112" s="144">
        <v>0</v>
      </c>
      <c r="Q112" s="1004">
        <f t="shared" si="187"/>
        <v>1</v>
      </c>
      <c r="AU112" s="151"/>
      <c r="FO112" s="144" t="s">
        <v>243</v>
      </c>
    </row>
    <row r="113" spans="2:171" x14ac:dyDescent="0.2">
      <c r="B113" s="1005">
        <v>44946</v>
      </c>
      <c r="D113" s="144">
        <v>0</v>
      </c>
      <c r="E113" s="144">
        <v>0</v>
      </c>
      <c r="F113" s="144">
        <v>1</v>
      </c>
      <c r="G113" s="144">
        <v>0</v>
      </c>
      <c r="H113" s="144">
        <v>0</v>
      </c>
      <c r="I113" s="144">
        <v>0</v>
      </c>
      <c r="J113" s="144">
        <v>0</v>
      </c>
      <c r="K113" s="144">
        <v>0</v>
      </c>
      <c r="L113" s="145">
        <v>0</v>
      </c>
      <c r="M113" s="144">
        <v>0</v>
      </c>
      <c r="N113" s="144">
        <v>0</v>
      </c>
      <c r="O113" s="144">
        <v>0</v>
      </c>
      <c r="Q113" s="1004">
        <f t="shared" si="187"/>
        <v>1</v>
      </c>
      <c r="AU113" s="151"/>
      <c r="AV113" s="151"/>
      <c r="AW113" s="151"/>
      <c r="AX113" s="151"/>
      <c r="AY113" s="151"/>
      <c r="AZ113" s="151"/>
      <c r="BA113" s="151"/>
      <c r="BB113" s="151"/>
      <c r="BC113" s="151"/>
      <c r="BD113" s="151"/>
      <c r="BE113" s="151"/>
      <c r="BF113" s="151"/>
      <c r="FO113" s="144" t="s">
        <v>243</v>
      </c>
    </row>
    <row r="114" spans="2:171" x14ac:dyDescent="0.2">
      <c r="B114" s="1005">
        <v>44947</v>
      </c>
      <c r="D114" s="144">
        <v>0</v>
      </c>
      <c r="E114" s="144">
        <v>1</v>
      </c>
      <c r="F114" s="144">
        <v>0</v>
      </c>
      <c r="G114" s="144">
        <v>0</v>
      </c>
      <c r="H114" s="144">
        <v>0</v>
      </c>
      <c r="I114" s="144">
        <v>0</v>
      </c>
      <c r="J114" s="144">
        <v>0</v>
      </c>
      <c r="K114" s="144">
        <v>0</v>
      </c>
      <c r="L114" s="145">
        <v>0</v>
      </c>
      <c r="M114" s="144">
        <v>0</v>
      </c>
      <c r="N114" s="144">
        <v>0</v>
      </c>
      <c r="O114" s="144">
        <v>0</v>
      </c>
      <c r="Q114" s="1004">
        <f t="shared" si="187"/>
        <v>1</v>
      </c>
      <c r="AU114" s="151"/>
      <c r="AV114" s="151"/>
      <c r="AW114" s="151"/>
      <c r="AX114" s="151"/>
      <c r="AY114" s="151"/>
      <c r="AZ114" s="151"/>
      <c r="BA114" s="151"/>
      <c r="BB114" s="151"/>
      <c r="BC114" s="151"/>
      <c r="BD114" s="151"/>
      <c r="BE114" s="151"/>
      <c r="BF114" s="151"/>
      <c r="FO114" s="144" t="s">
        <v>243</v>
      </c>
    </row>
    <row r="115" spans="2:171" x14ac:dyDescent="0.2">
      <c r="B115" s="1005">
        <v>44948</v>
      </c>
      <c r="D115" s="144">
        <v>0</v>
      </c>
      <c r="E115" s="144">
        <v>0</v>
      </c>
      <c r="F115" s="144">
        <v>0</v>
      </c>
      <c r="G115" s="144">
        <v>0</v>
      </c>
      <c r="H115" s="144">
        <v>0</v>
      </c>
      <c r="I115" s="144">
        <v>0</v>
      </c>
      <c r="J115" s="144">
        <v>0</v>
      </c>
      <c r="K115" s="144">
        <v>0</v>
      </c>
      <c r="L115" s="145">
        <v>1</v>
      </c>
      <c r="M115" s="144">
        <v>0</v>
      </c>
      <c r="N115" s="144">
        <v>0</v>
      </c>
      <c r="O115" s="144">
        <v>0</v>
      </c>
      <c r="Q115" s="1004">
        <f t="shared" si="187"/>
        <v>1</v>
      </c>
      <c r="AV115" s="151"/>
      <c r="AW115" s="151"/>
      <c r="AX115" s="151"/>
      <c r="AY115" s="151"/>
      <c r="AZ115" s="151"/>
      <c r="BA115" s="151"/>
      <c r="BB115" s="151"/>
      <c r="BC115" s="151"/>
      <c r="BD115" s="151"/>
      <c r="BE115" s="151"/>
      <c r="BF115" s="151"/>
      <c r="FO115" s="144" t="s">
        <v>243</v>
      </c>
    </row>
    <row r="116" spans="2:171" x14ac:dyDescent="0.2">
      <c r="B116" s="1005">
        <v>44949</v>
      </c>
      <c r="D116" s="144">
        <v>0</v>
      </c>
      <c r="E116" s="144">
        <v>0</v>
      </c>
      <c r="F116" s="144">
        <v>1</v>
      </c>
      <c r="G116" s="144">
        <v>0</v>
      </c>
      <c r="H116" s="144">
        <v>0</v>
      </c>
      <c r="I116" s="144">
        <v>0</v>
      </c>
      <c r="J116" s="144">
        <v>0</v>
      </c>
      <c r="K116" s="144">
        <v>0</v>
      </c>
      <c r="L116" s="144">
        <v>0</v>
      </c>
      <c r="M116" s="144">
        <v>0</v>
      </c>
      <c r="N116" s="144">
        <v>0</v>
      </c>
      <c r="O116" s="144">
        <v>0</v>
      </c>
      <c r="Q116" s="1004">
        <f t="shared" si="187"/>
        <v>1</v>
      </c>
      <c r="AU116" s="151"/>
      <c r="AV116" s="151"/>
      <c r="AW116" s="151"/>
      <c r="AX116" s="151"/>
      <c r="AY116" s="151"/>
      <c r="AZ116" s="151"/>
      <c r="BA116" s="151"/>
      <c r="BB116" s="151"/>
      <c r="BC116" s="151"/>
      <c r="BD116" s="151"/>
      <c r="BE116" s="151"/>
      <c r="BF116" s="151"/>
      <c r="FO116" s="144" t="s">
        <v>243</v>
      </c>
    </row>
    <row r="117" spans="2:171" x14ac:dyDescent="0.2">
      <c r="B117" s="1005">
        <v>44952</v>
      </c>
      <c r="D117" s="144">
        <v>0</v>
      </c>
      <c r="E117" s="144">
        <v>0</v>
      </c>
      <c r="F117" s="144">
        <v>0</v>
      </c>
      <c r="G117" s="144">
        <v>0</v>
      </c>
      <c r="H117" s="144">
        <v>0</v>
      </c>
      <c r="I117" s="144">
        <v>0</v>
      </c>
      <c r="J117" s="144">
        <v>0</v>
      </c>
      <c r="K117" s="144">
        <v>0</v>
      </c>
      <c r="L117" s="144">
        <v>1</v>
      </c>
      <c r="M117" s="144">
        <v>0</v>
      </c>
      <c r="N117" s="144">
        <v>0</v>
      </c>
      <c r="O117" s="144">
        <v>0</v>
      </c>
      <c r="Q117" s="1004">
        <f t="shared" si="187"/>
        <v>1</v>
      </c>
      <c r="AU117" s="151"/>
      <c r="AV117" s="151"/>
      <c r="AW117" s="151"/>
      <c r="AX117" s="151"/>
      <c r="AY117" s="151"/>
      <c r="AZ117" s="151"/>
      <c r="BA117" s="151"/>
      <c r="BB117" s="151"/>
      <c r="BC117" s="151"/>
      <c r="BD117" s="151"/>
      <c r="BE117" s="151"/>
      <c r="BF117" s="151"/>
      <c r="FO117" s="144" t="s">
        <v>243</v>
      </c>
    </row>
    <row r="118" spans="2:171" x14ac:dyDescent="0.2">
      <c r="B118" s="1005">
        <v>44957</v>
      </c>
      <c r="D118" s="144">
        <v>1</v>
      </c>
      <c r="E118" s="144">
        <v>1</v>
      </c>
      <c r="F118" s="144">
        <v>0</v>
      </c>
      <c r="G118" s="144">
        <v>0</v>
      </c>
      <c r="H118" s="144">
        <v>0</v>
      </c>
      <c r="I118" s="144">
        <v>0</v>
      </c>
      <c r="J118" s="144">
        <v>0</v>
      </c>
      <c r="K118" s="144">
        <v>0</v>
      </c>
      <c r="L118" s="144">
        <v>0</v>
      </c>
      <c r="M118" s="144">
        <v>0</v>
      </c>
      <c r="N118" s="144">
        <v>0</v>
      </c>
      <c r="O118" s="144">
        <v>0</v>
      </c>
      <c r="Q118" s="1004">
        <f t="shared" si="187"/>
        <v>2</v>
      </c>
      <c r="AU118" s="151"/>
      <c r="AV118" s="151"/>
      <c r="AW118" s="151"/>
      <c r="AX118" s="151"/>
      <c r="AY118" s="151"/>
      <c r="AZ118" s="151"/>
      <c r="BA118" s="151"/>
      <c r="BB118" s="151"/>
      <c r="BC118" s="151"/>
      <c r="BD118" s="151"/>
      <c r="BE118" s="151"/>
      <c r="BF118" s="151"/>
    </row>
    <row r="119" spans="2:171" x14ac:dyDescent="0.2">
      <c r="B119" s="1005">
        <v>44961</v>
      </c>
      <c r="D119" s="144">
        <v>0</v>
      </c>
      <c r="E119" s="144">
        <v>0</v>
      </c>
      <c r="F119" s="144">
        <v>0</v>
      </c>
      <c r="G119" s="144">
        <v>0</v>
      </c>
      <c r="H119" s="144">
        <v>0</v>
      </c>
      <c r="I119" s="144">
        <v>0</v>
      </c>
      <c r="J119" s="144">
        <v>0</v>
      </c>
      <c r="K119" s="144">
        <v>0</v>
      </c>
      <c r="L119" s="144">
        <v>0</v>
      </c>
      <c r="M119" s="144">
        <v>0</v>
      </c>
      <c r="N119" s="144">
        <v>1</v>
      </c>
      <c r="O119" s="144">
        <v>0</v>
      </c>
      <c r="Q119" s="1004">
        <f t="shared" si="187"/>
        <v>1</v>
      </c>
      <c r="AV119" s="151"/>
      <c r="AW119" s="151"/>
      <c r="AX119" s="151"/>
      <c r="AY119" s="151"/>
      <c r="AZ119" s="151"/>
      <c r="BA119" s="151"/>
      <c r="BB119" s="151"/>
      <c r="BC119" s="151"/>
      <c r="BD119" s="151"/>
      <c r="BE119" s="151"/>
      <c r="BF119" s="151"/>
    </row>
    <row r="120" spans="2:171" x14ac:dyDescent="0.2">
      <c r="B120" s="1005">
        <v>44963</v>
      </c>
      <c r="D120" s="144">
        <v>0</v>
      </c>
      <c r="E120" s="144">
        <v>0</v>
      </c>
      <c r="F120" s="144">
        <v>0</v>
      </c>
      <c r="G120" s="144">
        <v>0</v>
      </c>
      <c r="H120" s="144">
        <v>0</v>
      </c>
      <c r="I120" s="144">
        <v>0</v>
      </c>
      <c r="J120" s="144">
        <v>0</v>
      </c>
      <c r="K120" s="144">
        <v>0</v>
      </c>
      <c r="L120" s="144">
        <v>1</v>
      </c>
      <c r="M120" s="144">
        <v>0</v>
      </c>
      <c r="N120" s="144">
        <v>0</v>
      </c>
      <c r="O120" s="144">
        <v>0</v>
      </c>
      <c r="Q120" s="1004">
        <f t="shared" si="187"/>
        <v>1</v>
      </c>
      <c r="AU120" s="151"/>
      <c r="AV120" s="151"/>
    </row>
    <row r="121" spans="2:171" x14ac:dyDescent="0.2">
      <c r="B121" s="1005">
        <v>44968</v>
      </c>
      <c r="D121" s="144">
        <v>0</v>
      </c>
      <c r="E121" s="144">
        <v>0</v>
      </c>
      <c r="F121" s="144">
        <v>0</v>
      </c>
      <c r="G121" s="144">
        <v>0</v>
      </c>
      <c r="H121" s="144">
        <v>0</v>
      </c>
      <c r="I121" s="144">
        <v>0</v>
      </c>
      <c r="J121" s="144">
        <v>0</v>
      </c>
      <c r="K121" s="144">
        <v>0</v>
      </c>
      <c r="L121" s="144">
        <v>1</v>
      </c>
      <c r="M121" s="144">
        <v>0</v>
      </c>
      <c r="N121" s="144">
        <v>0</v>
      </c>
      <c r="O121" s="144">
        <v>0</v>
      </c>
      <c r="Q121" s="1004">
        <f t="shared" si="187"/>
        <v>1</v>
      </c>
      <c r="AU121" s="151"/>
      <c r="AV121" s="151"/>
    </row>
    <row r="122" spans="2:171" x14ac:dyDescent="0.2">
      <c r="B122" s="1005">
        <v>44969</v>
      </c>
      <c r="D122" s="144">
        <v>0</v>
      </c>
      <c r="E122" s="144">
        <v>1</v>
      </c>
      <c r="F122" s="144">
        <v>0</v>
      </c>
      <c r="G122" s="144">
        <v>0</v>
      </c>
      <c r="H122" s="144">
        <v>0</v>
      </c>
      <c r="I122" s="144">
        <v>0</v>
      </c>
      <c r="J122" s="144">
        <v>0</v>
      </c>
      <c r="K122" s="144">
        <v>0</v>
      </c>
      <c r="L122" s="144">
        <v>0</v>
      </c>
      <c r="M122" s="144">
        <v>0</v>
      </c>
      <c r="N122" s="144">
        <v>0</v>
      </c>
      <c r="O122" s="144">
        <v>0</v>
      </c>
      <c r="Q122" s="1004">
        <f t="shared" si="187"/>
        <v>1</v>
      </c>
      <c r="AU122" s="151"/>
      <c r="AV122" s="151"/>
    </row>
    <row r="123" spans="2:171" x14ac:dyDescent="0.2">
      <c r="B123" s="1005">
        <v>44970</v>
      </c>
      <c r="D123" s="144">
        <v>0</v>
      </c>
      <c r="E123" s="144">
        <v>1</v>
      </c>
      <c r="F123" s="144">
        <v>0</v>
      </c>
      <c r="G123" s="144">
        <v>0</v>
      </c>
      <c r="H123" s="144">
        <v>0</v>
      </c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Q123" s="1004">
        <f t="shared" si="187"/>
        <v>1</v>
      </c>
      <c r="AU123" s="151"/>
      <c r="AV123" s="151"/>
    </row>
    <row r="124" spans="2:171" x14ac:dyDescent="0.2">
      <c r="B124" s="1005">
        <v>44971</v>
      </c>
      <c r="D124" s="144">
        <v>0</v>
      </c>
      <c r="E124" s="144">
        <v>0</v>
      </c>
      <c r="F124" s="144">
        <v>1</v>
      </c>
      <c r="G124" s="144">
        <v>0</v>
      </c>
      <c r="H124" s="144">
        <v>0</v>
      </c>
      <c r="I124" s="144">
        <v>0</v>
      </c>
      <c r="J124" s="144">
        <v>0</v>
      </c>
      <c r="K124" s="144">
        <v>0</v>
      </c>
      <c r="L124" s="144">
        <v>0</v>
      </c>
      <c r="M124" s="144">
        <v>0</v>
      </c>
      <c r="N124" s="144">
        <v>0</v>
      </c>
      <c r="O124" s="144">
        <v>0</v>
      </c>
      <c r="Q124" s="1004">
        <f t="shared" si="187"/>
        <v>1</v>
      </c>
      <c r="AU124" s="151"/>
      <c r="AV124" s="151"/>
    </row>
    <row r="125" spans="2:171" x14ac:dyDescent="0.2">
      <c r="B125" s="1005">
        <v>44974</v>
      </c>
      <c r="D125" s="144">
        <v>1</v>
      </c>
      <c r="E125" s="144">
        <v>0</v>
      </c>
      <c r="F125" s="144">
        <v>0</v>
      </c>
      <c r="G125" s="144">
        <v>0</v>
      </c>
      <c r="H125" s="144">
        <v>0</v>
      </c>
      <c r="I125" s="144">
        <v>0</v>
      </c>
      <c r="J125" s="144">
        <v>0</v>
      </c>
      <c r="K125" s="144">
        <v>0</v>
      </c>
      <c r="L125" s="144">
        <v>0</v>
      </c>
      <c r="M125" s="144">
        <v>0</v>
      </c>
      <c r="N125" s="144">
        <v>0</v>
      </c>
      <c r="O125" s="144">
        <v>0</v>
      </c>
      <c r="Q125" s="1004">
        <f t="shared" si="187"/>
        <v>1</v>
      </c>
      <c r="AU125" s="151"/>
      <c r="AV125" s="151"/>
    </row>
    <row r="126" spans="2:171" x14ac:dyDescent="0.2">
      <c r="B126" s="1005">
        <v>44980</v>
      </c>
      <c r="D126" s="144">
        <v>0</v>
      </c>
      <c r="E126" s="144">
        <v>0</v>
      </c>
      <c r="F126" s="144">
        <v>0</v>
      </c>
      <c r="G126" s="144">
        <v>0</v>
      </c>
      <c r="H126" s="144">
        <v>0</v>
      </c>
      <c r="I126" s="144">
        <v>0</v>
      </c>
      <c r="J126" s="144">
        <v>0</v>
      </c>
      <c r="K126" s="144">
        <v>0</v>
      </c>
      <c r="L126" s="144">
        <v>1</v>
      </c>
      <c r="M126" s="144">
        <v>0</v>
      </c>
      <c r="N126" s="144">
        <v>0</v>
      </c>
      <c r="O126" s="144">
        <v>0</v>
      </c>
      <c r="Q126" s="1004">
        <f t="shared" si="187"/>
        <v>1</v>
      </c>
      <c r="AU126" s="151"/>
      <c r="AV126" s="151"/>
    </row>
    <row r="127" spans="2:171" x14ac:dyDescent="0.2">
      <c r="B127" s="1005">
        <v>44981</v>
      </c>
      <c r="D127" s="144">
        <v>0</v>
      </c>
      <c r="E127" s="144">
        <v>0</v>
      </c>
      <c r="F127" s="144">
        <v>0</v>
      </c>
      <c r="G127" s="144">
        <v>0</v>
      </c>
      <c r="H127" s="144">
        <v>0</v>
      </c>
      <c r="I127" s="144">
        <v>0</v>
      </c>
      <c r="J127" s="144">
        <v>0</v>
      </c>
      <c r="K127" s="144">
        <v>0</v>
      </c>
      <c r="L127" s="144">
        <v>2</v>
      </c>
      <c r="M127" s="144">
        <v>0</v>
      </c>
      <c r="N127" s="144">
        <v>0</v>
      </c>
      <c r="O127" s="144">
        <v>0</v>
      </c>
      <c r="Q127" s="1004">
        <f t="shared" si="187"/>
        <v>2</v>
      </c>
    </row>
    <row r="128" spans="2:171" x14ac:dyDescent="0.2">
      <c r="B128" s="1005">
        <v>44983</v>
      </c>
      <c r="D128" s="144">
        <v>0</v>
      </c>
      <c r="E128" s="144">
        <v>0</v>
      </c>
      <c r="F128" s="144">
        <v>0</v>
      </c>
      <c r="G128" s="144">
        <v>0</v>
      </c>
      <c r="H128" s="144">
        <v>0</v>
      </c>
      <c r="I128" s="144">
        <v>0</v>
      </c>
      <c r="J128" s="144">
        <v>0</v>
      </c>
      <c r="K128" s="144">
        <v>0</v>
      </c>
      <c r="L128" s="144">
        <v>1</v>
      </c>
      <c r="M128" s="144">
        <v>0</v>
      </c>
      <c r="N128" s="144">
        <v>0</v>
      </c>
      <c r="O128" s="144">
        <v>0</v>
      </c>
      <c r="Q128" s="1004">
        <f t="shared" si="187"/>
        <v>1</v>
      </c>
    </row>
    <row r="129" spans="2:47" x14ac:dyDescent="0.2">
      <c r="B129" s="1005">
        <v>44985</v>
      </c>
      <c r="D129" s="144">
        <v>0</v>
      </c>
      <c r="E129" s="144">
        <v>0</v>
      </c>
      <c r="F129" s="144">
        <v>1</v>
      </c>
      <c r="G129" s="144">
        <v>0</v>
      </c>
      <c r="H129" s="144">
        <v>0</v>
      </c>
      <c r="I129" s="144">
        <v>0</v>
      </c>
      <c r="J129" s="144">
        <v>0</v>
      </c>
      <c r="K129" s="144">
        <v>0</v>
      </c>
      <c r="L129" s="144">
        <v>1</v>
      </c>
      <c r="M129" s="144">
        <v>0</v>
      </c>
      <c r="N129" s="144">
        <v>0</v>
      </c>
      <c r="O129" s="144">
        <v>0</v>
      </c>
      <c r="Q129" s="1004">
        <f t="shared" si="187"/>
        <v>2</v>
      </c>
    </row>
    <row r="130" spans="2:47" x14ac:dyDescent="0.2">
      <c r="B130" s="1005">
        <v>44993</v>
      </c>
      <c r="D130" s="144">
        <v>0</v>
      </c>
      <c r="E130" s="144">
        <v>1</v>
      </c>
      <c r="F130" s="144">
        <v>0</v>
      </c>
      <c r="G130" s="144">
        <v>0</v>
      </c>
      <c r="H130" s="144">
        <v>0</v>
      </c>
      <c r="I130" s="144">
        <v>0</v>
      </c>
      <c r="J130" s="144">
        <v>0</v>
      </c>
      <c r="K130" s="144">
        <v>0</v>
      </c>
      <c r="L130" s="144">
        <v>0</v>
      </c>
      <c r="M130" s="144">
        <v>0</v>
      </c>
      <c r="N130" s="144">
        <v>0</v>
      </c>
      <c r="O130" s="144">
        <v>0</v>
      </c>
      <c r="Q130" s="1004">
        <f t="shared" si="187"/>
        <v>1</v>
      </c>
      <c r="AU130" s="151"/>
    </row>
    <row r="131" spans="2:47" x14ac:dyDescent="0.2">
      <c r="B131" s="1005">
        <v>44994</v>
      </c>
      <c r="D131" s="144">
        <v>0</v>
      </c>
      <c r="E131" s="144">
        <v>0</v>
      </c>
      <c r="F131" s="144">
        <v>1</v>
      </c>
      <c r="G131" s="144">
        <v>0</v>
      </c>
      <c r="H131" s="144">
        <v>0</v>
      </c>
      <c r="I131" s="144">
        <v>0</v>
      </c>
      <c r="J131" s="144">
        <v>0</v>
      </c>
      <c r="K131" s="144">
        <v>0</v>
      </c>
      <c r="L131" s="144">
        <v>0</v>
      </c>
      <c r="M131" s="144">
        <v>0</v>
      </c>
      <c r="N131" s="144">
        <v>0</v>
      </c>
      <c r="O131" s="144">
        <v>0</v>
      </c>
      <c r="Q131" s="1004">
        <f t="shared" si="187"/>
        <v>1</v>
      </c>
      <c r="AU131" s="151"/>
    </row>
    <row r="132" spans="2:47" x14ac:dyDescent="0.2">
      <c r="B132" s="1005">
        <v>44995</v>
      </c>
      <c r="D132" s="144">
        <v>0</v>
      </c>
      <c r="E132" s="144">
        <v>0</v>
      </c>
      <c r="F132" s="144">
        <v>0</v>
      </c>
      <c r="G132" s="144">
        <v>0</v>
      </c>
      <c r="H132" s="144">
        <v>0</v>
      </c>
      <c r="I132" s="144">
        <v>0</v>
      </c>
      <c r="J132" s="144">
        <v>1</v>
      </c>
      <c r="K132" s="144">
        <v>0</v>
      </c>
      <c r="L132" s="144">
        <v>0</v>
      </c>
      <c r="M132" s="144">
        <v>0</v>
      </c>
      <c r="N132" s="144">
        <v>0</v>
      </c>
      <c r="O132" s="144">
        <v>0</v>
      </c>
      <c r="Q132" s="1004">
        <f t="shared" si="187"/>
        <v>1</v>
      </c>
    </row>
    <row r="133" spans="2:47" x14ac:dyDescent="0.2">
      <c r="B133" s="1005">
        <v>44996</v>
      </c>
      <c r="D133" s="144">
        <v>1</v>
      </c>
      <c r="E133" s="144">
        <v>0</v>
      </c>
      <c r="F133" s="144">
        <v>0</v>
      </c>
      <c r="G133" s="144">
        <v>0</v>
      </c>
      <c r="H133" s="144">
        <v>0</v>
      </c>
      <c r="I133" s="144">
        <v>0</v>
      </c>
      <c r="J133" s="144">
        <v>0</v>
      </c>
      <c r="K133" s="144">
        <v>0</v>
      </c>
      <c r="L133" s="144">
        <v>0</v>
      </c>
      <c r="M133" s="144">
        <v>0</v>
      </c>
      <c r="N133" s="144">
        <v>0</v>
      </c>
      <c r="O133" s="144">
        <v>0</v>
      </c>
      <c r="Q133" s="1004">
        <f t="shared" ref="Q133:Q196" si="298">SUM(D133:O133)</f>
        <v>1</v>
      </c>
    </row>
    <row r="134" spans="2:47" x14ac:dyDescent="0.2">
      <c r="B134" s="1005">
        <v>45001</v>
      </c>
      <c r="D134" s="144">
        <v>0</v>
      </c>
      <c r="E134" s="144">
        <v>0</v>
      </c>
      <c r="F134" s="144">
        <v>1</v>
      </c>
      <c r="G134" s="144">
        <v>0</v>
      </c>
      <c r="H134" s="144">
        <v>0</v>
      </c>
      <c r="I134" s="144">
        <v>0</v>
      </c>
      <c r="J134" s="144">
        <v>0</v>
      </c>
      <c r="K134" s="144">
        <v>0</v>
      </c>
      <c r="L134" s="144">
        <v>0</v>
      </c>
      <c r="M134" s="144">
        <v>0</v>
      </c>
      <c r="N134" s="144">
        <v>0</v>
      </c>
      <c r="O134" s="144">
        <v>0</v>
      </c>
      <c r="Q134" s="1004">
        <f t="shared" si="298"/>
        <v>1</v>
      </c>
    </row>
    <row r="135" spans="2:47" x14ac:dyDescent="0.2">
      <c r="B135" s="1005">
        <v>45002</v>
      </c>
      <c r="D135" s="144">
        <v>0</v>
      </c>
      <c r="E135" s="144">
        <v>1</v>
      </c>
      <c r="F135" s="144">
        <v>0</v>
      </c>
      <c r="G135" s="144">
        <v>0</v>
      </c>
      <c r="H135" s="144">
        <v>0</v>
      </c>
      <c r="I135" s="144">
        <v>0</v>
      </c>
      <c r="J135" s="144">
        <v>0</v>
      </c>
      <c r="K135" s="144">
        <v>0</v>
      </c>
      <c r="L135" s="144">
        <v>0</v>
      </c>
      <c r="M135" s="144">
        <v>0</v>
      </c>
      <c r="N135" s="144">
        <v>0</v>
      </c>
      <c r="O135" s="144">
        <v>0</v>
      </c>
      <c r="Q135" s="1004">
        <f t="shared" si="298"/>
        <v>1</v>
      </c>
    </row>
    <row r="136" spans="2:47" x14ac:dyDescent="0.2">
      <c r="B136" s="1005">
        <v>45003</v>
      </c>
      <c r="D136" s="144">
        <v>0</v>
      </c>
      <c r="E136" s="144">
        <v>0</v>
      </c>
      <c r="F136" s="144">
        <v>0</v>
      </c>
      <c r="G136" s="144">
        <v>0</v>
      </c>
      <c r="H136" s="144">
        <v>0</v>
      </c>
      <c r="I136" s="144">
        <v>0</v>
      </c>
      <c r="J136" s="144">
        <v>0</v>
      </c>
      <c r="K136" s="144">
        <v>0</v>
      </c>
      <c r="L136" s="144">
        <v>1</v>
      </c>
      <c r="M136" s="144">
        <v>0</v>
      </c>
      <c r="N136" s="144">
        <v>0</v>
      </c>
      <c r="O136" s="144">
        <v>0</v>
      </c>
      <c r="Q136" s="1004">
        <f t="shared" si="298"/>
        <v>1</v>
      </c>
      <c r="AU136" s="151"/>
    </row>
    <row r="137" spans="2:47" x14ac:dyDescent="0.2">
      <c r="B137" s="1005">
        <v>45006</v>
      </c>
      <c r="D137" s="144">
        <v>0</v>
      </c>
      <c r="E137" s="144">
        <v>0</v>
      </c>
      <c r="F137" s="144">
        <v>0</v>
      </c>
      <c r="G137" s="144">
        <v>0</v>
      </c>
      <c r="H137" s="144">
        <v>0</v>
      </c>
      <c r="I137" s="144">
        <v>0</v>
      </c>
      <c r="J137" s="144">
        <v>0</v>
      </c>
      <c r="K137" s="144">
        <v>0</v>
      </c>
      <c r="L137" s="144">
        <v>2</v>
      </c>
      <c r="M137" s="144">
        <v>0</v>
      </c>
      <c r="N137" s="144">
        <v>0</v>
      </c>
      <c r="O137" s="144">
        <v>0</v>
      </c>
      <c r="Q137" s="1004">
        <f t="shared" si="298"/>
        <v>2</v>
      </c>
      <c r="AU137" s="151"/>
    </row>
    <row r="138" spans="2:47" x14ac:dyDescent="0.2">
      <c r="B138" s="1005">
        <v>45008</v>
      </c>
      <c r="D138" s="144">
        <v>0</v>
      </c>
      <c r="E138" s="144">
        <v>0</v>
      </c>
      <c r="F138" s="144">
        <v>0</v>
      </c>
      <c r="G138" s="144">
        <v>0</v>
      </c>
      <c r="H138" s="144">
        <v>0</v>
      </c>
      <c r="I138" s="144">
        <v>0</v>
      </c>
      <c r="J138" s="144">
        <v>0</v>
      </c>
      <c r="K138" s="144">
        <v>0</v>
      </c>
      <c r="L138" s="144">
        <v>1</v>
      </c>
      <c r="M138" s="144">
        <v>0</v>
      </c>
      <c r="N138" s="144">
        <v>0</v>
      </c>
      <c r="O138" s="144">
        <v>0</v>
      </c>
      <c r="Q138" s="1004">
        <f t="shared" si="298"/>
        <v>1</v>
      </c>
      <c r="AU138" s="151"/>
    </row>
    <row r="139" spans="2:47" x14ac:dyDescent="0.2">
      <c r="B139" s="1005">
        <v>45009</v>
      </c>
      <c r="D139" s="144">
        <v>0</v>
      </c>
      <c r="E139" s="144">
        <v>0</v>
      </c>
      <c r="F139" s="144">
        <v>0</v>
      </c>
      <c r="G139" s="144">
        <v>0</v>
      </c>
      <c r="H139" s="144">
        <v>0</v>
      </c>
      <c r="I139" s="144">
        <v>0</v>
      </c>
      <c r="J139" s="144">
        <v>0</v>
      </c>
      <c r="K139" s="144">
        <v>0</v>
      </c>
      <c r="L139" s="144">
        <v>1</v>
      </c>
      <c r="M139" s="144">
        <v>0</v>
      </c>
      <c r="N139" s="144">
        <v>0</v>
      </c>
      <c r="O139" s="144">
        <v>0</v>
      </c>
      <c r="Q139" s="1004">
        <f t="shared" si="298"/>
        <v>1</v>
      </c>
    </row>
    <row r="140" spans="2:47" x14ac:dyDescent="0.2">
      <c r="B140" s="1005">
        <v>45013</v>
      </c>
      <c r="D140" s="144">
        <v>0</v>
      </c>
      <c r="E140" s="144">
        <v>0</v>
      </c>
      <c r="F140" s="144">
        <v>0</v>
      </c>
      <c r="G140" s="144">
        <v>0</v>
      </c>
      <c r="H140" s="144">
        <v>0</v>
      </c>
      <c r="I140" s="144">
        <v>0</v>
      </c>
      <c r="J140" s="144">
        <v>0</v>
      </c>
      <c r="K140" s="144">
        <v>0</v>
      </c>
      <c r="L140" s="144">
        <v>0</v>
      </c>
      <c r="M140" s="144">
        <v>1</v>
      </c>
      <c r="N140" s="144">
        <v>0</v>
      </c>
      <c r="O140" s="144">
        <v>0</v>
      </c>
      <c r="Q140" s="1004">
        <f t="shared" si="298"/>
        <v>1</v>
      </c>
      <c r="AJ140" s="762">
        <f>'Ops Assumptions'!I34</f>
        <v>0.05</v>
      </c>
      <c r="AU140" s="151"/>
    </row>
    <row r="141" spans="2:47" x14ac:dyDescent="0.2">
      <c r="B141" s="1005">
        <v>45014</v>
      </c>
      <c r="D141" s="144">
        <v>1</v>
      </c>
      <c r="E141" s="144">
        <v>0</v>
      </c>
      <c r="F141" s="144">
        <v>0</v>
      </c>
      <c r="G141" s="144">
        <v>0</v>
      </c>
      <c r="H141" s="144">
        <v>0</v>
      </c>
      <c r="I141" s="144">
        <v>0</v>
      </c>
      <c r="J141" s="144">
        <v>0</v>
      </c>
      <c r="K141" s="144">
        <v>0</v>
      </c>
      <c r="L141" s="144">
        <v>0</v>
      </c>
      <c r="M141" s="144">
        <v>0</v>
      </c>
      <c r="N141" s="144">
        <v>0</v>
      </c>
      <c r="O141" s="144">
        <v>0</v>
      </c>
      <c r="Q141" s="1004">
        <f t="shared" si="298"/>
        <v>1</v>
      </c>
      <c r="AJ141" s="762">
        <f>'Ops Assumptions'!J34</f>
        <v>0.02</v>
      </c>
      <c r="AU141" s="151"/>
    </row>
    <row r="142" spans="2:47" x14ac:dyDescent="0.2">
      <c r="B142" s="1005">
        <v>45015</v>
      </c>
      <c r="D142" s="144">
        <v>0</v>
      </c>
      <c r="E142" s="144">
        <v>0</v>
      </c>
      <c r="F142" s="144">
        <v>0</v>
      </c>
      <c r="G142" s="144">
        <v>0</v>
      </c>
      <c r="H142" s="144">
        <v>0</v>
      </c>
      <c r="I142" s="144">
        <v>0</v>
      </c>
      <c r="J142" s="144">
        <v>0</v>
      </c>
      <c r="K142" s="144">
        <v>0</v>
      </c>
      <c r="L142" s="144">
        <v>1</v>
      </c>
      <c r="M142" s="144">
        <v>0</v>
      </c>
      <c r="N142" s="144">
        <v>0</v>
      </c>
      <c r="O142" s="144">
        <v>0</v>
      </c>
      <c r="Q142" s="1004">
        <f t="shared" si="298"/>
        <v>1</v>
      </c>
      <c r="AU142" s="151"/>
    </row>
    <row r="143" spans="2:47" x14ac:dyDescent="0.2">
      <c r="B143" s="1005">
        <v>45016</v>
      </c>
      <c r="D143" s="144">
        <v>0</v>
      </c>
      <c r="E143" s="144">
        <v>0</v>
      </c>
      <c r="F143" s="144">
        <v>1</v>
      </c>
      <c r="G143" s="144">
        <v>0</v>
      </c>
      <c r="H143" s="144">
        <v>1</v>
      </c>
      <c r="I143" s="144">
        <v>0</v>
      </c>
      <c r="J143" s="144">
        <v>0</v>
      </c>
      <c r="K143" s="144">
        <v>0</v>
      </c>
      <c r="L143" s="144">
        <v>1</v>
      </c>
      <c r="M143" s="144">
        <v>0</v>
      </c>
      <c r="N143" s="144">
        <v>0</v>
      </c>
      <c r="O143" s="144">
        <v>0</v>
      </c>
      <c r="Q143" s="1004">
        <f t="shared" si="298"/>
        <v>3</v>
      </c>
    </row>
    <row r="144" spans="2:47" x14ac:dyDescent="0.2">
      <c r="B144" s="1005">
        <v>45019</v>
      </c>
      <c r="D144" s="144">
        <v>1</v>
      </c>
      <c r="E144" s="144">
        <v>0</v>
      </c>
      <c r="F144" s="144">
        <v>0</v>
      </c>
      <c r="G144" s="144">
        <v>0</v>
      </c>
      <c r="H144" s="144">
        <v>0</v>
      </c>
      <c r="I144" s="144">
        <v>0</v>
      </c>
      <c r="J144" s="144">
        <v>0</v>
      </c>
      <c r="K144" s="144">
        <v>0</v>
      </c>
      <c r="L144" s="144">
        <v>0</v>
      </c>
      <c r="M144" s="144">
        <v>1</v>
      </c>
      <c r="N144" s="144">
        <v>0</v>
      </c>
      <c r="O144" s="144">
        <v>0</v>
      </c>
      <c r="Q144" s="1004">
        <f t="shared" si="298"/>
        <v>2</v>
      </c>
    </row>
    <row r="145" spans="2:17" x14ac:dyDescent="0.2">
      <c r="B145" s="1005">
        <v>45021</v>
      </c>
      <c r="D145" s="144">
        <v>0</v>
      </c>
      <c r="E145" s="144">
        <v>0</v>
      </c>
      <c r="F145" s="144">
        <v>1</v>
      </c>
      <c r="G145" s="144">
        <v>0</v>
      </c>
      <c r="H145" s="144">
        <v>0</v>
      </c>
      <c r="I145" s="144">
        <v>0</v>
      </c>
      <c r="J145" s="144">
        <v>0</v>
      </c>
      <c r="K145" s="144">
        <v>0</v>
      </c>
      <c r="L145" s="144">
        <v>1</v>
      </c>
      <c r="M145" s="144">
        <v>0</v>
      </c>
      <c r="N145" s="144">
        <v>0</v>
      </c>
      <c r="O145" s="144">
        <v>0</v>
      </c>
      <c r="Q145" s="1004">
        <f t="shared" si="298"/>
        <v>2</v>
      </c>
    </row>
    <row r="146" spans="2:17" x14ac:dyDescent="0.2">
      <c r="B146" s="1005">
        <v>45023</v>
      </c>
      <c r="D146" s="144">
        <v>0</v>
      </c>
      <c r="E146" s="144">
        <v>0</v>
      </c>
      <c r="F146" s="144">
        <v>0</v>
      </c>
      <c r="G146" s="144">
        <v>0</v>
      </c>
      <c r="H146" s="144">
        <v>0</v>
      </c>
      <c r="I146" s="144">
        <v>1</v>
      </c>
      <c r="J146" s="144">
        <v>0</v>
      </c>
      <c r="K146" s="144">
        <v>0</v>
      </c>
      <c r="L146" s="144">
        <v>0</v>
      </c>
      <c r="M146" s="144">
        <v>0</v>
      </c>
      <c r="N146" s="144">
        <v>0</v>
      </c>
      <c r="O146" s="144">
        <v>0</v>
      </c>
      <c r="Q146" s="1004">
        <f t="shared" si="298"/>
        <v>1</v>
      </c>
    </row>
    <row r="147" spans="2:17" x14ac:dyDescent="0.2">
      <c r="B147" s="1005">
        <v>45025</v>
      </c>
      <c r="D147" s="144">
        <v>1</v>
      </c>
      <c r="E147" s="144">
        <v>0</v>
      </c>
      <c r="F147" s="144">
        <v>0</v>
      </c>
      <c r="G147" s="144">
        <v>0</v>
      </c>
      <c r="H147" s="144">
        <v>0</v>
      </c>
      <c r="I147" s="144">
        <v>0</v>
      </c>
      <c r="J147" s="144">
        <v>0</v>
      </c>
      <c r="K147" s="144">
        <v>0</v>
      </c>
      <c r="L147" s="144">
        <v>0</v>
      </c>
      <c r="M147" s="144">
        <v>0</v>
      </c>
      <c r="N147" s="144">
        <v>0</v>
      </c>
      <c r="O147" s="144">
        <v>0</v>
      </c>
      <c r="Q147" s="1004">
        <f t="shared" si="298"/>
        <v>1</v>
      </c>
    </row>
    <row r="148" spans="2:17" x14ac:dyDescent="0.2">
      <c r="B148" s="1005">
        <v>45026</v>
      </c>
      <c r="D148" s="144">
        <v>0</v>
      </c>
      <c r="E148" s="144">
        <v>0</v>
      </c>
      <c r="F148" s="144">
        <v>0</v>
      </c>
      <c r="G148" s="144">
        <v>0</v>
      </c>
      <c r="H148" s="144">
        <v>0</v>
      </c>
      <c r="I148" s="144">
        <v>0</v>
      </c>
      <c r="J148" s="144">
        <v>0</v>
      </c>
      <c r="K148" s="144">
        <v>0</v>
      </c>
      <c r="L148" s="144">
        <v>1</v>
      </c>
      <c r="M148" s="144">
        <v>0</v>
      </c>
      <c r="N148" s="144">
        <v>0</v>
      </c>
      <c r="O148" s="144">
        <v>0</v>
      </c>
      <c r="Q148" s="1004">
        <f t="shared" si="298"/>
        <v>1</v>
      </c>
    </row>
    <row r="149" spans="2:17" x14ac:dyDescent="0.2">
      <c r="B149" s="1005">
        <v>45027</v>
      </c>
      <c r="D149" s="144">
        <v>0</v>
      </c>
      <c r="E149" s="144">
        <v>0</v>
      </c>
      <c r="F149" s="144">
        <v>0</v>
      </c>
      <c r="G149" s="144">
        <v>0</v>
      </c>
      <c r="H149" s="144">
        <v>0</v>
      </c>
      <c r="I149" s="144">
        <v>0</v>
      </c>
      <c r="J149" s="144">
        <v>0</v>
      </c>
      <c r="K149" s="144">
        <v>0</v>
      </c>
      <c r="L149" s="144">
        <v>0</v>
      </c>
      <c r="M149" s="144">
        <v>1</v>
      </c>
      <c r="N149" s="144">
        <v>0</v>
      </c>
      <c r="O149" s="144">
        <v>0</v>
      </c>
      <c r="Q149" s="1004">
        <f t="shared" si="298"/>
        <v>1</v>
      </c>
    </row>
    <row r="150" spans="2:17" x14ac:dyDescent="0.2">
      <c r="B150" s="1005">
        <v>45033</v>
      </c>
      <c r="D150" s="144">
        <v>0</v>
      </c>
      <c r="E150" s="144">
        <v>1</v>
      </c>
      <c r="F150" s="144">
        <v>0</v>
      </c>
      <c r="G150" s="144">
        <v>0</v>
      </c>
      <c r="H150" s="144">
        <v>0</v>
      </c>
      <c r="I150" s="144">
        <v>0</v>
      </c>
      <c r="J150" s="144">
        <v>0</v>
      </c>
      <c r="K150" s="144">
        <v>0</v>
      </c>
      <c r="L150" s="144">
        <v>0</v>
      </c>
      <c r="M150" s="144">
        <v>0</v>
      </c>
      <c r="N150" s="144">
        <v>0</v>
      </c>
      <c r="O150" s="144">
        <v>0</v>
      </c>
      <c r="Q150" s="1004">
        <f t="shared" si="298"/>
        <v>1</v>
      </c>
    </row>
    <row r="151" spans="2:17" x14ac:dyDescent="0.2">
      <c r="B151" s="1005">
        <v>45036</v>
      </c>
      <c r="D151" s="144">
        <v>0</v>
      </c>
      <c r="E151" s="144">
        <v>0</v>
      </c>
      <c r="F151" s="144">
        <v>0</v>
      </c>
      <c r="G151" s="144">
        <v>0</v>
      </c>
      <c r="H151" s="144">
        <v>0</v>
      </c>
      <c r="I151" s="144">
        <v>0</v>
      </c>
      <c r="J151" s="144">
        <v>0</v>
      </c>
      <c r="K151" s="144">
        <v>0</v>
      </c>
      <c r="L151" s="144">
        <v>0</v>
      </c>
      <c r="M151" s="144">
        <v>1</v>
      </c>
      <c r="N151" s="144">
        <v>0</v>
      </c>
      <c r="O151" s="144">
        <v>0</v>
      </c>
      <c r="Q151" s="1004">
        <f t="shared" si="298"/>
        <v>1</v>
      </c>
    </row>
    <row r="152" spans="2:17" x14ac:dyDescent="0.2">
      <c r="B152" s="1005">
        <v>45037</v>
      </c>
      <c r="D152" s="144">
        <v>0</v>
      </c>
      <c r="E152" s="144">
        <v>1</v>
      </c>
      <c r="F152" s="144">
        <v>0</v>
      </c>
      <c r="G152" s="144">
        <v>0</v>
      </c>
      <c r="H152" s="144">
        <v>0</v>
      </c>
      <c r="I152" s="144">
        <v>0</v>
      </c>
      <c r="J152" s="144">
        <v>0</v>
      </c>
      <c r="K152" s="144">
        <v>0</v>
      </c>
      <c r="L152" s="144">
        <v>0</v>
      </c>
      <c r="M152" s="144">
        <v>0</v>
      </c>
      <c r="N152" s="144">
        <v>0</v>
      </c>
      <c r="O152" s="144">
        <v>0</v>
      </c>
      <c r="Q152" s="1004">
        <f t="shared" si="298"/>
        <v>1</v>
      </c>
    </row>
    <row r="153" spans="2:17" x14ac:dyDescent="0.2">
      <c r="B153" s="1005">
        <v>45038</v>
      </c>
      <c r="D153" s="144">
        <v>0</v>
      </c>
      <c r="E153" s="144">
        <v>0</v>
      </c>
      <c r="F153" s="144">
        <v>0</v>
      </c>
      <c r="G153" s="144">
        <v>0</v>
      </c>
      <c r="H153" s="144">
        <v>0</v>
      </c>
      <c r="I153" s="144">
        <v>0</v>
      </c>
      <c r="J153" s="144">
        <v>0</v>
      </c>
      <c r="K153" s="144">
        <v>0</v>
      </c>
      <c r="L153" s="144">
        <v>1</v>
      </c>
      <c r="M153" s="144">
        <v>0</v>
      </c>
      <c r="N153" s="144">
        <v>0</v>
      </c>
      <c r="O153" s="144">
        <v>0</v>
      </c>
      <c r="Q153" s="1004">
        <f t="shared" si="298"/>
        <v>1</v>
      </c>
    </row>
    <row r="154" spans="2:17" x14ac:dyDescent="0.2">
      <c r="B154" s="1005">
        <v>45039</v>
      </c>
      <c r="D154" s="144">
        <v>0</v>
      </c>
      <c r="E154" s="144">
        <v>0</v>
      </c>
      <c r="F154" s="144">
        <v>0</v>
      </c>
      <c r="G154" s="144">
        <v>0</v>
      </c>
      <c r="H154" s="144">
        <v>0</v>
      </c>
      <c r="I154" s="144">
        <v>0</v>
      </c>
      <c r="J154" s="144">
        <v>0</v>
      </c>
      <c r="K154" s="144">
        <v>0</v>
      </c>
      <c r="L154" s="144">
        <v>1</v>
      </c>
      <c r="M154" s="144">
        <v>0</v>
      </c>
      <c r="N154" s="144">
        <v>1</v>
      </c>
      <c r="O154" s="144">
        <v>0</v>
      </c>
      <c r="Q154" s="1004">
        <f t="shared" si="298"/>
        <v>2</v>
      </c>
    </row>
    <row r="155" spans="2:17" x14ac:dyDescent="0.2">
      <c r="B155" s="1005">
        <v>45040</v>
      </c>
      <c r="D155" s="144">
        <v>2</v>
      </c>
      <c r="E155" s="144">
        <v>0</v>
      </c>
      <c r="F155" s="144">
        <v>0</v>
      </c>
      <c r="G155" s="144">
        <v>0</v>
      </c>
      <c r="H155" s="144">
        <v>0</v>
      </c>
      <c r="I155" s="144">
        <v>0</v>
      </c>
      <c r="J155" s="144">
        <v>0</v>
      </c>
      <c r="K155" s="144">
        <v>0</v>
      </c>
      <c r="L155" s="144">
        <v>0</v>
      </c>
      <c r="M155" s="144">
        <v>0</v>
      </c>
      <c r="N155" s="144">
        <v>0</v>
      </c>
      <c r="O155" s="144">
        <v>0</v>
      </c>
      <c r="Q155" s="1004">
        <f t="shared" si="298"/>
        <v>2</v>
      </c>
    </row>
    <row r="156" spans="2:17" x14ac:dyDescent="0.2">
      <c r="B156" s="1005">
        <v>45041</v>
      </c>
      <c r="D156" s="144">
        <v>1</v>
      </c>
      <c r="E156" s="144">
        <v>0</v>
      </c>
      <c r="F156" s="144">
        <v>0</v>
      </c>
      <c r="G156" s="144">
        <v>0</v>
      </c>
      <c r="H156" s="144">
        <v>0</v>
      </c>
      <c r="I156" s="144">
        <v>0</v>
      </c>
      <c r="J156" s="144">
        <v>0</v>
      </c>
      <c r="K156" s="144">
        <v>0</v>
      </c>
      <c r="L156" s="144">
        <v>0</v>
      </c>
      <c r="M156" s="144">
        <v>0</v>
      </c>
      <c r="N156" s="144">
        <v>0</v>
      </c>
      <c r="O156" s="144">
        <v>0</v>
      </c>
      <c r="Q156" s="1004">
        <f t="shared" si="298"/>
        <v>1</v>
      </c>
    </row>
    <row r="157" spans="2:17" x14ac:dyDescent="0.2">
      <c r="B157" s="1005">
        <v>45042</v>
      </c>
      <c r="D157" s="144">
        <v>0</v>
      </c>
      <c r="E157" s="144">
        <v>0</v>
      </c>
      <c r="F157" s="144">
        <v>0</v>
      </c>
      <c r="G157" s="144">
        <v>0</v>
      </c>
      <c r="H157" s="144">
        <v>0</v>
      </c>
      <c r="I157" s="144">
        <v>0</v>
      </c>
      <c r="J157" s="144">
        <v>1</v>
      </c>
      <c r="K157" s="144">
        <v>0</v>
      </c>
      <c r="L157" s="144">
        <v>0</v>
      </c>
      <c r="M157" s="144">
        <v>0</v>
      </c>
      <c r="N157" s="144">
        <v>0</v>
      </c>
      <c r="O157" s="144">
        <v>0</v>
      </c>
      <c r="Q157" s="1004">
        <f t="shared" si="298"/>
        <v>1</v>
      </c>
    </row>
    <row r="158" spans="2:17" x14ac:dyDescent="0.2">
      <c r="B158" s="1005">
        <v>45045</v>
      </c>
      <c r="D158" s="144">
        <v>0</v>
      </c>
      <c r="E158" s="144">
        <v>0</v>
      </c>
      <c r="F158" s="144">
        <v>0</v>
      </c>
      <c r="G158" s="144">
        <v>0</v>
      </c>
      <c r="H158" s="144">
        <v>0</v>
      </c>
      <c r="I158" s="144">
        <v>0</v>
      </c>
      <c r="J158" s="144">
        <v>0</v>
      </c>
      <c r="K158" s="144">
        <v>0</v>
      </c>
      <c r="L158" s="144">
        <v>0</v>
      </c>
      <c r="M158" s="144">
        <v>1</v>
      </c>
      <c r="N158" s="144">
        <v>0</v>
      </c>
      <c r="O158" s="144">
        <v>0</v>
      </c>
      <c r="Q158" s="1004">
        <f t="shared" si="298"/>
        <v>1</v>
      </c>
    </row>
    <row r="159" spans="2:17" x14ac:dyDescent="0.2">
      <c r="B159" s="1005">
        <v>45046</v>
      </c>
      <c r="D159" s="144">
        <v>0</v>
      </c>
      <c r="E159" s="144">
        <v>0</v>
      </c>
      <c r="F159" s="144">
        <v>1</v>
      </c>
      <c r="G159" s="144">
        <v>0</v>
      </c>
      <c r="H159" s="144">
        <v>0</v>
      </c>
      <c r="I159" s="144">
        <v>0</v>
      </c>
      <c r="J159" s="144">
        <v>1</v>
      </c>
      <c r="K159" s="144">
        <v>0</v>
      </c>
      <c r="L159" s="144">
        <v>1</v>
      </c>
      <c r="M159" s="144">
        <v>2</v>
      </c>
      <c r="N159" s="144">
        <v>0</v>
      </c>
      <c r="O159" s="144">
        <v>0</v>
      </c>
      <c r="Q159" s="1004">
        <f t="shared" si="298"/>
        <v>5</v>
      </c>
    </row>
    <row r="160" spans="2:17" x14ac:dyDescent="0.2">
      <c r="B160" s="1005">
        <v>45047</v>
      </c>
      <c r="D160" s="144">
        <v>0</v>
      </c>
      <c r="E160" s="144">
        <v>0</v>
      </c>
      <c r="F160" s="144">
        <v>0</v>
      </c>
      <c r="G160" s="144">
        <v>0</v>
      </c>
      <c r="H160" s="144">
        <v>0</v>
      </c>
      <c r="I160" s="144">
        <v>0</v>
      </c>
      <c r="J160" s="144">
        <v>0</v>
      </c>
      <c r="K160" s="144">
        <v>0</v>
      </c>
      <c r="L160" s="144">
        <v>1</v>
      </c>
      <c r="M160" s="144">
        <v>0</v>
      </c>
      <c r="N160" s="144">
        <v>0</v>
      </c>
      <c r="O160" s="144">
        <v>0</v>
      </c>
      <c r="Q160" s="1004">
        <f t="shared" si="298"/>
        <v>1</v>
      </c>
    </row>
    <row r="161" spans="2:17" x14ac:dyDescent="0.2">
      <c r="B161" s="1005">
        <v>45056</v>
      </c>
      <c r="D161" s="144">
        <v>0</v>
      </c>
      <c r="E161" s="144">
        <v>0</v>
      </c>
      <c r="F161" s="144">
        <v>0</v>
      </c>
      <c r="G161" s="144">
        <v>0</v>
      </c>
      <c r="H161" s="144">
        <v>0</v>
      </c>
      <c r="I161" s="144">
        <v>1</v>
      </c>
      <c r="J161" s="144">
        <v>0</v>
      </c>
      <c r="K161" s="144">
        <v>0</v>
      </c>
      <c r="L161" s="144">
        <v>0</v>
      </c>
      <c r="M161" s="144">
        <v>0</v>
      </c>
      <c r="N161" s="144">
        <v>0</v>
      </c>
      <c r="O161" s="144">
        <v>0</v>
      </c>
      <c r="Q161" s="1004">
        <f t="shared" si="298"/>
        <v>1</v>
      </c>
    </row>
    <row r="162" spans="2:17" x14ac:dyDescent="0.2">
      <c r="B162" s="1005">
        <v>45057</v>
      </c>
      <c r="D162" s="144">
        <v>0</v>
      </c>
      <c r="E162" s="144">
        <v>0</v>
      </c>
      <c r="F162" s="144">
        <v>0</v>
      </c>
      <c r="G162" s="144">
        <v>0</v>
      </c>
      <c r="H162" s="144">
        <v>0</v>
      </c>
      <c r="I162" s="144">
        <v>0</v>
      </c>
      <c r="J162" s="144">
        <v>0</v>
      </c>
      <c r="K162" s="144">
        <v>0</v>
      </c>
      <c r="L162" s="144">
        <v>1</v>
      </c>
      <c r="M162" s="144">
        <v>0</v>
      </c>
      <c r="N162" s="144">
        <v>0</v>
      </c>
      <c r="O162" s="144">
        <v>0</v>
      </c>
      <c r="Q162" s="1004">
        <f t="shared" si="298"/>
        <v>1</v>
      </c>
    </row>
    <row r="163" spans="2:17" x14ac:dyDescent="0.2">
      <c r="B163" s="1005">
        <v>45059</v>
      </c>
      <c r="D163" s="144">
        <v>0</v>
      </c>
      <c r="E163" s="144">
        <v>0</v>
      </c>
      <c r="F163" s="144">
        <v>0</v>
      </c>
      <c r="G163" s="144">
        <v>0</v>
      </c>
      <c r="H163" s="144">
        <v>0</v>
      </c>
      <c r="I163" s="144">
        <v>0</v>
      </c>
      <c r="J163" s="144">
        <v>0</v>
      </c>
      <c r="K163" s="144">
        <v>0</v>
      </c>
      <c r="L163" s="144">
        <v>1</v>
      </c>
      <c r="M163" s="144">
        <v>0</v>
      </c>
      <c r="N163" s="144">
        <v>0</v>
      </c>
      <c r="O163" s="144">
        <v>0</v>
      </c>
      <c r="Q163" s="1004">
        <f t="shared" si="298"/>
        <v>1</v>
      </c>
    </row>
    <row r="164" spans="2:17" x14ac:dyDescent="0.2">
      <c r="B164" s="1005">
        <v>45060</v>
      </c>
      <c r="D164" s="144">
        <v>0</v>
      </c>
      <c r="E164" s="144">
        <v>0</v>
      </c>
      <c r="F164" s="144">
        <v>0</v>
      </c>
      <c r="G164" s="144">
        <v>0</v>
      </c>
      <c r="H164" s="144">
        <v>0</v>
      </c>
      <c r="I164" s="144">
        <v>0</v>
      </c>
      <c r="J164" s="144">
        <v>0</v>
      </c>
      <c r="K164" s="144">
        <v>0</v>
      </c>
      <c r="L164" s="144">
        <v>1</v>
      </c>
      <c r="M164" s="144">
        <v>0</v>
      </c>
      <c r="N164" s="144">
        <v>0</v>
      </c>
      <c r="O164" s="144">
        <v>0</v>
      </c>
      <c r="Q164" s="1004">
        <f t="shared" si="298"/>
        <v>1</v>
      </c>
    </row>
    <row r="165" spans="2:17" x14ac:dyDescent="0.2">
      <c r="B165" s="1005">
        <v>45064</v>
      </c>
      <c r="D165" s="144">
        <v>0</v>
      </c>
      <c r="E165" s="144">
        <v>0</v>
      </c>
      <c r="F165" s="144">
        <v>0</v>
      </c>
      <c r="G165" s="144">
        <v>0</v>
      </c>
      <c r="H165" s="144">
        <v>0</v>
      </c>
      <c r="I165" s="144">
        <v>0</v>
      </c>
      <c r="J165" s="144">
        <v>0</v>
      </c>
      <c r="K165" s="144">
        <v>0</v>
      </c>
      <c r="L165" s="144">
        <v>1</v>
      </c>
      <c r="M165" s="144">
        <v>0</v>
      </c>
      <c r="N165" s="144">
        <v>0</v>
      </c>
      <c r="O165" s="144">
        <v>0</v>
      </c>
      <c r="Q165" s="1004">
        <f t="shared" si="298"/>
        <v>1</v>
      </c>
    </row>
    <row r="166" spans="2:17" x14ac:dyDescent="0.2">
      <c r="B166" s="1005">
        <v>45065</v>
      </c>
      <c r="D166" s="144">
        <v>0</v>
      </c>
      <c r="E166" s="144">
        <v>0</v>
      </c>
      <c r="F166" s="144">
        <v>0</v>
      </c>
      <c r="G166" s="144">
        <v>0</v>
      </c>
      <c r="H166" s="144">
        <v>0</v>
      </c>
      <c r="I166" s="144">
        <v>0</v>
      </c>
      <c r="J166" s="144">
        <v>0</v>
      </c>
      <c r="K166" s="144">
        <v>0</v>
      </c>
      <c r="L166" s="144">
        <v>0</v>
      </c>
      <c r="M166" s="144">
        <v>0</v>
      </c>
      <c r="N166" s="144">
        <v>1</v>
      </c>
      <c r="O166" s="144">
        <v>0</v>
      </c>
      <c r="Q166" s="1004">
        <f t="shared" si="298"/>
        <v>1</v>
      </c>
    </row>
    <row r="167" spans="2:17" x14ac:dyDescent="0.2">
      <c r="B167" s="1005">
        <v>45066</v>
      </c>
      <c r="D167" s="144">
        <v>0</v>
      </c>
      <c r="E167" s="144">
        <v>0</v>
      </c>
      <c r="F167" s="144">
        <v>0</v>
      </c>
      <c r="G167" s="144">
        <v>0</v>
      </c>
      <c r="H167" s="144">
        <v>0</v>
      </c>
      <c r="I167" s="144">
        <v>0</v>
      </c>
      <c r="J167" s="144">
        <v>0</v>
      </c>
      <c r="K167" s="144">
        <v>0</v>
      </c>
      <c r="L167" s="144">
        <v>1</v>
      </c>
      <c r="M167" s="144">
        <v>0</v>
      </c>
      <c r="N167" s="144">
        <v>0</v>
      </c>
      <c r="O167" s="144">
        <v>0</v>
      </c>
      <c r="Q167" s="1004">
        <f t="shared" si="298"/>
        <v>1</v>
      </c>
    </row>
    <row r="168" spans="2:17" x14ac:dyDescent="0.2">
      <c r="B168" s="1005">
        <v>45067</v>
      </c>
      <c r="D168" s="144">
        <v>0</v>
      </c>
      <c r="E168" s="144">
        <v>0</v>
      </c>
      <c r="F168" s="144">
        <v>1</v>
      </c>
      <c r="G168" s="144">
        <v>0</v>
      </c>
      <c r="H168" s="144">
        <v>0</v>
      </c>
      <c r="I168" s="144">
        <v>0</v>
      </c>
      <c r="J168" s="144">
        <v>0</v>
      </c>
      <c r="K168" s="144">
        <v>0</v>
      </c>
      <c r="L168" s="144">
        <v>0</v>
      </c>
      <c r="M168" s="144">
        <v>0</v>
      </c>
      <c r="N168" s="144">
        <v>0</v>
      </c>
      <c r="O168" s="144">
        <v>0</v>
      </c>
      <c r="Q168" s="1004">
        <f t="shared" si="298"/>
        <v>1</v>
      </c>
    </row>
    <row r="169" spans="2:17" x14ac:dyDescent="0.2">
      <c r="B169" s="1005">
        <v>45070</v>
      </c>
      <c r="D169" s="144">
        <v>0</v>
      </c>
      <c r="E169" s="144">
        <v>0</v>
      </c>
      <c r="F169" s="144">
        <v>0</v>
      </c>
      <c r="G169" s="144">
        <v>0</v>
      </c>
      <c r="H169" s="144">
        <v>0</v>
      </c>
      <c r="I169" s="144">
        <v>0</v>
      </c>
      <c r="J169" s="144">
        <v>1</v>
      </c>
      <c r="K169" s="144">
        <v>0</v>
      </c>
      <c r="L169" s="144">
        <v>0</v>
      </c>
      <c r="M169" s="144">
        <v>0</v>
      </c>
      <c r="N169" s="144">
        <v>0</v>
      </c>
      <c r="O169" s="144">
        <v>0</v>
      </c>
      <c r="Q169" s="1004">
        <f t="shared" si="298"/>
        <v>1</v>
      </c>
    </row>
    <row r="170" spans="2:17" x14ac:dyDescent="0.2">
      <c r="B170" s="1005">
        <v>45074</v>
      </c>
      <c r="D170" s="144">
        <v>1</v>
      </c>
      <c r="E170" s="144">
        <v>0</v>
      </c>
      <c r="F170" s="144">
        <v>0</v>
      </c>
      <c r="G170" s="144">
        <v>0</v>
      </c>
      <c r="H170" s="144">
        <v>0</v>
      </c>
      <c r="I170" s="144">
        <v>0</v>
      </c>
      <c r="J170" s="144">
        <v>0</v>
      </c>
      <c r="K170" s="144">
        <v>0</v>
      </c>
      <c r="L170" s="144">
        <v>0</v>
      </c>
      <c r="M170" s="144">
        <v>1</v>
      </c>
      <c r="N170" s="144">
        <v>0</v>
      </c>
      <c r="O170" s="144">
        <v>0</v>
      </c>
      <c r="Q170" s="1004">
        <f t="shared" si="298"/>
        <v>2</v>
      </c>
    </row>
    <row r="171" spans="2:17" x14ac:dyDescent="0.2">
      <c r="B171" s="1005">
        <v>45077</v>
      </c>
      <c r="D171" s="144">
        <v>1</v>
      </c>
      <c r="E171" s="144">
        <v>0</v>
      </c>
      <c r="F171" s="144">
        <v>0</v>
      </c>
      <c r="G171" s="144">
        <v>0</v>
      </c>
      <c r="H171" s="144">
        <v>0</v>
      </c>
      <c r="I171" s="144">
        <v>0</v>
      </c>
      <c r="J171" s="144">
        <v>0</v>
      </c>
      <c r="K171" s="144">
        <v>0</v>
      </c>
      <c r="L171" s="144">
        <v>4</v>
      </c>
      <c r="M171" s="144">
        <v>1</v>
      </c>
      <c r="N171" s="144">
        <v>0</v>
      </c>
      <c r="O171" s="144">
        <v>0</v>
      </c>
      <c r="Q171" s="1004">
        <f t="shared" si="298"/>
        <v>6</v>
      </c>
    </row>
    <row r="172" spans="2:17" x14ac:dyDescent="0.2">
      <c r="B172" s="1005">
        <v>45079</v>
      </c>
      <c r="D172" s="144">
        <v>1</v>
      </c>
      <c r="E172" s="144">
        <v>0</v>
      </c>
      <c r="F172" s="144">
        <v>0</v>
      </c>
      <c r="G172" s="144">
        <v>0</v>
      </c>
      <c r="H172" s="144">
        <v>0</v>
      </c>
      <c r="I172" s="144">
        <v>0</v>
      </c>
      <c r="J172" s="144">
        <v>0</v>
      </c>
      <c r="K172" s="144">
        <v>0</v>
      </c>
      <c r="L172" s="144">
        <v>0</v>
      </c>
      <c r="M172" s="144">
        <v>0</v>
      </c>
      <c r="N172" s="144">
        <v>0</v>
      </c>
      <c r="O172" s="144">
        <v>0</v>
      </c>
      <c r="Q172" s="1004">
        <f t="shared" si="298"/>
        <v>1</v>
      </c>
    </row>
    <row r="173" spans="2:17" x14ac:dyDescent="0.2">
      <c r="B173" s="1005">
        <v>45080</v>
      </c>
      <c r="D173" s="144">
        <v>0</v>
      </c>
      <c r="E173" s="144">
        <v>0</v>
      </c>
      <c r="F173" s="144">
        <v>0</v>
      </c>
      <c r="G173" s="144">
        <v>0</v>
      </c>
      <c r="H173" s="144">
        <v>0</v>
      </c>
      <c r="I173" s="144">
        <v>0</v>
      </c>
      <c r="J173" s="144">
        <v>0</v>
      </c>
      <c r="K173" s="144">
        <v>0</v>
      </c>
      <c r="L173" s="144">
        <v>1</v>
      </c>
      <c r="M173" s="144">
        <v>0</v>
      </c>
      <c r="N173" s="144">
        <v>0</v>
      </c>
      <c r="O173" s="144">
        <v>0</v>
      </c>
      <c r="Q173" s="1004">
        <f t="shared" si="298"/>
        <v>1</v>
      </c>
    </row>
    <row r="174" spans="2:17" x14ac:dyDescent="0.2">
      <c r="B174" s="1005">
        <v>45083</v>
      </c>
      <c r="D174" s="144">
        <v>1</v>
      </c>
      <c r="E174" s="144">
        <v>0</v>
      </c>
      <c r="F174" s="144">
        <v>0</v>
      </c>
      <c r="G174" s="144">
        <v>0</v>
      </c>
      <c r="H174" s="144">
        <v>0</v>
      </c>
      <c r="I174" s="144">
        <v>0</v>
      </c>
      <c r="J174" s="144">
        <v>0</v>
      </c>
      <c r="K174" s="144">
        <v>0</v>
      </c>
      <c r="L174" s="144">
        <v>0</v>
      </c>
      <c r="M174" s="144">
        <v>0</v>
      </c>
      <c r="N174" s="144">
        <v>1</v>
      </c>
      <c r="O174" s="144">
        <v>0</v>
      </c>
      <c r="Q174" s="1004">
        <f t="shared" si="298"/>
        <v>2</v>
      </c>
    </row>
    <row r="175" spans="2:17" x14ac:dyDescent="0.2">
      <c r="B175" s="1005">
        <v>45084</v>
      </c>
      <c r="D175" s="144">
        <v>0</v>
      </c>
      <c r="E175" s="144">
        <v>0</v>
      </c>
      <c r="F175" s="144">
        <v>0</v>
      </c>
      <c r="G175" s="144">
        <v>0</v>
      </c>
      <c r="H175" s="144">
        <v>0</v>
      </c>
      <c r="I175" s="144">
        <v>0</v>
      </c>
      <c r="J175" s="144">
        <v>0</v>
      </c>
      <c r="K175" s="144">
        <v>0</v>
      </c>
      <c r="L175" s="144">
        <v>1</v>
      </c>
      <c r="M175" s="144">
        <v>1</v>
      </c>
      <c r="N175" s="144">
        <v>0</v>
      </c>
      <c r="O175" s="144">
        <v>0</v>
      </c>
      <c r="Q175" s="1004">
        <f t="shared" si="298"/>
        <v>2</v>
      </c>
    </row>
    <row r="176" spans="2:17" x14ac:dyDescent="0.2">
      <c r="B176" s="1005">
        <v>45085</v>
      </c>
      <c r="D176" s="144">
        <v>0</v>
      </c>
      <c r="E176" s="144">
        <v>0</v>
      </c>
      <c r="F176" s="144">
        <v>0</v>
      </c>
      <c r="G176" s="144">
        <v>0</v>
      </c>
      <c r="H176" s="144">
        <v>1</v>
      </c>
      <c r="I176" s="144">
        <v>0</v>
      </c>
      <c r="J176" s="144">
        <v>0</v>
      </c>
      <c r="K176" s="144">
        <v>0</v>
      </c>
      <c r="L176" s="144">
        <v>0</v>
      </c>
      <c r="M176" s="144">
        <v>0</v>
      </c>
      <c r="N176" s="144">
        <v>1</v>
      </c>
      <c r="O176" s="144">
        <v>0</v>
      </c>
      <c r="Q176" s="1004">
        <f t="shared" si="298"/>
        <v>2</v>
      </c>
    </row>
    <row r="177" spans="2:17" x14ac:dyDescent="0.2">
      <c r="B177" s="1005">
        <v>45091</v>
      </c>
      <c r="D177" s="144">
        <v>0</v>
      </c>
      <c r="E177" s="144">
        <v>0</v>
      </c>
      <c r="F177" s="144">
        <v>0</v>
      </c>
      <c r="G177" s="144">
        <v>0</v>
      </c>
      <c r="H177" s="144">
        <v>0</v>
      </c>
      <c r="I177" s="144">
        <v>1</v>
      </c>
      <c r="J177" s="144">
        <v>0</v>
      </c>
      <c r="K177" s="144">
        <v>1</v>
      </c>
      <c r="L177" s="144">
        <v>0</v>
      </c>
      <c r="M177" s="144">
        <v>0</v>
      </c>
      <c r="N177" s="144">
        <v>0</v>
      </c>
      <c r="O177" s="144">
        <v>0</v>
      </c>
      <c r="Q177" s="1004">
        <f t="shared" si="298"/>
        <v>2</v>
      </c>
    </row>
    <row r="178" spans="2:17" x14ac:dyDescent="0.2">
      <c r="B178" s="1005">
        <v>45092</v>
      </c>
      <c r="D178" s="144">
        <v>0</v>
      </c>
      <c r="E178" s="144">
        <v>0</v>
      </c>
      <c r="F178" s="144">
        <v>0</v>
      </c>
      <c r="G178" s="144">
        <v>0</v>
      </c>
      <c r="H178" s="144">
        <v>0</v>
      </c>
      <c r="I178" s="144">
        <v>0</v>
      </c>
      <c r="J178" s="144">
        <v>0</v>
      </c>
      <c r="K178" s="144">
        <v>0</v>
      </c>
      <c r="L178" s="144">
        <v>1</v>
      </c>
      <c r="M178" s="144">
        <v>0</v>
      </c>
      <c r="N178" s="144">
        <v>0</v>
      </c>
      <c r="O178" s="144">
        <v>0</v>
      </c>
      <c r="Q178" s="1004">
        <f t="shared" si="298"/>
        <v>1</v>
      </c>
    </row>
    <row r="179" spans="2:17" x14ac:dyDescent="0.2">
      <c r="B179" s="1005">
        <v>45093</v>
      </c>
      <c r="D179" s="144">
        <v>0</v>
      </c>
      <c r="E179" s="144">
        <v>0</v>
      </c>
      <c r="F179" s="144">
        <v>0</v>
      </c>
      <c r="G179" s="144">
        <v>0</v>
      </c>
      <c r="H179" s="144">
        <v>0</v>
      </c>
      <c r="I179" s="144">
        <v>0</v>
      </c>
      <c r="J179" s="144">
        <v>0</v>
      </c>
      <c r="K179" s="144">
        <v>0</v>
      </c>
      <c r="L179" s="144">
        <v>1</v>
      </c>
      <c r="M179" s="144">
        <v>0</v>
      </c>
      <c r="N179" s="144">
        <v>0</v>
      </c>
      <c r="O179" s="144">
        <v>0</v>
      </c>
      <c r="Q179" s="1004">
        <f t="shared" si="298"/>
        <v>1</v>
      </c>
    </row>
    <row r="180" spans="2:17" x14ac:dyDescent="0.2">
      <c r="B180" s="1005">
        <v>45094</v>
      </c>
      <c r="D180" s="144">
        <v>1</v>
      </c>
      <c r="E180" s="144">
        <v>0</v>
      </c>
      <c r="F180" s="144">
        <v>0</v>
      </c>
      <c r="G180" s="144">
        <v>0</v>
      </c>
      <c r="H180" s="144">
        <v>0</v>
      </c>
      <c r="I180" s="144">
        <v>0</v>
      </c>
      <c r="J180" s="144">
        <v>0</v>
      </c>
      <c r="K180" s="144">
        <v>0</v>
      </c>
      <c r="L180" s="144">
        <v>2</v>
      </c>
      <c r="M180" s="144">
        <v>0</v>
      </c>
      <c r="N180" s="144">
        <v>0</v>
      </c>
      <c r="O180" s="144">
        <v>0</v>
      </c>
      <c r="Q180" s="1004">
        <f t="shared" si="298"/>
        <v>3</v>
      </c>
    </row>
    <row r="181" spans="2:17" x14ac:dyDescent="0.2">
      <c r="B181" s="1005">
        <v>45097</v>
      </c>
      <c r="D181" s="144">
        <v>0</v>
      </c>
      <c r="E181" s="144">
        <v>0</v>
      </c>
      <c r="F181" s="144">
        <v>0</v>
      </c>
      <c r="G181" s="144">
        <v>0</v>
      </c>
      <c r="H181" s="144">
        <v>0</v>
      </c>
      <c r="I181" s="144">
        <v>0</v>
      </c>
      <c r="J181" s="144">
        <v>0</v>
      </c>
      <c r="K181" s="144">
        <v>0</v>
      </c>
      <c r="L181" s="144">
        <v>0</v>
      </c>
      <c r="M181" s="144">
        <v>1</v>
      </c>
      <c r="N181" s="144">
        <v>0</v>
      </c>
      <c r="O181" s="144">
        <v>0</v>
      </c>
      <c r="Q181" s="1004">
        <f t="shared" si="298"/>
        <v>1</v>
      </c>
    </row>
    <row r="182" spans="2:17" x14ac:dyDescent="0.2">
      <c r="B182" s="1005">
        <v>45100</v>
      </c>
      <c r="D182" s="144">
        <v>0</v>
      </c>
      <c r="E182" s="144">
        <v>0</v>
      </c>
      <c r="F182" s="144">
        <v>1</v>
      </c>
      <c r="G182" s="144">
        <v>0</v>
      </c>
      <c r="H182" s="144">
        <v>0</v>
      </c>
      <c r="I182" s="144">
        <v>0</v>
      </c>
      <c r="J182" s="144">
        <v>0</v>
      </c>
      <c r="K182" s="144">
        <v>0</v>
      </c>
      <c r="L182" s="144">
        <v>1</v>
      </c>
      <c r="M182" s="144">
        <v>0</v>
      </c>
      <c r="N182" s="144">
        <v>0</v>
      </c>
      <c r="O182" s="144">
        <v>0</v>
      </c>
      <c r="Q182" s="1004">
        <f t="shared" si="298"/>
        <v>2</v>
      </c>
    </row>
    <row r="183" spans="2:17" x14ac:dyDescent="0.2">
      <c r="B183" s="1005">
        <v>45102</v>
      </c>
      <c r="D183" s="144">
        <v>0</v>
      </c>
      <c r="E183" s="144">
        <v>1</v>
      </c>
      <c r="F183" s="144">
        <v>0</v>
      </c>
      <c r="G183" s="144">
        <v>0</v>
      </c>
      <c r="H183" s="144">
        <v>0</v>
      </c>
      <c r="I183" s="144">
        <v>0</v>
      </c>
      <c r="J183" s="144">
        <v>0</v>
      </c>
      <c r="K183" s="144">
        <v>0</v>
      </c>
      <c r="L183" s="144">
        <v>0</v>
      </c>
      <c r="M183" s="144">
        <v>0</v>
      </c>
      <c r="N183" s="144">
        <v>0</v>
      </c>
      <c r="O183" s="144">
        <v>0</v>
      </c>
      <c r="Q183" s="1004">
        <f t="shared" si="298"/>
        <v>1</v>
      </c>
    </row>
    <row r="184" spans="2:17" x14ac:dyDescent="0.2">
      <c r="B184" s="1005">
        <v>45103</v>
      </c>
      <c r="D184" s="144">
        <v>0</v>
      </c>
      <c r="E184" s="144">
        <v>0</v>
      </c>
      <c r="F184" s="144">
        <v>0</v>
      </c>
      <c r="G184" s="144">
        <v>0</v>
      </c>
      <c r="H184" s="144">
        <v>0</v>
      </c>
      <c r="I184" s="144">
        <v>0</v>
      </c>
      <c r="J184" s="144">
        <v>0</v>
      </c>
      <c r="K184" s="144">
        <v>0</v>
      </c>
      <c r="L184" s="144">
        <v>1</v>
      </c>
      <c r="M184" s="144">
        <v>0</v>
      </c>
      <c r="N184" s="144">
        <v>0</v>
      </c>
      <c r="O184" s="144">
        <v>0</v>
      </c>
      <c r="Q184" s="1004">
        <f t="shared" si="298"/>
        <v>1</v>
      </c>
    </row>
    <row r="185" spans="2:17" x14ac:dyDescent="0.2">
      <c r="B185" s="1005">
        <v>45107</v>
      </c>
      <c r="D185" s="144">
        <v>1</v>
      </c>
      <c r="E185" s="144">
        <v>0</v>
      </c>
      <c r="F185" s="144">
        <v>0</v>
      </c>
      <c r="G185" s="144">
        <v>0</v>
      </c>
      <c r="H185" s="144">
        <v>0</v>
      </c>
      <c r="I185" s="144">
        <v>0</v>
      </c>
      <c r="J185" s="144">
        <v>0</v>
      </c>
      <c r="K185" s="144">
        <v>0</v>
      </c>
      <c r="L185" s="144">
        <v>0</v>
      </c>
      <c r="M185" s="144">
        <v>0</v>
      </c>
      <c r="N185" s="144">
        <v>1</v>
      </c>
      <c r="O185" s="144">
        <v>0</v>
      </c>
      <c r="Q185" s="1004">
        <f t="shared" si="298"/>
        <v>2</v>
      </c>
    </row>
    <row r="186" spans="2:17" x14ac:dyDescent="0.2">
      <c r="B186" s="1005">
        <v>45108</v>
      </c>
      <c r="D186" s="144">
        <v>0</v>
      </c>
      <c r="E186" s="144">
        <v>1</v>
      </c>
      <c r="F186" s="144">
        <v>0</v>
      </c>
      <c r="G186" s="144">
        <v>0</v>
      </c>
      <c r="H186" s="144">
        <v>0</v>
      </c>
      <c r="I186" s="144">
        <v>0</v>
      </c>
      <c r="J186" s="144">
        <v>0</v>
      </c>
      <c r="K186" s="144">
        <v>0</v>
      </c>
      <c r="L186" s="144">
        <v>0</v>
      </c>
      <c r="M186" s="144">
        <v>0</v>
      </c>
      <c r="N186" s="144">
        <v>0</v>
      </c>
      <c r="O186" s="144">
        <v>0</v>
      </c>
      <c r="Q186" s="1004">
        <f t="shared" si="298"/>
        <v>1</v>
      </c>
    </row>
    <row r="187" spans="2:17" x14ac:dyDescent="0.2">
      <c r="B187" s="1005">
        <v>45114</v>
      </c>
      <c r="D187" s="144">
        <v>1</v>
      </c>
      <c r="E187" s="144">
        <v>0</v>
      </c>
      <c r="F187" s="144">
        <v>0</v>
      </c>
      <c r="G187" s="144">
        <v>0</v>
      </c>
      <c r="H187" s="144">
        <v>0</v>
      </c>
      <c r="I187" s="144">
        <v>0</v>
      </c>
      <c r="J187" s="144">
        <v>0</v>
      </c>
      <c r="K187" s="144">
        <v>0</v>
      </c>
      <c r="L187" s="144">
        <v>0</v>
      </c>
      <c r="M187" s="144">
        <v>0</v>
      </c>
      <c r="N187" s="144">
        <v>0</v>
      </c>
      <c r="O187" s="144">
        <v>0</v>
      </c>
      <c r="Q187" s="1004">
        <f t="shared" si="298"/>
        <v>1</v>
      </c>
    </row>
    <row r="188" spans="2:17" x14ac:dyDescent="0.2">
      <c r="B188" s="1005">
        <v>45115</v>
      </c>
      <c r="D188" s="144">
        <v>0</v>
      </c>
      <c r="E188" s="144">
        <v>0</v>
      </c>
      <c r="F188" s="144">
        <v>0</v>
      </c>
      <c r="G188" s="144">
        <v>1</v>
      </c>
      <c r="H188" s="144">
        <v>0</v>
      </c>
      <c r="I188" s="144">
        <v>0</v>
      </c>
      <c r="J188" s="144">
        <v>0</v>
      </c>
      <c r="K188" s="144">
        <v>0</v>
      </c>
      <c r="L188" s="144">
        <v>0</v>
      </c>
      <c r="M188" s="144">
        <v>0</v>
      </c>
      <c r="N188" s="144">
        <v>0</v>
      </c>
      <c r="O188" s="144">
        <v>0</v>
      </c>
      <c r="Q188" s="1004">
        <f t="shared" si="298"/>
        <v>1</v>
      </c>
    </row>
    <row r="189" spans="2:17" x14ac:dyDescent="0.2">
      <c r="B189" s="1005">
        <v>45117</v>
      </c>
      <c r="D189" s="144">
        <v>1</v>
      </c>
      <c r="E189" s="144">
        <v>0</v>
      </c>
      <c r="F189" s="144">
        <v>0</v>
      </c>
      <c r="G189" s="144">
        <v>0</v>
      </c>
      <c r="H189" s="144">
        <v>0</v>
      </c>
      <c r="I189" s="144">
        <v>0</v>
      </c>
      <c r="J189" s="144">
        <v>0</v>
      </c>
      <c r="K189" s="144">
        <v>0</v>
      </c>
      <c r="L189" s="144">
        <v>1</v>
      </c>
      <c r="M189" s="144">
        <v>1</v>
      </c>
      <c r="N189" s="144">
        <v>0</v>
      </c>
      <c r="O189" s="144">
        <v>0</v>
      </c>
      <c r="Q189" s="1004">
        <f t="shared" si="298"/>
        <v>3</v>
      </c>
    </row>
    <row r="190" spans="2:17" x14ac:dyDescent="0.2">
      <c r="B190" s="1005">
        <v>45119</v>
      </c>
      <c r="D190" s="144">
        <v>0</v>
      </c>
      <c r="E190" s="144">
        <v>0</v>
      </c>
      <c r="F190" s="144">
        <v>1</v>
      </c>
      <c r="G190" s="144">
        <v>0</v>
      </c>
      <c r="H190" s="144">
        <v>0</v>
      </c>
      <c r="I190" s="144">
        <v>0</v>
      </c>
      <c r="J190" s="144">
        <v>0</v>
      </c>
      <c r="K190" s="144">
        <v>0</v>
      </c>
      <c r="L190" s="144">
        <v>0</v>
      </c>
      <c r="M190" s="144">
        <v>0</v>
      </c>
      <c r="N190" s="144">
        <v>0</v>
      </c>
      <c r="O190" s="144">
        <v>1</v>
      </c>
      <c r="Q190" s="1004">
        <f t="shared" si="298"/>
        <v>2</v>
      </c>
    </row>
    <row r="191" spans="2:17" x14ac:dyDescent="0.2">
      <c r="B191" s="1005">
        <v>45122</v>
      </c>
      <c r="D191" s="144">
        <v>0</v>
      </c>
      <c r="E191" s="144">
        <v>0</v>
      </c>
      <c r="F191" s="144">
        <v>1</v>
      </c>
      <c r="G191" s="144">
        <v>0</v>
      </c>
      <c r="H191" s="144">
        <v>0</v>
      </c>
      <c r="I191" s="144">
        <v>0</v>
      </c>
      <c r="J191" s="144">
        <v>0</v>
      </c>
      <c r="K191" s="144">
        <v>0</v>
      </c>
      <c r="L191" s="144">
        <v>0</v>
      </c>
      <c r="M191" s="144">
        <v>0</v>
      </c>
      <c r="N191" s="144">
        <v>0</v>
      </c>
      <c r="O191" s="144">
        <v>0</v>
      </c>
      <c r="Q191" s="1004">
        <f t="shared" si="298"/>
        <v>1</v>
      </c>
    </row>
    <row r="192" spans="2:17" x14ac:dyDescent="0.2">
      <c r="B192" s="1005">
        <v>45123</v>
      </c>
      <c r="D192" s="144">
        <v>0</v>
      </c>
      <c r="E192" s="144">
        <v>0</v>
      </c>
      <c r="F192" s="144">
        <v>0</v>
      </c>
      <c r="G192" s="144">
        <v>0</v>
      </c>
      <c r="H192" s="144">
        <v>0</v>
      </c>
      <c r="I192" s="144">
        <v>0</v>
      </c>
      <c r="J192" s="144">
        <v>0</v>
      </c>
      <c r="K192" s="144">
        <v>0</v>
      </c>
      <c r="L192" s="144">
        <v>1</v>
      </c>
      <c r="M192" s="144">
        <v>0</v>
      </c>
      <c r="N192" s="144">
        <v>0</v>
      </c>
      <c r="O192" s="144">
        <v>0</v>
      </c>
      <c r="Q192" s="1004">
        <f t="shared" si="298"/>
        <v>1</v>
      </c>
    </row>
    <row r="193" spans="2:17" x14ac:dyDescent="0.2">
      <c r="B193" s="1005">
        <v>45124</v>
      </c>
      <c r="D193" s="144">
        <v>0</v>
      </c>
      <c r="E193" s="144">
        <v>0</v>
      </c>
      <c r="F193" s="144">
        <v>0</v>
      </c>
      <c r="G193" s="144">
        <v>0</v>
      </c>
      <c r="H193" s="144">
        <v>0</v>
      </c>
      <c r="I193" s="144">
        <v>0</v>
      </c>
      <c r="J193" s="144">
        <v>0</v>
      </c>
      <c r="K193" s="144">
        <v>0</v>
      </c>
      <c r="L193" s="144">
        <v>1</v>
      </c>
      <c r="M193" s="144">
        <v>0</v>
      </c>
      <c r="N193" s="144">
        <v>0</v>
      </c>
      <c r="O193" s="144">
        <v>0</v>
      </c>
      <c r="Q193" s="1004">
        <f t="shared" si="298"/>
        <v>1</v>
      </c>
    </row>
    <row r="194" spans="2:17" x14ac:dyDescent="0.2">
      <c r="B194" s="1005">
        <v>45126</v>
      </c>
      <c r="D194" s="144">
        <v>0</v>
      </c>
      <c r="E194" s="144">
        <v>1</v>
      </c>
      <c r="F194" s="144">
        <v>0</v>
      </c>
      <c r="G194" s="144">
        <v>0</v>
      </c>
      <c r="H194" s="144">
        <v>0</v>
      </c>
      <c r="I194" s="144">
        <v>0</v>
      </c>
      <c r="J194" s="144">
        <v>0</v>
      </c>
      <c r="K194" s="144">
        <v>0</v>
      </c>
      <c r="L194" s="144">
        <v>0</v>
      </c>
      <c r="M194" s="144">
        <v>0</v>
      </c>
      <c r="N194" s="144">
        <v>0</v>
      </c>
      <c r="O194" s="144">
        <v>1</v>
      </c>
      <c r="Q194" s="1004">
        <f t="shared" si="298"/>
        <v>2</v>
      </c>
    </row>
    <row r="195" spans="2:17" x14ac:dyDescent="0.2">
      <c r="B195" s="1005">
        <v>45127</v>
      </c>
      <c r="D195" s="144">
        <v>1</v>
      </c>
      <c r="E195" s="144">
        <v>0</v>
      </c>
      <c r="F195" s="144">
        <v>0</v>
      </c>
      <c r="G195" s="144">
        <v>0</v>
      </c>
      <c r="H195" s="144">
        <v>0</v>
      </c>
      <c r="I195" s="144">
        <v>0</v>
      </c>
      <c r="J195" s="144">
        <v>0</v>
      </c>
      <c r="K195" s="144">
        <v>0</v>
      </c>
      <c r="L195" s="144">
        <v>0</v>
      </c>
      <c r="M195" s="144">
        <v>0</v>
      </c>
      <c r="N195" s="144">
        <v>1</v>
      </c>
      <c r="O195" s="144">
        <v>0</v>
      </c>
      <c r="Q195" s="1004">
        <f t="shared" si="298"/>
        <v>2</v>
      </c>
    </row>
    <row r="196" spans="2:17" x14ac:dyDescent="0.2">
      <c r="B196" s="1005">
        <v>45128</v>
      </c>
      <c r="D196" s="144">
        <v>0</v>
      </c>
      <c r="E196" s="144">
        <v>0</v>
      </c>
      <c r="F196" s="144">
        <v>0</v>
      </c>
      <c r="G196" s="144">
        <v>0</v>
      </c>
      <c r="H196" s="144">
        <v>0</v>
      </c>
      <c r="I196" s="144">
        <v>0</v>
      </c>
      <c r="J196" s="144">
        <v>0</v>
      </c>
      <c r="K196" s="144">
        <v>0</v>
      </c>
      <c r="L196" s="144">
        <v>1</v>
      </c>
      <c r="M196" s="144">
        <v>0</v>
      </c>
      <c r="N196" s="144">
        <v>0</v>
      </c>
      <c r="O196" s="144">
        <v>0</v>
      </c>
      <c r="Q196" s="1004">
        <f t="shared" si="298"/>
        <v>1</v>
      </c>
    </row>
    <row r="197" spans="2:17" x14ac:dyDescent="0.2">
      <c r="B197" s="1005">
        <v>45129</v>
      </c>
      <c r="D197" s="144">
        <v>0</v>
      </c>
      <c r="E197" s="144">
        <v>0</v>
      </c>
      <c r="F197" s="144">
        <v>0</v>
      </c>
      <c r="G197" s="144">
        <v>0</v>
      </c>
      <c r="H197" s="144">
        <v>0</v>
      </c>
      <c r="I197" s="144">
        <v>0</v>
      </c>
      <c r="J197" s="144">
        <v>1</v>
      </c>
      <c r="K197" s="144">
        <v>0</v>
      </c>
      <c r="L197" s="144">
        <v>1</v>
      </c>
      <c r="M197" s="144">
        <v>0</v>
      </c>
      <c r="N197" s="144">
        <v>0</v>
      </c>
      <c r="O197" s="144">
        <v>0</v>
      </c>
      <c r="Q197" s="1004">
        <f t="shared" ref="Q197:Q260" si="299">SUM(D197:O197)</f>
        <v>2</v>
      </c>
    </row>
    <row r="198" spans="2:17" x14ac:dyDescent="0.2">
      <c r="B198" s="1005">
        <v>45131</v>
      </c>
      <c r="D198" s="144">
        <v>0</v>
      </c>
      <c r="E198" s="144">
        <v>0</v>
      </c>
      <c r="F198" s="144">
        <v>0</v>
      </c>
      <c r="G198" s="144">
        <v>0</v>
      </c>
      <c r="H198" s="144">
        <v>0</v>
      </c>
      <c r="I198" s="144">
        <v>0</v>
      </c>
      <c r="J198" s="144">
        <v>0</v>
      </c>
      <c r="K198" s="144">
        <v>0</v>
      </c>
      <c r="L198" s="144">
        <v>0</v>
      </c>
      <c r="M198" s="144">
        <v>1</v>
      </c>
      <c r="N198" s="144">
        <v>1</v>
      </c>
      <c r="O198" s="144">
        <v>0</v>
      </c>
      <c r="Q198" s="1004">
        <f t="shared" si="299"/>
        <v>2</v>
      </c>
    </row>
    <row r="199" spans="2:17" x14ac:dyDescent="0.2">
      <c r="B199" s="1005">
        <v>45132</v>
      </c>
      <c r="D199" s="144">
        <v>0</v>
      </c>
      <c r="E199" s="144">
        <v>0</v>
      </c>
      <c r="F199" s="144">
        <v>0</v>
      </c>
      <c r="G199" s="144">
        <v>0</v>
      </c>
      <c r="H199" s="144">
        <v>0</v>
      </c>
      <c r="I199" s="144">
        <v>0</v>
      </c>
      <c r="J199" s="144">
        <v>0</v>
      </c>
      <c r="K199" s="144">
        <v>0</v>
      </c>
      <c r="L199" s="144">
        <v>0</v>
      </c>
      <c r="M199" s="144">
        <v>1</v>
      </c>
      <c r="N199" s="144">
        <v>0</v>
      </c>
      <c r="O199" s="144">
        <v>0</v>
      </c>
      <c r="Q199" s="1004">
        <f t="shared" si="299"/>
        <v>1</v>
      </c>
    </row>
    <row r="200" spans="2:17" x14ac:dyDescent="0.2">
      <c r="B200" s="1005">
        <v>45133</v>
      </c>
      <c r="D200" s="144">
        <v>0</v>
      </c>
      <c r="E200" s="144">
        <v>0</v>
      </c>
      <c r="F200" s="144">
        <v>0</v>
      </c>
      <c r="G200" s="144">
        <v>1</v>
      </c>
      <c r="H200" s="144">
        <v>0</v>
      </c>
      <c r="I200" s="144">
        <v>0</v>
      </c>
      <c r="J200" s="144">
        <v>0</v>
      </c>
      <c r="K200" s="144">
        <v>0</v>
      </c>
      <c r="L200" s="144">
        <v>1</v>
      </c>
      <c r="M200" s="144">
        <v>0</v>
      </c>
      <c r="N200" s="144">
        <v>0</v>
      </c>
      <c r="O200" s="144">
        <v>0</v>
      </c>
      <c r="Q200" s="1004">
        <f t="shared" si="299"/>
        <v>2</v>
      </c>
    </row>
    <row r="201" spans="2:17" x14ac:dyDescent="0.2">
      <c r="B201" s="1005">
        <v>45135</v>
      </c>
      <c r="D201" s="144">
        <v>0</v>
      </c>
      <c r="E201" s="144">
        <v>0</v>
      </c>
      <c r="F201" s="144">
        <v>0</v>
      </c>
      <c r="G201" s="144">
        <v>0</v>
      </c>
      <c r="H201" s="144">
        <v>0</v>
      </c>
      <c r="I201" s="144">
        <v>0</v>
      </c>
      <c r="J201" s="144">
        <v>0</v>
      </c>
      <c r="K201" s="144">
        <v>0</v>
      </c>
      <c r="L201" s="144">
        <v>0</v>
      </c>
      <c r="M201" s="144">
        <v>1</v>
      </c>
      <c r="N201" s="144">
        <v>0</v>
      </c>
      <c r="O201" s="144">
        <v>0</v>
      </c>
      <c r="Q201" s="1004">
        <f t="shared" si="299"/>
        <v>1</v>
      </c>
    </row>
    <row r="202" spans="2:17" x14ac:dyDescent="0.2">
      <c r="B202" s="1005">
        <v>45136</v>
      </c>
      <c r="D202" s="144">
        <v>0</v>
      </c>
      <c r="E202" s="144">
        <v>0</v>
      </c>
      <c r="F202" s="144">
        <v>1</v>
      </c>
      <c r="G202" s="144">
        <v>0</v>
      </c>
      <c r="H202" s="144">
        <v>0</v>
      </c>
      <c r="I202" s="144">
        <v>0</v>
      </c>
      <c r="J202" s="144">
        <v>0</v>
      </c>
      <c r="K202" s="144">
        <v>0</v>
      </c>
      <c r="L202" s="144">
        <v>0</v>
      </c>
      <c r="M202" s="144">
        <v>0</v>
      </c>
      <c r="N202" s="144">
        <v>0</v>
      </c>
      <c r="O202" s="144">
        <v>0</v>
      </c>
      <c r="Q202" s="1004">
        <f t="shared" si="299"/>
        <v>1</v>
      </c>
    </row>
    <row r="203" spans="2:17" x14ac:dyDescent="0.2">
      <c r="B203" s="1005">
        <v>45138</v>
      </c>
      <c r="D203" s="144">
        <v>0</v>
      </c>
      <c r="E203" s="144">
        <v>0</v>
      </c>
      <c r="F203" s="144">
        <v>2</v>
      </c>
      <c r="G203" s="144">
        <v>0</v>
      </c>
      <c r="H203" s="144">
        <v>0</v>
      </c>
      <c r="I203" s="144">
        <v>0</v>
      </c>
      <c r="J203" s="144">
        <v>0</v>
      </c>
      <c r="K203" s="144">
        <v>0</v>
      </c>
      <c r="L203" s="144">
        <v>0</v>
      </c>
      <c r="M203" s="144">
        <v>2</v>
      </c>
      <c r="N203" s="144">
        <v>0</v>
      </c>
      <c r="O203" s="144">
        <v>1</v>
      </c>
      <c r="Q203" s="1004">
        <f t="shared" si="299"/>
        <v>5</v>
      </c>
    </row>
    <row r="204" spans="2:17" x14ac:dyDescent="0.2">
      <c r="B204" s="1005">
        <v>45139</v>
      </c>
      <c r="D204" s="144">
        <v>0</v>
      </c>
      <c r="E204" s="144">
        <v>0</v>
      </c>
      <c r="F204" s="144">
        <v>0</v>
      </c>
      <c r="G204" s="144">
        <v>0</v>
      </c>
      <c r="H204" s="144">
        <v>0</v>
      </c>
      <c r="I204" s="144">
        <v>0</v>
      </c>
      <c r="J204" s="144">
        <v>0</v>
      </c>
      <c r="K204" s="144">
        <v>0</v>
      </c>
      <c r="L204" s="144">
        <v>1</v>
      </c>
      <c r="M204" s="144">
        <v>0</v>
      </c>
      <c r="N204" s="144">
        <v>0</v>
      </c>
      <c r="O204" s="144">
        <v>0</v>
      </c>
      <c r="Q204" s="1004">
        <f t="shared" si="299"/>
        <v>1</v>
      </c>
    </row>
    <row r="205" spans="2:17" x14ac:dyDescent="0.2">
      <c r="B205" s="1005">
        <v>45141</v>
      </c>
      <c r="D205" s="144">
        <v>0</v>
      </c>
      <c r="E205" s="144">
        <v>0</v>
      </c>
      <c r="F205" s="144">
        <v>0</v>
      </c>
      <c r="G205" s="144">
        <v>0</v>
      </c>
      <c r="H205" s="144">
        <v>0</v>
      </c>
      <c r="I205" s="144">
        <v>0</v>
      </c>
      <c r="J205" s="144">
        <v>0</v>
      </c>
      <c r="K205" s="144">
        <v>0</v>
      </c>
      <c r="L205" s="144">
        <v>1</v>
      </c>
      <c r="M205" s="144">
        <v>0</v>
      </c>
      <c r="N205" s="144">
        <v>0</v>
      </c>
      <c r="O205" s="144">
        <v>0</v>
      </c>
      <c r="Q205" s="1004">
        <f t="shared" si="299"/>
        <v>1</v>
      </c>
    </row>
    <row r="206" spans="2:17" x14ac:dyDescent="0.2">
      <c r="B206" s="1005">
        <v>45142</v>
      </c>
      <c r="D206" s="144">
        <v>1</v>
      </c>
      <c r="E206" s="144">
        <v>0</v>
      </c>
      <c r="F206" s="144">
        <v>0</v>
      </c>
      <c r="G206" s="144">
        <v>0</v>
      </c>
      <c r="H206" s="144">
        <v>0</v>
      </c>
      <c r="I206" s="144">
        <v>0</v>
      </c>
      <c r="J206" s="144">
        <v>0</v>
      </c>
      <c r="K206" s="144">
        <v>0</v>
      </c>
      <c r="L206" s="144">
        <v>0</v>
      </c>
      <c r="M206" s="144">
        <v>1</v>
      </c>
      <c r="N206" s="144">
        <v>1</v>
      </c>
      <c r="O206" s="144">
        <v>0</v>
      </c>
      <c r="Q206" s="1004">
        <f t="shared" si="299"/>
        <v>3</v>
      </c>
    </row>
    <row r="207" spans="2:17" x14ac:dyDescent="0.2">
      <c r="B207" s="1005">
        <v>45144</v>
      </c>
      <c r="D207" s="144">
        <v>0</v>
      </c>
      <c r="E207" s="144">
        <v>0</v>
      </c>
      <c r="F207" s="144">
        <v>0</v>
      </c>
      <c r="G207" s="144">
        <v>0</v>
      </c>
      <c r="H207" s="144">
        <v>0</v>
      </c>
      <c r="I207" s="144">
        <v>0</v>
      </c>
      <c r="J207" s="144">
        <v>0</v>
      </c>
      <c r="K207" s="144">
        <v>0</v>
      </c>
      <c r="L207" s="144">
        <v>0</v>
      </c>
      <c r="M207" s="144">
        <v>0</v>
      </c>
      <c r="N207" s="144">
        <v>1</v>
      </c>
      <c r="O207" s="144">
        <v>0</v>
      </c>
      <c r="Q207" s="1004">
        <f t="shared" si="299"/>
        <v>1</v>
      </c>
    </row>
    <row r="208" spans="2:17" x14ac:dyDescent="0.2">
      <c r="B208" s="1005">
        <v>45145</v>
      </c>
      <c r="D208" s="144">
        <v>0</v>
      </c>
      <c r="E208" s="144">
        <v>0</v>
      </c>
      <c r="F208" s="144">
        <v>0</v>
      </c>
      <c r="G208" s="144">
        <v>0</v>
      </c>
      <c r="H208" s="144">
        <v>0</v>
      </c>
      <c r="I208" s="144">
        <v>0</v>
      </c>
      <c r="J208" s="144">
        <v>0</v>
      </c>
      <c r="K208" s="144">
        <v>0</v>
      </c>
      <c r="L208" s="144">
        <v>0</v>
      </c>
      <c r="M208" s="144">
        <v>0</v>
      </c>
      <c r="N208" s="144">
        <v>1</v>
      </c>
      <c r="O208" s="144">
        <v>0</v>
      </c>
      <c r="Q208" s="1004">
        <f t="shared" si="299"/>
        <v>1</v>
      </c>
    </row>
    <row r="209" spans="2:17" x14ac:dyDescent="0.2">
      <c r="B209" s="1005">
        <v>45147</v>
      </c>
      <c r="D209" s="144">
        <v>0</v>
      </c>
      <c r="E209" s="144">
        <v>0</v>
      </c>
      <c r="F209" s="144">
        <v>0</v>
      </c>
      <c r="G209" s="144">
        <v>0</v>
      </c>
      <c r="H209" s="144">
        <v>0</v>
      </c>
      <c r="I209" s="144">
        <v>0</v>
      </c>
      <c r="J209" s="144">
        <v>0</v>
      </c>
      <c r="K209" s="144">
        <v>0</v>
      </c>
      <c r="L209" s="144">
        <v>1</v>
      </c>
      <c r="M209" s="144">
        <v>0</v>
      </c>
      <c r="N209" s="144">
        <v>0</v>
      </c>
      <c r="O209" s="144">
        <v>0</v>
      </c>
      <c r="Q209" s="1004">
        <f t="shared" si="299"/>
        <v>1</v>
      </c>
    </row>
    <row r="210" spans="2:17" x14ac:dyDescent="0.2">
      <c r="B210" s="1005">
        <v>45148</v>
      </c>
      <c r="D210" s="144">
        <v>0</v>
      </c>
      <c r="E210" s="144">
        <v>1</v>
      </c>
      <c r="F210" s="144">
        <v>0</v>
      </c>
      <c r="G210" s="144">
        <v>0</v>
      </c>
      <c r="H210" s="144">
        <v>0</v>
      </c>
      <c r="I210" s="144">
        <v>0</v>
      </c>
      <c r="J210" s="144">
        <v>0</v>
      </c>
      <c r="K210" s="144">
        <v>0</v>
      </c>
      <c r="L210" s="144">
        <v>1</v>
      </c>
      <c r="M210" s="144">
        <v>0</v>
      </c>
      <c r="N210" s="144">
        <v>0</v>
      </c>
      <c r="O210" s="144">
        <v>0</v>
      </c>
      <c r="Q210" s="1004">
        <f t="shared" si="299"/>
        <v>2</v>
      </c>
    </row>
    <row r="211" spans="2:17" x14ac:dyDescent="0.2">
      <c r="B211" s="1005">
        <v>45149</v>
      </c>
      <c r="D211" s="144">
        <v>0</v>
      </c>
      <c r="E211" s="144">
        <v>0</v>
      </c>
      <c r="F211" s="144">
        <v>0</v>
      </c>
      <c r="G211" s="144">
        <v>0</v>
      </c>
      <c r="H211" s="144">
        <v>0</v>
      </c>
      <c r="I211" s="144">
        <v>1</v>
      </c>
      <c r="J211" s="144">
        <v>0</v>
      </c>
      <c r="K211" s="144">
        <v>0</v>
      </c>
      <c r="L211" s="144">
        <v>0</v>
      </c>
      <c r="M211" s="144">
        <v>1</v>
      </c>
      <c r="N211" s="144">
        <v>0</v>
      </c>
      <c r="O211" s="144">
        <v>0</v>
      </c>
      <c r="Q211" s="1004">
        <f t="shared" si="299"/>
        <v>2</v>
      </c>
    </row>
    <row r="212" spans="2:17" x14ac:dyDescent="0.2">
      <c r="B212" s="1005">
        <v>45152</v>
      </c>
      <c r="D212" s="144">
        <v>0</v>
      </c>
      <c r="E212" s="144">
        <v>0</v>
      </c>
      <c r="F212" s="144">
        <v>0</v>
      </c>
      <c r="G212" s="144">
        <v>0</v>
      </c>
      <c r="H212" s="144">
        <v>0</v>
      </c>
      <c r="I212" s="144">
        <v>0</v>
      </c>
      <c r="J212" s="144">
        <v>0</v>
      </c>
      <c r="K212" s="144">
        <v>0</v>
      </c>
      <c r="L212" s="144">
        <v>1</v>
      </c>
      <c r="M212" s="144">
        <v>0</v>
      </c>
      <c r="N212" s="144">
        <v>0</v>
      </c>
      <c r="O212" s="144">
        <v>0</v>
      </c>
      <c r="Q212" s="1004">
        <f t="shared" si="299"/>
        <v>1</v>
      </c>
    </row>
    <row r="213" spans="2:17" x14ac:dyDescent="0.2">
      <c r="B213" s="1005">
        <v>45154</v>
      </c>
      <c r="D213" s="144">
        <v>1</v>
      </c>
      <c r="E213" s="144">
        <v>0</v>
      </c>
      <c r="F213" s="144">
        <v>0</v>
      </c>
      <c r="G213" s="144">
        <v>0</v>
      </c>
      <c r="H213" s="144">
        <v>0</v>
      </c>
      <c r="I213" s="144">
        <v>0</v>
      </c>
      <c r="J213" s="144">
        <v>0</v>
      </c>
      <c r="K213" s="144">
        <v>0</v>
      </c>
      <c r="L213" s="144">
        <v>0</v>
      </c>
      <c r="M213" s="144">
        <v>0</v>
      </c>
      <c r="N213" s="144">
        <v>0</v>
      </c>
      <c r="O213" s="144">
        <v>0</v>
      </c>
      <c r="Q213" s="1004">
        <f t="shared" si="299"/>
        <v>1</v>
      </c>
    </row>
    <row r="214" spans="2:17" x14ac:dyDescent="0.2">
      <c r="B214" s="1005">
        <v>45155</v>
      </c>
      <c r="D214" s="144">
        <v>0</v>
      </c>
      <c r="E214" s="144">
        <v>0</v>
      </c>
      <c r="F214" s="144">
        <v>1</v>
      </c>
      <c r="G214" s="144">
        <v>0</v>
      </c>
      <c r="H214" s="144">
        <v>0</v>
      </c>
      <c r="I214" s="144">
        <v>0</v>
      </c>
      <c r="J214" s="144">
        <v>0</v>
      </c>
      <c r="K214" s="144">
        <v>0</v>
      </c>
      <c r="L214" s="144">
        <v>0</v>
      </c>
      <c r="M214" s="144">
        <v>0</v>
      </c>
      <c r="N214" s="144">
        <v>0</v>
      </c>
      <c r="O214" s="144">
        <v>0</v>
      </c>
      <c r="Q214" s="1004">
        <f t="shared" si="299"/>
        <v>1</v>
      </c>
    </row>
    <row r="215" spans="2:17" x14ac:dyDescent="0.2">
      <c r="B215" s="1005">
        <v>45157</v>
      </c>
      <c r="D215" s="144">
        <v>0</v>
      </c>
      <c r="E215" s="144">
        <v>0</v>
      </c>
      <c r="F215" s="144">
        <v>0</v>
      </c>
      <c r="G215" s="144">
        <v>0</v>
      </c>
      <c r="H215" s="144">
        <v>0</v>
      </c>
      <c r="I215" s="144">
        <v>0</v>
      </c>
      <c r="J215" s="144">
        <v>0</v>
      </c>
      <c r="K215" s="144">
        <v>1</v>
      </c>
      <c r="L215" s="144">
        <v>0</v>
      </c>
      <c r="M215" s="144">
        <v>0</v>
      </c>
      <c r="N215" s="144">
        <v>0</v>
      </c>
      <c r="O215" s="144">
        <v>0</v>
      </c>
      <c r="Q215" s="1004">
        <f t="shared" si="299"/>
        <v>1</v>
      </c>
    </row>
    <row r="216" spans="2:17" x14ac:dyDescent="0.2">
      <c r="B216" s="1005">
        <v>45163</v>
      </c>
      <c r="D216" s="144">
        <v>1</v>
      </c>
      <c r="E216" s="144">
        <v>0</v>
      </c>
      <c r="F216" s="144">
        <v>0</v>
      </c>
      <c r="G216" s="144">
        <v>0</v>
      </c>
      <c r="H216" s="144">
        <v>0</v>
      </c>
      <c r="I216" s="144">
        <v>0</v>
      </c>
      <c r="J216" s="144">
        <v>0</v>
      </c>
      <c r="K216" s="144">
        <v>0</v>
      </c>
      <c r="L216" s="144">
        <v>0</v>
      </c>
      <c r="M216" s="144">
        <v>0</v>
      </c>
      <c r="N216" s="144">
        <v>0</v>
      </c>
      <c r="O216" s="144">
        <v>0</v>
      </c>
      <c r="Q216" s="1004">
        <f t="shared" si="299"/>
        <v>1</v>
      </c>
    </row>
    <row r="217" spans="2:17" x14ac:dyDescent="0.2">
      <c r="B217" s="1005">
        <v>45164</v>
      </c>
      <c r="D217" s="144">
        <v>0</v>
      </c>
      <c r="E217" s="144">
        <v>0</v>
      </c>
      <c r="F217" s="144">
        <v>0</v>
      </c>
      <c r="G217" s="144">
        <v>0</v>
      </c>
      <c r="H217" s="144">
        <v>0</v>
      </c>
      <c r="I217" s="144">
        <v>0</v>
      </c>
      <c r="J217" s="144">
        <v>0</v>
      </c>
      <c r="K217" s="144">
        <v>0</v>
      </c>
      <c r="L217" s="144">
        <v>0</v>
      </c>
      <c r="M217" s="144">
        <v>0</v>
      </c>
      <c r="N217" s="144">
        <v>0</v>
      </c>
      <c r="O217" s="144">
        <v>1</v>
      </c>
      <c r="Q217" s="1004">
        <f t="shared" si="299"/>
        <v>1</v>
      </c>
    </row>
    <row r="218" spans="2:17" x14ac:dyDescent="0.2">
      <c r="B218" s="1005">
        <v>45166</v>
      </c>
      <c r="D218" s="144">
        <v>1</v>
      </c>
      <c r="E218" s="144">
        <v>0</v>
      </c>
      <c r="F218" s="144">
        <v>0</v>
      </c>
      <c r="G218" s="144">
        <v>0</v>
      </c>
      <c r="H218" s="144">
        <v>0</v>
      </c>
      <c r="I218" s="144">
        <v>0</v>
      </c>
      <c r="J218" s="144">
        <v>1</v>
      </c>
      <c r="K218" s="144">
        <v>0</v>
      </c>
      <c r="L218" s="144">
        <v>0</v>
      </c>
      <c r="M218" s="144">
        <v>0</v>
      </c>
      <c r="N218" s="144">
        <v>0</v>
      </c>
      <c r="O218" s="144">
        <v>0</v>
      </c>
      <c r="Q218" s="1004">
        <f t="shared" si="299"/>
        <v>2</v>
      </c>
    </row>
    <row r="219" spans="2:17" x14ac:dyDescent="0.2">
      <c r="B219" s="1005">
        <v>45169</v>
      </c>
      <c r="D219" s="144">
        <v>0</v>
      </c>
      <c r="E219" s="144">
        <v>0</v>
      </c>
      <c r="F219" s="144">
        <v>0</v>
      </c>
      <c r="G219" s="144">
        <v>0</v>
      </c>
      <c r="H219" s="144">
        <v>0</v>
      </c>
      <c r="I219" s="144">
        <v>0</v>
      </c>
      <c r="J219" s="144">
        <v>0</v>
      </c>
      <c r="K219" s="144">
        <v>0</v>
      </c>
      <c r="L219" s="144">
        <v>2</v>
      </c>
      <c r="M219" s="144">
        <v>0</v>
      </c>
      <c r="N219" s="144">
        <v>0</v>
      </c>
      <c r="O219" s="144">
        <v>0</v>
      </c>
      <c r="Q219" s="1004">
        <f t="shared" si="299"/>
        <v>2</v>
      </c>
    </row>
    <row r="220" spans="2:17" x14ac:dyDescent="0.2">
      <c r="B220" s="1005">
        <v>45170</v>
      </c>
      <c r="D220" s="144">
        <v>0</v>
      </c>
      <c r="E220" s="144">
        <v>0</v>
      </c>
      <c r="F220" s="144">
        <v>0</v>
      </c>
      <c r="G220" s="144">
        <v>0</v>
      </c>
      <c r="H220" s="144">
        <v>0</v>
      </c>
      <c r="I220" s="144">
        <v>0</v>
      </c>
      <c r="J220" s="144">
        <v>0</v>
      </c>
      <c r="K220" s="144">
        <v>0</v>
      </c>
      <c r="L220" s="144">
        <v>1</v>
      </c>
      <c r="M220" s="144">
        <v>0</v>
      </c>
      <c r="N220" s="144">
        <v>0</v>
      </c>
      <c r="O220" s="144">
        <v>0</v>
      </c>
      <c r="Q220" s="1004">
        <f t="shared" si="299"/>
        <v>1</v>
      </c>
    </row>
    <row r="221" spans="2:17" x14ac:dyDescent="0.2">
      <c r="B221" s="1005">
        <v>45171</v>
      </c>
      <c r="D221" s="144">
        <v>0</v>
      </c>
      <c r="E221" s="144">
        <v>0</v>
      </c>
      <c r="F221" s="144">
        <v>0</v>
      </c>
      <c r="G221" s="144">
        <v>0</v>
      </c>
      <c r="H221" s="144">
        <v>0</v>
      </c>
      <c r="I221" s="144">
        <v>0</v>
      </c>
      <c r="J221" s="144">
        <v>0</v>
      </c>
      <c r="K221" s="144">
        <v>0</v>
      </c>
      <c r="L221" s="144">
        <v>1</v>
      </c>
      <c r="M221" s="144">
        <v>0</v>
      </c>
      <c r="N221" s="144">
        <v>0</v>
      </c>
      <c r="O221" s="144">
        <v>0</v>
      </c>
      <c r="Q221" s="1004">
        <f t="shared" si="299"/>
        <v>1</v>
      </c>
    </row>
    <row r="222" spans="2:17" x14ac:dyDescent="0.2">
      <c r="B222" s="1005">
        <v>45175</v>
      </c>
      <c r="D222" s="144">
        <v>0</v>
      </c>
      <c r="E222" s="144">
        <v>0</v>
      </c>
      <c r="F222" s="144">
        <v>0</v>
      </c>
      <c r="G222" s="144">
        <v>0</v>
      </c>
      <c r="H222" s="144">
        <v>0</v>
      </c>
      <c r="I222" s="144">
        <v>0</v>
      </c>
      <c r="J222" s="144">
        <v>0</v>
      </c>
      <c r="K222" s="144">
        <v>0</v>
      </c>
      <c r="L222" s="144">
        <v>0</v>
      </c>
      <c r="M222" s="144">
        <v>1</v>
      </c>
      <c r="N222" s="144">
        <v>0</v>
      </c>
      <c r="O222" s="144">
        <v>0</v>
      </c>
      <c r="Q222" s="1004">
        <f t="shared" si="299"/>
        <v>1</v>
      </c>
    </row>
    <row r="223" spans="2:17" x14ac:dyDescent="0.2">
      <c r="B223" s="1005">
        <v>45176</v>
      </c>
      <c r="D223" s="144">
        <v>1</v>
      </c>
      <c r="E223" s="144">
        <v>0</v>
      </c>
      <c r="F223" s="144">
        <v>0</v>
      </c>
      <c r="G223" s="144">
        <v>0</v>
      </c>
      <c r="H223" s="144">
        <v>0</v>
      </c>
      <c r="I223" s="144">
        <v>0</v>
      </c>
      <c r="J223" s="144">
        <v>0</v>
      </c>
      <c r="K223" s="144">
        <v>0</v>
      </c>
      <c r="L223" s="144">
        <v>0</v>
      </c>
      <c r="M223" s="144">
        <v>0</v>
      </c>
      <c r="N223" s="144">
        <v>0</v>
      </c>
      <c r="O223" s="144">
        <v>0</v>
      </c>
      <c r="Q223" s="1004">
        <f t="shared" si="299"/>
        <v>1</v>
      </c>
    </row>
    <row r="224" spans="2:17" x14ac:dyDescent="0.2">
      <c r="B224" s="1005">
        <v>45177</v>
      </c>
      <c r="D224" s="144">
        <v>0</v>
      </c>
      <c r="E224" s="144">
        <v>0</v>
      </c>
      <c r="F224" s="144">
        <v>0</v>
      </c>
      <c r="G224" s="144">
        <v>0</v>
      </c>
      <c r="H224" s="144">
        <v>0</v>
      </c>
      <c r="I224" s="144">
        <v>0</v>
      </c>
      <c r="J224" s="144">
        <v>0</v>
      </c>
      <c r="K224" s="144">
        <v>0</v>
      </c>
      <c r="L224" s="144">
        <v>1</v>
      </c>
      <c r="M224" s="144">
        <v>0</v>
      </c>
      <c r="N224" s="144">
        <v>0</v>
      </c>
      <c r="O224" s="144">
        <v>0</v>
      </c>
      <c r="Q224" s="1004">
        <f t="shared" si="299"/>
        <v>1</v>
      </c>
    </row>
    <row r="225" spans="2:17" x14ac:dyDescent="0.2">
      <c r="B225" s="1005">
        <v>45178</v>
      </c>
      <c r="D225" s="144">
        <v>2</v>
      </c>
      <c r="E225" s="144">
        <v>0</v>
      </c>
      <c r="F225" s="144">
        <v>0</v>
      </c>
      <c r="G225" s="144">
        <v>0</v>
      </c>
      <c r="H225" s="144">
        <v>0</v>
      </c>
      <c r="I225" s="144">
        <v>0</v>
      </c>
      <c r="J225" s="144">
        <v>0</v>
      </c>
      <c r="K225" s="144">
        <v>0</v>
      </c>
      <c r="L225" s="144">
        <v>0</v>
      </c>
      <c r="M225" s="144">
        <v>0</v>
      </c>
      <c r="N225" s="144">
        <v>0</v>
      </c>
      <c r="O225" s="144">
        <v>0</v>
      </c>
      <c r="Q225" s="1004">
        <f t="shared" si="299"/>
        <v>2</v>
      </c>
    </row>
    <row r="226" spans="2:17" x14ac:dyDescent="0.2">
      <c r="B226" s="1005">
        <v>45183</v>
      </c>
      <c r="D226" s="144">
        <v>0</v>
      </c>
      <c r="E226" s="144">
        <v>0</v>
      </c>
      <c r="F226" s="144">
        <v>0</v>
      </c>
      <c r="G226" s="144">
        <v>0</v>
      </c>
      <c r="H226" s="144">
        <v>0</v>
      </c>
      <c r="I226" s="144">
        <v>0</v>
      </c>
      <c r="J226" s="144">
        <v>0</v>
      </c>
      <c r="K226" s="144">
        <v>0</v>
      </c>
      <c r="L226" s="144">
        <v>2</v>
      </c>
      <c r="M226" s="144">
        <v>0</v>
      </c>
      <c r="N226" s="144">
        <v>0</v>
      </c>
      <c r="O226" s="144">
        <v>0</v>
      </c>
      <c r="Q226" s="1004">
        <f t="shared" si="299"/>
        <v>2</v>
      </c>
    </row>
    <row r="227" spans="2:17" x14ac:dyDescent="0.2">
      <c r="B227" s="1005">
        <v>45190</v>
      </c>
      <c r="D227" s="144">
        <v>0</v>
      </c>
      <c r="E227" s="144">
        <v>0</v>
      </c>
      <c r="F227" s="144">
        <v>0</v>
      </c>
      <c r="G227" s="144">
        <v>0</v>
      </c>
      <c r="H227" s="144">
        <v>0</v>
      </c>
      <c r="I227" s="144">
        <v>0</v>
      </c>
      <c r="J227" s="144">
        <v>0</v>
      </c>
      <c r="K227" s="144">
        <v>0</v>
      </c>
      <c r="L227" s="144">
        <v>0</v>
      </c>
      <c r="M227" s="144">
        <v>0</v>
      </c>
      <c r="N227" s="144">
        <v>0</v>
      </c>
      <c r="O227" s="144">
        <v>1</v>
      </c>
      <c r="Q227" s="1004">
        <f t="shared" si="299"/>
        <v>1</v>
      </c>
    </row>
    <row r="228" spans="2:17" x14ac:dyDescent="0.2">
      <c r="B228" s="1005">
        <v>45194</v>
      </c>
      <c r="D228" s="144">
        <v>0</v>
      </c>
      <c r="E228" s="144">
        <v>0</v>
      </c>
      <c r="F228" s="144">
        <v>0</v>
      </c>
      <c r="G228" s="144">
        <v>0</v>
      </c>
      <c r="H228" s="144">
        <v>0</v>
      </c>
      <c r="I228" s="144">
        <v>0</v>
      </c>
      <c r="J228" s="144">
        <v>0</v>
      </c>
      <c r="K228" s="144">
        <v>0</v>
      </c>
      <c r="L228" s="144">
        <v>0</v>
      </c>
      <c r="M228" s="144">
        <v>1</v>
      </c>
      <c r="N228" s="144">
        <v>0</v>
      </c>
      <c r="O228" s="144">
        <v>0</v>
      </c>
      <c r="Q228" s="1004">
        <f t="shared" si="299"/>
        <v>1</v>
      </c>
    </row>
    <row r="229" spans="2:17" x14ac:dyDescent="0.2">
      <c r="B229" s="1005">
        <v>45206</v>
      </c>
      <c r="D229" s="144">
        <v>1</v>
      </c>
      <c r="E229" s="144">
        <v>0</v>
      </c>
      <c r="F229" s="144">
        <v>0</v>
      </c>
      <c r="G229" s="144">
        <v>0</v>
      </c>
      <c r="H229" s="144">
        <v>0</v>
      </c>
      <c r="I229" s="144">
        <v>0</v>
      </c>
      <c r="J229" s="144">
        <v>0</v>
      </c>
      <c r="K229" s="144">
        <v>0</v>
      </c>
      <c r="L229" s="144">
        <v>0</v>
      </c>
      <c r="M229" s="144">
        <v>0</v>
      </c>
      <c r="N229" s="144">
        <v>0</v>
      </c>
      <c r="O229" s="144">
        <v>0</v>
      </c>
      <c r="Q229" s="1004">
        <f t="shared" si="299"/>
        <v>1</v>
      </c>
    </row>
    <row r="230" spans="2:17" x14ac:dyDescent="0.2">
      <c r="B230" s="1005">
        <v>45208</v>
      </c>
      <c r="D230" s="144">
        <v>0</v>
      </c>
      <c r="E230" s="144">
        <v>0</v>
      </c>
      <c r="F230" s="144">
        <v>0</v>
      </c>
      <c r="G230" s="144">
        <v>0</v>
      </c>
      <c r="H230" s="144">
        <v>0</v>
      </c>
      <c r="I230" s="144">
        <v>0</v>
      </c>
      <c r="J230" s="144">
        <v>0</v>
      </c>
      <c r="K230" s="144">
        <v>0</v>
      </c>
      <c r="L230" s="144">
        <v>1</v>
      </c>
      <c r="M230" s="144">
        <v>0</v>
      </c>
      <c r="N230" s="144">
        <v>0</v>
      </c>
      <c r="O230" s="144">
        <v>0</v>
      </c>
      <c r="Q230" s="1004">
        <f t="shared" si="299"/>
        <v>1</v>
      </c>
    </row>
    <row r="231" spans="2:17" x14ac:dyDescent="0.2">
      <c r="B231" s="1005">
        <v>45226</v>
      </c>
      <c r="D231" s="144">
        <v>0</v>
      </c>
      <c r="E231" s="144">
        <v>0</v>
      </c>
      <c r="F231" s="144">
        <v>0</v>
      </c>
      <c r="G231" s="144">
        <v>0</v>
      </c>
      <c r="H231" s="144">
        <v>0</v>
      </c>
      <c r="I231" s="144">
        <v>0</v>
      </c>
      <c r="J231" s="144">
        <v>0</v>
      </c>
      <c r="K231" s="144">
        <v>0</v>
      </c>
      <c r="L231" s="144">
        <v>1</v>
      </c>
      <c r="M231" s="144">
        <v>0</v>
      </c>
      <c r="N231" s="144">
        <v>0</v>
      </c>
      <c r="O231" s="144">
        <v>0</v>
      </c>
      <c r="Q231" s="1004">
        <f t="shared" si="299"/>
        <v>1</v>
      </c>
    </row>
    <row r="232" spans="2:17" x14ac:dyDescent="0.2">
      <c r="B232" s="1005">
        <v>45286</v>
      </c>
      <c r="D232" s="144">
        <v>1</v>
      </c>
      <c r="E232" s="144">
        <v>0</v>
      </c>
      <c r="F232" s="144">
        <v>0</v>
      </c>
      <c r="G232" s="144">
        <v>0</v>
      </c>
      <c r="H232" s="144">
        <v>0</v>
      </c>
      <c r="I232" s="144">
        <v>0</v>
      </c>
      <c r="J232" s="144">
        <v>0</v>
      </c>
      <c r="K232" s="144">
        <v>0</v>
      </c>
      <c r="L232" s="144">
        <v>0</v>
      </c>
      <c r="M232" s="144">
        <v>0</v>
      </c>
      <c r="N232" s="144">
        <v>0</v>
      </c>
      <c r="O232" s="144">
        <v>0</v>
      </c>
      <c r="Q232" s="1004">
        <f t="shared" si="299"/>
        <v>1</v>
      </c>
    </row>
    <row r="233" spans="2:17" x14ac:dyDescent="0.2">
      <c r="B233" s="1005">
        <v>45291</v>
      </c>
      <c r="D233" s="144">
        <v>0</v>
      </c>
      <c r="E233" s="144">
        <v>0</v>
      </c>
      <c r="F233" s="144">
        <v>0</v>
      </c>
      <c r="G233" s="144">
        <v>0</v>
      </c>
      <c r="H233" s="144">
        <v>0</v>
      </c>
      <c r="I233" s="144">
        <v>0</v>
      </c>
      <c r="J233" s="144">
        <v>0</v>
      </c>
      <c r="K233" s="144">
        <v>0</v>
      </c>
      <c r="L233" s="144">
        <v>0</v>
      </c>
      <c r="M233" s="144">
        <v>0</v>
      </c>
      <c r="N233" s="144">
        <v>0</v>
      </c>
      <c r="O233" s="144">
        <v>1</v>
      </c>
      <c r="Q233" s="1004">
        <f t="shared" si="299"/>
        <v>1</v>
      </c>
    </row>
    <row r="234" spans="2:17" x14ac:dyDescent="0.2">
      <c r="B234" s="1005"/>
      <c r="Q234" s="1004">
        <f t="shared" si="299"/>
        <v>0</v>
      </c>
    </row>
    <row r="235" spans="2:17" x14ac:dyDescent="0.2">
      <c r="B235" s="1005"/>
      <c r="Q235" s="1004">
        <f t="shared" si="299"/>
        <v>0</v>
      </c>
    </row>
    <row r="236" spans="2:17" x14ac:dyDescent="0.2">
      <c r="B236" s="1005"/>
      <c r="Q236" s="1004">
        <f t="shared" si="299"/>
        <v>0</v>
      </c>
    </row>
    <row r="237" spans="2:17" x14ac:dyDescent="0.2">
      <c r="B237" s="1005"/>
      <c r="Q237" s="1004">
        <f t="shared" si="299"/>
        <v>0</v>
      </c>
    </row>
    <row r="238" spans="2:17" x14ac:dyDescent="0.2">
      <c r="B238" s="1005"/>
      <c r="Q238" s="1004">
        <f t="shared" si="299"/>
        <v>0</v>
      </c>
    </row>
    <row r="239" spans="2:17" x14ac:dyDescent="0.2">
      <c r="B239" s="1005"/>
      <c r="Q239" s="1004">
        <f t="shared" si="299"/>
        <v>0</v>
      </c>
    </row>
    <row r="240" spans="2:17" x14ac:dyDescent="0.2">
      <c r="B240" s="1005"/>
      <c r="Q240" s="1004">
        <f t="shared" si="299"/>
        <v>0</v>
      </c>
    </row>
    <row r="241" spans="2:17" x14ac:dyDescent="0.2">
      <c r="B241" s="1005"/>
      <c r="Q241" s="1004">
        <f t="shared" si="299"/>
        <v>0</v>
      </c>
    </row>
    <row r="242" spans="2:17" x14ac:dyDescent="0.2">
      <c r="B242" s="1005"/>
      <c r="Q242" s="1004">
        <f t="shared" si="299"/>
        <v>0</v>
      </c>
    </row>
    <row r="243" spans="2:17" x14ac:dyDescent="0.2">
      <c r="B243" s="1005"/>
      <c r="Q243" s="1004">
        <f t="shared" si="299"/>
        <v>0</v>
      </c>
    </row>
    <row r="244" spans="2:17" x14ac:dyDescent="0.2">
      <c r="B244" s="1005"/>
      <c r="Q244" s="1004">
        <f t="shared" si="299"/>
        <v>0</v>
      </c>
    </row>
    <row r="245" spans="2:17" x14ac:dyDescent="0.2">
      <c r="B245" s="1005"/>
      <c r="Q245" s="1004">
        <f t="shared" si="299"/>
        <v>0</v>
      </c>
    </row>
    <row r="246" spans="2:17" x14ac:dyDescent="0.2">
      <c r="B246" s="1005"/>
      <c r="Q246" s="1004">
        <f t="shared" si="299"/>
        <v>0</v>
      </c>
    </row>
    <row r="247" spans="2:17" x14ac:dyDescent="0.2">
      <c r="B247" s="1005"/>
      <c r="Q247" s="1004">
        <f t="shared" si="299"/>
        <v>0</v>
      </c>
    </row>
    <row r="248" spans="2:17" x14ac:dyDescent="0.2">
      <c r="B248" s="1005"/>
      <c r="Q248" s="1004">
        <f t="shared" si="299"/>
        <v>0</v>
      </c>
    </row>
    <row r="249" spans="2:17" x14ac:dyDescent="0.2">
      <c r="B249" s="1005"/>
      <c r="Q249" s="1004">
        <f t="shared" si="299"/>
        <v>0</v>
      </c>
    </row>
    <row r="250" spans="2:17" x14ac:dyDescent="0.2">
      <c r="B250" s="1005"/>
      <c r="Q250" s="1004">
        <f t="shared" si="299"/>
        <v>0</v>
      </c>
    </row>
    <row r="251" spans="2:17" x14ac:dyDescent="0.2">
      <c r="B251" s="1005"/>
      <c r="Q251" s="1004">
        <f t="shared" si="299"/>
        <v>0</v>
      </c>
    </row>
    <row r="252" spans="2:17" x14ac:dyDescent="0.2">
      <c r="B252" s="1005"/>
      <c r="Q252" s="1004">
        <f t="shared" si="299"/>
        <v>0</v>
      </c>
    </row>
    <row r="253" spans="2:17" x14ac:dyDescent="0.2">
      <c r="B253" s="1005"/>
      <c r="Q253" s="1004">
        <f t="shared" si="299"/>
        <v>0</v>
      </c>
    </row>
    <row r="254" spans="2:17" x14ac:dyDescent="0.2">
      <c r="B254" s="1005"/>
      <c r="Q254" s="1004">
        <f t="shared" si="299"/>
        <v>0</v>
      </c>
    </row>
    <row r="255" spans="2:17" x14ac:dyDescent="0.2">
      <c r="B255" s="1005"/>
      <c r="Q255" s="1004">
        <f t="shared" si="299"/>
        <v>0</v>
      </c>
    </row>
    <row r="256" spans="2:17" x14ac:dyDescent="0.2">
      <c r="B256" s="1005"/>
      <c r="Q256" s="1004">
        <f t="shared" si="299"/>
        <v>0</v>
      </c>
    </row>
    <row r="257" spans="2:17" x14ac:dyDescent="0.2">
      <c r="B257" s="1005"/>
      <c r="Q257" s="1004">
        <f t="shared" si="299"/>
        <v>0</v>
      </c>
    </row>
    <row r="258" spans="2:17" x14ac:dyDescent="0.2">
      <c r="B258" s="1005"/>
      <c r="Q258" s="1004">
        <f t="shared" si="299"/>
        <v>0</v>
      </c>
    </row>
    <row r="259" spans="2:17" x14ac:dyDescent="0.2">
      <c r="B259" s="1005"/>
      <c r="Q259" s="1004">
        <f t="shared" si="299"/>
        <v>0</v>
      </c>
    </row>
    <row r="260" spans="2:17" x14ac:dyDescent="0.2">
      <c r="B260" s="1005"/>
      <c r="Q260" s="1004">
        <f t="shared" si="299"/>
        <v>0</v>
      </c>
    </row>
    <row r="261" spans="2:17" x14ac:dyDescent="0.2">
      <c r="B261" s="1005"/>
      <c r="Q261" s="1004">
        <f t="shared" ref="Q261:Q265" si="300">SUM(D261:O261)</f>
        <v>0</v>
      </c>
    </row>
    <row r="262" spans="2:17" x14ac:dyDescent="0.2">
      <c r="B262" s="1005"/>
      <c r="Q262" s="1004">
        <f t="shared" si="300"/>
        <v>0</v>
      </c>
    </row>
    <row r="263" spans="2:17" x14ac:dyDescent="0.2">
      <c r="B263" s="1005"/>
      <c r="Q263" s="1004">
        <f t="shared" si="300"/>
        <v>0</v>
      </c>
    </row>
    <row r="264" spans="2:17" x14ac:dyDescent="0.2">
      <c r="B264" s="1005"/>
      <c r="Q264" s="1004">
        <f t="shared" si="300"/>
        <v>0</v>
      </c>
    </row>
    <row r="265" spans="2:17" x14ac:dyDescent="0.2">
      <c r="B265" s="1005"/>
      <c r="Q265" s="1004">
        <f t="shared" si="300"/>
        <v>0</v>
      </c>
    </row>
  </sheetData>
  <mergeCells count="12">
    <mergeCell ref="Y27:Z27"/>
    <mergeCell ref="AA27:AC27"/>
    <mergeCell ref="AD27:AF27"/>
    <mergeCell ref="S6:T6"/>
    <mergeCell ref="U6:V6"/>
    <mergeCell ref="S27:T27"/>
    <mergeCell ref="U27:V27"/>
    <mergeCell ref="D66:J66"/>
    <mergeCell ref="F6:K6"/>
    <mergeCell ref="L6:M6"/>
    <mergeCell ref="N6:O6"/>
    <mergeCell ref="P6:Q6"/>
  </mergeCells>
  <conditionalFormatting sqref="L92:L115 B90:L91 B70:K89 B69:O69">
    <cfRule type="expression" dxfId="104" priority="5">
      <formula>$B69&lt;$D$4</formula>
    </cfRule>
  </conditionalFormatting>
  <conditionalFormatting sqref="AM22:FN22">
    <cfRule type="expression" dxfId="103" priority="4">
      <formula>AM21&gt;AM20</formula>
    </cfRule>
  </conditionalFormatting>
  <conditionalFormatting sqref="AI22">
    <cfRule type="expression" dxfId="102" priority="3">
      <formula>$AI$22="FIX COUNT"</formula>
    </cfRule>
  </conditionalFormatting>
  <conditionalFormatting sqref="AJ21">
    <cfRule type="containsText" dxfId="101" priority="1" operator="containsText" text="Ok">
      <formula>NOT(ISERROR(SEARCH("Ok",AJ21)))</formula>
    </cfRule>
    <cfRule type="containsText" dxfId="100" priority="2" operator="containsText" text="Error">
      <formula>NOT(ISERROR(SEARCH("Error",AJ21)))</formula>
    </cfRule>
  </conditionalFormatting>
  <dataValidations disablePrompts="1" count="1">
    <dataValidation type="list" allowBlank="1" showInputMessage="1" showErrorMessage="1" sqref="P7" xr:uid="{371CCB9C-F62A-463A-A175-B1E4DF55199A}">
      <formula1>"90,60,30"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55C0-C887-4D42-A29C-CDB6F4CF78BD}">
  <sheetPr codeName="Sheet18">
    <tabColor rgb="FF002641"/>
    <pageSetUpPr fitToPage="1"/>
  </sheetPr>
  <dimension ref="A1:X87"/>
  <sheetViews>
    <sheetView showGridLines="0" zoomScale="85" zoomScaleNormal="85" zoomScaleSheetLayoutView="70" workbookViewId="0">
      <selection activeCell="G30" sqref="G30"/>
    </sheetView>
  </sheetViews>
  <sheetFormatPr defaultColWidth="0" defaultRowHeight="14.25" zeroHeight="1" x14ac:dyDescent="0.2"/>
  <cols>
    <col min="1" max="1" width="3.85546875" style="144" bestFit="1" customWidth="1"/>
    <col min="2" max="2" width="22" style="144" customWidth="1"/>
    <col min="3" max="3" width="17" style="144" bestFit="1" customWidth="1"/>
    <col min="4" max="4" width="12.5703125" style="144" customWidth="1"/>
    <col min="5" max="5" width="17.140625" style="144" bestFit="1" customWidth="1"/>
    <col min="6" max="6" width="3" style="144" customWidth="1"/>
    <col min="7" max="7" width="23.85546875" style="144" customWidth="1"/>
    <col min="8" max="8" width="12.42578125" style="144" bestFit="1" customWidth="1"/>
    <col min="9" max="9" width="29.5703125" style="144" customWidth="1"/>
    <col min="10" max="10" width="14.5703125" style="144" customWidth="1"/>
    <col min="11" max="11" width="11.85546875" style="144" bestFit="1" customWidth="1"/>
    <col min="12" max="12" width="9" style="144" customWidth="1"/>
    <col min="13" max="13" width="1.28515625" style="155" customWidth="1"/>
    <col min="14" max="14" width="24.7109375" style="144" customWidth="1"/>
    <col min="15" max="15" width="17.140625" style="144" bestFit="1" customWidth="1"/>
    <col min="16" max="16" width="14.5703125" style="144" customWidth="1"/>
    <col min="17" max="17" width="9.85546875" style="144" bestFit="1" customWidth="1"/>
    <col min="18" max="19" width="9.140625" style="144" bestFit="1" customWidth="1"/>
    <col min="20" max="24" width="9" style="144" customWidth="1"/>
    <col min="25" max="16384" width="9" style="144" hidden="1"/>
  </cols>
  <sheetData>
    <row r="1" spans="2:19" x14ac:dyDescent="0.2"/>
    <row r="2" spans="2:19" ht="19.5" x14ac:dyDescent="0.25">
      <c r="B2" s="167" t="s">
        <v>473</v>
      </c>
      <c r="C2" s="490"/>
      <c r="D2" s="490"/>
      <c r="E2" s="490"/>
    </row>
    <row r="3" spans="2:19" ht="18" x14ac:dyDescent="0.25">
      <c r="B3" s="168" t="str">
        <f>Name</f>
        <v>Property Name</v>
      </c>
      <c r="C3" s="490"/>
      <c r="D3" s="490"/>
      <c r="E3" s="490"/>
    </row>
    <row r="4" spans="2:19" ht="15" thickBot="1" x14ac:dyDescent="0.25">
      <c r="B4" s="479"/>
      <c r="C4" s="490"/>
      <c r="D4" s="490"/>
      <c r="E4" s="490"/>
    </row>
    <row r="5" spans="2:19" ht="15" thickBot="1" x14ac:dyDescent="0.25">
      <c r="B5" s="766" t="s">
        <v>407</v>
      </c>
      <c r="C5" s="767"/>
      <c r="D5" s="767"/>
      <c r="E5" s="768"/>
      <c r="G5" s="1387" t="s">
        <v>474</v>
      </c>
      <c r="H5" s="1388"/>
      <c r="I5" s="1389"/>
      <c r="J5" s="1390" t="s">
        <v>475</v>
      </c>
      <c r="K5" s="1390"/>
      <c r="L5" s="1391"/>
      <c r="N5" s="770" t="s">
        <v>476</v>
      </c>
      <c r="O5" s="769" t="s">
        <v>477</v>
      </c>
      <c r="P5" s="769" t="s">
        <v>478</v>
      </c>
      <c r="Q5" s="771" t="s">
        <v>440</v>
      </c>
      <c r="R5" s="772" t="s">
        <v>479</v>
      </c>
      <c r="S5" s="773" t="s">
        <v>238</v>
      </c>
    </row>
    <row r="6" spans="2:19" x14ac:dyDescent="0.2">
      <c r="B6" s="721" t="s">
        <v>754</v>
      </c>
      <c r="E6" s="774">
        <v>44470</v>
      </c>
      <c r="G6" s="775"/>
      <c r="H6" s="776"/>
      <c r="I6" s="777" t="s">
        <v>478</v>
      </c>
      <c r="J6" s="778" t="s">
        <v>440</v>
      </c>
      <c r="K6" s="779" t="s">
        <v>479</v>
      </c>
      <c r="L6" s="780" t="s">
        <v>238</v>
      </c>
      <c r="N6" s="781" t="s">
        <v>480</v>
      </c>
      <c r="O6" s="782">
        <v>0.05</v>
      </c>
      <c r="P6" s="161" t="str">
        <f>INDEX(Table5[Payroll Sub-Account],MATCH('Opex Budget'!N6,Table5[Payroll Taxes &amp; Benefits],0))</f>
        <v>Bonuses</v>
      </c>
      <c r="Q6" s="783">
        <f>IF(OR(O6=0,O6=""),"",O6*SUMIF($I$8:$I$14,"Payroll - Management",$J$8:$J$14))</f>
        <v>5500</v>
      </c>
      <c r="R6" s="784">
        <f>IFERROR(Q6/units,"")</f>
        <v>22.540983606557376</v>
      </c>
      <c r="S6" s="785">
        <f>IFERROR(Q6/12,"")</f>
        <v>458.33333333333331</v>
      </c>
    </row>
    <row r="7" spans="2:19" x14ac:dyDescent="0.2">
      <c r="B7" s="721" t="s">
        <v>755</v>
      </c>
      <c r="E7" s="786"/>
      <c r="G7" s="787" t="s">
        <v>481</v>
      </c>
      <c r="H7" s="788"/>
      <c r="I7" s="161"/>
      <c r="J7" s="789"/>
      <c r="K7" s="790"/>
      <c r="L7" s="791"/>
      <c r="N7" s="781" t="s">
        <v>482</v>
      </c>
      <c r="O7" s="782">
        <v>0.05</v>
      </c>
      <c r="P7" s="161" t="str">
        <f>INDEX(Table5[Payroll Sub-Account],MATCH('Opex Budget'!N7,Table5[Payroll Taxes &amp; Benefits],0))</f>
        <v>Bonuses</v>
      </c>
      <c r="Q7" s="783">
        <f>IF(OR(O7=0,O7=""),"",O7*SUMIF($I$8:$I$14,"Payroll - Leasing",$J$8:$J$14))</f>
        <v>2500</v>
      </c>
      <c r="R7" s="784">
        <f>IFERROR(Q7/units,"")</f>
        <v>10.245901639344263</v>
      </c>
      <c r="S7" s="785">
        <f t="shared" ref="S7:S8" si="0">IFERROR(Q7/12,"")</f>
        <v>208.33333333333334</v>
      </c>
    </row>
    <row r="8" spans="2:19" ht="15" thickBot="1" x14ac:dyDescent="0.25">
      <c r="B8" s="721" t="s">
        <v>756</v>
      </c>
      <c r="E8" s="792"/>
      <c r="G8" s="793" t="s">
        <v>483</v>
      </c>
      <c r="I8" s="161" t="str">
        <f>IFERROR(INDEX(Table3[Payroll Sub-Account],MATCH('Opex Budget'!G8,Table3[Management Staff],0)),"")</f>
        <v>Payroll - Management</v>
      </c>
      <c r="J8" s="794">
        <v>65000</v>
      </c>
      <c r="K8" s="795">
        <f t="shared" ref="K8:K14" si="1">IF(OR(J8=0,J8=""),"",J8/units)</f>
        <v>266.39344262295083</v>
      </c>
      <c r="L8" s="785">
        <f>IF(OR(J8=0,J8=""),"",J8/12)</f>
        <v>5416.666666666667</v>
      </c>
      <c r="N8" s="781" t="s">
        <v>484</v>
      </c>
      <c r="O8" s="782">
        <v>0</v>
      </c>
      <c r="P8" s="161" t="str">
        <f>INDEX(Table5[Payroll Sub-Account],MATCH('Opex Budget'!N8,Table5[Payroll Taxes &amp; Benefits],0))</f>
        <v>Bonuses</v>
      </c>
      <c r="Q8" s="783" t="str">
        <f>IF(OR(O8=0,O8=""),"",O8*J26)</f>
        <v/>
      </c>
      <c r="R8" s="784" t="str">
        <f>IFERROR(Q8/units,"")</f>
        <v/>
      </c>
      <c r="S8" s="785" t="str">
        <f t="shared" si="0"/>
        <v/>
      </c>
    </row>
    <row r="9" spans="2:19" x14ac:dyDescent="0.2">
      <c r="B9" s="721" t="s">
        <v>757</v>
      </c>
      <c r="E9" s="796"/>
      <c r="G9" s="793" t="s">
        <v>485</v>
      </c>
      <c r="I9" s="161" t="str">
        <f>IFERROR(INDEX(Table3[Payroll Sub-Account],MATCH('Opex Budget'!G9,Table3[Management Staff],0)),"")</f>
        <v>Payroll - Leasing</v>
      </c>
      <c r="J9" s="794">
        <v>50000</v>
      </c>
      <c r="K9" s="795">
        <f t="shared" si="1"/>
        <v>204.91803278688525</v>
      </c>
      <c r="L9" s="785">
        <f t="shared" ref="L9:L14" si="2">IF(OR(J9=0,J9=""),"",J9/12)</f>
        <v>4166.666666666667</v>
      </c>
      <c r="N9" s="797" t="s">
        <v>486</v>
      </c>
      <c r="O9" s="798">
        <f>IFERROR(Q9/J28,"")</f>
        <v>2.5396825396825397E-2</v>
      </c>
      <c r="P9" s="799"/>
      <c r="Q9" s="800">
        <f>SUM(Q6:Q8)</f>
        <v>8000</v>
      </c>
      <c r="R9" s="801">
        <f>IFERROR(Q9/units,0)</f>
        <v>32.786885245901637</v>
      </c>
      <c r="S9" s="802">
        <f t="shared" ref="S9" si="3">IFERROR(Q9/12,0)</f>
        <v>666.66666666666663</v>
      </c>
    </row>
    <row r="10" spans="2:19" x14ac:dyDescent="0.2">
      <c r="B10" s="721" t="s">
        <v>490</v>
      </c>
      <c r="E10" s="796"/>
      <c r="G10" s="793" t="s">
        <v>541</v>
      </c>
      <c r="I10" s="161" t="str">
        <f>IFERROR(INDEX(Table3[Payroll Sub-Account],MATCH('Opex Budget'!G10,Table3[Management Staff],0)),"")</f>
        <v>Payroll - Management</v>
      </c>
      <c r="J10" s="794">
        <v>45000</v>
      </c>
      <c r="K10" s="795">
        <f t="shared" si="1"/>
        <v>184.42622950819671</v>
      </c>
      <c r="L10" s="785">
        <f t="shared" si="2"/>
        <v>3750</v>
      </c>
      <c r="N10" s="803"/>
      <c r="O10" s="804"/>
      <c r="P10" s="805"/>
      <c r="Q10" s="806"/>
      <c r="R10" s="807"/>
      <c r="S10" s="808"/>
    </row>
    <row r="11" spans="2:19" x14ac:dyDescent="0.2">
      <c r="B11" s="721" t="s">
        <v>758</v>
      </c>
      <c r="E11" s="809">
        <v>826500</v>
      </c>
      <c r="G11" s="793"/>
      <c r="I11" s="161" t="str">
        <f>IFERROR(INDEX(Table3[Payroll Sub-Account],MATCH('Opex Budget'!G11,Table3[Management Staff],0)),"")</f>
        <v/>
      </c>
      <c r="J11" s="794"/>
      <c r="K11" s="795" t="str">
        <f t="shared" si="1"/>
        <v/>
      </c>
      <c r="L11" s="785" t="str">
        <f t="shared" si="2"/>
        <v/>
      </c>
      <c r="N11" s="810" t="s">
        <v>488</v>
      </c>
      <c r="O11" s="811"/>
      <c r="P11" s="811"/>
      <c r="Q11" s="812">
        <f>Q9+J28</f>
        <v>323000</v>
      </c>
      <c r="R11" s="813">
        <f>IFERROR(Q11/units,0)</f>
        <v>1323.7704918032787</v>
      </c>
      <c r="S11" s="814">
        <f>IFERROR(Q11/12,0)</f>
        <v>26916.666666666668</v>
      </c>
    </row>
    <row r="12" spans="2:19" x14ac:dyDescent="0.2">
      <c r="B12" s="721" t="s">
        <v>759</v>
      </c>
      <c r="E12" s="809">
        <v>7842000</v>
      </c>
      <c r="G12" s="793"/>
      <c r="I12" s="161" t="str">
        <f>IFERROR(INDEX(Table3[Payroll Sub-Account],MATCH('Opex Budget'!G12,Table3[Management Staff],0)),"")</f>
        <v/>
      </c>
      <c r="J12" s="794"/>
      <c r="K12" s="795" t="str">
        <f t="shared" si="1"/>
        <v/>
      </c>
      <c r="L12" s="785" t="str">
        <f t="shared" si="2"/>
        <v/>
      </c>
      <c r="N12" s="815"/>
      <c r="O12" s="816"/>
      <c r="P12" s="816"/>
      <c r="Q12" s="817"/>
      <c r="R12" s="818"/>
      <c r="S12" s="819"/>
    </row>
    <row r="13" spans="2:19" x14ac:dyDescent="0.2">
      <c r="B13" s="820" t="s">
        <v>760</v>
      </c>
      <c r="C13" s="821"/>
      <c r="D13" s="821"/>
      <c r="E13" s="822">
        <f>SUM(E11:E12)</f>
        <v>8668500</v>
      </c>
      <c r="G13" s="793"/>
      <c r="I13" s="161" t="str">
        <f>IFERROR(INDEX(Table3[Payroll Sub-Account],MATCH('Opex Budget'!G13,Table3[Management Staff],0)),"")</f>
        <v/>
      </c>
      <c r="J13" s="794"/>
      <c r="K13" s="795" t="str">
        <f t="shared" si="1"/>
        <v/>
      </c>
      <c r="L13" s="785" t="str">
        <f t="shared" si="2"/>
        <v/>
      </c>
      <c r="N13" s="823" t="s">
        <v>489</v>
      </c>
      <c r="O13" s="824" t="s">
        <v>477</v>
      </c>
      <c r="P13" s="824" t="s">
        <v>478</v>
      </c>
      <c r="Q13" s="825" t="s">
        <v>440</v>
      </c>
      <c r="R13" s="826" t="s">
        <v>479</v>
      </c>
      <c r="S13" s="827" t="s">
        <v>238</v>
      </c>
    </row>
    <row r="14" spans="2:19" ht="15" thickBot="1" x14ac:dyDescent="0.25">
      <c r="B14" s="721" t="s">
        <v>761</v>
      </c>
      <c r="E14" s="754">
        <v>0.06</v>
      </c>
      <c r="G14" s="793"/>
      <c r="I14" s="161" t="str">
        <f>IFERROR(INDEX(Table3[Payroll Sub-Account],MATCH('Opex Budget'!G14,Table3[Management Staff],0)),"")</f>
        <v/>
      </c>
      <c r="J14" s="794"/>
      <c r="K14" s="795" t="str">
        <f t="shared" si="1"/>
        <v/>
      </c>
      <c r="L14" s="785" t="str">
        <f t="shared" si="2"/>
        <v/>
      </c>
      <c r="N14" s="781" t="s">
        <v>491</v>
      </c>
      <c r="O14" s="782">
        <v>0.04</v>
      </c>
      <c r="P14" s="161" t="str">
        <f>INDEX(Table5[Payroll Sub-Account],MATCH('Opex Budget'!N14,Table5[Payroll Taxes &amp; Benefits],0))</f>
        <v>Payroll Taxes</v>
      </c>
      <c r="Q14" s="783">
        <f>IF(OR(O14=0,O14=""),"",O14*$Q$11)</f>
        <v>12920</v>
      </c>
      <c r="R14" s="784">
        <f>IFERROR(Q14/units,"")</f>
        <v>52.950819672131146</v>
      </c>
      <c r="S14" s="785">
        <f t="shared" ref="S14:S17" si="4">IFERROR(Q14/12,"")</f>
        <v>1076.6666666666667</v>
      </c>
    </row>
    <row r="15" spans="2:19" x14ac:dyDescent="0.2">
      <c r="B15" s="820" t="s">
        <v>762</v>
      </c>
      <c r="C15" s="828"/>
      <c r="D15" s="828"/>
      <c r="E15" s="822">
        <f>E14*E13</f>
        <v>520110</v>
      </c>
      <c r="G15" s="797" t="s">
        <v>492</v>
      </c>
      <c r="H15" s="829"/>
      <c r="I15" s="799"/>
      <c r="J15" s="830">
        <f>SUM(J8:J14)</f>
        <v>160000</v>
      </c>
      <c r="K15" s="801">
        <f>IFERROR(J15/units,0)</f>
        <v>655.73770491803282</v>
      </c>
      <c r="L15" s="831">
        <f>IFERROR(J15/12,0)</f>
        <v>13333.333333333334</v>
      </c>
      <c r="N15" s="781" t="s">
        <v>493</v>
      </c>
      <c r="O15" s="832">
        <v>20</v>
      </c>
      <c r="P15" s="161" t="str">
        <f>INDEX(Table5[Payroll Sub-Account],MATCH('Opex Budget'!N15,Table5[Payroll Taxes &amp; Benefits],0))</f>
        <v>Health Benefits</v>
      </c>
      <c r="Q15" s="783">
        <f>IF(OR(O15=0,O15=""),"",O26*12*O15)</f>
        <v>1440</v>
      </c>
      <c r="R15" s="784">
        <f>IFERROR(Q15/units,"")</f>
        <v>5.9016393442622954</v>
      </c>
      <c r="S15" s="785">
        <f t="shared" si="4"/>
        <v>120</v>
      </c>
    </row>
    <row r="16" spans="2:19" x14ac:dyDescent="0.2">
      <c r="B16" s="721" t="s">
        <v>763</v>
      </c>
      <c r="E16" s="833">
        <v>3.3000000000000002E-2</v>
      </c>
      <c r="G16" s="834" t="s">
        <v>494</v>
      </c>
      <c r="H16" s="835"/>
      <c r="I16" s="836"/>
      <c r="J16" s="837"/>
      <c r="K16" s="795"/>
      <c r="L16" s="838"/>
      <c r="M16" s="144"/>
      <c r="N16" s="781" t="s">
        <v>225</v>
      </c>
      <c r="O16" s="782"/>
      <c r="P16" s="161" t="str">
        <f>INDEX(Table5[Payroll Sub-Account],MATCH('Opex Budget'!N16,Table5[Payroll Taxes &amp; Benefits],0))</f>
        <v>Other Payroll</v>
      </c>
      <c r="Q16" s="783" t="str">
        <f>IF(OR(O16=0,O16=""),"",O16*$Q$11)</f>
        <v/>
      </c>
      <c r="R16" s="784" t="str">
        <f>IFERROR(Q16/units,"")</f>
        <v/>
      </c>
      <c r="S16" s="785" t="str">
        <f t="shared" si="4"/>
        <v/>
      </c>
    </row>
    <row r="17" spans="1:19" ht="15" thickBot="1" x14ac:dyDescent="0.25">
      <c r="B17" s="707" t="s">
        <v>764</v>
      </c>
      <c r="C17" s="708"/>
      <c r="D17" s="708"/>
      <c r="E17" s="839">
        <f>E16*E15</f>
        <v>17163.63</v>
      </c>
      <c r="G17" s="793" t="s">
        <v>495</v>
      </c>
      <c r="I17" s="161" t="str">
        <f>IFERROR(INDEX(Table4[Payroll Sub-Account],MATCH('Opex Budget'!G17,Table4[Maitenance Staff],0)),"")</f>
        <v>Payroll - Maintenance</v>
      </c>
      <c r="J17" s="794">
        <v>65000</v>
      </c>
      <c r="K17" s="795">
        <f t="shared" ref="K17:K25" si="5">IF(OR(J17=0,J17=""),"",J17/units)</f>
        <v>266.39344262295083</v>
      </c>
      <c r="L17" s="838">
        <f t="shared" ref="L17:L25" si="6">IF(OR(J17=0,J17=""),"",J17/12)</f>
        <v>5416.666666666667</v>
      </c>
      <c r="M17" s="144"/>
      <c r="N17" s="781" t="s">
        <v>496</v>
      </c>
      <c r="O17" s="782"/>
      <c r="P17" s="161" t="str">
        <f>INDEX(Table5[Payroll Sub-Account],MATCH('Opex Budget'!N17,Table5[Payroll Taxes &amp; Benefits],0))</f>
        <v>Other Payroll</v>
      </c>
      <c r="Q17" s="783" t="str">
        <f>IF(OR(O17=0,O17=""),"",O17*$Q$11)</f>
        <v/>
      </c>
      <c r="R17" s="784" t="str">
        <f>IFERROR(Q17/units,"")</f>
        <v/>
      </c>
      <c r="S17" s="785" t="str">
        <f t="shared" si="4"/>
        <v/>
      </c>
    </row>
    <row r="18" spans="1:19" x14ac:dyDescent="0.2">
      <c r="B18" s="721"/>
      <c r="E18" s="703"/>
      <c r="G18" s="793" t="s">
        <v>497</v>
      </c>
      <c r="I18" s="161" t="str">
        <f>IFERROR(INDEX(Table4[Payroll Sub-Account],MATCH('Opex Budget'!G18,Table4[Maitenance Staff],0)),"")</f>
        <v>Payroll - Maintenance</v>
      </c>
      <c r="J18" s="794">
        <v>50000</v>
      </c>
      <c r="K18" s="795">
        <f t="shared" si="5"/>
        <v>204.91803278688525</v>
      </c>
      <c r="L18" s="838">
        <f t="shared" si="6"/>
        <v>4166.666666666667</v>
      </c>
      <c r="M18" s="144"/>
      <c r="N18" s="797" t="s">
        <v>498</v>
      </c>
      <c r="O18" s="840">
        <f>IFERROR(Q18/Q11,"")</f>
        <v>4.4458204334365328E-2</v>
      </c>
      <c r="P18" s="841"/>
      <c r="Q18" s="800">
        <f>SUM(Q14:Q17)</f>
        <v>14360</v>
      </c>
      <c r="R18" s="801">
        <f>IFERROR(Q18/units,0)</f>
        <v>58.852459016393439</v>
      </c>
      <c r="S18" s="802">
        <f t="shared" ref="S18" si="7">IFERROR(Q18/12,0)</f>
        <v>1196.6666666666667</v>
      </c>
    </row>
    <row r="19" spans="1:19" x14ac:dyDescent="0.2">
      <c r="B19" s="842" t="s">
        <v>765</v>
      </c>
      <c r="E19" s="703"/>
      <c r="G19" s="793" t="s">
        <v>497</v>
      </c>
      <c r="I19" s="161" t="str">
        <f>IFERROR(INDEX(Table4[Payroll Sub-Account],MATCH('Opex Budget'!G19,Table4[Maitenance Staff],0)),"")</f>
        <v>Payroll - Maintenance</v>
      </c>
      <c r="J19" s="794">
        <v>40000</v>
      </c>
      <c r="K19" s="795">
        <f t="shared" si="5"/>
        <v>163.9344262295082</v>
      </c>
      <c r="L19" s="838">
        <f t="shared" si="6"/>
        <v>3333.3333333333335</v>
      </c>
      <c r="M19" s="144"/>
      <c r="N19" s="803"/>
      <c r="O19" s="843"/>
      <c r="P19" s="161"/>
      <c r="Q19" s="806"/>
      <c r="R19" s="807"/>
      <c r="S19" s="808"/>
    </row>
    <row r="20" spans="1:19" x14ac:dyDescent="0.2">
      <c r="B20" s="721" t="s">
        <v>767</v>
      </c>
      <c r="E20" s="809">
        <v>35000000</v>
      </c>
      <c r="G20" s="793" t="s">
        <v>499</v>
      </c>
      <c r="I20" s="161" t="str">
        <f>IFERROR(INDEX(Table4[Payroll Sub-Account],MATCH('Opex Budget'!G20,Table4[Maitenance Staff],0)),"")</f>
        <v>Payroll - Maids/Porters</v>
      </c>
      <c r="J20" s="794">
        <v>0</v>
      </c>
      <c r="K20" s="795" t="str">
        <f t="shared" si="5"/>
        <v/>
      </c>
      <c r="L20" s="838" t="str">
        <f t="shared" si="6"/>
        <v/>
      </c>
      <c r="M20" s="144"/>
      <c r="N20" s="810" t="s">
        <v>500</v>
      </c>
      <c r="O20" s="686"/>
      <c r="P20" s="811"/>
      <c r="Q20" s="812">
        <f>Q18+Q11</f>
        <v>337360</v>
      </c>
      <c r="R20" s="813">
        <f>IFERROR(Q20/units,0)</f>
        <v>1382.622950819672</v>
      </c>
      <c r="S20" s="814">
        <f>IFERROR(Q20/12,0)</f>
        <v>28113.333333333332</v>
      </c>
    </row>
    <row r="21" spans="1:19" ht="15" thickBot="1" x14ac:dyDescent="0.25">
      <c r="B21" s="721" t="s">
        <v>487</v>
      </c>
      <c r="E21" s="844">
        <f>E20*E14</f>
        <v>2100000</v>
      </c>
      <c r="G21" s="793"/>
      <c r="I21" s="161" t="str">
        <f>IFERROR(INDEX(Table4[Payroll Sub-Account],MATCH('Opex Budget'!G21,Table4[Maitenance Staff],0)),"")</f>
        <v/>
      </c>
      <c r="J21" s="794"/>
      <c r="K21" s="795" t="str">
        <f t="shared" si="5"/>
        <v/>
      </c>
      <c r="L21" s="838" t="str">
        <f t="shared" si="6"/>
        <v/>
      </c>
      <c r="M21" s="144"/>
      <c r="N21" s="781"/>
      <c r="O21" s="490"/>
      <c r="P21" s="161"/>
      <c r="Q21" s="490"/>
      <c r="R21" s="490"/>
      <c r="S21" s="845"/>
    </row>
    <row r="22" spans="1:19" x14ac:dyDescent="0.2">
      <c r="B22" s="846" t="s">
        <v>766</v>
      </c>
      <c r="C22" s="847"/>
      <c r="D22" s="847"/>
      <c r="E22" s="848">
        <f>E21*E16</f>
        <v>69300</v>
      </c>
      <c r="G22" s="793"/>
      <c r="I22" s="161" t="str">
        <f>IFERROR(INDEX(Table4[Payroll Sub-Account],MATCH('Opex Budget'!G22,Table4[Maitenance Staff],0)),"")</f>
        <v/>
      </c>
      <c r="J22" s="794"/>
      <c r="K22" s="795" t="str">
        <f t="shared" si="5"/>
        <v/>
      </c>
      <c r="L22" s="838" t="str">
        <f t="shared" si="6"/>
        <v/>
      </c>
      <c r="M22" s="144"/>
      <c r="N22" s="797" t="s">
        <v>501</v>
      </c>
      <c r="O22" s="849">
        <f>units</f>
        <v>244</v>
      </c>
      <c r="P22" s="161"/>
      <c r="Q22" s="490"/>
      <c r="R22" s="490"/>
      <c r="S22" s="845"/>
    </row>
    <row r="23" spans="1:19" x14ac:dyDescent="0.2">
      <c r="B23" s="721"/>
      <c r="E23" s="703"/>
      <c r="G23" s="793"/>
      <c r="I23" s="161" t="str">
        <f>IFERROR(INDEX(Table4[Payroll Sub-Account],MATCH('Opex Budget'!G23,Table4[Maitenance Staff],0)),"")</f>
        <v/>
      </c>
      <c r="J23" s="794"/>
      <c r="K23" s="795" t="str">
        <f t="shared" si="5"/>
        <v/>
      </c>
      <c r="L23" s="838" t="str">
        <f t="shared" si="6"/>
        <v/>
      </c>
      <c r="M23" s="144"/>
      <c r="N23" s="781"/>
      <c r="O23" s="850"/>
      <c r="P23" s="161"/>
      <c r="Q23" s="490"/>
      <c r="R23" s="490"/>
      <c r="S23" s="845"/>
    </row>
    <row r="24" spans="1:19" x14ac:dyDescent="0.2">
      <c r="B24" s="721"/>
      <c r="E24" s="703"/>
      <c r="G24" s="793"/>
      <c r="I24" s="161" t="str">
        <f>IFERROR(INDEX(Table4[Payroll Sub-Account],MATCH('Opex Budget'!G24,Table4[Maitenance Staff],0)),"")</f>
        <v/>
      </c>
      <c r="J24" s="794"/>
      <c r="K24" s="795" t="str">
        <f t="shared" si="5"/>
        <v/>
      </c>
      <c r="L24" s="838" t="str">
        <f t="shared" si="6"/>
        <v/>
      </c>
      <c r="M24" s="144"/>
      <c r="N24" s="781" t="s">
        <v>502</v>
      </c>
      <c r="O24" s="850">
        <f>COUNTIF(J8:J14,"&gt;0")</f>
        <v>3</v>
      </c>
      <c r="P24" s="161"/>
      <c r="Q24" s="490"/>
      <c r="R24" s="490"/>
      <c r="S24" s="845"/>
    </row>
    <row r="25" spans="1:19" ht="15" thickBot="1" x14ac:dyDescent="0.25">
      <c r="B25" s="757"/>
      <c r="C25" s="758"/>
      <c r="D25" s="758"/>
      <c r="E25" s="851"/>
      <c r="G25" s="793"/>
      <c r="I25" s="161" t="str">
        <f>IFERROR(INDEX(Table4[Payroll Sub-Account],MATCH('Opex Budget'!G25,Table4[Maitenance Staff],0)),"")</f>
        <v/>
      </c>
      <c r="J25" s="794"/>
      <c r="K25" s="795" t="str">
        <f t="shared" si="5"/>
        <v/>
      </c>
      <c r="L25" s="838" t="str">
        <f t="shared" si="6"/>
        <v/>
      </c>
      <c r="M25" s="144"/>
      <c r="N25" s="781" t="s">
        <v>503</v>
      </c>
      <c r="O25" s="850">
        <f>COUNTIF(J17:J25,"&gt;0")</f>
        <v>3</v>
      </c>
      <c r="P25" s="161"/>
      <c r="Q25" s="490"/>
      <c r="R25" s="490"/>
      <c r="S25" s="845"/>
    </row>
    <row r="26" spans="1:19" x14ac:dyDescent="0.2">
      <c r="E26" s="550"/>
      <c r="G26" s="797" t="s">
        <v>504</v>
      </c>
      <c r="H26" s="829"/>
      <c r="I26" s="799"/>
      <c r="J26" s="830">
        <f>SUM(J17:J25)</f>
        <v>155000</v>
      </c>
      <c r="K26" s="801">
        <f>IFERROR(J26/units,0)</f>
        <v>635.24590163934431</v>
      </c>
      <c r="L26" s="831">
        <f>IFERROR(J26/12,0)</f>
        <v>12916.666666666666</v>
      </c>
      <c r="M26" s="144"/>
      <c r="N26" s="797" t="s">
        <v>505</v>
      </c>
      <c r="O26" s="849">
        <f>SUM(O24:O25)</f>
        <v>6</v>
      </c>
      <c r="P26" s="161"/>
      <c r="Q26" s="490"/>
      <c r="R26" s="490"/>
      <c r="S26" s="845"/>
    </row>
    <row r="27" spans="1:19" x14ac:dyDescent="0.2">
      <c r="E27" s="148"/>
      <c r="G27" s="803"/>
      <c r="H27" s="479"/>
      <c r="I27" s="805"/>
      <c r="J27" s="852"/>
      <c r="K27" s="807"/>
      <c r="L27" s="853"/>
      <c r="M27" s="144"/>
      <c r="N27" s="781"/>
      <c r="O27" s="850"/>
      <c r="P27" s="161"/>
      <c r="Q27" s="490"/>
      <c r="R27" s="490"/>
      <c r="S27" s="845"/>
    </row>
    <row r="28" spans="1:19" ht="15" thickBot="1" x14ac:dyDescent="0.25">
      <c r="B28" s="145" t="s">
        <v>508</v>
      </c>
      <c r="D28" s="722"/>
      <c r="E28" s="722"/>
      <c r="G28" s="854" t="s">
        <v>507</v>
      </c>
      <c r="H28" s="855"/>
      <c r="I28" s="856"/>
      <c r="J28" s="857">
        <f>J26+J15</f>
        <v>315000</v>
      </c>
      <c r="K28" s="858">
        <f>IFERROR(J28/units,0)</f>
        <v>1290.983606557377</v>
      </c>
      <c r="L28" s="859">
        <f>IFERROR(J28/12,0)</f>
        <v>26250</v>
      </c>
      <c r="M28" s="144"/>
      <c r="N28" s="860" t="s">
        <v>833</v>
      </c>
      <c r="O28" s="861">
        <f>IFERROR(ROUND(O22/O26,0),0)</f>
        <v>41</v>
      </c>
      <c r="P28" s="862"/>
      <c r="Q28" s="863"/>
      <c r="R28" s="863"/>
      <c r="S28" s="864"/>
    </row>
    <row r="29" spans="1:19" x14ac:dyDescent="0.2">
      <c r="B29" s="865" t="s">
        <v>13</v>
      </c>
      <c r="C29" s="866" t="s">
        <v>509</v>
      </c>
      <c r="D29" s="722"/>
      <c r="E29" s="867"/>
      <c r="M29" s="144"/>
    </row>
    <row r="30" spans="1:19" x14ac:dyDescent="0.2">
      <c r="A30" s="144">
        <v>1</v>
      </c>
      <c r="B30" s="868">
        <f>YEAR(AnalysisStartDate)</f>
        <v>2023</v>
      </c>
      <c r="C30" s="1392">
        <v>305000</v>
      </c>
      <c r="D30" s="722"/>
      <c r="E30" s="722"/>
      <c r="M30" s="144"/>
    </row>
    <row r="31" spans="1:19" x14ac:dyDescent="0.2">
      <c r="A31" s="144">
        <f>A30+1</f>
        <v>2</v>
      </c>
      <c r="B31" s="868">
        <f>B30+1</f>
        <v>2024</v>
      </c>
      <c r="C31" s="844">
        <f>C30*(1+0.35)</f>
        <v>411750</v>
      </c>
      <c r="D31" s="869"/>
      <c r="E31" s="704"/>
    </row>
    <row r="32" spans="1:19" x14ac:dyDescent="0.2">
      <c r="A32" s="144">
        <f t="shared" ref="A32:B41" si="8">A31+1</f>
        <v>3</v>
      </c>
      <c r="B32" s="868">
        <f t="shared" si="8"/>
        <v>2025</v>
      </c>
      <c r="C32" s="844">
        <f t="shared" ref="C32:C41" si="9">C31*(1+tax_growth_rate)</f>
        <v>419985</v>
      </c>
      <c r="D32" s="722"/>
      <c r="E32" s="722"/>
      <c r="G32" s="479"/>
      <c r="H32" s="479"/>
      <c r="I32" s="805"/>
      <c r="J32" s="806"/>
      <c r="K32" s="806"/>
      <c r="L32" s="870"/>
    </row>
    <row r="33" spans="1:5" x14ac:dyDescent="0.2">
      <c r="A33" s="144">
        <f t="shared" si="8"/>
        <v>4</v>
      </c>
      <c r="B33" s="868">
        <f t="shared" si="8"/>
        <v>2026</v>
      </c>
      <c r="C33" s="844">
        <f t="shared" si="9"/>
        <v>428384.7</v>
      </c>
      <c r="E33" s="158"/>
    </row>
    <row r="34" spans="1:5" x14ac:dyDescent="0.2">
      <c r="A34" s="144">
        <f t="shared" si="8"/>
        <v>5</v>
      </c>
      <c r="B34" s="868">
        <f t="shared" si="8"/>
        <v>2027</v>
      </c>
      <c r="C34" s="844">
        <f t="shared" si="9"/>
        <v>436952.39400000003</v>
      </c>
      <c r="D34" s="722"/>
      <c r="E34" s="871"/>
    </row>
    <row r="35" spans="1:5" x14ac:dyDescent="0.2">
      <c r="A35" s="144">
        <f t="shared" si="8"/>
        <v>6</v>
      </c>
      <c r="B35" s="868">
        <f t="shared" si="8"/>
        <v>2028</v>
      </c>
      <c r="C35" s="844">
        <f t="shared" si="9"/>
        <v>445691.44188000006</v>
      </c>
      <c r="D35" s="722"/>
      <c r="E35" s="871"/>
    </row>
    <row r="36" spans="1:5" x14ac:dyDescent="0.2">
      <c r="A36" s="144">
        <f t="shared" si="8"/>
        <v>7</v>
      </c>
      <c r="B36" s="868">
        <f t="shared" si="8"/>
        <v>2029</v>
      </c>
      <c r="C36" s="844">
        <f t="shared" si="9"/>
        <v>454605.27071760007</v>
      </c>
      <c r="D36" s="722"/>
      <c r="E36" s="871"/>
    </row>
    <row r="37" spans="1:5" x14ac:dyDescent="0.2">
      <c r="A37" s="144">
        <f t="shared" si="8"/>
        <v>8</v>
      </c>
      <c r="B37" s="868">
        <f t="shared" si="8"/>
        <v>2030</v>
      </c>
      <c r="C37" s="844">
        <f t="shared" si="9"/>
        <v>463697.3761319521</v>
      </c>
      <c r="D37" s="722"/>
      <c r="E37" s="871"/>
    </row>
    <row r="38" spans="1:5" x14ac:dyDescent="0.2">
      <c r="A38" s="144">
        <f t="shared" si="8"/>
        <v>9</v>
      </c>
      <c r="B38" s="868">
        <f t="shared" si="8"/>
        <v>2031</v>
      </c>
      <c r="C38" s="844">
        <f t="shared" si="9"/>
        <v>472971.32365459116</v>
      </c>
      <c r="D38" s="722"/>
      <c r="E38" s="871"/>
    </row>
    <row r="39" spans="1:5" x14ac:dyDescent="0.2">
      <c r="A39" s="144">
        <f t="shared" si="8"/>
        <v>10</v>
      </c>
      <c r="B39" s="868">
        <f t="shared" si="8"/>
        <v>2032</v>
      </c>
      <c r="C39" s="844">
        <f t="shared" si="9"/>
        <v>482430.75012768299</v>
      </c>
      <c r="D39" s="722"/>
      <c r="E39" s="871"/>
    </row>
    <row r="40" spans="1:5" x14ac:dyDescent="0.2">
      <c r="A40" s="144">
        <f t="shared" si="8"/>
        <v>11</v>
      </c>
      <c r="B40" s="868">
        <f t="shared" si="8"/>
        <v>2033</v>
      </c>
      <c r="C40" s="844">
        <f t="shared" si="9"/>
        <v>492079.36513023666</v>
      </c>
      <c r="D40" s="722"/>
      <c r="E40" s="871"/>
    </row>
    <row r="41" spans="1:5" ht="15" thickBot="1" x14ac:dyDescent="0.25">
      <c r="A41" s="144">
        <f t="shared" si="8"/>
        <v>12</v>
      </c>
      <c r="B41" s="872">
        <f t="shared" si="8"/>
        <v>2034</v>
      </c>
      <c r="C41" s="873">
        <f t="shared" si="9"/>
        <v>501920.95243284141</v>
      </c>
      <c r="D41" s="722"/>
      <c r="E41" s="871"/>
    </row>
    <row r="42" spans="1:5" x14ac:dyDescent="0.2">
      <c r="B42" s="722"/>
      <c r="C42" s="722"/>
      <c r="D42" s="722"/>
      <c r="E42" s="871"/>
    </row>
    <row r="43" spans="1:5" x14ac:dyDescent="0.2">
      <c r="B43" s="722"/>
      <c r="C43" s="722"/>
      <c r="D43" s="722"/>
      <c r="E43" s="871"/>
    </row>
    <row r="44" spans="1:5" x14ac:dyDescent="0.2">
      <c r="B44" s="722"/>
      <c r="C44" s="722"/>
      <c r="D44" s="722"/>
      <c r="E44" s="871"/>
    </row>
    <row r="45" spans="1:5" x14ac:dyDescent="0.2">
      <c r="B45" s="722"/>
      <c r="C45" s="722"/>
      <c r="D45" s="722"/>
      <c r="E45" s="871"/>
    </row>
    <row r="46" spans="1:5" x14ac:dyDescent="0.2">
      <c r="B46" s="145"/>
      <c r="E46" s="874"/>
    </row>
    <row r="47" spans="1:5" x14ac:dyDescent="0.2"/>
    <row r="48" spans="1:5" x14ac:dyDescent="0.2">
      <c r="B48" s="875" t="s">
        <v>506</v>
      </c>
      <c r="E48" s="876">
        <f>E31*TaxRate</f>
        <v>0</v>
      </c>
    </row>
    <row r="49" spans="2:5" x14ac:dyDescent="0.2"/>
    <row r="50" spans="2:5" x14ac:dyDescent="0.2">
      <c r="B50" s="877"/>
    </row>
    <row r="51" spans="2:5" x14ac:dyDescent="0.2">
      <c r="E51" s="152"/>
    </row>
    <row r="52" spans="2:5" x14ac:dyDescent="0.2">
      <c r="E52" s="152"/>
    </row>
    <row r="53" spans="2:5" x14ac:dyDescent="0.2">
      <c r="E53" s="152"/>
    </row>
    <row r="54" spans="2:5" x14ac:dyDescent="0.2">
      <c r="E54" s="152"/>
    </row>
    <row r="55" spans="2:5" x14ac:dyDescent="0.2">
      <c r="E55" s="152"/>
    </row>
    <row r="56" spans="2:5" x14ac:dyDescent="0.2">
      <c r="E56" s="152"/>
    </row>
    <row r="57" spans="2:5" x14ac:dyDescent="0.2">
      <c r="E57" s="152"/>
    </row>
    <row r="58" spans="2:5" x14ac:dyDescent="0.2">
      <c r="E58" s="152"/>
    </row>
    <row r="59" spans="2:5" x14ac:dyDescent="0.2">
      <c r="E59" s="152"/>
    </row>
    <row r="60" spans="2:5" x14ac:dyDescent="0.2">
      <c r="E60" s="152"/>
    </row>
    <row r="61" spans="2:5" x14ac:dyDescent="0.2">
      <c r="E61" s="152"/>
    </row>
    <row r="62" spans="2:5" x14ac:dyDescent="0.2">
      <c r="E62" s="152"/>
    </row>
    <row r="63" spans="2:5" x14ac:dyDescent="0.2">
      <c r="E63" s="152"/>
    </row>
    <row r="64" spans="2:5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</sheetData>
  <mergeCells count="2">
    <mergeCell ref="G5:I5"/>
    <mergeCell ref="J5:L5"/>
  </mergeCells>
  <printOptions horizontalCentered="1"/>
  <pageMargins left="0.25" right="0.25" top="0.25" bottom="0.25" header="0.3" footer="0.3"/>
  <pageSetup scale="51" orientation="landscape" r:id="rId1"/>
  <headerFooter>
    <oddFooter>&amp;L&amp;F&amp;C&amp;P&amp;R&amp;D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2450D17-E6DC-4E3E-A940-CC247AF25D75}">
          <x14:formula1>
            <xm:f>Data!$V$4:$V$7</xm:f>
          </x14:formula1>
          <xm:sqref>G8:G14</xm:sqref>
        </x14:dataValidation>
        <x14:dataValidation type="list" allowBlank="1" showInputMessage="1" showErrorMessage="1" xr:uid="{141F25BA-1679-47CE-B11E-42F080E516A2}">
          <x14:formula1>
            <xm:f>Data!$V$11:$V$15</xm:f>
          </x14:formula1>
          <xm:sqref>G17:G25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B5E4-2AFD-4BC5-BBAB-D4E1B7D8402A}">
  <sheetPr codeName="Sheet16">
    <tabColor rgb="FF002641"/>
    <pageSetUpPr fitToPage="1"/>
  </sheetPr>
  <dimension ref="B1:FA87"/>
  <sheetViews>
    <sheetView showGridLines="0" zoomScale="85" zoomScaleNormal="85" zoomScaleSheetLayoutView="70" workbookViewId="0">
      <selection activeCell="K35" sqref="K35"/>
    </sheetView>
  </sheetViews>
  <sheetFormatPr defaultColWidth="9.140625" defaultRowHeight="14.25" zeroHeight="1" x14ac:dyDescent="0.2"/>
  <cols>
    <col min="1" max="1" width="3" style="144" customWidth="1"/>
    <col min="2" max="2" width="25.140625" style="144" customWidth="1"/>
    <col min="3" max="3" width="15.85546875" style="144" customWidth="1"/>
    <col min="4" max="4" width="14" style="144" customWidth="1"/>
    <col min="5" max="5" width="13.140625" style="144" bestFit="1" customWidth="1"/>
    <col min="6" max="6" width="13.7109375" style="144" bestFit="1" customWidth="1"/>
    <col min="7" max="7" width="10" style="144" customWidth="1"/>
    <col min="8" max="8" width="8" style="144" customWidth="1"/>
    <col min="9" max="9" width="13" style="144" customWidth="1"/>
    <col min="10" max="10" width="14.42578125" style="144" customWidth="1"/>
    <col min="11" max="11" width="9.28515625" style="144" customWidth="1"/>
    <col min="12" max="12" width="8.85546875" style="144" customWidth="1"/>
    <col min="13" max="13" width="4" style="144" customWidth="1"/>
    <col min="14" max="14" width="16" style="679" customWidth="1"/>
    <col min="15" max="15" width="12.85546875" style="144" bestFit="1" customWidth="1"/>
    <col min="16" max="16" width="7.28515625" style="144" bestFit="1" customWidth="1"/>
    <col min="17" max="17" width="6.7109375" style="144" customWidth="1"/>
    <col min="18" max="18" width="9.140625" style="144"/>
    <col min="19" max="19" width="26.42578125" style="144" bestFit="1" customWidth="1"/>
    <col min="20" max="20" width="10.85546875" style="144" bestFit="1" customWidth="1"/>
    <col min="21" max="21" width="11.140625" style="144" bestFit="1" customWidth="1"/>
    <col min="22" max="29" width="9.42578125" style="144" bestFit="1" customWidth="1"/>
    <col min="30" max="30" width="9.5703125" style="144" bestFit="1" customWidth="1"/>
    <col min="31" max="31" width="9.42578125" style="144" bestFit="1" customWidth="1"/>
    <col min="32" max="32" width="9.5703125" style="144" bestFit="1" customWidth="1"/>
    <col min="33" max="33" width="10.28515625" style="144" bestFit="1" customWidth="1"/>
    <col min="34" max="34" width="9.7109375" style="144" bestFit="1" customWidth="1"/>
    <col min="35" max="39" width="9.5703125" style="144" bestFit="1" customWidth="1"/>
    <col min="40" max="40" width="10" style="144" bestFit="1" customWidth="1"/>
    <col min="41" max="41" width="9.5703125" style="144" bestFit="1" customWidth="1"/>
    <col min="42" max="43" width="10" style="144" bestFit="1" customWidth="1"/>
    <col min="44" max="44" width="10.140625" style="144" bestFit="1" customWidth="1"/>
    <col min="45" max="50" width="10" style="144" bestFit="1" customWidth="1"/>
    <col min="51" max="51" width="9.5703125" style="144" bestFit="1" customWidth="1"/>
    <col min="52" max="53" width="10" style="144" bestFit="1" customWidth="1"/>
    <col min="54" max="54" width="10.140625" style="144" bestFit="1" customWidth="1"/>
    <col min="55" max="59" width="10" style="144" bestFit="1" customWidth="1"/>
    <col min="60" max="60" width="10.140625" style="144" bestFit="1" customWidth="1"/>
    <col min="61" max="61" width="9.7109375" style="144" bestFit="1" customWidth="1"/>
    <col min="62" max="63" width="10.140625" style="144" bestFit="1" customWidth="1"/>
    <col min="64" max="64" width="10.28515625" style="144" bestFit="1" customWidth="1"/>
    <col min="65" max="69" width="10.140625" style="144" bestFit="1" customWidth="1"/>
    <col min="70" max="70" width="10" style="144" bestFit="1" customWidth="1"/>
    <col min="71" max="71" width="9.5703125" style="144" bestFit="1" customWidth="1"/>
    <col min="72" max="73" width="10" style="144" bestFit="1" customWidth="1"/>
    <col min="74" max="74" width="10.140625" style="144" bestFit="1" customWidth="1"/>
    <col min="75" max="80" width="10" style="144" bestFit="1" customWidth="1"/>
    <col min="81" max="81" width="9.5703125" style="144" bestFit="1" customWidth="1"/>
    <col min="82" max="83" width="10" style="144" bestFit="1" customWidth="1"/>
    <col min="84" max="84" width="10.140625" style="144" bestFit="1" customWidth="1"/>
    <col min="85" max="90" width="10" style="144" bestFit="1" customWidth="1"/>
    <col min="91" max="91" width="9.5703125" style="144" bestFit="1" customWidth="1"/>
    <col min="92" max="93" width="10" style="144" bestFit="1" customWidth="1"/>
    <col min="94" max="94" width="10.140625" style="144" bestFit="1" customWidth="1"/>
    <col min="95" max="100" width="10" style="144" bestFit="1" customWidth="1"/>
    <col min="101" max="101" width="9.5703125" style="144" bestFit="1" customWidth="1"/>
    <col min="102" max="103" width="10" style="144" bestFit="1" customWidth="1"/>
    <col min="104" max="104" width="10.140625" style="144" bestFit="1" customWidth="1"/>
    <col min="105" max="110" width="10" style="144" bestFit="1" customWidth="1"/>
    <col min="111" max="111" width="9.5703125" style="144" bestFit="1" customWidth="1"/>
    <col min="112" max="113" width="10" style="144" bestFit="1" customWidth="1"/>
    <col min="114" max="114" width="10.140625" style="144" bestFit="1" customWidth="1"/>
    <col min="115" max="119" width="10" style="144" bestFit="1" customWidth="1"/>
    <col min="120" max="120" width="10.7109375" style="144" bestFit="1" customWidth="1"/>
    <col min="121" max="121" width="10.28515625" style="144" bestFit="1" customWidth="1"/>
    <col min="122" max="123" width="10.7109375" style="144" bestFit="1" customWidth="1"/>
    <col min="124" max="124" width="10.85546875" style="144" bestFit="1" customWidth="1"/>
    <col min="125" max="129" width="10.7109375" style="144" bestFit="1" customWidth="1"/>
    <col min="130" max="130" width="10.28515625" style="144" bestFit="1" customWidth="1"/>
    <col min="131" max="131" width="9.85546875" style="144" bestFit="1" customWidth="1"/>
    <col min="132" max="133" width="10.28515625" style="144" bestFit="1" customWidth="1"/>
    <col min="134" max="134" width="10.42578125" style="144" bestFit="1" customWidth="1"/>
    <col min="135" max="139" width="10.28515625" style="144" bestFit="1" customWidth="1"/>
    <col min="140" max="140" width="10.7109375" style="144" bestFit="1" customWidth="1"/>
    <col min="141" max="141" width="10.28515625" style="144" bestFit="1" customWidth="1"/>
    <col min="142" max="143" width="10.7109375" style="144" bestFit="1" customWidth="1"/>
    <col min="144" max="144" width="10.85546875" style="144" bestFit="1" customWidth="1"/>
    <col min="145" max="150" width="10.7109375" style="144" bestFit="1" customWidth="1"/>
    <col min="151" max="151" width="10.28515625" style="144" bestFit="1" customWidth="1"/>
    <col min="152" max="152" width="10.7109375" style="144" bestFit="1" customWidth="1"/>
    <col min="153" max="16384" width="9.140625" style="144"/>
  </cols>
  <sheetData>
    <row r="1" spans="2:157" x14ac:dyDescent="0.2"/>
    <row r="2" spans="2:157" ht="19.5" x14ac:dyDescent="0.25">
      <c r="B2" s="167" t="s">
        <v>392</v>
      </c>
    </row>
    <row r="3" spans="2:157" ht="18" x14ac:dyDescent="0.25">
      <c r="B3" s="168" t="str">
        <f>Name</f>
        <v>Property Name</v>
      </c>
      <c r="T3" s="150">
        <f>EOMONTH(AnalysisStartDate,-1)</f>
        <v>44926</v>
      </c>
      <c r="U3" s="150">
        <f>EOMONTH(AnalysisStartDate,0)</f>
        <v>44957</v>
      </c>
      <c r="V3" s="150">
        <f>EOMONTH(U3,1)</f>
        <v>44985</v>
      </c>
      <c r="W3" s="150">
        <f t="shared" ref="W3:CH3" si="0">EOMONTH(V3,1)</f>
        <v>45016</v>
      </c>
      <c r="X3" s="150">
        <f t="shared" si="0"/>
        <v>45046</v>
      </c>
      <c r="Y3" s="150">
        <f t="shared" si="0"/>
        <v>45077</v>
      </c>
      <c r="Z3" s="150">
        <f t="shared" si="0"/>
        <v>45107</v>
      </c>
      <c r="AA3" s="150">
        <f t="shared" si="0"/>
        <v>45138</v>
      </c>
      <c r="AB3" s="150">
        <f t="shared" si="0"/>
        <v>45169</v>
      </c>
      <c r="AC3" s="150">
        <f t="shared" si="0"/>
        <v>45199</v>
      </c>
      <c r="AD3" s="150">
        <f t="shared" si="0"/>
        <v>45230</v>
      </c>
      <c r="AE3" s="150">
        <f t="shared" si="0"/>
        <v>45260</v>
      </c>
      <c r="AF3" s="150">
        <f t="shared" si="0"/>
        <v>45291</v>
      </c>
      <c r="AG3" s="150">
        <f t="shared" si="0"/>
        <v>45322</v>
      </c>
      <c r="AH3" s="150">
        <f t="shared" si="0"/>
        <v>45351</v>
      </c>
      <c r="AI3" s="150">
        <f t="shared" si="0"/>
        <v>45382</v>
      </c>
      <c r="AJ3" s="150">
        <f t="shared" si="0"/>
        <v>45412</v>
      </c>
      <c r="AK3" s="150">
        <f t="shared" si="0"/>
        <v>45443</v>
      </c>
      <c r="AL3" s="150">
        <f t="shared" si="0"/>
        <v>45473</v>
      </c>
      <c r="AM3" s="150">
        <f t="shared" si="0"/>
        <v>45504</v>
      </c>
      <c r="AN3" s="150">
        <f t="shared" si="0"/>
        <v>45535</v>
      </c>
      <c r="AO3" s="150">
        <f t="shared" si="0"/>
        <v>45565</v>
      </c>
      <c r="AP3" s="150">
        <f t="shared" si="0"/>
        <v>45596</v>
      </c>
      <c r="AQ3" s="150">
        <f t="shared" si="0"/>
        <v>45626</v>
      </c>
      <c r="AR3" s="150">
        <f t="shared" si="0"/>
        <v>45657</v>
      </c>
      <c r="AS3" s="150">
        <f t="shared" si="0"/>
        <v>45688</v>
      </c>
      <c r="AT3" s="150">
        <f t="shared" si="0"/>
        <v>45716</v>
      </c>
      <c r="AU3" s="150">
        <f t="shared" si="0"/>
        <v>45747</v>
      </c>
      <c r="AV3" s="150">
        <f t="shared" si="0"/>
        <v>45777</v>
      </c>
      <c r="AW3" s="150">
        <f t="shared" si="0"/>
        <v>45808</v>
      </c>
      <c r="AX3" s="150">
        <f t="shared" si="0"/>
        <v>45838</v>
      </c>
      <c r="AY3" s="150">
        <f t="shared" si="0"/>
        <v>45869</v>
      </c>
      <c r="AZ3" s="150">
        <f t="shared" si="0"/>
        <v>45900</v>
      </c>
      <c r="BA3" s="150">
        <f t="shared" si="0"/>
        <v>45930</v>
      </c>
      <c r="BB3" s="150">
        <f t="shared" si="0"/>
        <v>45961</v>
      </c>
      <c r="BC3" s="150">
        <f t="shared" si="0"/>
        <v>45991</v>
      </c>
      <c r="BD3" s="150">
        <f t="shared" si="0"/>
        <v>46022</v>
      </c>
      <c r="BE3" s="150">
        <f t="shared" si="0"/>
        <v>46053</v>
      </c>
      <c r="BF3" s="150">
        <f t="shared" si="0"/>
        <v>46081</v>
      </c>
      <c r="BG3" s="150">
        <f t="shared" si="0"/>
        <v>46112</v>
      </c>
      <c r="BH3" s="150">
        <f t="shared" si="0"/>
        <v>46142</v>
      </c>
      <c r="BI3" s="150">
        <f t="shared" si="0"/>
        <v>46173</v>
      </c>
      <c r="BJ3" s="150">
        <f t="shared" si="0"/>
        <v>46203</v>
      </c>
      <c r="BK3" s="150">
        <f t="shared" si="0"/>
        <v>46234</v>
      </c>
      <c r="BL3" s="150">
        <f t="shared" si="0"/>
        <v>46265</v>
      </c>
      <c r="BM3" s="150">
        <f t="shared" si="0"/>
        <v>46295</v>
      </c>
      <c r="BN3" s="150">
        <f t="shared" si="0"/>
        <v>46326</v>
      </c>
      <c r="BO3" s="150">
        <f t="shared" si="0"/>
        <v>46356</v>
      </c>
      <c r="BP3" s="150">
        <f t="shared" si="0"/>
        <v>46387</v>
      </c>
      <c r="BQ3" s="150">
        <f t="shared" si="0"/>
        <v>46418</v>
      </c>
      <c r="BR3" s="150">
        <f t="shared" si="0"/>
        <v>46446</v>
      </c>
      <c r="BS3" s="150">
        <f t="shared" si="0"/>
        <v>46477</v>
      </c>
      <c r="BT3" s="150">
        <f t="shared" si="0"/>
        <v>46507</v>
      </c>
      <c r="BU3" s="150">
        <f t="shared" si="0"/>
        <v>46538</v>
      </c>
      <c r="BV3" s="150">
        <f t="shared" si="0"/>
        <v>46568</v>
      </c>
      <c r="BW3" s="150">
        <f t="shared" si="0"/>
        <v>46599</v>
      </c>
      <c r="BX3" s="150">
        <f t="shared" si="0"/>
        <v>46630</v>
      </c>
      <c r="BY3" s="150">
        <f t="shared" si="0"/>
        <v>46660</v>
      </c>
      <c r="BZ3" s="150">
        <f t="shared" si="0"/>
        <v>46691</v>
      </c>
      <c r="CA3" s="150">
        <f t="shared" si="0"/>
        <v>46721</v>
      </c>
      <c r="CB3" s="150">
        <f t="shared" si="0"/>
        <v>46752</v>
      </c>
      <c r="CC3" s="150">
        <f t="shared" si="0"/>
        <v>46783</v>
      </c>
      <c r="CD3" s="150">
        <f t="shared" si="0"/>
        <v>46812</v>
      </c>
      <c r="CE3" s="150">
        <f t="shared" si="0"/>
        <v>46843</v>
      </c>
      <c r="CF3" s="150">
        <f t="shared" si="0"/>
        <v>46873</v>
      </c>
      <c r="CG3" s="150">
        <f t="shared" si="0"/>
        <v>46904</v>
      </c>
      <c r="CH3" s="150">
        <f t="shared" si="0"/>
        <v>46934</v>
      </c>
      <c r="CI3" s="150">
        <f t="shared" ref="CI3:ET3" si="1">EOMONTH(CH3,1)</f>
        <v>46965</v>
      </c>
      <c r="CJ3" s="150">
        <f t="shared" si="1"/>
        <v>46996</v>
      </c>
      <c r="CK3" s="150">
        <f t="shared" si="1"/>
        <v>47026</v>
      </c>
      <c r="CL3" s="150">
        <f t="shared" si="1"/>
        <v>47057</v>
      </c>
      <c r="CM3" s="150">
        <f t="shared" si="1"/>
        <v>47087</v>
      </c>
      <c r="CN3" s="150">
        <f t="shared" si="1"/>
        <v>47118</v>
      </c>
      <c r="CO3" s="150">
        <f t="shared" si="1"/>
        <v>47149</v>
      </c>
      <c r="CP3" s="150">
        <f t="shared" si="1"/>
        <v>47177</v>
      </c>
      <c r="CQ3" s="150">
        <f t="shared" si="1"/>
        <v>47208</v>
      </c>
      <c r="CR3" s="150">
        <f t="shared" si="1"/>
        <v>47238</v>
      </c>
      <c r="CS3" s="150">
        <f t="shared" si="1"/>
        <v>47269</v>
      </c>
      <c r="CT3" s="150">
        <f t="shared" si="1"/>
        <v>47299</v>
      </c>
      <c r="CU3" s="150">
        <f t="shared" si="1"/>
        <v>47330</v>
      </c>
      <c r="CV3" s="150">
        <f t="shared" si="1"/>
        <v>47361</v>
      </c>
      <c r="CW3" s="150">
        <f t="shared" si="1"/>
        <v>47391</v>
      </c>
      <c r="CX3" s="150">
        <f t="shared" si="1"/>
        <v>47422</v>
      </c>
      <c r="CY3" s="150">
        <f t="shared" si="1"/>
        <v>47452</v>
      </c>
      <c r="CZ3" s="150">
        <f t="shared" si="1"/>
        <v>47483</v>
      </c>
      <c r="DA3" s="150">
        <f t="shared" si="1"/>
        <v>47514</v>
      </c>
      <c r="DB3" s="150">
        <f t="shared" si="1"/>
        <v>47542</v>
      </c>
      <c r="DC3" s="150">
        <f t="shared" si="1"/>
        <v>47573</v>
      </c>
      <c r="DD3" s="150">
        <f t="shared" si="1"/>
        <v>47603</v>
      </c>
      <c r="DE3" s="150">
        <f t="shared" si="1"/>
        <v>47634</v>
      </c>
      <c r="DF3" s="150">
        <f t="shared" si="1"/>
        <v>47664</v>
      </c>
      <c r="DG3" s="150">
        <f t="shared" si="1"/>
        <v>47695</v>
      </c>
      <c r="DH3" s="150">
        <f t="shared" si="1"/>
        <v>47726</v>
      </c>
      <c r="DI3" s="150">
        <f t="shared" si="1"/>
        <v>47756</v>
      </c>
      <c r="DJ3" s="150">
        <f t="shared" si="1"/>
        <v>47787</v>
      </c>
      <c r="DK3" s="150">
        <f t="shared" si="1"/>
        <v>47817</v>
      </c>
      <c r="DL3" s="150">
        <f t="shared" si="1"/>
        <v>47848</v>
      </c>
      <c r="DM3" s="150">
        <f t="shared" si="1"/>
        <v>47879</v>
      </c>
      <c r="DN3" s="150">
        <f t="shared" si="1"/>
        <v>47907</v>
      </c>
      <c r="DO3" s="150">
        <f t="shared" si="1"/>
        <v>47938</v>
      </c>
      <c r="DP3" s="150">
        <f t="shared" si="1"/>
        <v>47968</v>
      </c>
      <c r="DQ3" s="150">
        <f t="shared" si="1"/>
        <v>47999</v>
      </c>
      <c r="DR3" s="150">
        <f t="shared" si="1"/>
        <v>48029</v>
      </c>
      <c r="DS3" s="150">
        <f t="shared" si="1"/>
        <v>48060</v>
      </c>
      <c r="DT3" s="150">
        <f t="shared" si="1"/>
        <v>48091</v>
      </c>
      <c r="DU3" s="150">
        <f t="shared" si="1"/>
        <v>48121</v>
      </c>
      <c r="DV3" s="150">
        <f t="shared" si="1"/>
        <v>48152</v>
      </c>
      <c r="DW3" s="150">
        <f t="shared" si="1"/>
        <v>48182</v>
      </c>
      <c r="DX3" s="150">
        <f t="shared" si="1"/>
        <v>48213</v>
      </c>
      <c r="DY3" s="150">
        <f t="shared" si="1"/>
        <v>48244</v>
      </c>
      <c r="DZ3" s="150">
        <f t="shared" si="1"/>
        <v>48273</v>
      </c>
      <c r="EA3" s="150">
        <f t="shared" si="1"/>
        <v>48304</v>
      </c>
      <c r="EB3" s="150">
        <f t="shared" si="1"/>
        <v>48334</v>
      </c>
      <c r="EC3" s="150">
        <f t="shared" si="1"/>
        <v>48365</v>
      </c>
      <c r="ED3" s="150">
        <f t="shared" si="1"/>
        <v>48395</v>
      </c>
      <c r="EE3" s="150">
        <f t="shared" si="1"/>
        <v>48426</v>
      </c>
      <c r="EF3" s="150">
        <f t="shared" si="1"/>
        <v>48457</v>
      </c>
      <c r="EG3" s="150">
        <f t="shared" si="1"/>
        <v>48487</v>
      </c>
      <c r="EH3" s="150">
        <f t="shared" si="1"/>
        <v>48518</v>
      </c>
      <c r="EI3" s="150">
        <f t="shared" si="1"/>
        <v>48548</v>
      </c>
      <c r="EJ3" s="150">
        <f t="shared" si="1"/>
        <v>48579</v>
      </c>
      <c r="EK3" s="150">
        <f t="shared" si="1"/>
        <v>48610</v>
      </c>
      <c r="EL3" s="150">
        <f t="shared" si="1"/>
        <v>48638</v>
      </c>
      <c r="EM3" s="150">
        <f t="shared" si="1"/>
        <v>48669</v>
      </c>
      <c r="EN3" s="150">
        <f t="shared" si="1"/>
        <v>48699</v>
      </c>
      <c r="EO3" s="150">
        <f t="shared" si="1"/>
        <v>48730</v>
      </c>
      <c r="EP3" s="150">
        <f t="shared" si="1"/>
        <v>48760</v>
      </c>
      <c r="EQ3" s="150">
        <f t="shared" si="1"/>
        <v>48791</v>
      </c>
      <c r="ER3" s="150">
        <f t="shared" si="1"/>
        <v>48822</v>
      </c>
      <c r="ES3" s="150">
        <f t="shared" si="1"/>
        <v>48852</v>
      </c>
      <c r="ET3" s="150">
        <f t="shared" si="1"/>
        <v>48883</v>
      </c>
      <c r="EU3" s="150">
        <f>EOMONTH(ET3,1)</f>
        <v>48913</v>
      </c>
      <c r="EV3" s="150">
        <f>EOMONTH(EU3,1)</f>
        <v>48944</v>
      </c>
      <c r="EW3" s="150" t="s">
        <v>243</v>
      </c>
    </row>
    <row r="4" spans="2:157" x14ac:dyDescent="0.2">
      <c r="S4" s="145"/>
      <c r="T4" s="680">
        <v>0</v>
      </c>
      <c r="U4" s="680">
        <f>ROUNDUP(U5/12,0)</f>
        <v>1</v>
      </c>
      <c r="V4" s="680">
        <f>ROUNDUP(V5/12,0)</f>
        <v>1</v>
      </c>
      <c r="W4" s="680">
        <f t="shared" ref="W4:CH4" si="2">ROUNDUP(W5/12,0)</f>
        <v>1</v>
      </c>
      <c r="X4" s="680">
        <f t="shared" si="2"/>
        <v>1</v>
      </c>
      <c r="Y4" s="680">
        <f t="shared" si="2"/>
        <v>1</v>
      </c>
      <c r="Z4" s="680">
        <f t="shared" si="2"/>
        <v>1</v>
      </c>
      <c r="AA4" s="680">
        <f t="shared" si="2"/>
        <v>1</v>
      </c>
      <c r="AB4" s="680">
        <f t="shared" si="2"/>
        <v>1</v>
      </c>
      <c r="AC4" s="680">
        <f t="shared" si="2"/>
        <v>1</v>
      </c>
      <c r="AD4" s="680">
        <f t="shared" si="2"/>
        <v>1</v>
      </c>
      <c r="AE4" s="680">
        <f t="shared" si="2"/>
        <v>1</v>
      </c>
      <c r="AF4" s="680">
        <f t="shared" si="2"/>
        <v>1</v>
      </c>
      <c r="AG4" s="680">
        <f t="shared" si="2"/>
        <v>2</v>
      </c>
      <c r="AH4" s="680">
        <f t="shared" si="2"/>
        <v>2</v>
      </c>
      <c r="AI4" s="680">
        <f t="shared" si="2"/>
        <v>2</v>
      </c>
      <c r="AJ4" s="680">
        <f t="shared" si="2"/>
        <v>2</v>
      </c>
      <c r="AK4" s="680">
        <f t="shared" si="2"/>
        <v>2</v>
      </c>
      <c r="AL4" s="680">
        <f t="shared" si="2"/>
        <v>2</v>
      </c>
      <c r="AM4" s="680">
        <f t="shared" si="2"/>
        <v>2</v>
      </c>
      <c r="AN4" s="680">
        <f t="shared" si="2"/>
        <v>2</v>
      </c>
      <c r="AO4" s="680">
        <f t="shared" si="2"/>
        <v>2</v>
      </c>
      <c r="AP4" s="680">
        <f t="shared" si="2"/>
        <v>2</v>
      </c>
      <c r="AQ4" s="680">
        <f t="shared" si="2"/>
        <v>2</v>
      </c>
      <c r="AR4" s="680">
        <f t="shared" si="2"/>
        <v>2</v>
      </c>
      <c r="AS4" s="680">
        <f t="shared" si="2"/>
        <v>3</v>
      </c>
      <c r="AT4" s="680">
        <f t="shared" si="2"/>
        <v>3</v>
      </c>
      <c r="AU4" s="680">
        <f t="shared" si="2"/>
        <v>3</v>
      </c>
      <c r="AV4" s="680">
        <f t="shared" si="2"/>
        <v>3</v>
      </c>
      <c r="AW4" s="680">
        <f t="shared" si="2"/>
        <v>3</v>
      </c>
      <c r="AX4" s="680">
        <f t="shared" si="2"/>
        <v>3</v>
      </c>
      <c r="AY4" s="680">
        <f t="shared" si="2"/>
        <v>3</v>
      </c>
      <c r="AZ4" s="680">
        <f t="shared" si="2"/>
        <v>3</v>
      </c>
      <c r="BA4" s="680">
        <f t="shared" si="2"/>
        <v>3</v>
      </c>
      <c r="BB4" s="680">
        <f t="shared" si="2"/>
        <v>3</v>
      </c>
      <c r="BC4" s="680">
        <f t="shared" si="2"/>
        <v>3</v>
      </c>
      <c r="BD4" s="680">
        <f t="shared" si="2"/>
        <v>3</v>
      </c>
      <c r="BE4" s="680">
        <f t="shared" si="2"/>
        <v>4</v>
      </c>
      <c r="BF4" s="680">
        <f t="shared" si="2"/>
        <v>4</v>
      </c>
      <c r="BG4" s="680">
        <f t="shared" si="2"/>
        <v>4</v>
      </c>
      <c r="BH4" s="680">
        <f t="shared" si="2"/>
        <v>4</v>
      </c>
      <c r="BI4" s="680">
        <f t="shared" si="2"/>
        <v>4</v>
      </c>
      <c r="BJ4" s="680">
        <f t="shared" si="2"/>
        <v>4</v>
      </c>
      <c r="BK4" s="680">
        <f t="shared" si="2"/>
        <v>4</v>
      </c>
      <c r="BL4" s="680">
        <f t="shared" si="2"/>
        <v>4</v>
      </c>
      <c r="BM4" s="680">
        <f t="shared" si="2"/>
        <v>4</v>
      </c>
      <c r="BN4" s="680">
        <f t="shared" si="2"/>
        <v>4</v>
      </c>
      <c r="BO4" s="680">
        <f t="shared" si="2"/>
        <v>4</v>
      </c>
      <c r="BP4" s="680">
        <f t="shared" si="2"/>
        <v>4</v>
      </c>
      <c r="BQ4" s="680">
        <f t="shared" si="2"/>
        <v>5</v>
      </c>
      <c r="BR4" s="680">
        <f t="shared" si="2"/>
        <v>5</v>
      </c>
      <c r="BS4" s="680">
        <f t="shared" si="2"/>
        <v>5</v>
      </c>
      <c r="BT4" s="680">
        <f t="shared" si="2"/>
        <v>5</v>
      </c>
      <c r="BU4" s="680">
        <f t="shared" si="2"/>
        <v>5</v>
      </c>
      <c r="BV4" s="680">
        <f t="shared" si="2"/>
        <v>5</v>
      </c>
      <c r="BW4" s="680">
        <f t="shared" si="2"/>
        <v>5</v>
      </c>
      <c r="BX4" s="680">
        <f t="shared" si="2"/>
        <v>5</v>
      </c>
      <c r="BY4" s="680">
        <f t="shared" si="2"/>
        <v>5</v>
      </c>
      <c r="BZ4" s="680">
        <f t="shared" si="2"/>
        <v>5</v>
      </c>
      <c r="CA4" s="680">
        <f t="shared" si="2"/>
        <v>5</v>
      </c>
      <c r="CB4" s="680">
        <f t="shared" si="2"/>
        <v>5</v>
      </c>
      <c r="CC4" s="680">
        <f t="shared" si="2"/>
        <v>6</v>
      </c>
      <c r="CD4" s="680">
        <f t="shared" si="2"/>
        <v>6</v>
      </c>
      <c r="CE4" s="680">
        <f t="shared" si="2"/>
        <v>6</v>
      </c>
      <c r="CF4" s="680">
        <f t="shared" si="2"/>
        <v>6</v>
      </c>
      <c r="CG4" s="680">
        <f t="shared" si="2"/>
        <v>6</v>
      </c>
      <c r="CH4" s="680">
        <f t="shared" si="2"/>
        <v>6</v>
      </c>
      <c r="CI4" s="680">
        <f t="shared" ref="CI4:ET4" si="3">ROUNDUP(CI5/12,0)</f>
        <v>6</v>
      </c>
      <c r="CJ4" s="680">
        <f t="shared" si="3"/>
        <v>6</v>
      </c>
      <c r="CK4" s="680">
        <f t="shared" si="3"/>
        <v>6</v>
      </c>
      <c r="CL4" s="680">
        <f t="shared" si="3"/>
        <v>6</v>
      </c>
      <c r="CM4" s="680">
        <f t="shared" si="3"/>
        <v>6</v>
      </c>
      <c r="CN4" s="680">
        <f t="shared" si="3"/>
        <v>6</v>
      </c>
      <c r="CO4" s="680">
        <f t="shared" si="3"/>
        <v>7</v>
      </c>
      <c r="CP4" s="680">
        <f t="shared" si="3"/>
        <v>7</v>
      </c>
      <c r="CQ4" s="680">
        <f t="shared" si="3"/>
        <v>7</v>
      </c>
      <c r="CR4" s="680">
        <f t="shared" si="3"/>
        <v>7</v>
      </c>
      <c r="CS4" s="680">
        <f t="shared" si="3"/>
        <v>7</v>
      </c>
      <c r="CT4" s="680">
        <f t="shared" si="3"/>
        <v>7</v>
      </c>
      <c r="CU4" s="680">
        <f t="shared" si="3"/>
        <v>7</v>
      </c>
      <c r="CV4" s="680">
        <f t="shared" si="3"/>
        <v>7</v>
      </c>
      <c r="CW4" s="680">
        <f t="shared" si="3"/>
        <v>7</v>
      </c>
      <c r="CX4" s="680">
        <f t="shared" si="3"/>
        <v>7</v>
      </c>
      <c r="CY4" s="680">
        <f t="shared" si="3"/>
        <v>7</v>
      </c>
      <c r="CZ4" s="680">
        <f t="shared" si="3"/>
        <v>7</v>
      </c>
      <c r="DA4" s="680">
        <f t="shared" si="3"/>
        <v>8</v>
      </c>
      <c r="DB4" s="680">
        <f t="shared" si="3"/>
        <v>8</v>
      </c>
      <c r="DC4" s="680">
        <f t="shared" si="3"/>
        <v>8</v>
      </c>
      <c r="DD4" s="680">
        <f t="shared" si="3"/>
        <v>8</v>
      </c>
      <c r="DE4" s="680">
        <f t="shared" si="3"/>
        <v>8</v>
      </c>
      <c r="DF4" s="680">
        <f t="shared" si="3"/>
        <v>8</v>
      </c>
      <c r="DG4" s="680">
        <f t="shared" si="3"/>
        <v>8</v>
      </c>
      <c r="DH4" s="680">
        <f t="shared" si="3"/>
        <v>8</v>
      </c>
      <c r="DI4" s="680">
        <f t="shared" si="3"/>
        <v>8</v>
      </c>
      <c r="DJ4" s="680">
        <f t="shared" si="3"/>
        <v>8</v>
      </c>
      <c r="DK4" s="680">
        <f t="shared" si="3"/>
        <v>8</v>
      </c>
      <c r="DL4" s="680">
        <f t="shared" si="3"/>
        <v>8</v>
      </c>
      <c r="DM4" s="680">
        <f t="shared" si="3"/>
        <v>9</v>
      </c>
      <c r="DN4" s="680">
        <f t="shared" si="3"/>
        <v>9</v>
      </c>
      <c r="DO4" s="680">
        <f t="shared" si="3"/>
        <v>9</v>
      </c>
      <c r="DP4" s="680">
        <f t="shared" si="3"/>
        <v>9</v>
      </c>
      <c r="DQ4" s="680">
        <f t="shared" si="3"/>
        <v>9</v>
      </c>
      <c r="DR4" s="680">
        <f t="shared" si="3"/>
        <v>9</v>
      </c>
      <c r="DS4" s="680">
        <f t="shared" si="3"/>
        <v>9</v>
      </c>
      <c r="DT4" s="680">
        <f t="shared" si="3"/>
        <v>9</v>
      </c>
      <c r="DU4" s="680">
        <f t="shared" si="3"/>
        <v>9</v>
      </c>
      <c r="DV4" s="680">
        <f t="shared" si="3"/>
        <v>9</v>
      </c>
      <c r="DW4" s="680">
        <f t="shared" si="3"/>
        <v>9</v>
      </c>
      <c r="DX4" s="680">
        <f t="shared" si="3"/>
        <v>9</v>
      </c>
      <c r="DY4" s="680">
        <f t="shared" si="3"/>
        <v>10</v>
      </c>
      <c r="DZ4" s="680">
        <f t="shared" si="3"/>
        <v>10</v>
      </c>
      <c r="EA4" s="680">
        <f t="shared" si="3"/>
        <v>10</v>
      </c>
      <c r="EB4" s="680">
        <f t="shared" si="3"/>
        <v>10</v>
      </c>
      <c r="EC4" s="680">
        <f t="shared" si="3"/>
        <v>10</v>
      </c>
      <c r="ED4" s="680">
        <f t="shared" si="3"/>
        <v>10</v>
      </c>
      <c r="EE4" s="680">
        <f t="shared" si="3"/>
        <v>10</v>
      </c>
      <c r="EF4" s="680">
        <f t="shared" si="3"/>
        <v>10</v>
      </c>
      <c r="EG4" s="680">
        <f t="shared" si="3"/>
        <v>10</v>
      </c>
      <c r="EH4" s="680">
        <f t="shared" si="3"/>
        <v>10</v>
      </c>
      <c r="EI4" s="680">
        <f t="shared" si="3"/>
        <v>10</v>
      </c>
      <c r="EJ4" s="680">
        <f t="shared" si="3"/>
        <v>10</v>
      </c>
      <c r="EK4" s="680">
        <f t="shared" si="3"/>
        <v>11</v>
      </c>
      <c r="EL4" s="680">
        <f t="shared" si="3"/>
        <v>11</v>
      </c>
      <c r="EM4" s="680">
        <f t="shared" si="3"/>
        <v>11</v>
      </c>
      <c r="EN4" s="680">
        <f t="shared" si="3"/>
        <v>11</v>
      </c>
      <c r="EO4" s="680">
        <f t="shared" si="3"/>
        <v>11</v>
      </c>
      <c r="EP4" s="680">
        <f t="shared" si="3"/>
        <v>11</v>
      </c>
      <c r="EQ4" s="680">
        <f t="shared" si="3"/>
        <v>11</v>
      </c>
      <c r="ER4" s="680">
        <f t="shared" si="3"/>
        <v>11</v>
      </c>
      <c r="ES4" s="680">
        <f t="shared" si="3"/>
        <v>11</v>
      </c>
      <c r="ET4" s="680">
        <f t="shared" si="3"/>
        <v>11</v>
      </c>
      <c r="EU4" s="680">
        <f t="shared" ref="EU4:EV4" si="4">ROUNDUP(EU5/12,0)</f>
        <v>11</v>
      </c>
      <c r="EV4" s="680">
        <f t="shared" si="4"/>
        <v>11</v>
      </c>
      <c r="EW4" s="150" t="s">
        <v>243</v>
      </c>
    </row>
    <row r="5" spans="2:157" x14ac:dyDescent="0.2">
      <c r="T5" s="681">
        <v>0</v>
      </c>
      <c r="U5" s="681">
        <v>1</v>
      </c>
      <c r="V5" s="681">
        <f>U5+1</f>
        <v>2</v>
      </c>
      <c r="W5" s="681">
        <f t="shared" ref="W5:CH5" si="5">V5+1</f>
        <v>3</v>
      </c>
      <c r="X5" s="681">
        <f t="shared" si="5"/>
        <v>4</v>
      </c>
      <c r="Y5" s="681">
        <f t="shared" si="5"/>
        <v>5</v>
      </c>
      <c r="Z5" s="681">
        <f t="shared" si="5"/>
        <v>6</v>
      </c>
      <c r="AA5" s="681">
        <f t="shared" si="5"/>
        <v>7</v>
      </c>
      <c r="AB5" s="681">
        <f t="shared" si="5"/>
        <v>8</v>
      </c>
      <c r="AC5" s="681">
        <f t="shared" si="5"/>
        <v>9</v>
      </c>
      <c r="AD5" s="681">
        <f t="shared" si="5"/>
        <v>10</v>
      </c>
      <c r="AE5" s="681">
        <f t="shared" si="5"/>
        <v>11</v>
      </c>
      <c r="AF5" s="681">
        <f t="shared" si="5"/>
        <v>12</v>
      </c>
      <c r="AG5" s="681">
        <f t="shared" si="5"/>
        <v>13</v>
      </c>
      <c r="AH5" s="681">
        <f t="shared" si="5"/>
        <v>14</v>
      </c>
      <c r="AI5" s="681">
        <f t="shared" si="5"/>
        <v>15</v>
      </c>
      <c r="AJ5" s="681">
        <f t="shared" si="5"/>
        <v>16</v>
      </c>
      <c r="AK5" s="681">
        <f t="shared" si="5"/>
        <v>17</v>
      </c>
      <c r="AL5" s="681">
        <f t="shared" si="5"/>
        <v>18</v>
      </c>
      <c r="AM5" s="681">
        <f t="shared" si="5"/>
        <v>19</v>
      </c>
      <c r="AN5" s="681">
        <f t="shared" si="5"/>
        <v>20</v>
      </c>
      <c r="AO5" s="681">
        <f t="shared" si="5"/>
        <v>21</v>
      </c>
      <c r="AP5" s="681">
        <f t="shared" si="5"/>
        <v>22</v>
      </c>
      <c r="AQ5" s="681">
        <f t="shared" si="5"/>
        <v>23</v>
      </c>
      <c r="AR5" s="681">
        <f t="shared" si="5"/>
        <v>24</v>
      </c>
      <c r="AS5" s="681">
        <f t="shared" si="5"/>
        <v>25</v>
      </c>
      <c r="AT5" s="681">
        <f t="shared" si="5"/>
        <v>26</v>
      </c>
      <c r="AU5" s="681">
        <f t="shared" si="5"/>
        <v>27</v>
      </c>
      <c r="AV5" s="681">
        <f t="shared" si="5"/>
        <v>28</v>
      </c>
      <c r="AW5" s="681">
        <f t="shared" si="5"/>
        <v>29</v>
      </c>
      <c r="AX5" s="681">
        <f t="shared" si="5"/>
        <v>30</v>
      </c>
      <c r="AY5" s="681">
        <f t="shared" si="5"/>
        <v>31</v>
      </c>
      <c r="AZ5" s="681">
        <f t="shared" si="5"/>
        <v>32</v>
      </c>
      <c r="BA5" s="681">
        <f t="shared" si="5"/>
        <v>33</v>
      </c>
      <c r="BB5" s="681">
        <f t="shared" si="5"/>
        <v>34</v>
      </c>
      <c r="BC5" s="681">
        <f t="shared" si="5"/>
        <v>35</v>
      </c>
      <c r="BD5" s="681">
        <f t="shared" si="5"/>
        <v>36</v>
      </c>
      <c r="BE5" s="681">
        <f t="shared" si="5"/>
        <v>37</v>
      </c>
      <c r="BF5" s="681">
        <f t="shared" si="5"/>
        <v>38</v>
      </c>
      <c r="BG5" s="681">
        <f t="shared" si="5"/>
        <v>39</v>
      </c>
      <c r="BH5" s="681">
        <f t="shared" si="5"/>
        <v>40</v>
      </c>
      <c r="BI5" s="681">
        <f t="shared" si="5"/>
        <v>41</v>
      </c>
      <c r="BJ5" s="681">
        <f t="shared" si="5"/>
        <v>42</v>
      </c>
      <c r="BK5" s="681">
        <f t="shared" si="5"/>
        <v>43</v>
      </c>
      <c r="BL5" s="681">
        <f t="shared" si="5"/>
        <v>44</v>
      </c>
      <c r="BM5" s="681">
        <f t="shared" si="5"/>
        <v>45</v>
      </c>
      <c r="BN5" s="681">
        <f t="shared" si="5"/>
        <v>46</v>
      </c>
      <c r="BO5" s="681">
        <f t="shared" si="5"/>
        <v>47</v>
      </c>
      <c r="BP5" s="681">
        <f t="shared" si="5"/>
        <v>48</v>
      </c>
      <c r="BQ5" s="681">
        <f t="shared" si="5"/>
        <v>49</v>
      </c>
      <c r="BR5" s="681">
        <f t="shared" si="5"/>
        <v>50</v>
      </c>
      <c r="BS5" s="681">
        <f t="shared" si="5"/>
        <v>51</v>
      </c>
      <c r="BT5" s="681">
        <f t="shared" si="5"/>
        <v>52</v>
      </c>
      <c r="BU5" s="681">
        <f t="shared" si="5"/>
        <v>53</v>
      </c>
      <c r="BV5" s="681">
        <f t="shared" si="5"/>
        <v>54</v>
      </c>
      <c r="BW5" s="681">
        <f t="shared" si="5"/>
        <v>55</v>
      </c>
      <c r="BX5" s="681">
        <f t="shared" si="5"/>
        <v>56</v>
      </c>
      <c r="BY5" s="681">
        <f t="shared" si="5"/>
        <v>57</v>
      </c>
      <c r="BZ5" s="681">
        <f t="shared" si="5"/>
        <v>58</v>
      </c>
      <c r="CA5" s="681">
        <f t="shared" si="5"/>
        <v>59</v>
      </c>
      <c r="CB5" s="681">
        <f t="shared" si="5"/>
        <v>60</v>
      </c>
      <c r="CC5" s="681">
        <f t="shared" si="5"/>
        <v>61</v>
      </c>
      <c r="CD5" s="681">
        <f t="shared" si="5"/>
        <v>62</v>
      </c>
      <c r="CE5" s="681">
        <f t="shared" si="5"/>
        <v>63</v>
      </c>
      <c r="CF5" s="681">
        <f t="shared" si="5"/>
        <v>64</v>
      </c>
      <c r="CG5" s="681">
        <f t="shared" si="5"/>
        <v>65</v>
      </c>
      <c r="CH5" s="681">
        <f t="shared" si="5"/>
        <v>66</v>
      </c>
      <c r="CI5" s="681">
        <f t="shared" ref="CI5:ET5" si="6">CH5+1</f>
        <v>67</v>
      </c>
      <c r="CJ5" s="681">
        <f t="shared" si="6"/>
        <v>68</v>
      </c>
      <c r="CK5" s="681">
        <f t="shared" si="6"/>
        <v>69</v>
      </c>
      <c r="CL5" s="681">
        <f t="shared" si="6"/>
        <v>70</v>
      </c>
      <c r="CM5" s="681">
        <f t="shared" si="6"/>
        <v>71</v>
      </c>
      <c r="CN5" s="681">
        <f t="shared" si="6"/>
        <v>72</v>
      </c>
      <c r="CO5" s="681">
        <f t="shared" si="6"/>
        <v>73</v>
      </c>
      <c r="CP5" s="681">
        <f t="shared" si="6"/>
        <v>74</v>
      </c>
      <c r="CQ5" s="681">
        <f t="shared" si="6"/>
        <v>75</v>
      </c>
      <c r="CR5" s="681">
        <f t="shared" si="6"/>
        <v>76</v>
      </c>
      <c r="CS5" s="681">
        <f t="shared" si="6"/>
        <v>77</v>
      </c>
      <c r="CT5" s="681">
        <f t="shared" si="6"/>
        <v>78</v>
      </c>
      <c r="CU5" s="681">
        <f t="shared" si="6"/>
        <v>79</v>
      </c>
      <c r="CV5" s="681">
        <f t="shared" si="6"/>
        <v>80</v>
      </c>
      <c r="CW5" s="681">
        <f t="shared" si="6"/>
        <v>81</v>
      </c>
      <c r="CX5" s="681">
        <f t="shared" si="6"/>
        <v>82</v>
      </c>
      <c r="CY5" s="681">
        <f t="shared" si="6"/>
        <v>83</v>
      </c>
      <c r="CZ5" s="681">
        <f t="shared" si="6"/>
        <v>84</v>
      </c>
      <c r="DA5" s="681">
        <f t="shared" si="6"/>
        <v>85</v>
      </c>
      <c r="DB5" s="681">
        <f t="shared" si="6"/>
        <v>86</v>
      </c>
      <c r="DC5" s="681">
        <f t="shared" si="6"/>
        <v>87</v>
      </c>
      <c r="DD5" s="681">
        <f t="shared" si="6"/>
        <v>88</v>
      </c>
      <c r="DE5" s="681">
        <f t="shared" si="6"/>
        <v>89</v>
      </c>
      <c r="DF5" s="681">
        <f t="shared" si="6"/>
        <v>90</v>
      </c>
      <c r="DG5" s="681">
        <f t="shared" si="6"/>
        <v>91</v>
      </c>
      <c r="DH5" s="681">
        <f t="shared" si="6"/>
        <v>92</v>
      </c>
      <c r="DI5" s="681">
        <f t="shared" si="6"/>
        <v>93</v>
      </c>
      <c r="DJ5" s="681">
        <f t="shared" si="6"/>
        <v>94</v>
      </c>
      <c r="DK5" s="681">
        <f t="shared" si="6"/>
        <v>95</v>
      </c>
      <c r="DL5" s="681">
        <f t="shared" si="6"/>
        <v>96</v>
      </c>
      <c r="DM5" s="681">
        <f t="shared" si="6"/>
        <v>97</v>
      </c>
      <c r="DN5" s="681">
        <f t="shared" si="6"/>
        <v>98</v>
      </c>
      <c r="DO5" s="681">
        <f t="shared" si="6"/>
        <v>99</v>
      </c>
      <c r="DP5" s="681">
        <f t="shared" si="6"/>
        <v>100</v>
      </c>
      <c r="DQ5" s="681">
        <f t="shared" si="6"/>
        <v>101</v>
      </c>
      <c r="DR5" s="681">
        <f t="shared" si="6"/>
        <v>102</v>
      </c>
      <c r="DS5" s="681">
        <f t="shared" si="6"/>
        <v>103</v>
      </c>
      <c r="DT5" s="681">
        <f t="shared" si="6"/>
        <v>104</v>
      </c>
      <c r="DU5" s="681">
        <f t="shared" si="6"/>
        <v>105</v>
      </c>
      <c r="DV5" s="681">
        <f t="shared" si="6"/>
        <v>106</v>
      </c>
      <c r="DW5" s="681">
        <f t="shared" si="6"/>
        <v>107</v>
      </c>
      <c r="DX5" s="681">
        <f t="shared" si="6"/>
        <v>108</v>
      </c>
      <c r="DY5" s="681">
        <f t="shared" si="6"/>
        <v>109</v>
      </c>
      <c r="DZ5" s="681">
        <f t="shared" si="6"/>
        <v>110</v>
      </c>
      <c r="EA5" s="681">
        <f t="shared" si="6"/>
        <v>111</v>
      </c>
      <c r="EB5" s="681">
        <f t="shared" si="6"/>
        <v>112</v>
      </c>
      <c r="EC5" s="681">
        <f t="shared" si="6"/>
        <v>113</v>
      </c>
      <c r="ED5" s="681">
        <f t="shared" si="6"/>
        <v>114</v>
      </c>
      <c r="EE5" s="681">
        <f t="shared" si="6"/>
        <v>115</v>
      </c>
      <c r="EF5" s="681">
        <f t="shared" si="6"/>
        <v>116</v>
      </c>
      <c r="EG5" s="681">
        <f t="shared" si="6"/>
        <v>117</v>
      </c>
      <c r="EH5" s="681">
        <f t="shared" si="6"/>
        <v>118</v>
      </c>
      <c r="EI5" s="681">
        <f t="shared" si="6"/>
        <v>119</v>
      </c>
      <c r="EJ5" s="681">
        <f t="shared" si="6"/>
        <v>120</v>
      </c>
      <c r="EK5" s="681">
        <f t="shared" si="6"/>
        <v>121</v>
      </c>
      <c r="EL5" s="681">
        <f t="shared" si="6"/>
        <v>122</v>
      </c>
      <c r="EM5" s="681">
        <f t="shared" si="6"/>
        <v>123</v>
      </c>
      <c r="EN5" s="681">
        <f t="shared" si="6"/>
        <v>124</v>
      </c>
      <c r="EO5" s="681">
        <f t="shared" si="6"/>
        <v>125</v>
      </c>
      <c r="EP5" s="681">
        <f t="shared" si="6"/>
        <v>126</v>
      </c>
      <c r="EQ5" s="681">
        <f t="shared" si="6"/>
        <v>127</v>
      </c>
      <c r="ER5" s="681">
        <f t="shared" si="6"/>
        <v>128</v>
      </c>
      <c r="ES5" s="681">
        <f t="shared" si="6"/>
        <v>129</v>
      </c>
      <c r="ET5" s="681">
        <f t="shared" si="6"/>
        <v>130</v>
      </c>
      <c r="EU5" s="681">
        <f t="shared" ref="EU5:EV5" si="7">ET5+1</f>
        <v>131</v>
      </c>
      <c r="EV5" s="681">
        <f t="shared" si="7"/>
        <v>132</v>
      </c>
      <c r="EW5" s="150" t="s">
        <v>243</v>
      </c>
    </row>
    <row r="6" spans="2:157" x14ac:dyDescent="0.2">
      <c r="EW6" s="150" t="s">
        <v>243</v>
      </c>
    </row>
    <row r="7" spans="2:157" ht="16.5" customHeight="1" thickBot="1" x14ac:dyDescent="0.25">
      <c r="B7" s="682" t="s">
        <v>41</v>
      </c>
      <c r="C7" s="683"/>
      <c r="D7" s="684" t="s">
        <v>151</v>
      </c>
      <c r="E7" s="590" t="s">
        <v>83</v>
      </c>
      <c r="F7" s="590" t="s">
        <v>149</v>
      </c>
      <c r="G7" s="685" t="s">
        <v>147</v>
      </c>
      <c r="H7" s="589"/>
      <c r="I7" s="590" t="s">
        <v>393</v>
      </c>
      <c r="J7" s="590" t="s">
        <v>83</v>
      </c>
      <c r="K7" s="590" t="s">
        <v>149</v>
      </c>
      <c r="L7" s="684" t="s">
        <v>147</v>
      </c>
      <c r="M7" s="590"/>
      <c r="N7" s="686" t="s">
        <v>394</v>
      </c>
      <c r="O7" s="589"/>
      <c r="P7" s="589"/>
      <c r="S7" s="687" t="s">
        <v>395</v>
      </c>
      <c r="T7" s="336">
        <v>0</v>
      </c>
      <c r="U7" s="688">
        <f>IF(AND('Ops Assumptions'!$P$39="Annual",U$4&gt;T$4),INDEX('Ops Assumptions'!$E$34:$E$44,MATCH(U$4,'Ops Assumptions'!$B$34:$B$44,0)),IF('Ops Assumptions'!$P$39="Monthly",INDEX('Ops Assumptions'!$E$34:$E$44,MATCH(U$4,'Ops Assumptions'!$B$34:$B$44,0))^1/12,0))</f>
        <v>0.04</v>
      </c>
      <c r="V7" s="688">
        <f>IF(AND('Ops Assumptions'!$P$39="Annual",V$4&gt;U$4),INDEX('Ops Assumptions'!$E$34:$E$44,MATCH(V$4,'Ops Assumptions'!$B$34:$B$44,0)),IF('Ops Assumptions'!$P$39="Monthly",INDEX('Ops Assumptions'!$E$34:$E$44,MATCH(V$4,'Ops Assumptions'!$B$34:$B$44,0))^1/12,0))</f>
        <v>0</v>
      </c>
      <c r="W7" s="688">
        <f>IF(AND('Ops Assumptions'!$P$39="Annual",W$4&gt;V$4),INDEX('Ops Assumptions'!$E$34:$E$44,MATCH(W$4,'Ops Assumptions'!$B$34:$B$44,0)),IF('Ops Assumptions'!$P$39="Monthly",INDEX('Ops Assumptions'!$E$34:$E$44,MATCH(W$4,'Ops Assumptions'!$B$34:$B$44,0))^1/12,0))</f>
        <v>0</v>
      </c>
      <c r="X7" s="688">
        <f>IF(AND('Ops Assumptions'!$P$39="Annual",X$4&gt;W$4),INDEX('Ops Assumptions'!$E$34:$E$44,MATCH(X$4,'Ops Assumptions'!$B$34:$B$44,0)),IF('Ops Assumptions'!$P$39="Monthly",INDEX('Ops Assumptions'!$E$34:$E$44,MATCH(X$4,'Ops Assumptions'!$B$34:$B$44,0))^1/12,0))</f>
        <v>0</v>
      </c>
      <c r="Y7" s="688">
        <f>IF(AND('Ops Assumptions'!$P$39="Annual",Y$4&gt;X$4),INDEX('Ops Assumptions'!$E$34:$E$44,MATCH(Y$4,'Ops Assumptions'!$B$34:$B$44,0)),IF('Ops Assumptions'!$P$39="Monthly",INDEX('Ops Assumptions'!$E$34:$E$44,MATCH(Y$4,'Ops Assumptions'!$B$34:$B$44,0))^1/12,0))</f>
        <v>0</v>
      </c>
      <c r="Z7" s="688">
        <f>IF(AND('Ops Assumptions'!$P$39="Annual",Z$4&gt;Y$4),INDEX('Ops Assumptions'!$E$34:$E$44,MATCH(Z$4,'Ops Assumptions'!$B$34:$B$44,0)),IF('Ops Assumptions'!$P$39="Monthly",INDEX('Ops Assumptions'!$E$34:$E$44,MATCH(Z$4,'Ops Assumptions'!$B$34:$B$44,0))^1/12,0))</f>
        <v>0</v>
      </c>
      <c r="AA7" s="688">
        <f>IF(AND('Ops Assumptions'!$P$39="Annual",AA$4&gt;Z$4),INDEX('Ops Assumptions'!$E$34:$E$44,MATCH(AA$4,'Ops Assumptions'!$B$34:$B$44,0)),IF('Ops Assumptions'!$P$39="Monthly",INDEX('Ops Assumptions'!$E$34:$E$44,MATCH(AA$4,'Ops Assumptions'!$B$34:$B$44,0))^1/12,0))</f>
        <v>0</v>
      </c>
      <c r="AB7" s="688">
        <f>IF(AND('Ops Assumptions'!$P$39="Annual",AB$4&gt;AA$4),INDEX('Ops Assumptions'!$E$34:$E$44,MATCH(AB$4,'Ops Assumptions'!$B$34:$B$44,0)),IF('Ops Assumptions'!$P$39="Monthly",INDEX('Ops Assumptions'!$E$34:$E$44,MATCH(AB$4,'Ops Assumptions'!$B$34:$B$44,0))^1/12,0))</f>
        <v>0</v>
      </c>
      <c r="AC7" s="688">
        <f>IF(AND('Ops Assumptions'!$P$39="Annual",AC$4&gt;AB$4),INDEX('Ops Assumptions'!$E$34:$E$44,MATCH(AC$4,'Ops Assumptions'!$B$34:$B$44,0)),IF('Ops Assumptions'!$P$39="Monthly",INDEX('Ops Assumptions'!$E$34:$E$44,MATCH(AC$4,'Ops Assumptions'!$B$34:$B$44,0))^1/12,0))</f>
        <v>0</v>
      </c>
      <c r="AD7" s="688">
        <f>IF(AND('Ops Assumptions'!$P$39="Annual",AD$4&gt;AC$4),INDEX('Ops Assumptions'!$E$34:$E$44,MATCH(AD$4,'Ops Assumptions'!$B$34:$B$44,0)),IF('Ops Assumptions'!$P$39="Monthly",INDEX('Ops Assumptions'!$E$34:$E$44,MATCH(AD$4,'Ops Assumptions'!$B$34:$B$44,0))^1/12,0))</f>
        <v>0</v>
      </c>
      <c r="AE7" s="688">
        <f>IF(AND('Ops Assumptions'!$P$39="Annual",AE$4&gt;AD$4),INDEX('Ops Assumptions'!$E$34:$E$44,MATCH(AE$4,'Ops Assumptions'!$B$34:$B$44,0)),IF('Ops Assumptions'!$P$39="Monthly",INDEX('Ops Assumptions'!$E$34:$E$44,MATCH(AE$4,'Ops Assumptions'!$B$34:$B$44,0))^1/12,0))</f>
        <v>0</v>
      </c>
      <c r="AF7" s="688">
        <f>IF(AND('Ops Assumptions'!$P$39="Annual",AF$4&gt;AE$4),INDEX('Ops Assumptions'!$E$34:$E$44,MATCH(AF$4,'Ops Assumptions'!$B$34:$B$44,0)),IF('Ops Assumptions'!$P$39="Monthly",INDEX('Ops Assumptions'!$E$34:$E$44,MATCH(AF$4,'Ops Assumptions'!$B$34:$B$44,0))^1/12,0))</f>
        <v>0</v>
      </c>
      <c r="AG7" s="688">
        <f>IF(AND('Ops Assumptions'!$P$39="Annual",AG$4&gt;AF$4),INDEX('Ops Assumptions'!$E$34:$E$44,MATCH(AG$4,'Ops Assumptions'!$B$34:$B$44,0)),IF('Ops Assumptions'!$P$39="Monthly",INDEX('Ops Assumptions'!$E$34:$E$44,MATCH(AG$4,'Ops Assumptions'!$B$34:$B$44,0))^1/12,0))</f>
        <v>0.04</v>
      </c>
      <c r="AH7" s="688">
        <f>IF(AND('Ops Assumptions'!$P$39="Annual",AH$4&gt;AG$4),INDEX('Ops Assumptions'!$E$34:$E$44,MATCH(AH$4,'Ops Assumptions'!$B$34:$B$44,0)),IF('Ops Assumptions'!$P$39="Monthly",INDEX('Ops Assumptions'!$E$34:$E$44,MATCH(AH$4,'Ops Assumptions'!$B$34:$B$44,0))^1/12,0))</f>
        <v>0</v>
      </c>
      <c r="AI7" s="688">
        <f>IF(AND('Ops Assumptions'!$P$39="Annual",AI$4&gt;AH$4),INDEX('Ops Assumptions'!$E$34:$E$44,MATCH(AI$4,'Ops Assumptions'!$B$34:$B$44,0)),IF('Ops Assumptions'!$P$39="Monthly",INDEX('Ops Assumptions'!$E$34:$E$44,MATCH(AI$4,'Ops Assumptions'!$B$34:$B$44,0))^1/12,0))</f>
        <v>0</v>
      </c>
      <c r="AJ7" s="688">
        <f>IF(AND('Ops Assumptions'!$P$39="Annual",AJ$4&gt;AI$4),INDEX('Ops Assumptions'!$E$34:$E$44,MATCH(AJ$4,'Ops Assumptions'!$B$34:$B$44,0)),IF('Ops Assumptions'!$P$39="Monthly",INDEX('Ops Assumptions'!$E$34:$E$44,MATCH(AJ$4,'Ops Assumptions'!$B$34:$B$44,0))^1/12,0))</f>
        <v>0</v>
      </c>
      <c r="AK7" s="688">
        <f>IF(AND('Ops Assumptions'!$P$39="Annual",AK$4&gt;AJ$4),INDEX('Ops Assumptions'!$E$34:$E$44,MATCH(AK$4,'Ops Assumptions'!$B$34:$B$44,0)),IF('Ops Assumptions'!$P$39="Monthly",INDEX('Ops Assumptions'!$E$34:$E$44,MATCH(AK$4,'Ops Assumptions'!$B$34:$B$44,0))^1/12,0))</f>
        <v>0</v>
      </c>
      <c r="AL7" s="688">
        <f>IF(AND('Ops Assumptions'!$P$39="Annual",AL$4&gt;AK$4),INDEX('Ops Assumptions'!$E$34:$E$44,MATCH(AL$4,'Ops Assumptions'!$B$34:$B$44,0)),IF('Ops Assumptions'!$P$39="Monthly",INDEX('Ops Assumptions'!$E$34:$E$44,MATCH(AL$4,'Ops Assumptions'!$B$34:$B$44,0))^1/12,0))</f>
        <v>0</v>
      </c>
      <c r="AM7" s="688">
        <f>IF(AND('Ops Assumptions'!$P$39="Annual",AM$4&gt;AL$4),INDEX('Ops Assumptions'!$E$34:$E$44,MATCH(AM$4,'Ops Assumptions'!$B$34:$B$44,0)),IF('Ops Assumptions'!$P$39="Monthly",INDEX('Ops Assumptions'!$E$34:$E$44,MATCH(AM$4,'Ops Assumptions'!$B$34:$B$44,0))^1/12,0))</f>
        <v>0</v>
      </c>
      <c r="AN7" s="688">
        <f>IF(AND('Ops Assumptions'!$P$39="Annual",AN$4&gt;AM$4),INDEX('Ops Assumptions'!$E$34:$E$44,MATCH(AN$4,'Ops Assumptions'!$B$34:$B$44,0)),IF('Ops Assumptions'!$P$39="Monthly",INDEX('Ops Assumptions'!$E$34:$E$44,MATCH(AN$4,'Ops Assumptions'!$B$34:$B$44,0))^1/12,0))</f>
        <v>0</v>
      </c>
      <c r="AO7" s="688">
        <f>IF(AND('Ops Assumptions'!$P$39="Annual",AO$4&gt;AN$4),INDEX('Ops Assumptions'!$E$34:$E$44,MATCH(AO$4,'Ops Assumptions'!$B$34:$B$44,0)),IF('Ops Assumptions'!$P$39="Monthly",INDEX('Ops Assumptions'!$E$34:$E$44,MATCH(AO$4,'Ops Assumptions'!$B$34:$B$44,0))^1/12,0))</f>
        <v>0</v>
      </c>
      <c r="AP7" s="688">
        <f>IF(AND('Ops Assumptions'!$P$39="Annual",AP$4&gt;AO$4),INDEX('Ops Assumptions'!$E$34:$E$44,MATCH(AP$4,'Ops Assumptions'!$B$34:$B$44,0)),IF('Ops Assumptions'!$P$39="Monthly",INDEX('Ops Assumptions'!$E$34:$E$44,MATCH(AP$4,'Ops Assumptions'!$B$34:$B$44,0))^1/12,0))</f>
        <v>0</v>
      </c>
      <c r="AQ7" s="688">
        <f>IF(AND('Ops Assumptions'!$P$39="Annual",AQ$4&gt;AP$4),INDEX('Ops Assumptions'!$E$34:$E$44,MATCH(AQ$4,'Ops Assumptions'!$B$34:$B$44,0)),IF('Ops Assumptions'!$P$39="Monthly",INDEX('Ops Assumptions'!$E$34:$E$44,MATCH(AQ$4,'Ops Assumptions'!$B$34:$B$44,0))^1/12,0))</f>
        <v>0</v>
      </c>
      <c r="AR7" s="688">
        <f>IF(AND('Ops Assumptions'!$P$39="Annual",AR$4&gt;AQ$4),INDEX('Ops Assumptions'!$E$34:$E$44,MATCH(AR$4,'Ops Assumptions'!$B$34:$B$44,0)),IF('Ops Assumptions'!$P$39="Monthly",INDEX('Ops Assumptions'!$E$34:$E$44,MATCH(AR$4,'Ops Assumptions'!$B$34:$B$44,0))^1/12,0))</f>
        <v>0</v>
      </c>
      <c r="AS7" s="688">
        <f>IF(AND('Ops Assumptions'!$P$39="Annual",AS$4&gt;AR$4),INDEX('Ops Assumptions'!$E$34:$E$44,MATCH(AS$4,'Ops Assumptions'!$B$34:$B$44,0)),IF('Ops Assumptions'!$P$39="Monthly",INDEX('Ops Assumptions'!$E$34:$E$44,MATCH(AS$4,'Ops Assumptions'!$B$34:$B$44,0))^1/12,0))</f>
        <v>3.5000000000000003E-2</v>
      </c>
      <c r="AT7" s="688">
        <f>IF(AND('Ops Assumptions'!$P$39="Annual",AT$4&gt;AS$4),INDEX('Ops Assumptions'!$E$34:$E$44,MATCH(AT$4,'Ops Assumptions'!$B$34:$B$44,0)),IF('Ops Assumptions'!$P$39="Monthly",INDEX('Ops Assumptions'!$E$34:$E$44,MATCH(AT$4,'Ops Assumptions'!$B$34:$B$44,0))^1/12,0))</f>
        <v>0</v>
      </c>
      <c r="AU7" s="688">
        <f>IF(AND('Ops Assumptions'!$P$39="Annual",AU$4&gt;AT$4),INDEX('Ops Assumptions'!$E$34:$E$44,MATCH(AU$4,'Ops Assumptions'!$B$34:$B$44,0)),IF('Ops Assumptions'!$P$39="Monthly",INDEX('Ops Assumptions'!$E$34:$E$44,MATCH(AU$4,'Ops Assumptions'!$B$34:$B$44,0))^1/12,0))</f>
        <v>0</v>
      </c>
      <c r="AV7" s="688">
        <f>IF(AND('Ops Assumptions'!$P$39="Annual",AV$4&gt;AU$4),INDEX('Ops Assumptions'!$E$34:$E$44,MATCH(AV$4,'Ops Assumptions'!$B$34:$B$44,0)),IF('Ops Assumptions'!$P$39="Monthly",INDEX('Ops Assumptions'!$E$34:$E$44,MATCH(AV$4,'Ops Assumptions'!$B$34:$B$44,0))^1/12,0))</f>
        <v>0</v>
      </c>
      <c r="AW7" s="688">
        <f>IF(AND('Ops Assumptions'!$P$39="Annual",AW$4&gt;AV$4),INDEX('Ops Assumptions'!$E$34:$E$44,MATCH(AW$4,'Ops Assumptions'!$B$34:$B$44,0)),IF('Ops Assumptions'!$P$39="Monthly",INDEX('Ops Assumptions'!$E$34:$E$44,MATCH(AW$4,'Ops Assumptions'!$B$34:$B$44,0))^1/12,0))</f>
        <v>0</v>
      </c>
      <c r="AX7" s="688">
        <f>IF(AND('Ops Assumptions'!$P$39="Annual",AX$4&gt;AW$4),INDEX('Ops Assumptions'!$E$34:$E$44,MATCH(AX$4,'Ops Assumptions'!$B$34:$B$44,0)),IF('Ops Assumptions'!$P$39="Monthly",INDEX('Ops Assumptions'!$E$34:$E$44,MATCH(AX$4,'Ops Assumptions'!$B$34:$B$44,0))^1/12,0))</f>
        <v>0</v>
      </c>
      <c r="AY7" s="688">
        <f>IF(AND('Ops Assumptions'!$P$39="Annual",AY$4&gt;AX$4),INDEX('Ops Assumptions'!$E$34:$E$44,MATCH(AY$4,'Ops Assumptions'!$B$34:$B$44,0)),IF('Ops Assumptions'!$P$39="Monthly",INDEX('Ops Assumptions'!$E$34:$E$44,MATCH(AY$4,'Ops Assumptions'!$B$34:$B$44,0))^1/12,0))</f>
        <v>0</v>
      </c>
      <c r="AZ7" s="688">
        <f>IF(AND('Ops Assumptions'!$P$39="Annual",AZ$4&gt;AY$4),INDEX('Ops Assumptions'!$E$34:$E$44,MATCH(AZ$4,'Ops Assumptions'!$B$34:$B$44,0)),IF('Ops Assumptions'!$P$39="Monthly",INDEX('Ops Assumptions'!$E$34:$E$44,MATCH(AZ$4,'Ops Assumptions'!$B$34:$B$44,0))^1/12,0))</f>
        <v>0</v>
      </c>
      <c r="BA7" s="688">
        <f>IF(AND('Ops Assumptions'!$P$39="Annual",BA$4&gt;AZ$4),INDEX('Ops Assumptions'!$E$34:$E$44,MATCH(BA$4,'Ops Assumptions'!$B$34:$B$44,0)),IF('Ops Assumptions'!$P$39="Monthly",INDEX('Ops Assumptions'!$E$34:$E$44,MATCH(BA$4,'Ops Assumptions'!$B$34:$B$44,0))^1/12,0))</f>
        <v>0</v>
      </c>
      <c r="BB7" s="688">
        <f>IF(AND('Ops Assumptions'!$P$39="Annual",BB$4&gt;BA$4),INDEX('Ops Assumptions'!$E$34:$E$44,MATCH(BB$4,'Ops Assumptions'!$B$34:$B$44,0)),IF('Ops Assumptions'!$P$39="Monthly",INDEX('Ops Assumptions'!$E$34:$E$44,MATCH(BB$4,'Ops Assumptions'!$B$34:$B$44,0))^1/12,0))</f>
        <v>0</v>
      </c>
      <c r="BC7" s="688">
        <f>IF(AND('Ops Assumptions'!$P$39="Annual",BC$4&gt;BB$4),INDEX('Ops Assumptions'!$E$34:$E$44,MATCH(BC$4,'Ops Assumptions'!$B$34:$B$44,0)),IF('Ops Assumptions'!$P$39="Monthly",INDEX('Ops Assumptions'!$E$34:$E$44,MATCH(BC$4,'Ops Assumptions'!$B$34:$B$44,0))^1/12,0))</f>
        <v>0</v>
      </c>
      <c r="BD7" s="688">
        <f>IF(AND('Ops Assumptions'!$P$39="Annual",BD$4&gt;BC$4),INDEX('Ops Assumptions'!$E$34:$E$44,MATCH(BD$4,'Ops Assumptions'!$B$34:$B$44,0)),IF('Ops Assumptions'!$P$39="Monthly",INDEX('Ops Assumptions'!$E$34:$E$44,MATCH(BD$4,'Ops Assumptions'!$B$34:$B$44,0))^1/12,0))</f>
        <v>0</v>
      </c>
      <c r="BE7" s="688">
        <f>IF(AND('Ops Assumptions'!$P$39="Annual",BE$4&gt;BD$4),INDEX('Ops Assumptions'!$E$34:$E$44,MATCH(BE$4,'Ops Assumptions'!$B$34:$B$44,0)),IF('Ops Assumptions'!$P$39="Monthly",INDEX('Ops Assumptions'!$E$34:$E$44,MATCH(BE$4,'Ops Assumptions'!$B$34:$B$44,0))^1/12,0))</f>
        <v>3.5000000000000003E-2</v>
      </c>
      <c r="BF7" s="688">
        <f>IF(AND('Ops Assumptions'!$P$39="Annual",BF$4&gt;BE$4),INDEX('Ops Assumptions'!$E$34:$E$44,MATCH(BF$4,'Ops Assumptions'!$B$34:$B$44,0)),IF('Ops Assumptions'!$P$39="Monthly",INDEX('Ops Assumptions'!$E$34:$E$44,MATCH(BF$4,'Ops Assumptions'!$B$34:$B$44,0))^1/12,0))</f>
        <v>0</v>
      </c>
      <c r="BG7" s="688">
        <f>IF(AND('Ops Assumptions'!$P$39="Annual",BG$4&gt;BF$4),INDEX('Ops Assumptions'!$E$34:$E$44,MATCH(BG$4,'Ops Assumptions'!$B$34:$B$44,0)),IF('Ops Assumptions'!$P$39="Monthly",INDEX('Ops Assumptions'!$E$34:$E$44,MATCH(BG$4,'Ops Assumptions'!$B$34:$B$44,0))^1/12,0))</f>
        <v>0</v>
      </c>
      <c r="BH7" s="688">
        <f>IF(AND('Ops Assumptions'!$P$39="Annual",BH$4&gt;BG$4),INDEX('Ops Assumptions'!$E$34:$E$44,MATCH(BH$4,'Ops Assumptions'!$B$34:$B$44,0)),IF('Ops Assumptions'!$P$39="Monthly",INDEX('Ops Assumptions'!$E$34:$E$44,MATCH(BH$4,'Ops Assumptions'!$B$34:$B$44,0))^1/12,0))</f>
        <v>0</v>
      </c>
      <c r="BI7" s="688">
        <f>IF(AND('Ops Assumptions'!$P$39="Annual",BI$4&gt;BH$4),INDEX('Ops Assumptions'!$E$34:$E$44,MATCH(BI$4,'Ops Assumptions'!$B$34:$B$44,0)),IF('Ops Assumptions'!$P$39="Monthly",INDEX('Ops Assumptions'!$E$34:$E$44,MATCH(BI$4,'Ops Assumptions'!$B$34:$B$44,0))^1/12,0))</f>
        <v>0</v>
      </c>
      <c r="BJ7" s="688">
        <f>IF(AND('Ops Assumptions'!$P$39="Annual",BJ$4&gt;BI$4),INDEX('Ops Assumptions'!$E$34:$E$44,MATCH(BJ$4,'Ops Assumptions'!$B$34:$B$44,0)),IF('Ops Assumptions'!$P$39="Monthly",INDEX('Ops Assumptions'!$E$34:$E$44,MATCH(BJ$4,'Ops Assumptions'!$B$34:$B$44,0))^1/12,0))</f>
        <v>0</v>
      </c>
      <c r="BK7" s="688">
        <f>IF(AND('Ops Assumptions'!$P$39="Annual",BK$4&gt;BJ$4),INDEX('Ops Assumptions'!$E$34:$E$44,MATCH(BK$4,'Ops Assumptions'!$B$34:$B$44,0)),IF('Ops Assumptions'!$P$39="Monthly",INDEX('Ops Assumptions'!$E$34:$E$44,MATCH(BK$4,'Ops Assumptions'!$B$34:$B$44,0))^1/12,0))</f>
        <v>0</v>
      </c>
      <c r="BL7" s="688">
        <f>IF(AND('Ops Assumptions'!$P$39="Annual",BL$4&gt;BK$4),INDEX('Ops Assumptions'!$E$34:$E$44,MATCH(BL$4,'Ops Assumptions'!$B$34:$B$44,0)),IF('Ops Assumptions'!$P$39="Monthly",INDEX('Ops Assumptions'!$E$34:$E$44,MATCH(BL$4,'Ops Assumptions'!$B$34:$B$44,0))^1/12,0))</f>
        <v>0</v>
      </c>
      <c r="BM7" s="688">
        <f>IF(AND('Ops Assumptions'!$P$39="Annual",BM$4&gt;BL$4),INDEX('Ops Assumptions'!$E$34:$E$44,MATCH(BM$4,'Ops Assumptions'!$B$34:$B$44,0)),IF('Ops Assumptions'!$P$39="Monthly",INDEX('Ops Assumptions'!$E$34:$E$44,MATCH(BM$4,'Ops Assumptions'!$B$34:$B$44,0))^1/12,0))</f>
        <v>0</v>
      </c>
      <c r="BN7" s="688">
        <f>IF(AND('Ops Assumptions'!$P$39="Annual",BN$4&gt;BM$4),INDEX('Ops Assumptions'!$E$34:$E$44,MATCH(BN$4,'Ops Assumptions'!$B$34:$B$44,0)),IF('Ops Assumptions'!$P$39="Monthly",INDEX('Ops Assumptions'!$E$34:$E$44,MATCH(BN$4,'Ops Assumptions'!$B$34:$B$44,0))^1/12,0))</f>
        <v>0</v>
      </c>
      <c r="BO7" s="688">
        <f>IF(AND('Ops Assumptions'!$P$39="Annual",BO$4&gt;BN$4),INDEX('Ops Assumptions'!$E$34:$E$44,MATCH(BO$4,'Ops Assumptions'!$B$34:$B$44,0)),IF('Ops Assumptions'!$P$39="Monthly",INDEX('Ops Assumptions'!$E$34:$E$44,MATCH(BO$4,'Ops Assumptions'!$B$34:$B$44,0))^1/12,0))</f>
        <v>0</v>
      </c>
      <c r="BP7" s="688">
        <f>IF(AND('Ops Assumptions'!$P$39="Annual",BP$4&gt;BO$4),INDEX('Ops Assumptions'!$E$34:$E$44,MATCH(BP$4,'Ops Assumptions'!$B$34:$B$44,0)),IF('Ops Assumptions'!$P$39="Monthly",INDEX('Ops Assumptions'!$E$34:$E$44,MATCH(BP$4,'Ops Assumptions'!$B$34:$B$44,0))^1/12,0))</f>
        <v>0</v>
      </c>
      <c r="BQ7" s="688">
        <f>IF(AND('Ops Assumptions'!$P$39="Annual",BQ$4&gt;BP$4),INDEX('Ops Assumptions'!$E$34:$E$44,MATCH(BQ$4,'Ops Assumptions'!$B$34:$B$44,0)),IF('Ops Assumptions'!$P$39="Monthly",INDEX('Ops Assumptions'!$E$34:$E$44,MATCH(BQ$4,'Ops Assumptions'!$B$34:$B$44,0))^1/12,0))</f>
        <v>3.5000000000000003E-2</v>
      </c>
      <c r="BR7" s="688">
        <f>IF(AND('Ops Assumptions'!$P$39="Annual",BR$4&gt;BQ$4),INDEX('Ops Assumptions'!$E$34:$E$44,MATCH(BR$4,'Ops Assumptions'!$B$34:$B$44,0)),IF('Ops Assumptions'!$P$39="Monthly",INDEX('Ops Assumptions'!$E$34:$E$44,MATCH(BR$4,'Ops Assumptions'!$B$34:$B$44,0))^1/12,0))</f>
        <v>0</v>
      </c>
      <c r="BS7" s="688">
        <f>IF(AND('Ops Assumptions'!$P$39="Annual",BS$4&gt;BR$4),INDEX('Ops Assumptions'!$E$34:$E$44,MATCH(BS$4,'Ops Assumptions'!$B$34:$B$44,0)),IF('Ops Assumptions'!$P$39="Monthly",INDEX('Ops Assumptions'!$E$34:$E$44,MATCH(BS$4,'Ops Assumptions'!$B$34:$B$44,0))^1/12,0))</f>
        <v>0</v>
      </c>
      <c r="BT7" s="688">
        <f>IF(AND('Ops Assumptions'!$P$39="Annual",BT$4&gt;BS$4),INDEX('Ops Assumptions'!$E$34:$E$44,MATCH(BT$4,'Ops Assumptions'!$B$34:$B$44,0)),IF('Ops Assumptions'!$P$39="Monthly",INDEX('Ops Assumptions'!$E$34:$E$44,MATCH(BT$4,'Ops Assumptions'!$B$34:$B$44,0))^1/12,0))</f>
        <v>0</v>
      </c>
      <c r="BU7" s="688">
        <f>IF(AND('Ops Assumptions'!$P$39="Annual",BU$4&gt;BT$4),INDEX('Ops Assumptions'!$E$34:$E$44,MATCH(BU$4,'Ops Assumptions'!$B$34:$B$44,0)),IF('Ops Assumptions'!$P$39="Monthly",INDEX('Ops Assumptions'!$E$34:$E$44,MATCH(BU$4,'Ops Assumptions'!$B$34:$B$44,0))^1/12,0))</f>
        <v>0</v>
      </c>
      <c r="BV7" s="688">
        <f>IF(AND('Ops Assumptions'!$P$39="Annual",BV$4&gt;BU$4),INDEX('Ops Assumptions'!$E$34:$E$44,MATCH(BV$4,'Ops Assumptions'!$B$34:$B$44,0)),IF('Ops Assumptions'!$P$39="Monthly",INDEX('Ops Assumptions'!$E$34:$E$44,MATCH(BV$4,'Ops Assumptions'!$B$34:$B$44,0))^1/12,0))</f>
        <v>0</v>
      </c>
      <c r="BW7" s="688">
        <f>IF(AND('Ops Assumptions'!$P$39="Annual",BW$4&gt;BV$4),INDEX('Ops Assumptions'!$E$34:$E$44,MATCH(BW$4,'Ops Assumptions'!$B$34:$B$44,0)),IF('Ops Assumptions'!$P$39="Monthly",INDEX('Ops Assumptions'!$E$34:$E$44,MATCH(BW$4,'Ops Assumptions'!$B$34:$B$44,0))^1/12,0))</f>
        <v>0</v>
      </c>
      <c r="BX7" s="688">
        <f>IF(AND('Ops Assumptions'!$P$39="Annual",BX$4&gt;BW$4),INDEX('Ops Assumptions'!$E$34:$E$44,MATCH(BX$4,'Ops Assumptions'!$B$34:$B$44,0)),IF('Ops Assumptions'!$P$39="Monthly",INDEX('Ops Assumptions'!$E$34:$E$44,MATCH(BX$4,'Ops Assumptions'!$B$34:$B$44,0))^1/12,0))</f>
        <v>0</v>
      </c>
      <c r="BY7" s="688">
        <f>IF(AND('Ops Assumptions'!$P$39="Annual",BY$4&gt;BX$4),INDEX('Ops Assumptions'!$E$34:$E$44,MATCH(BY$4,'Ops Assumptions'!$B$34:$B$44,0)),IF('Ops Assumptions'!$P$39="Monthly",INDEX('Ops Assumptions'!$E$34:$E$44,MATCH(BY$4,'Ops Assumptions'!$B$34:$B$44,0))^1/12,0))</f>
        <v>0</v>
      </c>
      <c r="BZ7" s="688">
        <f>IF(AND('Ops Assumptions'!$P$39="Annual",BZ$4&gt;BY$4),INDEX('Ops Assumptions'!$E$34:$E$44,MATCH(BZ$4,'Ops Assumptions'!$B$34:$B$44,0)),IF('Ops Assumptions'!$P$39="Monthly",INDEX('Ops Assumptions'!$E$34:$E$44,MATCH(BZ$4,'Ops Assumptions'!$B$34:$B$44,0))^1/12,0))</f>
        <v>0</v>
      </c>
      <c r="CA7" s="688">
        <f>IF(AND('Ops Assumptions'!$P$39="Annual",CA$4&gt;BZ$4),INDEX('Ops Assumptions'!$E$34:$E$44,MATCH(CA$4,'Ops Assumptions'!$B$34:$B$44,0)),IF('Ops Assumptions'!$P$39="Monthly",INDEX('Ops Assumptions'!$E$34:$E$44,MATCH(CA$4,'Ops Assumptions'!$B$34:$B$44,0))^1/12,0))</f>
        <v>0</v>
      </c>
      <c r="CB7" s="688">
        <f>IF(AND('Ops Assumptions'!$P$39="Annual",CB$4&gt;CA$4),INDEX('Ops Assumptions'!$E$34:$E$44,MATCH(CB$4,'Ops Assumptions'!$B$34:$B$44,0)),IF('Ops Assumptions'!$P$39="Monthly",INDEX('Ops Assumptions'!$E$34:$E$44,MATCH(CB$4,'Ops Assumptions'!$B$34:$B$44,0))^1/12,0))</f>
        <v>0</v>
      </c>
      <c r="CC7" s="688">
        <f>IF(AND('Ops Assumptions'!$P$39="Annual",CC$4&gt;CB$4),INDEX('Ops Assumptions'!$E$34:$E$44,MATCH(CC$4,'Ops Assumptions'!$B$34:$B$44,0)),IF('Ops Assumptions'!$P$39="Monthly",INDEX('Ops Assumptions'!$E$34:$E$44,MATCH(CC$4,'Ops Assumptions'!$B$34:$B$44,0))^1/12,0))</f>
        <v>3.5000000000000003E-2</v>
      </c>
      <c r="CD7" s="688">
        <f>IF(AND('Ops Assumptions'!$P$39="Annual",CD$4&gt;CC$4),INDEX('Ops Assumptions'!$E$34:$E$44,MATCH(CD$4,'Ops Assumptions'!$B$34:$B$44,0)),IF('Ops Assumptions'!$P$39="Monthly",INDEX('Ops Assumptions'!$E$34:$E$44,MATCH(CD$4,'Ops Assumptions'!$B$34:$B$44,0))^1/12,0))</f>
        <v>0</v>
      </c>
      <c r="CE7" s="688">
        <f>IF(AND('Ops Assumptions'!$P$39="Annual",CE$4&gt;CD$4),INDEX('Ops Assumptions'!$E$34:$E$44,MATCH(CE$4,'Ops Assumptions'!$B$34:$B$44,0)),IF('Ops Assumptions'!$P$39="Monthly",INDEX('Ops Assumptions'!$E$34:$E$44,MATCH(CE$4,'Ops Assumptions'!$B$34:$B$44,0))^1/12,0))</f>
        <v>0</v>
      </c>
      <c r="CF7" s="688">
        <f>IF(AND('Ops Assumptions'!$P$39="Annual",CF$4&gt;CE$4),INDEX('Ops Assumptions'!$E$34:$E$44,MATCH(CF$4,'Ops Assumptions'!$B$34:$B$44,0)),IF('Ops Assumptions'!$P$39="Monthly",INDEX('Ops Assumptions'!$E$34:$E$44,MATCH(CF$4,'Ops Assumptions'!$B$34:$B$44,0))^1/12,0))</f>
        <v>0</v>
      </c>
      <c r="CG7" s="688">
        <f>IF(AND('Ops Assumptions'!$P$39="Annual",CG$4&gt;CF$4),INDEX('Ops Assumptions'!$E$34:$E$44,MATCH(CG$4,'Ops Assumptions'!$B$34:$B$44,0)),IF('Ops Assumptions'!$P$39="Monthly",INDEX('Ops Assumptions'!$E$34:$E$44,MATCH(CG$4,'Ops Assumptions'!$B$34:$B$44,0))^1/12,0))</f>
        <v>0</v>
      </c>
      <c r="CH7" s="688">
        <f>IF(AND('Ops Assumptions'!$P$39="Annual",CH$4&gt;CG$4),INDEX('Ops Assumptions'!$E$34:$E$44,MATCH(CH$4,'Ops Assumptions'!$B$34:$B$44,0)),IF('Ops Assumptions'!$P$39="Monthly",INDEX('Ops Assumptions'!$E$34:$E$44,MATCH(CH$4,'Ops Assumptions'!$B$34:$B$44,0))^1/12,0))</f>
        <v>0</v>
      </c>
      <c r="CI7" s="688">
        <f>IF(AND('Ops Assumptions'!$P$39="Annual",CI$4&gt;CH$4),INDEX('Ops Assumptions'!$E$34:$E$44,MATCH(CI$4,'Ops Assumptions'!$B$34:$B$44,0)),IF('Ops Assumptions'!$P$39="Monthly",INDEX('Ops Assumptions'!$E$34:$E$44,MATCH(CI$4,'Ops Assumptions'!$B$34:$B$44,0))^1/12,0))</f>
        <v>0</v>
      </c>
      <c r="CJ7" s="688">
        <f>IF(AND('Ops Assumptions'!$P$39="Annual",CJ$4&gt;CI$4),INDEX('Ops Assumptions'!$E$34:$E$44,MATCH(CJ$4,'Ops Assumptions'!$B$34:$B$44,0)),IF('Ops Assumptions'!$P$39="Monthly",INDEX('Ops Assumptions'!$E$34:$E$44,MATCH(CJ$4,'Ops Assumptions'!$B$34:$B$44,0))^1/12,0))</f>
        <v>0</v>
      </c>
      <c r="CK7" s="688">
        <f>IF(AND('Ops Assumptions'!$P$39="Annual",CK$4&gt;CJ$4),INDEX('Ops Assumptions'!$E$34:$E$44,MATCH(CK$4,'Ops Assumptions'!$B$34:$B$44,0)),IF('Ops Assumptions'!$P$39="Monthly",INDEX('Ops Assumptions'!$E$34:$E$44,MATCH(CK$4,'Ops Assumptions'!$B$34:$B$44,0))^1/12,0))</f>
        <v>0</v>
      </c>
      <c r="CL7" s="688">
        <f>IF(AND('Ops Assumptions'!$P$39="Annual",CL$4&gt;CK$4),INDEX('Ops Assumptions'!$E$34:$E$44,MATCH(CL$4,'Ops Assumptions'!$B$34:$B$44,0)),IF('Ops Assumptions'!$P$39="Monthly",INDEX('Ops Assumptions'!$E$34:$E$44,MATCH(CL$4,'Ops Assumptions'!$B$34:$B$44,0))^1/12,0))</f>
        <v>0</v>
      </c>
      <c r="CM7" s="688">
        <f>IF(AND('Ops Assumptions'!$P$39="Annual",CM$4&gt;CL$4),INDEX('Ops Assumptions'!$E$34:$E$44,MATCH(CM$4,'Ops Assumptions'!$B$34:$B$44,0)),IF('Ops Assumptions'!$P$39="Monthly",INDEX('Ops Assumptions'!$E$34:$E$44,MATCH(CM$4,'Ops Assumptions'!$B$34:$B$44,0))^1/12,0))</f>
        <v>0</v>
      </c>
      <c r="CN7" s="688">
        <f>IF(AND('Ops Assumptions'!$P$39="Annual",CN$4&gt;CM$4),INDEX('Ops Assumptions'!$E$34:$E$44,MATCH(CN$4,'Ops Assumptions'!$B$34:$B$44,0)),IF('Ops Assumptions'!$P$39="Monthly",INDEX('Ops Assumptions'!$E$34:$E$44,MATCH(CN$4,'Ops Assumptions'!$B$34:$B$44,0))^1/12,0))</f>
        <v>0</v>
      </c>
      <c r="CO7" s="688">
        <f>IF(AND('Ops Assumptions'!$P$39="Annual",CO$4&gt;CN$4),INDEX('Ops Assumptions'!$E$34:$E$44,MATCH(CO$4,'Ops Assumptions'!$B$34:$B$44,0)),IF('Ops Assumptions'!$P$39="Monthly",INDEX('Ops Assumptions'!$E$34:$E$44,MATCH(CO$4,'Ops Assumptions'!$B$34:$B$44,0))^1/12,0))</f>
        <v>3.5000000000000003E-2</v>
      </c>
      <c r="CP7" s="688">
        <f>IF(AND('Ops Assumptions'!$P$39="Annual",CP$4&gt;CO$4),INDEX('Ops Assumptions'!$E$34:$E$44,MATCH(CP$4,'Ops Assumptions'!$B$34:$B$44,0)),IF('Ops Assumptions'!$P$39="Monthly",INDEX('Ops Assumptions'!$E$34:$E$44,MATCH(CP$4,'Ops Assumptions'!$B$34:$B$44,0))^1/12,0))</f>
        <v>0</v>
      </c>
      <c r="CQ7" s="688">
        <f>IF(AND('Ops Assumptions'!$P$39="Annual",CQ$4&gt;CP$4),INDEX('Ops Assumptions'!$E$34:$E$44,MATCH(CQ$4,'Ops Assumptions'!$B$34:$B$44,0)),IF('Ops Assumptions'!$P$39="Monthly",INDEX('Ops Assumptions'!$E$34:$E$44,MATCH(CQ$4,'Ops Assumptions'!$B$34:$B$44,0))^1/12,0))</f>
        <v>0</v>
      </c>
      <c r="CR7" s="688">
        <f>IF(AND('Ops Assumptions'!$P$39="Annual",CR$4&gt;CQ$4),INDEX('Ops Assumptions'!$E$34:$E$44,MATCH(CR$4,'Ops Assumptions'!$B$34:$B$44,0)),IF('Ops Assumptions'!$P$39="Monthly",INDEX('Ops Assumptions'!$E$34:$E$44,MATCH(CR$4,'Ops Assumptions'!$B$34:$B$44,0))^1/12,0))</f>
        <v>0</v>
      </c>
      <c r="CS7" s="688">
        <f>IF(AND('Ops Assumptions'!$P$39="Annual",CS$4&gt;CR$4),INDEX('Ops Assumptions'!$E$34:$E$44,MATCH(CS$4,'Ops Assumptions'!$B$34:$B$44,0)),IF('Ops Assumptions'!$P$39="Monthly",INDEX('Ops Assumptions'!$E$34:$E$44,MATCH(CS$4,'Ops Assumptions'!$B$34:$B$44,0))^1/12,0))</f>
        <v>0</v>
      </c>
      <c r="CT7" s="688">
        <f>IF(AND('Ops Assumptions'!$P$39="Annual",CT$4&gt;CS$4),INDEX('Ops Assumptions'!$E$34:$E$44,MATCH(CT$4,'Ops Assumptions'!$B$34:$B$44,0)),IF('Ops Assumptions'!$P$39="Monthly",INDEX('Ops Assumptions'!$E$34:$E$44,MATCH(CT$4,'Ops Assumptions'!$B$34:$B$44,0))^1/12,0))</f>
        <v>0</v>
      </c>
      <c r="CU7" s="688">
        <f>IF(AND('Ops Assumptions'!$P$39="Annual",CU$4&gt;CT$4),INDEX('Ops Assumptions'!$E$34:$E$44,MATCH(CU$4,'Ops Assumptions'!$B$34:$B$44,0)),IF('Ops Assumptions'!$P$39="Monthly",INDEX('Ops Assumptions'!$E$34:$E$44,MATCH(CU$4,'Ops Assumptions'!$B$34:$B$44,0))^1/12,0))</f>
        <v>0</v>
      </c>
      <c r="CV7" s="688">
        <f>IF(AND('Ops Assumptions'!$P$39="Annual",CV$4&gt;CU$4),INDEX('Ops Assumptions'!$E$34:$E$44,MATCH(CV$4,'Ops Assumptions'!$B$34:$B$44,0)),IF('Ops Assumptions'!$P$39="Monthly",INDEX('Ops Assumptions'!$E$34:$E$44,MATCH(CV$4,'Ops Assumptions'!$B$34:$B$44,0))^1/12,0))</f>
        <v>0</v>
      </c>
      <c r="CW7" s="688">
        <f>IF(AND('Ops Assumptions'!$P$39="Annual",CW$4&gt;CV$4),INDEX('Ops Assumptions'!$E$34:$E$44,MATCH(CW$4,'Ops Assumptions'!$B$34:$B$44,0)),IF('Ops Assumptions'!$P$39="Monthly",INDEX('Ops Assumptions'!$E$34:$E$44,MATCH(CW$4,'Ops Assumptions'!$B$34:$B$44,0))^1/12,0))</f>
        <v>0</v>
      </c>
      <c r="CX7" s="688">
        <f>IF(AND('Ops Assumptions'!$P$39="Annual",CX$4&gt;CW$4),INDEX('Ops Assumptions'!$E$34:$E$44,MATCH(CX$4,'Ops Assumptions'!$B$34:$B$44,0)),IF('Ops Assumptions'!$P$39="Monthly",INDEX('Ops Assumptions'!$E$34:$E$44,MATCH(CX$4,'Ops Assumptions'!$B$34:$B$44,0))^1/12,0))</f>
        <v>0</v>
      </c>
      <c r="CY7" s="688">
        <f>IF(AND('Ops Assumptions'!$P$39="Annual",CY$4&gt;CX$4),INDEX('Ops Assumptions'!$E$34:$E$44,MATCH(CY$4,'Ops Assumptions'!$B$34:$B$44,0)),IF('Ops Assumptions'!$P$39="Monthly",INDEX('Ops Assumptions'!$E$34:$E$44,MATCH(CY$4,'Ops Assumptions'!$B$34:$B$44,0))^1/12,0))</f>
        <v>0</v>
      </c>
      <c r="CZ7" s="688">
        <f>IF(AND('Ops Assumptions'!$P$39="Annual",CZ$4&gt;CY$4),INDEX('Ops Assumptions'!$E$34:$E$44,MATCH(CZ$4,'Ops Assumptions'!$B$34:$B$44,0)),IF('Ops Assumptions'!$P$39="Monthly",INDEX('Ops Assumptions'!$E$34:$E$44,MATCH(CZ$4,'Ops Assumptions'!$B$34:$B$44,0))^1/12,0))</f>
        <v>0</v>
      </c>
      <c r="DA7" s="688">
        <f>IF(AND('Ops Assumptions'!$P$39="Annual",DA$4&gt;CZ$4),INDEX('Ops Assumptions'!$E$34:$E$44,MATCH(DA$4,'Ops Assumptions'!$B$34:$B$44,0)),IF('Ops Assumptions'!$P$39="Monthly",INDEX('Ops Assumptions'!$E$34:$E$44,MATCH(DA$4,'Ops Assumptions'!$B$34:$B$44,0))^1/12,0))</f>
        <v>3.5000000000000003E-2</v>
      </c>
      <c r="DB7" s="688">
        <f>IF(AND('Ops Assumptions'!$P$39="Annual",DB$4&gt;DA$4),INDEX('Ops Assumptions'!$E$34:$E$44,MATCH(DB$4,'Ops Assumptions'!$B$34:$B$44,0)),IF('Ops Assumptions'!$P$39="Monthly",INDEX('Ops Assumptions'!$E$34:$E$44,MATCH(DB$4,'Ops Assumptions'!$B$34:$B$44,0))^1/12,0))</f>
        <v>0</v>
      </c>
      <c r="DC7" s="688">
        <f>IF(AND('Ops Assumptions'!$P$39="Annual",DC$4&gt;DB$4),INDEX('Ops Assumptions'!$E$34:$E$44,MATCH(DC$4,'Ops Assumptions'!$B$34:$B$44,0)),IF('Ops Assumptions'!$P$39="Monthly",INDEX('Ops Assumptions'!$E$34:$E$44,MATCH(DC$4,'Ops Assumptions'!$B$34:$B$44,0))^1/12,0))</f>
        <v>0</v>
      </c>
      <c r="DD7" s="688">
        <f>IF(AND('Ops Assumptions'!$P$39="Annual",DD$4&gt;DC$4),INDEX('Ops Assumptions'!$E$34:$E$44,MATCH(DD$4,'Ops Assumptions'!$B$34:$B$44,0)),IF('Ops Assumptions'!$P$39="Monthly",INDEX('Ops Assumptions'!$E$34:$E$44,MATCH(DD$4,'Ops Assumptions'!$B$34:$B$44,0))^1/12,0))</f>
        <v>0</v>
      </c>
      <c r="DE7" s="688">
        <f>IF(AND('Ops Assumptions'!$P$39="Annual",DE$4&gt;DD$4),INDEX('Ops Assumptions'!$E$34:$E$44,MATCH(DE$4,'Ops Assumptions'!$B$34:$B$44,0)),IF('Ops Assumptions'!$P$39="Monthly",INDEX('Ops Assumptions'!$E$34:$E$44,MATCH(DE$4,'Ops Assumptions'!$B$34:$B$44,0))^1/12,0))</f>
        <v>0</v>
      </c>
      <c r="DF7" s="688">
        <f>IF(AND('Ops Assumptions'!$P$39="Annual",DF$4&gt;DE$4),INDEX('Ops Assumptions'!$E$34:$E$44,MATCH(DF$4,'Ops Assumptions'!$B$34:$B$44,0)),IF('Ops Assumptions'!$P$39="Monthly",INDEX('Ops Assumptions'!$E$34:$E$44,MATCH(DF$4,'Ops Assumptions'!$B$34:$B$44,0))^1/12,0))</f>
        <v>0</v>
      </c>
      <c r="DG7" s="688">
        <f>IF(AND('Ops Assumptions'!$P$39="Annual",DG$4&gt;DF$4),INDEX('Ops Assumptions'!$E$34:$E$44,MATCH(DG$4,'Ops Assumptions'!$B$34:$B$44,0)),IF('Ops Assumptions'!$P$39="Monthly",INDEX('Ops Assumptions'!$E$34:$E$44,MATCH(DG$4,'Ops Assumptions'!$B$34:$B$44,0))^1/12,0))</f>
        <v>0</v>
      </c>
      <c r="DH7" s="688">
        <f>IF(AND('Ops Assumptions'!$P$39="Annual",DH$4&gt;DG$4),INDEX('Ops Assumptions'!$E$34:$E$44,MATCH(DH$4,'Ops Assumptions'!$B$34:$B$44,0)),IF('Ops Assumptions'!$P$39="Monthly",INDEX('Ops Assumptions'!$E$34:$E$44,MATCH(DH$4,'Ops Assumptions'!$B$34:$B$44,0))^1/12,0))</f>
        <v>0</v>
      </c>
      <c r="DI7" s="688">
        <f>IF(AND('Ops Assumptions'!$P$39="Annual",DI$4&gt;DH$4),INDEX('Ops Assumptions'!$E$34:$E$44,MATCH(DI$4,'Ops Assumptions'!$B$34:$B$44,0)),IF('Ops Assumptions'!$P$39="Monthly",INDEX('Ops Assumptions'!$E$34:$E$44,MATCH(DI$4,'Ops Assumptions'!$B$34:$B$44,0))^1/12,0))</f>
        <v>0</v>
      </c>
      <c r="DJ7" s="688">
        <f>IF(AND('Ops Assumptions'!$P$39="Annual",DJ$4&gt;DI$4),INDEX('Ops Assumptions'!$E$34:$E$44,MATCH(DJ$4,'Ops Assumptions'!$B$34:$B$44,0)),IF('Ops Assumptions'!$P$39="Monthly",INDEX('Ops Assumptions'!$E$34:$E$44,MATCH(DJ$4,'Ops Assumptions'!$B$34:$B$44,0))^1/12,0))</f>
        <v>0</v>
      </c>
      <c r="DK7" s="688">
        <f>IF(AND('Ops Assumptions'!$P$39="Annual",DK$4&gt;DJ$4),INDEX('Ops Assumptions'!$E$34:$E$44,MATCH(DK$4,'Ops Assumptions'!$B$34:$B$44,0)),IF('Ops Assumptions'!$P$39="Monthly",INDEX('Ops Assumptions'!$E$34:$E$44,MATCH(DK$4,'Ops Assumptions'!$B$34:$B$44,0))^1/12,0))</f>
        <v>0</v>
      </c>
      <c r="DL7" s="688">
        <f>IF(AND('Ops Assumptions'!$P$39="Annual",DL$4&gt;DK$4),INDEX('Ops Assumptions'!$E$34:$E$44,MATCH(DL$4,'Ops Assumptions'!$B$34:$B$44,0)),IF('Ops Assumptions'!$P$39="Monthly",INDEX('Ops Assumptions'!$E$34:$E$44,MATCH(DL$4,'Ops Assumptions'!$B$34:$B$44,0))^1/12,0))</f>
        <v>0</v>
      </c>
      <c r="DM7" s="688">
        <f>IF(AND('Ops Assumptions'!$P$39="Annual",DM$4&gt;DL$4),INDEX('Ops Assumptions'!$E$34:$E$44,MATCH(DM$4,'Ops Assumptions'!$B$34:$B$44,0)),IF('Ops Assumptions'!$P$39="Monthly",INDEX('Ops Assumptions'!$E$34:$E$44,MATCH(DM$4,'Ops Assumptions'!$B$34:$B$44,0))^1/12,0))</f>
        <v>3.5000000000000003E-2</v>
      </c>
      <c r="DN7" s="688">
        <f>IF(AND('Ops Assumptions'!$P$39="Annual",DN$4&gt;DM$4),INDEX('Ops Assumptions'!$E$34:$E$44,MATCH(DN$4,'Ops Assumptions'!$B$34:$B$44,0)),IF('Ops Assumptions'!$P$39="Monthly",INDEX('Ops Assumptions'!$E$34:$E$44,MATCH(DN$4,'Ops Assumptions'!$B$34:$B$44,0))^1/12,0))</f>
        <v>0</v>
      </c>
      <c r="DO7" s="688">
        <f>IF(AND('Ops Assumptions'!$P$39="Annual",DO$4&gt;DN$4),INDEX('Ops Assumptions'!$E$34:$E$44,MATCH(DO$4,'Ops Assumptions'!$B$34:$B$44,0)),IF('Ops Assumptions'!$P$39="Monthly",INDEX('Ops Assumptions'!$E$34:$E$44,MATCH(DO$4,'Ops Assumptions'!$B$34:$B$44,0))^1/12,0))</f>
        <v>0</v>
      </c>
      <c r="DP7" s="688">
        <f>IF(AND('Ops Assumptions'!$P$39="Annual",DP$4&gt;DO$4),INDEX('Ops Assumptions'!$E$34:$E$44,MATCH(DP$4,'Ops Assumptions'!$B$34:$B$44,0)),IF('Ops Assumptions'!$P$39="Monthly",INDEX('Ops Assumptions'!$E$34:$E$44,MATCH(DP$4,'Ops Assumptions'!$B$34:$B$44,0))^1/12,0))</f>
        <v>0</v>
      </c>
      <c r="DQ7" s="688">
        <f>IF(AND('Ops Assumptions'!$P$39="Annual",DQ$4&gt;DP$4),INDEX('Ops Assumptions'!$E$34:$E$44,MATCH(DQ$4,'Ops Assumptions'!$B$34:$B$44,0)),IF('Ops Assumptions'!$P$39="Monthly",INDEX('Ops Assumptions'!$E$34:$E$44,MATCH(DQ$4,'Ops Assumptions'!$B$34:$B$44,0))^1/12,0))</f>
        <v>0</v>
      </c>
      <c r="DR7" s="688">
        <f>IF(AND('Ops Assumptions'!$P$39="Annual",DR$4&gt;DQ$4),INDEX('Ops Assumptions'!$E$34:$E$44,MATCH(DR$4,'Ops Assumptions'!$B$34:$B$44,0)),IF('Ops Assumptions'!$P$39="Monthly",INDEX('Ops Assumptions'!$E$34:$E$44,MATCH(DR$4,'Ops Assumptions'!$B$34:$B$44,0))^1/12,0))</f>
        <v>0</v>
      </c>
      <c r="DS7" s="688">
        <f>IF(AND('Ops Assumptions'!$P$39="Annual",DS$4&gt;DR$4),INDEX('Ops Assumptions'!$E$34:$E$44,MATCH(DS$4,'Ops Assumptions'!$B$34:$B$44,0)),IF('Ops Assumptions'!$P$39="Monthly",INDEX('Ops Assumptions'!$E$34:$E$44,MATCH(DS$4,'Ops Assumptions'!$B$34:$B$44,0))^1/12,0))</f>
        <v>0</v>
      </c>
      <c r="DT7" s="688">
        <f>IF(AND('Ops Assumptions'!$P$39="Annual",DT$4&gt;DS$4),INDEX('Ops Assumptions'!$E$34:$E$44,MATCH(DT$4,'Ops Assumptions'!$B$34:$B$44,0)),IF('Ops Assumptions'!$P$39="Monthly",INDEX('Ops Assumptions'!$E$34:$E$44,MATCH(DT$4,'Ops Assumptions'!$B$34:$B$44,0))^1/12,0))</f>
        <v>0</v>
      </c>
      <c r="DU7" s="688">
        <f>IF(AND('Ops Assumptions'!$P$39="Annual",DU$4&gt;DT$4),INDEX('Ops Assumptions'!$E$34:$E$44,MATCH(DU$4,'Ops Assumptions'!$B$34:$B$44,0)),IF('Ops Assumptions'!$P$39="Monthly",INDEX('Ops Assumptions'!$E$34:$E$44,MATCH(DU$4,'Ops Assumptions'!$B$34:$B$44,0))^1/12,0))</f>
        <v>0</v>
      </c>
      <c r="DV7" s="688">
        <f>IF(AND('Ops Assumptions'!$P$39="Annual",DV$4&gt;DU$4),INDEX('Ops Assumptions'!$E$34:$E$44,MATCH(DV$4,'Ops Assumptions'!$B$34:$B$44,0)),IF('Ops Assumptions'!$P$39="Monthly",INDEX('Ops Assumptions'!$E$34:$E$44,MATCH(DV$4,'Ops Assumptions'!$B$34:$B$44,0))^1/12,0))</f>
        <v>0</v>
      </c>
      <c r="DW7" s="688">
        <f>IF(AND('Ops Assumptions'!$P$39="Annual",DW$4&gt;DV$4),INDEX('Ops Assumptions'!$E$34:$E$44,MATCH(DW$4,'Ops Assumptions'!$B$34:$B$44,0)),IF('Ops Assumptions'!$P$39="Monthly",INDEX('Ops Assumptions'!$E$34:$E$44,MATCH(DW$4,'Ops Assumptions'!$B$34:$B$44,0))^1/12,0))</f>
        <v>0</v>
      </c>
      <c r="DX7" s="688">
        <f>IF(AND('Ops Assumptions'!$P$39="Annual",DX$4&gt;DW$4),INDEX('Ops Assumptions'!$E$34:$E$44,MATCH(DX$4,'Ops Assumptions'!$B$34:$B$44,0)),IF('Ops Assumptions'!$P$39="Monthly",INDEX('Ops Assumptions'!$E$34:$E$44,MATCH(DX$4,'Ops Assumptions'!$B$34:$B$44,0))^1/12,0))</f>
        <v>0</v>
      </c>
      <c r="DY7" s="688">
        <f>IF(AND('Ops Assumptions'!$P$39="Annual",DY$4&gt;DX$4),INDEX('Ops Assumptions'!$E$34:$E$44,MATCH(DY$4,'Ops Assumptions'!$B$34:$B$44,0)),IF('Ops Assumptions'!$P$39="Monthly",INDEX('Ops Assumptions'!$E$34:$E$44,MATCH(DY$4,'Ops Assumptions'!$B$34:$B$44,0))^1/12,0))</f>
        <v>2.2499999999999999E-2</v>
      </c>
      <c r="DZ7" s="688">
        <f>IF(AND('Ops Assumptions'!$P$39="Annual",DZ$4&gt;DY$4),INDEX('Ops Assumptions'!$E$34:$E$44,MATCH(DZ$4,'Ops Assumptions'!$B$34:$B$44,0)),IF('Ops Assumptions'!$P$39="Monthly",INDEX('Ops Assumptions'!$E$34:$E$44,MATCH(DZ$4,'Ops Assumptions'!$B$34:$B$44,0))^1/12,0))</f>
        <v>0</v>
      </c>
      <c r="EA7" s="688">
        <f>IF(AND('Ops Assumptions'!$P$39="Annual",EA$4&gt;DZ$4),INDEX('Ops Assumptions'!$E$34:$E$44,MATCH(EA$4,'Ops Assumptions'!$B$34:$B$44,0)),IF('Ops Assumptions'!$P$39="Monthly",INDEX('Ops Assumptions'!$E$34:$E$44,MATCH(EA$4,'Ops Assumptions'!$B$34:$B$44,0))^1/12,0))</f>
        <v>0</v>
      </c>
      <c r="EB7" s="688">
        <f>IF(AND('Ops Assumptions'!$P$39="Annual",EB$4&gt;EA$4),INDEX('Ops Assumptions'!$E$34:$E$44,MATCH(EB$4,'Ops Assumptions'!$B$34:$B$44,0)),IF('Ops Assumptions'!$P$39="Monthly",INDEX('Ops Assumptions'!$E$34:$E$44,MATCH(EB$4,'Ops Assumptions'!$B$34:$B$44,0))^1/12,0))</f>
        <v>0</v>
      </c>
      <c r="EC7" s="688">
        <f>IF(AND('Ops Assumptions'!$P$39="Annual",EC$4&gt;EB$4),INDEX('Ops Assumptions'!$E$34:$E$44,MATCH(EC$4,'Ops Assumptions'!$B$34:$B$44,0)),IF('Ops Assumptions'!$P$39="Monthly",INDEX('Ops Assumptions'!$E$34:$E$44,MATCH(EC$4,'Ops Assumptions'!$B$34:$B$44,0))^1/12,0))</f>
        <v>0</v>
      </c>
      <c r="ED7" s="688">
        <f>IF(AND('Ops Assumptions'!$P$39="Annual",ED$4&gt;EC$4),INDEX('Ops Assumptions'!$E$34:$E$44,MATCH(ED$4,'Ops Assumptions'!$B$34:$B$44,0)),IF('Ops Assumptions'!$P$39="Monthly",INDEX('Ops Assumptions'!$E$34:$E$44,MATCH(ED$4,'Ops Assumptions'!$B$34:$B$44,0))^1/12,0))</f>
        <v>0</v>
      </c>
      <c r="EE7" s="688">
        <f>IF(AND('Ops Assumptions'!$P$39="Annual",EE$4&gt;ED$4),INDEX('Ops Assumptions'!$E$34:$E$44,MATCH(EE$4,'Ops Assumptions'!$B$34:$B$44,0)),IF('Ops Assumptions'!$P$39="Monthly",INDEX('Ops Assumptions'!$E$34:$E$44,MATCH(EE$4,'Ops Assumptions'!$B$34:$B$44,0))^1/12,0))</f>
        <v>0</v>
      </c>
      <c r="EF7" s="688">
        <f>IF(AND('Ops Assumptions'!$P$39="Annual",EF$4&gt;EE$4),INDEX('Ops Assumptions'!$E$34:$E$44,MATCH(EF$4,'Ops Assumptions'!$B$34:$B$44,0)),IF('Ops Assumptions'!$P$39="Monthly",INDEX('Ops Assumptions'!$E$34:$E$44,MATCH(EF$4,'Ops Assumptions'!$B$34:$B$44,0))^1/12,0))</f>
        <v>0</v>
      </c>
      <c r="EG7" s="688">
        <f>IF(AND('Ops Assumptions'!$P$39="Annual",EG$4&gt;EF$4),INDEX('Ops Assumptions'!$E$34:$E$44,MATCH(EG$4,'Ops Assumptions'!$B$34:$B$44,0)),IF('Ops Assumptions'!$P$39="Monthly",INDEX('Ops Assumptions'!$E$34:$E$44,MATCH(EG$4,'Ops Assumptions'!$B$34:$B$44,0))^1/12,0))</f>
        <v>0</v>
      </c>
      <c r="EH7" s="688">
        <f>IF(AND('Ops Assumptions'!$P$39="Annual",EH$4&gt;EG$4),INDEX('Ops Assumptions'!$E$34:$E$44,MATCH(EH$4,'Ops Assumptions'!$B$34:$B$44,0)),IF('Ops Assumptions'!$P$39="Monthly",INDEX('Ops Assumptions'!$E$34:$E$44,MATCH(EH$4,'Ops Assumptions'!$B$34:$B$44,0))^1/12,0))</f>
        <v>0</v>
      </c>
      <c r="EI7" s="688">
        <f>IF(AND('Ops Assumptions'!$P$39="Annual",EI$4&gt;EH$4),INDEX('Ops Assumptions'!$E$34:$E$44,MATCH(EI$4,'Ops Assumptions'!$B$34:$B$44,0)),IF('Ops Assumptions'!$P$39="Monthly",INDEX('Ops Assumptions'!$E$34:$E$44,MATCH(EI$4,'Ops Assumptions'!$B$34:$B$44,0))^1/12,0))</f>
        <v>0</v>
      </c>
      <c r="EJ7" s="688">
        <f>IF(AND('Ops Assumptions'!$P$39="Annual",EJ$4&gt;EI$4),INDEX('Ops Assumptions'!$E$34:$E$44,MATCH(EJ$4,'Ops Assumptions'!$B$34:$B$44,0)),IF('Ops Assumptions'!$P$39="Monthly",INDEX('Ops Assumptions'!$E$34:$E$44,MATCH(EJ$4,'Ops Assumptions'!$B$34:$B$44,0))^1/12,0))</f>
        <v>0</v>
      </c>
      <c r="EK7" s="688">
        <f>IF(AND('Ops Assumptions'!$P$39="Annual",EK$4&gt;EJ$4),INDEX('Ops Assumptions'!$E$34:$E$44,MATCH(EK$4,'Ops Assumptions'!$B$34:$B$44,0)),IF('Ops Assumptions'!$P$39="Monthly",INDEX('Ops Assumptions'!$E$34:$E$44,MATCH(EK$4,'Ops Assumptions'!$B$34:$B$44,0))^1/12,0))</f>
        <v>2.2499999999999999E-2</v>
      </c>
      <c r="EL7" s="688">
        <f>IF(AND('Ops Assumptions'!$P$39="Annual",EL$4&gt;EK$4),INDEX('Ops Assumptions'!$E$34:$E$44,MATCH(EL$4,'Ops Assumptions'!$B$34:$B$44,0)),IF('Ops Assumptions'!$P$39="Monthly",INDEX('Ops Assumptions'!$E$34:$E$44,MATCH(EL$4,'Ops Assumptions'!$B$34:$B$44,0))^1/12,0))</f>
        <v>0</v>
      </c>
      <c r="EM7" s="688">
        <f>IF(AND('Ops Assumptions'!$P$39="Annual",EM$4&gt;EL$4),INDEX('Ops Assumptions'!$E$34:$E$44,MATCH(EM$4,'Ops Assumptions'!$B$34:$B$44,0)),IF('Ops Assumptions'!$P$39="Monthly",INDEX('Ops Assumptions'!$E$34:$E$44,MATCH(EM$4,'Ops Assumptions'!$B$34:$B$44,0))^1/12,0))</f>
        <v>0</v>
      </c>
      <c r="EN7" s="688">
        <f>IF(AND('Ops Assumptions'!$P$39="Annual",EN$4&gt;EM$4),INDEX('Ops Assumptions'!$E$34:$E$44,MATCH(EN$4,'Ops Assumptions'!$B$34:$B$44,0)),IF('Ops Assumptions'!$P$39="Monthly",INDEX('Ops Assumptions'!$E$34:$E$44,MATCH(EN$4,'Ops Assumptions'!$B$34:$B$44,0))^1/12,0))</f>
        <v>0</v>
      </c>
      <c r="EO7" s="688">
        <f>IF(AND('Ops Assumptions'!$P$39="Annual",EO$4&gt;EN$4),INDEX('Ops Assumptions'!$E$34:$E$44,MATCH(EO$4,'Ops Assumptions'!$B$34:$B$44,0)),IF('Ops Assumptions'!$P$39="Monthly",INDEX('Ops Assumptions'!$E$34:$E$44,MATCH(EO$4,'Ops Assumptions'!$B$34:$B$44,0))^1/12,0))</f>
        <v>0</v>
      </c>
      <c r="EP7" s="688">
        <f>IF(AND('Ops Assumptions'!$P$39="Annual",EP$4&gt;EO$4),INDEX('Ops Assumptions'!$E$34:$E$44,MATCH(EP$4,'Ops Assumptions'!$B$34:$B$44,0)),IF('Ops Assumptions'!$P$39="Monthly",INDEX('Ops Assumptions'!$E$34:$E$44,MATCH(EP$4,'Ops Assumptions'!$B$34:$B$44,0))^1/12,0))</f>
        <v>0</v>
      </c>
      <c r="EQ7" s="688">
        <f>IF(AND('Ops Assumptions'!$P$39="Annual",EQ$4&gt;EP$4),INDEX('Ops Assumptions'!$E$34:$E$44,MATCH(EQ$4,'Ops Assumptions'!$B$34:$B$44,0)),IF('Ops Assumptions'!$P$39="Monthly",INDEX('Ops Assumptions'!$E$34:$E$44,MATCH(EQ$4,'Ops Assumptions'!$B$34:$B$44,0))^1/12,0))</f>
        <v>0</v>
      </c>
      <c r="ER7" s="688">
        <f>IF(AND('Ops Assumptions'!$P$39="Annual",ER$4&gt;EQ$4),INDEX('Ops Assumptions'!$E$34:$E$44,MATCH(ER$4,'Ops Assumptions'!$B$34:$B$44,0)),IF('Ops Assumptions'!$P$39="Monthly",INDEX('Ops Assumptions'!$E$34:$E$44,MATCH(ER$4,'Ops Assumptions'!$B$34:$B$44,0))^1/12,0))</f>
        <v>0</v>
      </c>
      <c r="ES7" s="688">
        <f>IF(AND('Ops Assumptions'!$P$39="Annual",ES$4&gt;ER$4),INDEX('Ops Assumptions'!$E$34:$E$44,MATCH(ES$4,'Ops Assumptions'!$B$34:$B$44,0)),IF('Ops Assumptions'!$P$39="Monthly",INDEX('Ops Assumptions'!$E$34:$E$44,MATCH(ES$4,'Ops Assumptions'!$B$34:$B$44,0))^1/12,0))</f>
        <v>0</v>
      </c>
      <c r="ET7" s="688">
        <f>IF(AND('Ops Assumptions'!$P$39="Annual",ET$4&gt;ES$4),INDEX('Ops Assumptions'!$E$34:$E$44,MATCH(ET$4,'Ops Assumptions'!$B$34:$B$44,0)),IF('Ops Assumptions'!$P$39="Monthly",INDEX('Ops Assumptions'!$E$34:$E$44,MATCH(ET$4,'Ops Assumptions'!$B$34:$B$44,0))^1/12,0))</f>
        <v>0</v>
      </c>
      <c r="EU7" s="688">
        <f>IF(AND('Ops Assumptions'!$P$39="Annual",EU$4&gt;ET$4),INDEX('Ops Assumptions'!$E$34:$E$44,MATCH(EU$4,'Ops Assumptions'!$B$34:$B$44,0)),IF('Ops Assumptions'!$P$39="Monthly",INDEX('Ops Assumptions'!$E$34:$E$44,MATCH(EU$4,'Ops Assumptions'!$B$34:$B$44,0))^1/12,0))</f>
        <v>0</v>
      </c>
      <c r="EV7" s="688">
        <f>IF(AND('Ops Assumptions'!$P$39="Annual",EV$4&gt;EU$4),INDEX('Ops Assumptions'!$E$34:$E$44,MATCH(EV$4,'Ops Assumptions'!$B$34:$B$44,0)),IF('Ops Assumptions'!$P$39="Monthly",INDEX('Ops Assumptions'!$E$34:$E$44,MATCH(EV$4,'Ops Assumptions'!$B$34:$B$44,0))^1/12,0))</f>
        <v>0</v>
      </c>
      <c r="EW7" s="150" t="s">
        <v>243</v>
      </c>
    </row>
    <row r="8" spans="2:157" x14ac:dyDescent="0.2">
      <c r="B8" s="689" t="s">
        <v>93</v>
      </c>
      <c r="C8" s="690"/>
      <c r="D8" s="691">
        <f>Financials!T21</f>
        <v>447792.20999999996</v>
      </c>
      <c r="E8" s="691">
        <f t="shared" ref="E8:E17" si="8">IFERROR(D8/units,0)</f>
        <v>1835.2139754098359</v>
      </c>
      <c r="F8" s="692">
        <f t="shared" ref="F8:F17" si="9">IFERROR(D8/NRA,0)</f>
        <v>1.9179696494654603</v>
      </c>
      <c r="G8" s="693">
        <f>Financials!AK21</f>
        <v>0.11754010281887804</v>
      </c>
      <c r="H8" s="690"/>
      <c r="I8" s="691">
        <f>'Opex Budget'!Q20</f>
        <v>337360</v>
      </c>
      <c r="J8" s="691">
        <f>IFERROR(I8/units,0)</f>
        <v>1382.622950819672</v>
      </c>
      <c r="K8" s="692">
        <f t="shared" ref="K8:K17" si="10">IFERROR(I8/NRA,0)</f>
        <v>1.4449698464912282</v>
      </c>
      <c r="L8" s="694">
        <f ca="1">IFERROR(I8/Financials!$BA$18,0)</f>
        <v>8.1494827046274823E-2</v>
      </c>
      <c r="M8" s="690"/>
      <c r="N8" s="695" t="s">
        <v>396</v>
      </c>
      <c r="O8" s="690"/>
      <c r="P8" s="696"/>
      <c r="S8" s="697"/>
      <c r="T8" s="367"/>
      <c r="U8" s="367"/>
      <c r="V8" s="367"/>
      <c r="W8" s="367"/>
      <c r="X8" s="367"/>
      <c r="Y8" s="367"/>
      <c r="Z8" s="367"/>
      <c r="AA8" s="367"/>
      <c r="AB8" s="367"/>
      <c r="AC8" s="367"/>
      <c r="AD8" s="367"/>
      <c r="AE8" s="367"/>
      <c r="AF8" s="367"/>
      <c r="AG8" s="367"/>
      <c r="AH8" s="367"/>
      <c r="AI8" s="367"/>
      <c r="AJ8" s="367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7"/>
      <c r="AZ8" s="367"/>
      <c r="BA8" s="367"/>
      <c r="BB8" s="367"/>
      <c r="BC8" s="367"/>
      <c r="BD8" s="367"/>
      <c r="BE8" s="367"/>
      <c r="BF8" s="367"/>
      <c r="BG8" s="367"/>
      <c r="BH8" s="367"/>
      <c r="BI8" s="367"/>
      <c r="BJ8" s="367"/>
      <c r="BK8" s="367"/>
      <c r="BL8" s="367"/>
      <c r="BM8" s="367"/>
      <c r="BN8" s="367"/>
      <c r="BO8" s="367"/>
      <c r="BP8" s="367"/>
      <c r="BQ8" s="367"/>
      <c r="BR8" s="367"/>
      <c r="BS8" s="367"/>
      <c r="BT8" s="367"/>
      <c r="BU8" s="367"/>
      <c r="BV8" s="367"/>
      <c r="BW8" s="367"/>
      <c r="BX8" s="367"/>
      <c r="BY8" s="367"/>
      <c r="BZ8" s="367"/>
      <c r="CA8" s="367"/>
      <c r="CB8" s="367"/>
      <c r="CC8" s="367"/>
      <c r="CD8" s="367"/>
      <c r="CE8" s="367"/>
      <c r="CF8" s="367"/>
      <c r="CG8" s="367"/>
      <c r="CH8" s="367"/>
      <c r="CI8" s="367"/>
      <c r="CJ8" s="367"/>
      <c r="CK8" s="367"/>
      <c r="CL8" s="367"/>
      <c r="CM8" s="367"/>
      <c r="CN8" s="367"/>
      <c r="CO8" s="367"/>
      <c r="CP8" s="367"/>
      <c r="CQ8" s="367"/>
      <c r="CR8" s="367"/>
      <c r="CS8" s="367"/>
      <c r="CT8" s="367"/>
      <c r="CU8" s="367"/>
      <c r="CV8" s="367"/>
      <c r="CW8" s="367"/>
      <c r="CX8" s="367"/>
      <c r="CY8" s="367"/>
      <c r="CZ8" s="367"/>
      <c r="DA8" s="367"/>
      <c r="DB8" s="367"/>
      <c r="DC8" s="367"/>
      <c r="DD8" s="367"/>
      <c r="DE8" s="367"/>
      <c r="DF8" s="367"/>
      <c r="DG8" s="367"/>
      <c r="DH8" s="367"/>
      <c r="DI8" s="367"/>
      <c r="DJ8" s="367"/>
      <c r="DK8" s="367"/>
      <c r="DL8" s="367"/>
      <c r="DM8" s="367"/>
      <c r="DN8" s="367"/>
      <c r="DO8" s="367"/>
      <c r="DP8" s="367"/>
      <c r="DQ8" s="367"/>
      <c r="DR8" s="367"/>
      <c r="DS8" s="367"/>
      <c r="DT8" s="367"/>
      <c r="DU8" s="367"/>
      <c r="DV8" s="367"/>
      <c r="DW8" s="367"/>
      <c r="DX8" s="367"/>
      <c r="DY8" s="367"/>
      <c r="DZ8" s="367"/>
      <c r="EA8" s="367"/>
      <c r="EB8" s="367"/>
      <c r="EC8" s="367"/>
      <c r="ED8" s="367"/>
      <c r="EE8" s="367"/>
      <c r="EF8" s="367"/>
      <c r="EG8" s="367"/>
      <c r="EH8" s="367"/>
      <c r="EI8" s="367"/>
      <c r="EJ8" s="367"/>
      <c r="EK8" s="367"/>
      <c r="EL8" s="367"/>
      <c r="EM8" s="367"/>
      <c r="EN8" s="367"/>
      <c r="EO8" s="367"/>
      <c r="EP8" s="367"/>
      <c r="EQ8" s="367"/>
      <c r="ER8" s="367"/>
      <c r="ES8" s="367"/>
      <c r="ET8" s="367"/>
      <c r="EU8" s="367"/>
      <c r="EV8" s="367"/>
      <c r="EW8" s="150" t="s">
        <v>243</v>
      </c>
    </row>
    <row r="9" spans="2:157" x14ac:dyDescent="0.2">
      <c r="B9" s="698" t="s">
        <v>397</v>
      </c>
      <c r="D9" s="550">
        <f>Financials!T22</f>
        <v>96543.25</v>
      </c>
      <c r="E9" s="550">
        <f t="shared" si="8"/>
        <v>395.66905737704917</v>
      </c>
      <c r="F9" s="699">
        <f t="shared" si="9"/>
        <v>0.41351104200932015</v>
      </c>
      <c r="G9" s="700">
        <f>Financials!AK22</f>
        <v>2.5341449176770288E-2</v>
      </c>
      <c r="I9" s="550">
        <f ca="1">L9*Financials!BA18</f>
        <v>124189.47762479639</v>
      </c>
      <c r="J9" s="550">
        <f ca="1">IFERROR(I9/units,0)</f>
        <v>508.97326895408355</v>
      </c>
      <c r="K9" s="699">
        <f t="shared" ca="1" si="10"/>
        <v>0.5319245032586194</v>
      </c>
      <c r="L9" s="701">
        <v>0.03</v>
      </c>
      <c r="N9" s="702" t="s">
        <v>398</v>
      </c>
      <c r="P9" s="703"/>
      <c r="EW9" s="150" t="s">
        <v>243</v>
      </c>
    </row>
    <row r="10" spans="2:157" x14ac:dyDescent="0.2">
      <c r="B10" s="698" t="s">
        <v>94</v>
      </c>
      <c r="D10" s="550">
        <f>Financials!T23</f>
        <v>78389.62</v>
      </c>
      <c r="E10" s="550">
        <f t="shared" si="8"/>
        <v>321.26893442622946</v>
      </c>
      <c r="F10" s="699">
        <f t="shared" si="9"/>
        <v>0.33575597930372802</v>
      </c>
      <c r="G10" s="700">
        <f>Financials!AK23</f>
        <v>2.0576338285859815E-2</v>
      </c>
      <c r="I10" s="550">
        <f t="shared" ref="I10:I15" si="11">J10*units</f>
        <v>75884</v>
      </c>
      <c r="J10" s="704">
        <v>311</v>
      </c>
      <c r="K10" s="699">
        <f t="shared" si="10"/>
        <v>0.32502398574561403</v>
      </c>
      <c r="L10" s="705">
        <f ca="1">IFERROR(I10/Financials!$BA$18,0)</f>
        <v>1.8331021625502486E-2</v>
      </c>
      <c r="N10" s="702"/>
      <c r="P10" s="703"/>
      <c r="S10" s="145" t="s">
        <v>156</v>
      </c>
      <c r="EW10" s="706" t="s">
        <v>243</v>
      </c>
    </row>
    <row r="11" spans="2:157" x14ac:dyDescent="0.2">
      <c r="B11" s="698" t="s">
        <v>826</v>
      </c>
      <c r="D11" s="550">
        <f>Financials!T24</f>
        <v>107510.89</v>
      </c>
      <c r="E11" s="550">
        <f t="shared" si="8"/>
        <v>440.61840163934426</v>
      </c>
      <c r="F11" s="699">
        <f t="shared" si="9"/>
        <v>0.46048729612116229</v>
      </c>
      <c r="G11" s="700">
        <f>Financials!AK24</f>
        <v>2.8220323584345265E-2</v>
      </c>
      <c r="I11" s="550">
        <f t="shared" si="11"/>
        <v>77439.090000000011</v>
      </c>
      <c r="J11" s="704">
        <v>317.37331967213117</v>
      </c>
      <c r="K11" s="699">
        <f t="shared" si="10"/>
        <v>0.33168469880756585</v>
      </c>
      <c r="L11" s="705">
        <f ca="1">IFERROR(I11/Financials!$BA$18,0)</f>
        <v>1.8706679055522028E-2</v>
      </c>
      <c r="N11" s="702" t="s">
        <v>400</v>
      </c>
      <c r="P11" s="703"/>
      <c r="S11" s="144" t="str">
        <f t="shared" ref="S11:S17" si="12">B21</f>
        <v>Current Other Income</v>
      </c>
      <c r="T11" s="550">
        <f>I21</f>
        <v>24995.436666666661</v>
      </c>
      <c r="U11" s="550">
        <f>T11*(1+U$7)</f>
        <v>25995.254133333328</v>
      </c>
      <c r="V11" s="550">
        <f t="shared" ref="V11:CF14" si="13">U11*(1+V$7)</f>
        <v>25995.254133333328</v>
      </c>
      <c r="W11" s="550">
        <f t="shared" si="13"/>
        <v>25995.254133333328</v>
      </c>
      <c r="X11" s="550">
        <f t="shared" si="13"/>
        <v>25995.254133333328</v>
      </c>
      <c r="Y11" s="550">
        <f t="shared" si="13"/>
        <v>25995.254133333328</v>
      </c>
      <c r="Z11" s="550">
        <f t="shared" si="13"/>
        <v>25995.254133333328</v>
      </c>
      <c r="AA11" s="550">
        <f t="shared" si="13"/>
        <v>25995.254133333328</v>
      </c>
      <c r="AB11" s="550">
        <f t="shared" si="13"/>
        <v>25995.254133333328</v>
      </c>
      <c r="AC11" s="550">
        <f t="shared" si="13"/>
        <v>25995.254133333328</v>
      </c>
      <c r="AD11" s="550">
        <f t="shared" si="13"/>
        <v>25995.254133333328</v>
      </c>
      <c r="AE11" s="550">
        <f t="shared" si="13"/>
        <v>25995.254133333328</v>
      </c>
      <c r="AF11" s="550">
        <f t="shared" si="13"/>
        <v>25995.254133333328</v>
      </c>
      <c r="AG11" s="550">
        <f t="shared" si="13"/>
        <v>27035.064298666661</v>
      </c>
      <c r="AH11" s="550">
        <f t="shared" si="13"/>
        <v>27035.064298666661</v>
      </c>
      <c r="AI11" s="550">
        <f t="shared" si="13"/>
        <v>27035.064298666661</v>
      </c>
      <c r="AJ11" s="550">
        <f t="shared" si="13"/>
        <v>27035.064298666661</v>
      </c>
      <c r="AK11" s="550">
        <f t="shared" si="13"/>
        <v>27035.064298666661</v>
      </c>
      <c r="AL11" s="550">
        <f t="shared" si="13"/>
        <v>27035.064298666661</v>
      </c>
      <c r="AM11" s="550">
        <f t="shared" si="13"/>
        <v>27035.064298666661</v>
      </c>
      <c r="AN11" s="550">
        <f t="shared" si="13"/>
        <v>27035.064298666661</v>
      </c>
      <c r="AO11" s="550">
        <f t="shared" si="13"/>
        <v>27035.064298666661</v>
      </c>
      <c r="AP11" s="550">
        <f t="shared" si="13"/>
        <v>27035.064298666661</v>
      </c>
      <c r="AQ11" s="550">
        <f t="shared" si="13"/>
        <v>27035.064298666661</v>
      </c>
      <c r="AR11" s="550">
        <f t="shared" si="13"/>
        <v>27035.064298666661</v>
      </c>
      <c r="AS11" s="550">
        <f t="shared" si="13"/>
        <v>27981.291549119993</v>
      </c>
      <c r="AT11" s="550">
        <f t="shared" si="13"/>
        <v>27981.291549119993</v>
      </c>
      <c r="AU11" s="550">
        <f t="shared" si="13"/>
        <v>27981.291549119993</v>
      </c>
      <c r="AV11" s="550">
        <f t="shared" si="13"/>
        <v>27981.291549119993</v>
      </c>
      <c r="AW11" s="550">
        <f t="shared" si="13"/>
        <v>27981.291549119993</v>
      </c>
      <c r="AX11" s="550">
        <f t="shared" si="13"/>
        <v>27981.291549119993</v>
      </c>
      <c r="AY11" s="550">
        <f t="shared" si="13"/>
        <v>27981.291549119993</v>
      </c>
      <c r="AZ11" s="550">
        <f t="shared" si="13"/>
        <v>27981.291549119993</v>
      </c>
      <c r="BA11" s="550">
        <f t="shared" si="13"/>
        <v>27981.291549119993</v>
      </c>
      <c r="BB11" s="550">
        <f t="shared" si="13"/>
        <v>27981.291549119993</v>
      </c>
      <c r="BC11" s="550">
        <f t="shared" si="13"/>
        <v>27981.291549119993</v>
      </c>
      <c r="BD11" s="550">
        <f t="shared" si="13"/>
        <v>27981.291549119993</v>
      </c>
      <c r="BE11" s="550">
        <f t="shared" si="13"/>
        <v>28960.636753339189</v>
      </c>
      <c r="BF11" s="550">
        <f t="shared" si="13"/>
        <v>28960.636753339189</v>
      </c>
      <c r="BG11" s="550">
        <f t="shared" si="13"/>
        <v>28960.636753339189</v>
      </c>
      <c r="BH11" s="550">
        <f t="shared" si="13"/>
        <v>28960.636753339189</v>
      </c>
      <c r="BI11" s="550">
        <f t="shared" si="13"/>
        <v>28960.636753339189</v>
      </c>
      <c r="BJ11" s="550">
        <f t="shared" si="13"/>
        <v>28960.636753339189</v>
      </c>
      <c r="BK11" s="550">
        <f t="shared" si="13"/>
        <v>28960.636753339189</v>
      </c>
      <c r="BL11" s="550">
        <f t="shared" si="13"/>
        <v>28960.636753339189</v>
      </c>
      <c r="BM11" s="550">
        <f t="shared" si="13"/>
        <v>28960.636753339189</v>
      </c>
      <c r="BN11" s="550">
        <f t="shared" si="13"/>
        <v>28960.636753339189</v>
      </c>
      <c r="BO11" s="550">
        <f t="shared" si="13"/>
        <v>28960.636753339189</v>
      </c>
      <c r="BP11" s="550">
        <f t="shared" si="13"/>
        <v>28960.636753339189</v>
      </c>
      <c r="BQ11" s="550">
        <f t="shared" si="13"/>
        <v>29974.259039706059</v>
      </c>
      <c r="BR11" s="550">
        <f t="shared" si="13"/>
        <v>29974.259039706059</v>
      </c>
      <c r="BS11" s="550">
        <f t="shared" si="13"/>
        <v>29974.259039706059</v>
      </c>
      <c r="BT11" s="550">
        <f t="shared" si="13"/>
        <v>29974.259039706059</v>
      </c>
      <c r="BU11" s="550">
        <f t="shared" si="13"/>
        <v>29974.259039706059</v>
      </c>
      <c r="BV11" s="550">
        <f t="shared" si="13"/>
        <v>29974.259039706059</v>
      </c>
      <c r="BW11" s="550">
        <f t="shared" si="13"/>
        <v>29974.259039706059</v>
      </c>
      <c r="BX11" s="550">
        <f t="shared" si="13"/>
        <v>29974.259039706059</v>
      </c>
      <c r="BY11" s="550">
        <f t="shared" si="13"/>
        <v>29974.259039706059</v>
      </c>
      <c r="BZ11" s="550">
        <f t="shared" si="13"/>
        <v>29974.259039706059</v>
      </c>
      <c r="CA11" s="550">
        <f t="shared" si="13"/>
        <v>29974.259039706059</v>
      </c>
      <c r="CB11" s="550">
        <f t="shared" si="13"/>
        <v>29974.259039706059</v>
      </c>
      <c r="CC11" s="550">
        <f t="shared" si="13"/>
        <v>31023.358106095769</v>
      </c>
      <c r="CD11" s="550">
        <f t="shared" si="13"/>
        <v>31023.358106095769</v>
      </c>
      <c r="CE11" s="550">
        <f t="shared" si="13"/>
        <v>31023.358106095769</v>
      </c>
      <c r="CF11" s="550">
        <f t="shared" si="13"/>
        <v>31023.358106095769</v>
      </c>
      <c r="CG11" s="550">
        <f t="shared" ref="CG11:ER14" si="14">CF11*(1+CG$7)</f>
        <v>31023.358106095769</v>
      </c>
      <c r="CH11" s="550">
        <f t="shared" si="14"/>
        <v>31023.358106095769</v>
      </c>
      <c r="CI11" s="550">
        <f t="shared" si="14"/>
        <v>31023.358106095769</v>
      </c>
      <c r="CJ11" s="550">
        <f t="shared" si="14"/>
        <v>31023.358106095769</v>
      </c>
      <c r="CK11" s="550">
        <f t="shared" si="14"/>
        <v>31023.358106095769</v>
      </c>
      <c r="CL11" s="550">
        <f t="shared" si="14"/>
        <v>31023.358106095769</v>
      </c>
      <c r="CM11" s="550">
        <f t="shared" si="14"/>
        <v>31023.358106095769</v>
      </c>
      <c r="CN11" s="550">
        <f t="shared" si="14"/>
        <v>31023.358106095769</v>
      </c>
      <c r="CO11" s="550">
        <f t="shared" si="14"/>
        <v>32109.17563980912</v>
      </c>
      <c r="CP11" s="550">
        <f t="shared" si="14"/>
        <v>32109.17563980912</v>
      </c>
      <c r="CQ11" s="550">
        <f t="shared" si="14"/>
        <v>32109.17563980912</v>
      </c>
      <c r="CR11" s="550">
        <f t="shared" si="14"/>
        <v>32109.17563980912</v>
      </c>
      <c r="CS11" s="550">
        <f t="shared" si="14"/>
        <v>32109.17563980912</v>
      </c>
      <c r="CT11" s="550">
        <f t="shared" si="14"/>
        <v>32109.17563980912</v>
      </c>
      <c r="CU11" s="550">
        <f t="shared" si="14"/>
        <v>32109.17563980912</v>
      </c>
      <c r="CV11" s="550">
        <f t="shared" si="14"/>
        <v>32109.17563980912</v>
      </c>
      <c r="CW11" s="550">
        <f t="shared" si="14"/>
        <v>32109.17563980912</v>
      </c>
      <c r="CX11" s="550">
        <f t="shared" si="14"/>
        <v>32109.17563980912</v>
      </c>
      <c r="CY11" s="550">
        <f t="shared" si="14"/>
        <v>32109.17563980912</v>
      </c>
      <c r="CZ11" s="550">
        <f t="shared" si="14"/>
        <v>32109.17563980912</v>
      </c>
      <c r="DA11" s="550">
        <f t="shared" si="14"/>
        <v>33232.996787202435</v>
      </c>
      <c r="DB11" s="550">
        <f t="shared" si="14"/>
        <v>33232.996787202435</v>
      </c>
      <c r="DC11" s="550">
        <f t="shared" si="14"/>
        <v>33232.996787202435</v>
      </c>
      <c r="DD11" s="550">
        <f t="shared" si="14"/>
        <v>33232.996787202435</v>
      </c>
      <c r="DE11" s="550">
        <f t="shared" si="14"/>
        <v>33232.996787202435</v>
      </c>
      <c r="DF11" s="550">
        <f t="shared" si="14"/>
        <v>33232.996787202435</v>
      </c>
      <c r="DG11" s="550">
        <f t="shared" si="14"/>
        <v>33232.996787202435</v>
      </c>
      <c r="DH11" s="550">
        <f t="shared" si="14"/>
        <v>33232.996787202435</v>
      </c>
      <c r="DI11" s="550">
        <f t="shared" si="14"/>
        <v>33232.996787202435</v>
      </c>
      <c r="DJ11" s="550">
        <f t="shared" si="14"/>
        <v>33232.996787202435</v>
      </c>
      <c r="DK11" s="550">
        <f t="shared" si="14"/>
        <v>33232.996787202435</v>
      </c>
      <c r="DL11" s="550">
        <f t="shared" si="14"/>
        <v>33232.996787202435</v>
      </c>
      <c r="DM11" s="550">
        <f t="shared" si="14"/>
        <v>34396.151674754517</v>
      </c>
      <c r="DN11" s="550">
        <f t="shared" si="14"/>
        <v>34396.151674754517</v>
      </c>
      <c r="DO11" s="550">
        <f t="shared" si="14"/>
        <v>34396.151674754517</v>
      </c>
      <c r="DP11" s="550">
        <f t="shared" si="14"/>
        <v>34396.151674754517</v>
      </c>
      <c r="DQ11" s="550">
        <f t="shared" si="14"/>
        <v>34396.151674754517</v>
      </c>
      <c r="DR11" s="550">
        <f t="shared" si="14"/>
        <v>34396.151674754517</v>
      </c>
      <c r="DS11" s="550">
        <f t="shared" si="14"/>
        <v>34396.151674754517</v>
      </c>
      <c r="DT11" s="550">
        <f t="shared" si="14"/>
        <v>34396.151674754517</v>
      </c>
      <c r="DU11" s="550">
        <f t="shared" si="14"/>
        <v>34396.151674754517</v>
      </c>
      <c r="DV11" s="550">
        <f t="shared" si="14"/>
        <v>34396.151674754517</v>
      </c>
      <c r="DW11" s="550">
        <f t="shared" si="14"/>
        <v>34396.151674754517</v>
      </c>
      <c r="DX11" s="550">
        <f t="shared" si="14"/>
        <v>34396.151674754517</v>
      </c>
      <c r="DY11" s="550">
        <f t="shared" si="14"/>
        <v>35170.065087436495</v>
      </c>
      <c r="DZ11" s="550">
        <f t="shared" si="14"/>
        <v>35170.065087436495</v>
      </c>
      <c r="EA11" s="550">
        <f t="shared" si="14"/>
        <v>35170.065087436495</v>
      </c>
      <c r="EB11" s="550">
        <f t="shared" si="14"/>
        <v>35170.065087436495</v>
      </c>
      <c r="EC11" s="550">
        <f t="shared" si="14"/>
        <v>35170.065087436495</v>
      </c>
      <c r="ED11" s="550">
        <f t="shared" si="14"/>
        <v>35170.065087436495</v>
      </c>
      <c r="EE11" s="550">
        <f t="shared" si="14"/>
        <v>35170.065087436495</v>
      </c>
      <c r="EF11" s="550">
        <f t="shared" si="14"/>
        <v>35170.065087436495</v>
      </c>
      <c r="EG11" s="550">
        <f t="shared" si="14"/>
        <v>35170.065087436495</v>
      </c>
      <c r="EH11" s="550">
        <f t="shared" si="14"/>
        <v>35170.065087436495</v>
      </c>
      <c r="EI11" s="550">
        <f t="shared" si="14"/>
        <v>35170.065087436495</v>
      </c>
      <c r="EJ11" s="550">
        <f t="shared" si="14"/>
        <v>35170.065087436495</v>
      </c>
      <c r="EK11" s="550">
        <f t="shared" si="14"/>
        <v>35961.391551903813</v>
      </c>
      <c r="EL11" s="550">
        <f t="shared" si="14"/>
        <v>35961.391551903813</v>
      </c>
      <c r="EM11" s="550">
        <f t="shared" si="14"/>
        <v>35961.391551903813</v>
      </c>
      <c r="EN11" s="550">
        <f t="shared" si="14"/>
        <v>35961.391551903813</v>
      </c>
      <c r="EO11" s="550">
        <f t="shared" si="14"/>
        <v>35961.391551903813</v>
      </c>
      <c r="EP11" s="550">
        <f t="shared" si="14"/>
        <v>35961.391551903813</v>
      </c>
      <c r="EQ11" s="550">
        <f t="shared" si="14"/>
        <v>35961.391551903813</v>
      </c>
      <c r="ER11" s="550">
        <f t="shared" si="14"/>
        <v>35961.391551903813</v>
      </c>
      <c r="ES11" s="550">
        <f t="shared" ref="ES11:EV13" si="15">ER11*(1+ES$7)</f>
        <v>35961.391551903813</v>
      </c>
      <c r="ET11" s="550">
        <f t="shared" si="15"/>
        <v>35961.391551903813</v>
      </c>
      <c r="EU11" s="550">
        <f t="shared" si="15"/>
        <v>35961.391551903813</v>
      </c>
      <c r="EV11" s="550">
        <f t="shared" si="15"/>
        <v>35961.391551903813</v>
      </c>
      <c r="EW11" s="150" t="s">
        <v>243</v>
      </c>
    </row>
    <row r="12" spans="2:157" x14ac:dyDescent="0.2">
      <c r="B12" s="698" t="s">
        <v>827</v>
      </c>
      <c r="D12" s="550">
        <f>Financials!T25</f>
        <v>34784.81</v>
      </c>
      <c r="E12" s="550">
        <f t="shared" si="8"/>
        <v>142.56069672131147</v>
      </c>
      <c r="F12" s="699">
        <f t="shared" si="9"/>
        <v>0.14898921498081139</v>
      </c>
      <c r="G12" s="700">
        <f>Financials!AK25</f>
        <v>9.1305968541416493E-3</v>
      </c>
      <c r="I12" s="550">
        <f t="shared" si="11"/>
        <v>51728</v>
      </c>
      <c r="J12" s="704">
        <v>212</v>
      </c>
      <c r="K12" s="699">
        <f t="shared" si="10"/>
        <v>0.22155975877192982</v>
      </c>
      <c r="L12" s="705">
        <f ca="1">IFERROR(I12/Financials!$BA$18,0)</f>
        <v>1.2495744645037065E-2</v>
      </c>
      <c r="N12" s="702" t="s">
        <v>400</v>
      </c>
      <c r="P12" s="703"/>
      <c r="S12" s="144" t="str">
        <f t="shared" si="12"/>
        <v>Admin/App Fee</v>
      </c>
      <c r="T12" s="550">
        <v>0</v>
      </c>
      <c r="U12" s="550">
        <f>I22*(1+U$7)</f>
        <v>0</v>
      </c>
      <c r="V12" s="550">
        <f t="shared" si="13"/>
        <v>0</v>
      </c>
      <c r="W12" s="550">
        <f t="shared" si="13"/>
        <v>0</v>
      </c>
      <c r="X12" s="550">
        <f t="shared" si="13"/>
        <v>0</v>
      </c>
      <c r="Y12" s="550">
        <f t="shared" si="13"/>
        <v>0</v>
      </c>
      <c r="Z12" s="550">
        <f t="shared" si="13"/>
        <v>0</v>
      </c>
      <c r="AA12" s="550">
        <f t="shared" si="13"/>
        <v>0</v>
      </c>
      <c r="AB12" s="550">
        <f t="shared" si="13"/>
        <v>0</v>
      </c>
      <c r="AC12" s="550">
        <f t="shared" si="13"/>
        <v>0</v>
      </c>
      <c r="AD12" s="550">
        <f t="shared" si="13"/>
        <v>0</v>
      </c>
      <c r="AE12" s="550">
        <f t="shared" si="13"/>
        <v>0</v>
      </c>
      <c r="AF12" s="550">
        <f t="shared" si="13"/>
        <v>0</v>
      </c>
      <c r="AG12" s="550">
        <f t="shared" si="13"/>
        <v>0</v>
      </c>
      <c r="AH12" s="550">
        <f t="shared" si="13"/>
        <v>0</v>
      </c>
      <c r="AI12" s="550">
        <f t="shared" si="13"/>
        <v>0</v>
      </c>
      <c r="AJ12" s="550">
        <f t="shared" si="13"/>
        <v>0</v>
      </c>
      <c r="AK12" s="550">
        <f t="shared" si="13"/>
        <v>0</v>
      </c>
      <c r="AL12" s="550">
        <f t="shared" si="13"/>
        <v>0</v>
      </c>
      <c r="AM12" s="550">
        <f t="shared" si="13"/>
        <v>0</v>
      </c>
      <c r="AN12" s="550">
        <f t="shared" si="13"/>
        <v>0</v>
      </c>
      <c r="AO12" s="550">
        <f t="shared" si="13"/>
        <v>0</v>
      </c>
      <c r="AP12" s="550">
        <f t="shared" si="13"/>
        <v>0</v>
      </c>
      <c r="AQ12" s="550">
        <f t="shared" si="13"/>
        <v>0</v>
      </c>
      <c r="AR12" s="550">
        <f t="shared" si="13"/>
        <v>0</v>
      </c>
      <c r="AS12" s="550">
        <f t="shared" si="13"/>
        <v>0</v>
      </c>
      <c r="AT12" s="550">
        <f t="shared" si="13"/>
        <v>0</v>
      </c>
      <c r="AU12" s="550">
        <f t="shared" si="13"/>
        <v>0</v>
      </c>
      <c r="AV12" s="550">
        <f t="shared" si="13"/>
        <v>0</v>
      </c>
      <c r="AW12" s="550">
        <f t="shared" si="13"/>
        <v>0</v>
      </c>
      <c r="AX12" s="550">
        <f t="shared" si="13"/>
        <v>0</v>
      </c>
      <c r="AY12" s="550">
        <f t="shared" si="13"/>
        <v>0</v>
      </c>
      <c r="AZ12" s="550">
        <f t="shared" si="13"/>
        <v>0</v>
      </c>
      <c r="BA12" s="550">
        <f t="shared" si="13"/>
        <v>0</v>
      </c>
      <c r="BB12" s="550">
        <f t="shared" si="13"/>
        <v>0</v>
      </c>
      <c r="BC12" s="550">
        <f t="shared" si="13"/>
        <v>0</v>
      </c>
      <c r="BD12" s="550">
        <f t="shared" si="13"/>
        <v>0</v>
      </c>
      <c r="BE12" s="550">
        <f t="shared" si="13"/>
        <v>0</v>
      </c>
      <c r="BF12" s="550">
        <f t="shared" si="13"/>
        <v>0</v>
      </c>
      <c r="BG12" s="550">
        <f t="shared" si="13"/>
        <v>0</v>
      </c>
      <c r="BH12" s="550">
        <f t="shared" si="13"/>
        <v>0</v>
      </c>
      <c r="BI12" s="550">
        <f t="shared" si="13"/>
        <v>0</v>
      </c>
      <c r="BJ12" s="550">
        <f t="shared" si="13"/>
        <v>0</v>
      </c>
      <c r="BK12" s="550">
        <f t="shared" si="13"/>
        <v>0</v>
      </c>
      <c r="BL12" s="550">
        <f t="shared" si="13"/>
        <v>0</v>
      </c>
      <c r="BM12" s="550">
        <f t="shared" si="13"/>
        <v>0</v>
      </c>
      <c r="BN12" s="550">
        <f t="shared" si="13"/>
        <v>0</v>
      </c>
      <c r="BO12" s="550">
        <f t="shared" si="13"/>
        <v>0</v>
      </c>
      <c r="BP12" s="550">
        <f t="shared" si="13"/>
        <v>0</v>
      </c>
      <c r="BQ12" s="550">
        <f t="shared" si="13"/>
        <v>0</v>
      </c>
      <c r="BR12" s="550">
        <f t="shared" si="13"/>
        <v>0</v>
      </c>
      <c r="BS12" s="550">
        <f t="shared" si="13"/>
        <v>0</v>
      </c>
      <c r="BT12" s="550">
        <f t="shared" si="13"/>
        <v>0</v>
      </c>
      <c r="BU12" s="550">
        <f t="shared" si="13"/>
        <v>0</v>
      </c>
      <c r="BV12" s="550">
        <f t="shared" si="13"/>
        <v>0</v>
      </c>
      <c r="BW12" s="550">
        <f t="shared" si="13"/>
        <v>0</v>
      </c>
      <c r="BX12" s="550">
        <f t="shared" si="13"/>
        <v>0</v>
      </c>
      <c r="BY12" s="550">
        <f t="shared" si="13"/>
        <v>0</v>
      </c>
      <c r="BZ12" s="550">
        <f t="shared" si="13"/>
        <v>0</v>
      </c>
      <c r="CA12" s="550">
        <f t="shared" si="13"/>
        <v>0</v>
      </c>
      <c r="CB12" s="550">
        <f t="shared" si="13"/>
        <v>0</v>
      </c>
      <c r="CC12" s="550">
        <f t="shared" si="13"/>
        <v>0</v>
      </c>
      <c r="CD12" s="550">
        <f t="shared" si="13"/>
        <v>0</v>
      </c>
      <c r="CE12" s="550">
        <f t="shared" si="13"/>
        <v>0</v>
      </c>
      <c r="CF12" s="550">
        <f t="shared" si="13"/>
        <v>0</v>
      </c>
      <c r="CG12" s="550">
        <f t="shared" si="14"/>
        <v>0</v>
      </c>
      <c r="CH12" s="550">
        <f t="shared" si="14"/>
        <v>0</v>
      </c>
      <c r="CI12" s="550">
        <f t="shared" si="14"/>
        <v>0</v>
      </c>
      <c r="CJ12" s="550">
        <f t="shared" si="14"/>
        <v>0</v>
      </c>
      <c r="CK12" s="550">
        <f t="shared" si="14"/>
        <v>0</v>
      </c>
      <c r="CL12" s="550">
        <f t="shared" si="14"/>
        <v>0</v>
      </c>
      <c r="CM12" s="550">
        <f t="shared" si="14"/>
        <v>0</v>
      </c>
      <c r="CN12" s="550">
        <f t="shared" si="14"/>
        <v>0</v>
      </c>
      <c r="CO12" s="550">
        <f t="shared" si="14"/>
        <v>0</v>
      </c>
      <c r="CP12" s="550">
        <f t="shared" si="14"/>
        <v>0</v>
      </c>
      <c r="CQ12" s="550">
        <f t="shared" si="14"/>
        <v>0</v>
      </c>
      <c r="CR12" s="550">
        <f t="shared" si="14"/>
        <v>0</v>
      </c>
      <c r="CS12" s="550">
        <f t="shared" si="14"/>
        <v>0</v>
      </c>
      <c r="CT12" s="550">
        <f t="shared" si="14"/>
        <v>0</v>
      </c>
      <c r="CU12" s="550">
        <f t="shared" si="14"/>
        <v>0</v>
      </c>
      <c r="CV12" s="550">
        <f t="shared" si="14"/>
        <v>0</v>
      </c>
      <c r="CW12" s="550">
        <f t="shared" si="14"/>
        <v>0</v>
      </c>
      <c r="CX12" s="550">
        <f t="shared" si="14"/>
        <v>0</v>
      </c>
      <c r="CY12" s="550">
        <f t="shared" si="14"/>
        <v>0</v>
      </c>
      <c r="CZ12" s="550">
        <f t="shared" si="14"/>
        <v>0</v>
      </c>
      <c r="DA12" s="550">
        <f t="shared" si="14"/>
        <v>0</v>
      </c>
      <c r="DB12" s="550">
        <f t="shared" si="14"/>
        <v>0</v>
      </c>
      <c r="DC12" s="550">
        <f t="shared" si="14"/>
        <v>0</v>
      </c>
      <c r="DD12" s="550">
        <f t="shared" si="14"/>
        <v>0</v>
      </c>
      <c r="DE12" s="550">
        <f t="shared" si="14"/>
        <v>0</v>
      </c>
      <c r="DF12" s="550">
        <f t="shared" si="14"/>
        <v>0</v>
      </c>
      <c r="DG12" s="550">
        <f t="shared" si="14"/>
        <v>0</v>
      </c>
      <c r="DH12" s="550">
        <f t="shared" si="14"/>
        <v>0</v>
      </c>
      <c r="DI12" s="550">
        <f t="shared" si="14"/>
        <v>0</v>
      </c>
      <c r="DJ12" s="550">
        <f t="shared" si="14"/>
        <v>0</v>
      </c>
      <c r="DK12" s="550">
        <f t="shared" si="14"/>
        <v>0</v>
      </c>
      <c r="DL12" s="550">
        <f t="shared" si="14"/>
        <v>0</v>
      </c>
      <c r="DM12" s="550">
        <f t="shared" si="14"/>
        <v>0</v>
      </c>
      <c r="DN12" s="550">
        <f t="shared" si="14"/>
        <v>0</v>
      </c>
      <c r="DO12" s="550">
        <f t="shared" si="14"/>
        <v>0</v>
      </c>
      <c r="DP12" s="550">
        <f t="shared" si="14"/>
        <v>0</v>
      </c>
      <c r="DQ12" s="550">
        <f t="shared" si="14"/>
        <v>0</v>
      </c>
      <c r="DR12" s="550">
        <f t="shared" si="14"/>
        <v>0</v>
      </c>
      <c r="DS12" s="550">
        <f t="shared" si="14"/>
        <v>0</v>
      </c>
      <c r="DT12" s="550">
        <f t="shared" si="14"/>
        <v>0</v>
      </c>
      <c r="DU12" s="550">
        <f t="shared" si="14"/>
        <v>0</v>
      </c>
      <c r="DV12" s="550">
        <f t="shared" si="14"/>
        <v>0</v>
      </c>
      <c r="DW12" s="550">
        <f t="shared" si="14"/>
        <v>0</v>
      </c>
      <c r="DX12" s="550">
        <f t="shared" si="14"/>
        <v>0</v>
      </c>
      <c r="DY12" s="550">
        <f t="shared" si="14"/>
        <v>0</v>
      </c>
      <c r="DZ12" s="550">
        <f t="shared" si="14"/>
        <v>0</v>
      </c>
      <c r="EA12" s="550">
        <f t="shared" si="14"/>
        <v>0</v>
      </c>
      <c r="EB12" s="550">
        <f t="shared" si="14"/>
        <v>0</v>
      </c>
      <c r="EC12" s="550">
        <f t="shared" si="14"/>
        <v>0</v>
      </c>
      <c r="ED12" s="550">
        <f t="shared" si="14"/>
        <v>0</v>
      </c>
      <c r="EE12" s="550">
        <f t="shared" si="14"/>
        <v>0</v>
      </c>
      <c r="EF12" s="550">
        <f t="shared" si="14"/>
        <v>0</v>
      </c>
      <c r="EG12" s="550">
        <f t="shared" si="14"/>
        <v>0</v>
      </c>
      <c r="EH12" s="550">
        <f t="shared" si="14"/>
        <v>0</v>
      </c>
      <c r="EI12" s="550">
        <f t="shared" si="14"/>
        <v>0</v>
      </c>
      <c r="EJ12" s="550">
        <f t="shared" si="14"/>
        <v>0</v>
      </c>
      <c r="EK12" s="550">
        <f t="shared" si="14"/>
        <v>0</v>
      </c>
      <c r="EL12" s="550">
        <f t="shared" si="14"/>
        <v>0</v>
      </c>
      <c r="EM12" s="550">
        <f t="shared" si="14"/>
        <v>0</v>
      </c>
      <c r="EN12" s="550">
        <f t="shared" si="14"/>
        <v>0</v>
      </c>
      <c r="EO12" s="550">
        <f t="shared" si="14"/>
        <v>0</v>
      </c>
      <c r="EP12" s="550">
        <f t="shared" si="14"/>
        <v>0</v>
      </c>
      <c r="EQ12" s="550">
        <f t="shared" si="14"/>
        <v>0</v>
      </c>
      <c r="ER12" s="550">
        <f t="shared" si="14"/>
        <v>0</v>
      </c>
      <c r="ES12" s="550">
        <f t="shared" si="15"/>
        <v>0</v>
      </c>
      <c r="ET12" s="550">
        <f t="shared" si="15"/>
        <v>0</v>
      </c>
      <c r="EU12" s="550">
        <f t="shared" si="15"/>
        <v>0</v>
      </c>
      <c r="EV12" s="550">
        <f t="shared" si="15"/>
        <v>0</v>
      </c>
      <c r="EW12" s="150" t="s">
        <v>243</v>
      </c>
    </row>
    <row r="13" spans="2:157" x14ac:dyDescent="0.2">
      <c r="B13" s="698" t="s">
        <v>80</v>
      </c>
      <c r="D13" s="550">
        <f>Financials!T26</f>
        <v>145778.15</v>
      </c>
      <c r="E13" s="550">
        <f t="shared" si="8"/>
        <v>597.45143442622953</v>
      </c>
      <c r="F13" s="699">
        <f t="shared" si="9"/>
        <v>0.62439243249725873</v>
      </c>
      <c r="G13" s="700">
        <f>Financials!AK26</f>
        <v>3.8265021938960989E-2</v>
      </c>
      <c r="I13" s="550">
        <f t="shared" si="11"/>
        <v>145668</v>
      </c>
      <c r="J13" s="704">
        <v>597</v>
      </c>
      <c r="K13" s="699">
        <f t="shared" si="10"/>
        <v>0.62392064144736847</v>
      </c>
      <c r="L13" s="705">
        <f ca="1">IFERROR(I13/Financials!$BA$18,0)</f>
        <v>3.5188488457958148E-2</v>
      </c>
      <c r="N13" s="702" t="s">
        <v>402</v>
      </c>
      <c r="P13" s="703"/>
      <c r="S13" s="144" t="str">
        <f t="shared" si="12"/>
        <v>Late Fees/Damages/etc</v>
      </c>
      <c r="T13" s="550">
        <v>0</v>
      </c>
      <c r="U13" s="550">
        <f t="shared" ref="U13:U17" si="16">I23*(1+U$7)</f>
        <v>0</v>
      </c>
      <c r="V13" s="550">
        <f t="shared" si="13"/>
        <v>0</v>
      </c>
      <c r="W13" s="550">
        <f t="shared" si="13"/>
        <v>0</v>
      </c>
      <c r="X13" s="550">
        <f t="shared" si="13"/>
        <v>0</v>
      </c>
      <c r="Y13" s="550">
        <f t="shared" si="13"/>
        <v>0</v>
      </c>
      <c r="Z13" s="550">
        <f t="shared" si="13"/>
        <v>0</v>
      </c>
      <c r="AA13" s="550">
        <f t="shared" si="13"/>
        <v>0</v>
      </c>
      <c r="AB13" s="550">
        <f t="shared" si="13"/>
        <v>0</v>
      </c>
      <c r="AC13" s="550">
        <f t="shared" si="13"/>
        <v>0</v>
      </c>
      <c r="AD13" s="550">
        <f t="shared" si="13"/>
        <v>0</v>
      </c>
      <c r="AE13" s="550">
        <f t="shared" si="13"/>
        <v>0</v>
      </c>
      <c r="AF13" s="550">
        <f t="shared" si="13"/>
        <v>0</v>
      </c>
      <c r="AG13" s="550">
        <f t="shared" si="13"/>
        <v>0</v>
      </c>
      <c r="AH13" s="550">
        <f t="shared" si="13"/>
        <v>0</v>
      </c>
      <c r="AI13" s="550">
        <f t="shared" si="13"/>
        <v>0</v>
      </c>
      <c r="AJ13" s="550">
        <f t="shared" si="13"/>
        <v>0</v>
      </c>
      <c r="AK13" s="550">
        <f t="shared" si="13"/>
        <v>0</v>
      </c>
      <c r="AL13" s="550">
        <f t="shared" si="13"/>
        <v>0</v>
      </c>
      <c r="AM13" s="550">
        <f t="shared" si="13"/>
        <v>0</v>
      </c>
      <c r="AN13" s="550">
        <f t="shared" si="13"/>
        <v>0</v>
      </c>
      <c r="AO13" s="550">
        <f t="shared" si="13"/>
        <v>0</v>
      </c>
      <c r="AP13" s="550">
        <f t="shared" si="13"/>
        <v>0</v>
      </c>
      <c r="AQ13" s="550">
        <f t="shared" si="13"/>
        <v>0</v>
      </c>
      <c r="AR13" s="550">
        <f t="shared" si="13"/>
        <v>0</v>
      </c>
      <c r="AS13" s="550">
        <f t="shared" si="13"/>
        <v>0</v>
      </c>
      <c r="AT13" s="550">
        <f t="shared" si="13"/>
        <v>0</v>
      </c>
      <c r="AU13" s="550">
        <f t="shared" si="13"/>
        <v>0</v>
      </c>
      <c r="AV13" s="550">
        <f t="shared" si="13"/>
        <v>0</v>
      </c>
      <c r="AW13" s="550">
        <f t="shared" si="13"/>
        <v>0</v>
      </c>
      <c r="AX13" s="550">
        <f t="shared" si="13"/>
        <v>0</v>
      </c>
      <c r="AY13" s="550">
        <f t="shared" si="13"/>
        <v>0</v>
      </c>
      <c r="AZ13" s="550">
        <f t="shared" si="13"/>
        <v>0</v>
      </c>
      <c r="BA13" s="550">
        <f t="shared" si="13"/>
        <v>0</v>
      </c>
      <c r="BB13" s="550">
        <f t="shared" si="13"/>
        <v>0</v>
      </c>
      <c r="BC13" s="550">
        <f t="shared" si="13"/>
        <v>0</v>
      </c>
      <c r="BD13" s="550">
        <f t="shared" si="13"/>
        <v>0</v>
      </c>
      <c r="BE13" s="550">
        <f t="shared" si="13"/>
        <v>0</v>
      </c>
      <c r="BF13" s="550">
        <f t="shared" si="13"/>
        <v>0</v>
      </c>
      <c r="BG13" s="550">
        <f t="shared" si="13"/>
        <v>0</v>
      </c>
      <c r="BH13" s="550">
        <f t="shared" si="13"/>
        <v>0</v>
      </c>
      <c r="BI13" s="550">
        <f t="shared" si="13"/>
        <v>0</v>
      </c>
      <c r="BJ13" s="550">
        <f t="shared" si="13"/>
        <v>0</v>
      </c>
      <c r="BK13" s="550">
        <f t="shared" si="13"/>
        <v>0</v>
      </c>
      <c r="BL13" s="550">
        <f t="shared" si="13"/>
        <v>0</v>
      </c>
      <c r="BM13" s="550">
        <f t="shared" si="13"/>
        <v>0</v>
      </c>
      <c r="BN13" s="550">
        <f t="shared" si="13"/>
        <v>0</v>
      </c>
      <c r="BO13" s="550">
        <f t="shared" si="13"/>
        <v>0</v>
      </c>
      <c r="BP13" s="550">
        <f t="shared" si="13"/>
        <v>0</v>
      </c>
      <c r="BQ13" s="550">
        <f t="shared" si="13"/>
        <v>0</v>
      </c>
      <c r="BR13" s="550">
        <f t="shared" si="13"/>
        <v>0</v>
      </c>
      <c r="BS13" s="550">
        <f t="shared" si="13"/>
        <v>0</v>
      </c>
      <c r="BT13" s="550">
        <f t="shared" si="13"/>
        <v>0</v>
      </c>
      <c r="BU13" s="550">
        <f t="shared" si="13"/>
        <v>0</v>
      </c>
      <c r="BV13" s="550">
        <f t="shared" si="13"/>
        <v>0</v>
      </c>
      <c r="BW13" s="550">
        <f t="shared" si="13"/>
        <v>0</v>
      </c>
      <c r="BX13" s="550">
        <f t="shared" si="13"/>
        <v>0</v>
      </c>
      <c r="BY13" s="550">
        <f t="shared" si="13"/>
        <v>0</v>
      </c>
      <c r="BZ13" s="550">
        <f t="shared" si="13"/>
        <v>0</v>
      </c>
      <c r="CA13" s="550">
        <f t="shared" si="13"/>
        <v>0</v>
      </c>
      <c r="CB13" s="550">
        <f t="shared" si="13"/>
        <v>0</v>
      </c>
      <c r="CC13" s="550">
        <f t="shared" si="13"/>
        <v>0</v>
      </c>
      <c r="CD13" s="550">
        <f t="shared" si="13"/>
        <v>0</v>
      </c>
      <c r="CE13" s="550">
        <f t="shared" si="13"/>
        <v>0</v>
      </c>
      <c r="CF13" s="550">
        <f t="shared" si="13"/>
        <v>0</v>
      </c>
      <c r="CG13" s="550">
        <f t="shared" si="14"/>
        <v>0</v>
      </c>
      <c r="CH13" s="550">
        <f t="shared" si="14"/>
        <v>0</v>
      </c>
      <c r="CI13" s="550">
        <f t="shared" si="14"/>
        <v>0</v>
      </c>
      <c r="CJ13" s="550">
        <f t="shared" si="14"/>
        <v>0</v>
      </c>
      <c r="CK13" s="550">
        <f t="shared" si="14"/>
        <v>0</v>
      </c>
      <c r="CL13" s="550">
        <f t="shared" si="14"/>
        <v>0</v>
      </c>
      <c r="CM13" s="550">
        <f t="shared" si="14"/>
        <v>0</v>
      </c>
      <c r="CN13" s="550">
        <f t="shared" si="14"/>
        <v>0</v>
      </c>
      <c r="CO13" s="550">
        <f t="shared" si="14"/>
        <v>0</v>
      </c>
      <c r="CP13" s="550">
        <f t="shared" si="14"/>
        <v>0</v>
      </c>
      <c r="CQ13" s="550">
        <f t="shared" si="14"/>
        <v>0</v>
      </c>
      <c r="CR13" s="550">
        <f t="shared" si="14"/>
        <v>0</v>
      </c>
      <c r="CS13" s="550">
        <f t="shared" si="14"/>
        <v>0</v>
      </c>
      <c r="CT13" s="550">
        <f t="shared" si="14"/>
        <v>0</v>
      </c>
      <c r="CU13" s="550">
        <f t="shared" si="14"/>
        <v>0</v>
      </c>
      <c r="CV13" s="550">
        <f t="shared" si="14"/>
        <v>0</v>
      </c>
      <c r="CW13" s="550">
        <f t="shared" si="14"/>
        <v>0</v>
      </c>
      <c r="CX13" s="550">
        <f t="shared" si="14"/>
        <v>0</v>
      </c>
      <c r="CY13" s="550">
        <f t="shared" si="14"/>
        <v>0</v>
      </c>
      <c r="CZ13" s="550">
        <f t="shared" si="14"/>
        <v>0</v>
      </c>
      <c r="DA13" s="550">
        <f t="shared" si="14"/>
        <v>0</v>
      </c>
      <c r="DB13" s="550">
        <f t="shared" si="14"/>
        <v>0</v>
      </c>
      <c r="DC13" s="550">
        <f t="shared" si="14"/>
        <v>0</v>
      </c>
      <c r="DD13" s="550">
        <f t="shared" si="14"/>
        <v>0</v>
      </c>
      <c r="DE13" s="550">
        <f t="shared" si="14"/>
        <v>0</v>
      </c>
      <c r="DF13" s="550">
        <f t="shared" si="14"/>
        <v>0</v>
      </c>
      <c r="DG13" s="550">
        <f t="shared" si="14"/>
        <v>0</v>
      </c>
      <c r="DH13" s="550">
        <f t="shared" si="14"/>
        <v>0</v>
      </c>
      <c r="DI13" s="550">
        <f t="shared" si="14"/>
        <v>0</v>
      </c>
      <c r="DJ13" s="550">
        <f t="shared" si="14"/>
        <v>0</v>
      </c>
      <c r="DK13" s="550">
        <f t="shared" si="14"/>
        <v>0</v>
      </c>
      <c r="DL13" s="550">
        <f t="shared" si="14"/>
        <v>0</v>
      </c>
      <c r="DM13" s="550">
        <f t="shared" si="14"/>
        <v>0</v>
      </c>
      <c r="DN13" s="550">
        <f t="shared" si="14"/>
        <v>0</v>
      </c>
      <c r="DO13" s="550">
        <f t="shared" si="14"/>
        <v>0</v>
      </c>
      <c r="DP13" s="550">
        <f t="shared" si="14"/>
        <v>0</v>
      </c>
      <c r="DQ13" s="550">
        <f t="shared" si="14"/>
        <v>0</v>
      </c>
      <c r="DR13" s="550">
        <f t="shared" si="14"/>
        <v>0</v>
      </c>
      <c r="DS13" s="550">
        <f t="shared" si="14"/>
        <v>0</v>
      </c>
      <c r="DT13" s="550">
        <f t="shared" si="14"/>
        <v>0</v>
      </c>
      <c r="DU13" s="550">
        <f t="shared" si="14"/>
        <v>0</v>
      </c>
      <c r="DV13" s="550">
        <f t="shared" si="14"/>
        <v>0</v>
      </c>
      <c r="DW13" s="550">
        <f t="shared" si="14"/>
        <v>0</v>
      </c>
      <c r="DX13" s="550">
        <f t="shared" si="14"/>
        <v>0</v>
      </c>
      <c r="DY13" s="550">
        <f t="shared" si="14"/>
        <v>0</v>
      </c>
      <c r="DZ13" s="550">
        <f t="shared" si="14"/>
        <v>0</v>
      </c>
      <c r="EA13" s="550">
        <f t="shared" si="14"/>
        <v>0</v>
      </c>
      <c r="EB13" s="550">
        <f t="shared" si="14"/>
        <v>0</v>
      </c>
      <c r="EC13" s="550">
        <f t="shared" si="14"/>
        <v>0</v>
      </c>
      <c r="ED13" s="550">
        <f t="shared" si="14"/>
        <v>0</v>
      </c>
      <c r="EE13" s="550">
        <f t="shared" si="14"/>
        <v>0</v>
      </c>
      <c r="EF13" s="550">
        <f t="shared" si="14"/>
        <v>0</v>
      </c>
      <c r="EG13" s="550">
        <f t="shared" si="14"/>
        <v>0</v>
      </c>
      <c r="EH13" s="550">
        <f t="shared" si="14"/>
        <v>0</v>
      </c>
      <c r="EI13" s="550">
        <f t="shared" si="14"/>
        <v>0</v>
      </c>
      <c r="EJ13" s="550">
        <f t="shared" si="14"/>
        <v>0</v>
      </c>
      <c r="EK13" s="550">
        <f t="shared" si="14"/>
        <v>0</v>
      </c>
      <c r="EL13" s="550">
        <f t="shared" si="14"/>
        <v>0</v>
      </c>
      <c r="EM13" s="550">
        <f t="shared" si="14"/>
        <v>0</v>
      </c>
      <c r="EN13" s="550">
        <f t="shared" si="14"/>
        <v>0</v>
      </c>
      <c r="EO13" s="550">
        <f t="shared" si="14"/>
        <v>0</v>
      </c>
      <c r="EP13" s="550">
        <f t="shared" si="14"/>
        <v>0</v>
      </c>
      <c r="EQ13" s="550">
        <f t="shared" si="14"/>
        <v>0</v>
      </c>
      <c r="ER13" s="550">
        <f t="shared" si="14"/>
        <v>0</v>
      </c>
      <c r="ES13" s="550">
        <f t="shared" si="15"/>
        <v>0</v>
      </c>
      <c r="ET13" s="550">
        <f t="shared" si="15"/>
        <v>0</v>
      </c>
      <c r="EU13" s="550">
        <f t="shared" si="15"/>
        <v>0</v>
      </c>
      <c r="EV13" s="550">
        <f t="shared" si="15"/>
        <v>0</v>
      </c>
      <c r="EW13" s="150" t="s">
        <v>243</v>
      </c>
    </row>
    <row r="14" spans="2:157" x14ac:dyDescent="0.2">
      <c r="B14" s="698" t="s">
        <v>828</v>
      </c>
      <c r="D14" s="550">
        <f>Financials!T27</f>
        <v>199942.41999999998</v>
      </c>
      <c r="E14" s="550">
        <f t="shared" si="8"/>
        <v>819.43614754098348</v>
      </c>
      <c r="F14" s="699">
        <f t="shared" si="9"/>
        <v>0.8563871470668859</v>
      </c>
      <c r="G14" s="700">
        <f>Financials!AK27</f>
        <v>5.2482495407089144E-2</v>
      </c>
      <c r="I14" s="550">
        <f t="shared" si="11"/>
        <v>166652</v>
      </c>
      <c r="J14" s="704">
        <v>683</v>
      </c>
      <c r="K14" s="699">
        <f t="shared" si="10"/>
        <v>0.71379865679824561</v>
      </c>
      <c r="L14" s="705">
        <f ca="1">IFERROR(I14/Financials!$BA$18,0)</f>
        <v>4.0257516946039226E-2</v>
      </c>
      <c r="N14" s="702" t="s">
        <v>404</v>
      </c>
      <c r="P14" s="703"/>
      <c r="S14" s="144" t="str">
        <f t="shared" si="12"/>
        <v>Carports</v>
      </c>
      <c r="T14" s="550">
        <v>0</v>
      </c>
      <c r="U14" s="550">
        <f t="shared" si="16"/>
        <v>0</v>
      </c>
      <c r="V14" s="550">
        <f t="shared" si="13"/>
        <v>0</v>
      </c>
      <c r="W14" s="550">
        <f t="shared" si="13"/>
        <v>0</v>
      </c>
      <c r="X14" s="550">
        <f t="shared" si="13"/>
        <v>0</v>
      </c>
      <c r="Y14" s="550">
        <f t="shared" si="13"/>
        <v>0</v>
      </c>
      <c r="Z14" s="550">
        <f t="shared" si="13"/>
        <v>0</v>
      </c>
      <c r="AA14" s="550">
        <f t="shared" si="13"/>
        <v>0</v>
      </c>
      <c r="AB14" s="550">
        <f t="shared" si="13"/>
        <v>0</v>
      </c>
      <c r="AC14" s="550">
        <f t="shared" si="13"/>
        <v>0</v>
      </c>
      <c r="AD14" s="550">
        <f t="shared" si="13"/>
        <v>0</v>
      </c>
      <c r="AE14" s="550">
        <f t="shared" si="13"/>
        <v>0</v>
      </c>
      <c r="AF14" s="550">
        <f t="shared" si="13"/>
        <v>0</v>
      </c>
      <c r="AG14" s="550">
        <f t="shared" si="13"/>
        <v>0</v>
      </c>
      <c r="AH14" s="550">
        <f t="shared" si="13"/>
        <v>0</v>
      </c>
      <c r="AI14" s="550">
        <f t="shared" si="13"/>
        <v>0</v>
      </c>
      <c r="AJ14" s="550">
        <f t="shared" si="13"/>
        <v>0</v>
      </c>
      <c r="AK14" s="550">
        <f t="shared" si="13"/>
        <v>0</v>
      </c>
      <c r="AL14" s="550">
        <f t="shared" si="13"/>
        <v>0</v>
      </c>
      <c r="AM14" s="550">
        <f t="shared" si="13"/>
        <v>0</v>
      </c>
      <c r="AN14" s="550">
        <f t="shared" si="13"/>
        <v>0</v>
      </c>
      <c r="AO14" s="550">
        <f t="shared" si="13"/>
        <v>0</v>
      </c>
      <c r="AP14" s="550">
        <f t="shared" si="13"/>
        <v>0</v>
      </c>
      <c r="AQ14" s="550">
        <f t="shared" si="13"/>
        <v>0</v>
      </c>
      <c r="AR14" s="550">
        <f t="shared" si="13"/>
        <v>0</v>
      </c>
      <c r="AS14" s="550">
        <f t="shared" si="13"/>
        <v>0</v>
      </c>
      <c r="AT14" s="550">
        <f t="shared" si="13"/>
        <v>0</v>
      </c>
      <c r="AU14" s="550">
        <f t="shared" si="13"/>
        <v>0</v>
      </c>
      <c r="AV14" s="550">
        <f t="shared" si="13"/>
        <v>0</v>
      </c>
      <c r="AW14" s="550">
        <f t="shared" si="13"/>
        <v>0</v>
      </c>
      <c r="AX14" s="550">
        <f t="shared" si="13"/>
        <v>0</v>
      </c>
      <c r="AY14" s="550">
        <f t="shared" si="13"/>
        <v>0</v>
      </c>
      <c r="AZ14" s="550">
        <f t="shared" si="13"/>
        <v>0</v>
      </c>
      <c r="BA14" s="550">
        <f t="shared" si="13"/>
        <v>0</v>
      </c>
      <c r="BB14" s="550">
        <f t="shared" si="13"/>
        <v>0</v>
      </c>
      <c r="BC14" s="550">
        <f t="shared" si="13"/>
        <v>0</v>
      </c>
      <c r="BD14" s="550">
        <f t="shared" si="13"/>
        <v>0</v>
      </c>
      <c r="BE14" s="550">
        <f t="shared" si="13"/>
        <v>0</v>
      </c>
      <c r="BF14" s="550">
        <f t="shared" si="13"/>
        <v>0</v>
      </c>
      <c r="BG14" s="550">
        <f t="shared" si="13"/>
        <v>0</v>
      </c>
      <c r="BH14" s="550">
        <f t="shared" si="13"/>
        <v>0</v>
      </c>
      <c r="BI14" s="550">
        <f t="shared" si="13"/>
        <v>0</v>
      </c>
      <c r="BJ14" s="550">
        <f t="shared" si="13"/>
        <v>0</v>
      </c>
      <c r="BK14" s="550">
        <f t="shared" si="13"/>
        <v>0</v>
      </c>
      <c r="BL14" s="550">
        <f t="shared" si="13"/>
        <v>0</v>
      </c>
      <c r="BM14" s="550">
        <f t="shared" si="13"/>
        <v>0</v>
      </c>
      <c r="BN14" s="550">
        <f t="shared" si="13"/>
        <v>0</v>
      </c>
      <c r="BO14" s="550">
        <f t="shared" si="13"/>
        <v>0</v>
      </c>
      <c r="BP14" s="550">
        <f t="shared" si="13"/>
        <v>0</v>
      </c>
      <c r="BQ14" s="550">
        <f t="shared" si="13"/>
        <v>0</v>
      </c>
      <c r="BR14" s="550">
        <f t="shared" si="13"/>
        <v>0</v>
      </c>
      <c r="BS14" s="550">
        <f t="shared" si="13"/>
        <v>0</v>
      </c>
      <c r="BT14" s="550">
        <f t="shared" si="13"/>
        <v>0</v>
      </c>
      <c r="BU14" s="550">
        <f t="shared" si="13"/>
        <v>0</v>
      </c>
      <c r="BV14" s="550">
        <f t="shared" si="13"/>
        <v>0</v>
      </c>
      <c r="BW14" s="550">
        <f t="shared" si="13"/>
        <v>0</v>
      </c>
      <c r="BX14" s="550">
        <f t="shared" si="13"/>
        <v>0</v>
      </c>
      <c r="BY14" s="550">
        <f t="shared" si="13"/>
        <v>0</v>
      </c>
      <c r="BZ14" s="550">
        <f t="shared" si="13"/>
        <v>0</v>
      </c>
      <c r="CA14" s="550">
        <f t="shared" si="13"/>
        <v>0</v>
      </c>
      <c r="CB14" s="550">
        <f t="shared" si="13"/>
        <v>0</v>
      </c>
      <c r="CC14" s="550">
        <f t="shared" si="13"/>
        <v>0</v>
      </c>
      <c r="CD14" s="550">
        <f t="shared" si="13"/>
        <v>0</v>
      </c>
      <c r="CE14" s="550">
        <f t="shared" si="13"/>
        <v>0</v>
      </c>
      <c r="CF14" s="550">
        <f t="shared" ref="CF14" si="17">CE14*(1+CF$7)</f>
        <v>0</v>
      </c>
      <c r="CG14" s="550">
        <f t="shared" si="14"/>
        <v>0</v>
      </c>
      <c r="CH14" s="550">
        <f t="shared" si="14"/>
        <v>0</v>
      </c>
      <c r="CI14" s="550">
        <f t="shared" si="14"/>
        <v>0</v>
      </c>
      <c r="CJ14" s="550">
        <f t="shared" si="14"/>
        <v>0</v>
      </c>
      <c r="CK14" s="550">
        <f t="shared" si="14"/>
        <v>0</v>
      </c>
      <c r="CL14" s="550">
        <f t="shared" si="14"/>
        <v>0</v>
      </c>
      <c r="CM14" s="550">
        <f t="shared" si="14"/>
        <v>0</v>
      </c>
      <c r="CN14" s="550">
        <f t="shared" si="14"/>
        <v>0</v>
      </c>
      <c r="CO14" s="550">
        <f t="shared" si="14"/>
        <v>0</v>
      </c>
      <c r="CP14" s="550">
        <f t="shared" si="14"/>
        <v>0</v>
      </c>
      <c r="CQ14" s="550">
        <f t="shared" si="14"/>
        <v>0</v>
      </c>
      <c r="CR14" s="550">
        <f t="shared" si="14"/>
        <v>0</v>
      </c>
      <c r="CS14" s="550">
        <f t="shared" si="14"/>
        <v>0</v>
      </c>
      <c r="CT14" s="550">
        <f t="shared" si="14"/>
        <v>0</v>
      </c>
      <c r="CU14" s="550">
        <f t="shared" si="14"/>
        <v>0</v>
      </c>
      <c r="CV14" s="550">
        <f t="shared" si="14"/>
        <v>0</v>
      </c>
      <c r="CW14" s="550">
        <f t="shared" si="14"/>
        <v>0</v>
      </c>
      <c r="CX14" s="550">
        <f t="shared" si="14"/>
        <v>0</v>
      </c>
      <c r="CY14" s="550">
        <f t="shared" si="14"/>
        <v>0</v>
      </c>
      <c r="CZ14" s="550">
        <f t="shared" si="14"/>
        <v>0</v>
      </c>
      <c r="DA14" s="550">
        <f t="shared" si="14"/>
        <v>0</v>
      </c>
      <c r="DB14" s="550">
        <f t="shared" si="14"/>
        <v>0</v>
      </c>
      <c r="DC14" s="550">
        <f t="shared" si="14"/>
        <v>0</v>
      </c>
      <c r="DD14" s="550">
        <f t="shared" si="14"/>
        <v>0</v>
      </c>
      <c r="DE14" s="550">
        <f t="shared" si="14"/>
        <v>0</v>
      </c>
      <c r="DF14" s="550">
        <f t="shared" si="14"/>
        <v>0</v>
      </c>
      <c r="DG14" s="550">
        <f t="shared" si="14"/>
        <v>0</v>
      </c>
      <c r="DH14" s="550">
        <f t="shared" si="14"/>
        <v>0</v>
      </c>
      <c r="DI14" s="550">
        <f t="shared" si="14"/>
        <v>0</v>
      </c>
      <c r="DJ14" s="550">
        <f t="shared" si="14"/>
        <v>0</v>
      </c>
      <c r="DK14" s="550">
        <f t="shared" si="14"/>
        <v>0</v>
      </c>
      <c r="DL14" s="550">
        <f t="shared" si="14"/>
        <v>0</v>
      </c>
      <c r="DM14" s="550">
        <f t="shared" si="14"/>
        <v>0</v>
      </c>
      <c r="DN14" s="550">
        <f t="shared" si="14"/>
        <v>0</v>
      </c>
      <c r="DO14" s="550">
        <f t="shared" si="14"/>
        <v>0</v>
      </c>
      <c r="DP14" s="550">
        <f t="shared" si="14"/>
        <v>0</v>
      </c>
      <c r="DQ14" s="550">
        <f t="shared" si="14"/>
        <v>0</v>
      </c>
      <c r="DR14" s="550">
        <f t="shared" si="14"/>
        <v>0</v>
      </c>
      <c r="DS14" s="550">
        <f t="shared" si="14"/>
        <v>0</v>
      </c>
      <c r="DT14" s="550">
        <f t="shared" si="14"/>
        <v>0</v>
      </c>
      <c r="DU14" s="550">
        <f t="shared" si="14"/>
        <v>0</v>
      </c>
      <c r="DV14" s="550">
        <f t="shared" si="14"/>
        <v>0</v>
      </c>
      <c r="DW14" s="550">
        <f t="shared" si="14"/>
        <v>0</v>
      </c>
      <c r="DX14" s="550">
        <f t="shared" si="14"/>
        <v>0</v>
      </c>
      <c r="DY14" s="550">
        <f t="shared" si="14"/>
        <v>0</v>
      </c>
      <c r="DZ14" s="550">
        <f t="shared" si="14"/>
        <v>0</v>
      </c>
      <c r="EA14" s="550">
        <f t="shared" si="14"/>
        <v>0</v>
      </c>
      <c r="EB14" s="550">
        <f t="shared" si="14"/>
        <v>0</v>
      </c>
      <c r="EC14" s="550">
        <f t="shared" si="14"/>
        <v>0</v>
      </c>
      <c r="ED14" s="550">
        <f t="shared" si="14"/>
        <v>0</v>
      </c>
      <c r="EE14" s="550">
        <f t="shared" si="14"/>
        <v>0</v>
      </c>
      <c r="EF14" s="550">
        <f t="shared" si="14"/>
        <v>0</v>
      </c>
      <c r="EG14" s="550">
        <f t="shared" si="14"/>
        <v>0</v>
      </c>
      <c r="EH14" s="550">
        <f t="shared" si="14"/>
        <v>0</v>
      </c>
      <c r="EI14" s="550">
        <f t="shared" si="14"/>
        <v>0</v>
      </c>
      <c r="EJ14" s="550">
        <f t="shared" si="14"/>
        <v>0</v>
      </c>
      <c r="EK14" s="550">
        <f t="shared" si="14"/>
        <v>0</v>
      </c>
      <c r="EL14" s="550">
        <f t="shared" si="14"/>
        <v>0</v>
      </c>
      <c r="EM14" s="550">
        <f t="shared" si="14"/>
        <v>0</v>
      </c>
      <c r="EN14" s="550">
        <f t="shared" si="14"/>
        <v>0</v>
      </c>
      <c r="EO14" s="550">
        <f t="shared" si="14"/>
        <v>0</v>
      </c>
      <c r="EP14" s="550">
        <f t="shared" si="14"/>
        <v>0</v>
      </c>
      <c r="EQ14" s="550">
        <f t="shared" si="14"/>
        <v>0</v>
      </c>
      <c r="ER14" s="550">
        <f t="shared" ref="ER14:EV17" si="18">EQ14*(1+ER$7)</f>
        <v>0</v>
      </c>
      <c r="ES14" s="550">
        <f t="shared" si="18"/>
        <v>0</v>
      </c>
      <c r="ET14" s="550">
        <f t="shared" si="18"/>
        <v>0</v>
      </c>
      <c r="EU14" s="550">
        <f t="shared" si="18"/>
        <v>0</v>
      </c>
      <c r="EV14" s="550">
        <f t="shared" si="18"/>
        <v>0</v>
      </c>
      <c r="EW14" s="150" t="s">
        <v>243</v>
      </c>
    </row>
    <row r="15" spans="2:157" x14ac:dyDescent="0.2">
      <c r="B15" s="698" t="s">
        <v>405</v>
      </c>
      <c r="D15" s="550">
        <f>Financials!T28</f>
        <v>61706.330000000009</v>
      </c>
      <c r="E15" s="550">
        <f t="shared" si="8"/>
        <v>252.89479508196726</v>
      </c>
      <c r="F15" s="699">
        <f t="shared" si="9"/>
        <v>0.26429863109923252</v>
      </c>
      <c r="G15" s="700">
        <f>Financials!AK28</f>
        <v>1.6197174070481529E-2</v>
      </c>
      <c r="I15" s="550">
        <f t="shared" si="11"/>
        <v>102949</v>
      </c>
      <c r="J15" s="704">
        <v>421.92213114754099</v>
      </c>
      <c r="K15" s="699">
        <f t="shared" si="10"/>
        <v>0.44094795093201755</v>
      </c>
      <c r="L15" s="705">
        <f ca="1">IFERROR(I15/Financials!$BA$18,0)</f>
        <v>2.4869015145799582E-2</v>
      </c>
      <c r="N15" s="702" t="s">
        <v>406</v>
      </c>
      <c r="P15" s="703"/>
      <c r="S15" s="144" t="str">
        <f t="shared" si="12"/>
        <v>Pet Fees</v>
      </c>
      <c r="T15" s="550">
        <v>0</v>
      </c>
      <c r="U15" s="550">
        <f t="shared" si="16"/>
        <v>0</v>
      </c>
      <c r="V15" s="550">
        <f t="shared" ref="V15:CF17" si="19">U15*(1+V$7)</f>
        <v>0</v>
      </c>
      <c r="W15" s="550">
        <f t="shared" si="19"/>
        <v>0</v>
      </c>
      <c r="X15" s="550">
        <f t="shared" si="19"/>
        <v>0</v>
      </c>
      <c r="Y15" s="550">
        <f t="shared" si="19"/>
        <v>0</v>
      </c>
      <c r="Z15" s="550">
        <f t="shared" si="19"/>
        <v>0</v>
      </c>
      <c r="AA15" s="550">
        <f t="shared" si="19"/>
        <v>0</v>
      </c>
      <c r="AB15" s="550">
        <f t="shared" si="19"/>
        <v>0</v>
      </c>
      <c r="AC15" s="550">
        <f t="shared" si="19"/>
        <v>0</v>
      </c>
      <c r="AD15" s="550">
        <f t="shared" si="19"/>
        <v>0</v>
      </c>
      <c r="AE15" s="550">
        <f t="shared" si="19"/>
        <v>0</v>
      </c>
      <c r="AF15" s="550">
        <f t="shared" si="19"/>
        <v>0</v>
      </c>
      <c r="AG15" s="550">
        <f t="shared" si="19"/>
        <v>0</v>
      </c>
      <c r="AH15" s="550">
        <f t="shared" si="19"/>
        <v>0</v>
      </c>
      <c r="AI15" s="550">
        <f t="shared" si="19"/>
        <v>0</v>
      </c>
      <c r="AJ15" s="550">
        <f t="shared" si="19"/>
        <v>0</v>
      </c>
      <c r="AK15" s="550">
        <f t="shared" si="19"/>
        <v>0</v>
      </c>
      <c r="AL15" s="550">
        <f t="shared" si="19"/>
        <v>0</v>
      </c>
      <c r="AM15" s="550">
        <f t="shared" si="19"/>
        <v>0</v>
      </c>
      <c r="AN15" s="550">
        <f t="shared" si="19"/>
        <v>0</v>
      </c>
      <c r="AO15" s="550">
        <f t="shared" si="19"/>
        <v>0</v>
      </c>
      <c r="AP15" s="550">
        <f t="shared" si="19"/>
        <v>0</v>
      </c>
      <c r="AQ15" s="550">
        <f t="shared" si="19"/>
        <v>0</v>
      </c>
      <c r="AR15" s="550">
        <f t="shared" si="19"/>
        <v>0</v>
      </c>
      <c r="AS15" s="550">
        <f t="shared" si="19"/>
        <v>0</v>
      </c>
      <c r="AT15" s="550">
        <f t="shared" si="19"/>
        <v>0</v>
      </c>
      <c r="AU15" s="550">
        <f t="shared" si="19"/>
        <v>0</v>
      </c>
      <c r="AV15" s="550">
        <f t="shared" si="19"/>
        <v>0</v>
      </c>
      <c r="AW15" s="550">
        <f t="shared" si="19"/>
        <v>0</v>
      </c>
      <c r="AX15" s="550">
        <f t="shared" si="19"/>
        <v>0</v>
      </c>
      <c r="AY15" s="550">
        <f t="shared" si="19"/>
        <v>0</v>
      </c>
      <c r="AZ15" s="550">
        <f t="shared" si="19"/>
        <v>0</v>
      </c>
      <c r="BA15" s="550">
        <f t="shared" si="19"/>
        <v>0</v>
      </c>
      <c r="BB15" s="550">
        <f t="shared" si="19"/>
        <v>0</v>
      </c>
      <c r="BC15" s="550">
        <f t="shared" si="19"/>
        <v>0</v>
      </c>
      <c r="BD15" s="550">
        <f t="shared" si="19"/>
        <v>0</v>
      </c>
      <c r="BE15" s="550">
        <f t="shared" si="19"/>
        <v>0</v>
      </c>
      <c r="BF15" s="550">
        <f t="shared" si="19"/>
        <v>0</v>
      </c>
      <c r="BG15" s="550">
        <f t="shared" si="19"/>
        <v>0</v>
      </c>
      <c r="BH15" s="550">
        <f t="shared" si="19"/>
        <v>0</v>
      </c>
      <c r="BI15" s="550">
        <f t="shared" si="19"/>
        <v>0</v>
      </c>
      <c r="BJ15" s="550">
        <f t="shared" si="19"/>
        <v>0</v>
      </c>
      <c r="BK15" s="550">
        <f t="shared" si="19"/>
        <v>0</v>
      </c>
      <c r="BL15" s="550">
        <f t="shared" si="19"/>
        <v>0</v>
      </c>
      <c r="BM15" s="550">
        <f t="shared" si="19"/>
        <v>0</v>
      </c>
      <c r="BN15" s="550">
        <f t="shared" si="19"/>
        <v>0</v>
      </c>
      <c r="BO15" s="550">
        <f t="shared" si="19"/>
        <v>0</v>
      </c>
      <c r="BP15" s="550">
        <f t="shared" si="19"/>
        <v>0</v>
      </c>
      <c r="BQ15" s="550">
        <f t="shared" si="19"/>
        <v>0</v>
      </c>
      <c r="BR15" s="550">
        <f t="shared" si="19"/>
        <v>0</v>
      </c>
      <c r="BS15" s="550">
        <f t="shared" si="19"/>
        <v>0</v>
      </c>
      <c r="BT15" s="550">
        <f t="shared" si="19"/>
        <v>0</v>
      </c>
      <c r="BU15" s="550">
        <f t="shared" si="19"/>
        <v>0</v>
      </c>
      <c r="BV15" s="550">
        <f t="shared" si="19"/>
        <v>0</v>
      </c>
      <c r="BW15" s="550">
        <f t="shared" si="19"/>
        <v>0</v>
      </c>
      <c r="BX15" s="550">
        <f t="shared" si="19"/>
        <v>0</v>
      </c>
      <c r="BY15" s="550">
        <f t="shared" si="19"/>
        <v>0</v>
      </c>
      <c r="BZ15" s="550">
        <f t="shared" si="19"/>
        <v>0</v>
      </c>
      <c r="CA15" s="550">
        <f t="shared" si="19"/>
        <v>0</v>
      </c>
      <c r="CB15" s="550">
        <f t="shared" si="19"/>
        <v>0</v>
      </c>
      <c r="CC15" s="550">
        <f t="shared" si="19"/>
        <v>0</v>
      </c>
      <c r="CD15" s="550">
        <f t="shared" si="19"/>
        <v>0</v>
      </c>
      <c r="CE15" s="550">
        <f t="shared" si="19"/>
        <v>0</v>
      </c>
      <c r="CF15" s="550">
        <f t="shared" si="19"/>
        <v>0</v>
      </c>
      <c r="CG15" s="550">
        <f t="shared" ref="CG15:ER17" si="20">CF15*(1+CG$7)</f>
        <v>0</v>
      </c>
      <c r="CH15" s="550">
        <f t="shared" si="20"/>
        <v>0</v>
      </c>
      <c r="CI15" s="550">
        <f t="shared" si="20"/>
        <v>0</v>
      </c>
      <c r="CJ15" s="550">
        <f t="shared" si="20"/>
        <v>0</v>
      </c>
      <c r="CK15" s="550">
        <f t="shared" si="20"/>
        <v>0</v>
      </c>
      <c r="CL15" s="550">
        <f t="shared" si="20"/>
        <v>0</v>
      </c>
      <c r="CM15" s="550">
        <f t="shared" si="20"/>
        <v>0</v>
      </c>
      <c r="CN15" s="550">
        <f t="shared" si="20"/>
        <v>0</v>
      </c>
      <c r="CO15" s="550">
        <f t="shared" si="20"/>
        <v>0</v>
      </c>
      <c r="CP15" s="550">
        <f t="shared" si="20"/>
        <v>0</v>
      </c>
      <c r="CQ15" s="550">
        <f t="shared" si="20"/>
        <v>0</v>
      </c>
      <c r="CR15" s="550">
        <f t="shared" si="20"/>
        <v>0</v>
      </c>
      <c r="CS15" s="550">
        <f t="shared" si="20"/>
        <v>0</v>
      </c>
      <c r="CT15" s="550">
        <f t="shared" si="20"/>
        <v>0</v>
      </c>
      <c r="CU15" s="550">
        <f t="shared" si="20"/>
        <v>0</v>
      </c>
      <c r="CV15" s="550">
        <f t="shared" si="20"/>
        <v>0</v>
      </c>
      <c r="CW15" s="550">
        <f t="shared" si="20"/>
        <v>0</v>
      </c>
      <c r="CX15" s="550">
        <f t="shared" si="20"/>
        <v>0</v>
      </c>
      <c r="CY15" s="550">
        <f t="shared" si="20"/>
        <v>0</v>
      </c>
      <c r="CZ15" s="550">
        <f t="shared" si="20"/>
        <v>0</v>
      </c>
      <c r="DA15" s="550">
        <f t="shared" si="20"/>
        <v>0</v>
      </c>
      <c r="DB15" s="550">
        <f t="shared" si="20"/>
        <v>0</v>
      </c>
      <c r="DC15" s="550">
        <f t="shared" si="20"/>
        <v>0</v>
      </c>
      <c r="DD15" s="550">
        <f t="shared" si="20"/>
        <v>0</v>
      </c>
      <c r="DE15" s="550">
        <f t="shared" si="20"/>
        <v>0</v>
      </c>
      <c r="DF15" s="550">
        <f t="shared" si="20"/>
        <v>0</v>
      </c>
      <c r="DG15" s="550">
        <f t="shared" si="20"/>
        <v>0</v>
      </c>
      <c r="DH15" s="550">
        <f t="shared" si="20"/>
        <v>0</v>
      </c>
      <c r="DI15" s="550">
        <f t="shared" si="20"/>
        <v>0</v>
      </c>
      <c r="DJ15" s="550">
        <f t="shared" si="20"/>
        <v>0</v>
      </c>
      <c r="DK15" s="550">
        <f t="shared" si="20"/>
        <v>0</v>
      </c>
      <c r="DL15" s="550">
        <f t="shared" si="20"/>
        <v>0</v>
      </c>
      <c r="DM15" s="550">
        <f t="shared" si="20"/>
        <v>0</v>
      </c>
      <c r="DN15" s="550">
        <f t="shared" si="20"/>
        <v>0</v>
      </c>
      <c r="DO15" s="550">
        <f t="shared" si="20"/>
        <v>0</v>
      </c>
      <c r="DP15" s="550">
        <f t="shared" si="20"/>
        <v>0</v>
      </c>
      <c r="DQ15" s="550">
        <f t="shared" si="20"/>
        <v>0</v>
      </c>
      <c r="DR15" s="550">
        <f t="shared" si="20"/>
        <v>0</v>
      </c>
      <c r="DS15" s="550">
        <f t="shared" si="20"/>
        <v>0</v>
      </c>
      <c r="DT15" s="550">
        <f t="shared" si="20"/>
        <v>0</v>
      </c>
      <c r="DU15" s="550">
        <f t="shared" si="20"/>
        <v>0</v>
      </c>
      <c r="DV15" s="550">
        <f t="shared" si="20"/>
        <v>0</v>
      </c>
      <c r="DW15" s="550">
        <f t="shared" si="20"/>
        <v>0</v>
      </c>
      <c r="DX15" s="550">
        <f t="shared" si="20"/>
        <v>0</v>
      </c>
      <c r="DY15" s="550">
        <f t="shared" si="20"/>
        <v>0</v>
      </c>
      <c r="DZ15" s="550">
        <f t="shared" si="20"/>
        <v>0</v>
      </c>
      <c r="EA15" s="550">
        <f t="shared" si="20"/>
        <v>0</v>
      </c>
      <c r="EB15" s="550">
        <f t="shared" si="20"/>
        <v>0</v>
      </c>
      <c r="EC15" s="550">
        <f t="shared" si="20"/>
        <v>0</v>
      </c>
      <c r="ED15" s="550">
        <f t="shared" si="20"/>
        <v>0</v>
      </c>
      <c r="EE15" s="550">
        <f t="shared" si="20"/>
        <v>0</v>
      </c>
      <c r="EF15" s="550">
        <f t="shared" si="20"/>
        <v>0</v>
      </c>
      <c r="EG15" s="550">
        <f t="shared" si="20"/>
        <v>0</v>
      </c>
      <c r="EH15" s="550">
        <f t="shared" si="20"/>
        <v>0</v>
      </c>
      <c r="EI15" s="550">
        <f t="shared" si="20"/>
        <v>0</v>
      </c>
      <c r="EJ15" s="550">
        <f t="shared" si="20"/>
        <v>0</v>
      </c>
      <c r="EK15" s="550">
        <f t="shared" si="20"/>
        <v>0</v>
      </c>
      <c r="EL15" s="550">
        <f t="shared" si="20"/>
        <v>0</v>
      </c>
      <c r="EM15" s="550">
        <f t="shared" si="20"/>
        <v>0</v>
      </c>
      <c r="EN15" s="550">
        <f t="shared" si="20"/>
        <v>0</v>
      </c>
      <c r="EO15" s="550">
        <f t="shared" si="20"/>
        <v>0</v>
      </c>
      <c r="EP15" s="550">
        <f t="shared" si="20"/>
        <v>0</v>
      </c>
      <c r="EQ15" s="550">
        <f t="shared" si="20"/>
        <v>0</v>
      </c>
      <c r="ER15" s="550">
        <f t="shared" si="20"/>
        <v>0</v>
      </c>
      <c r="ES15" s="550">
        <f t="shared" si="18"/>
        <v>0</v>
      </c>
      <c r="ET15" s="550">
        <f t="shared" si="18"/>
        <v>0</v>
      </c>
      <c r="EU15" s="550">
        <f t="shared" si="18"/>
        <v>0</v>
      </c>
      <c r="EV15" s="550">
        <f t="shared" si="18"/>
        <v>0</v>
      </c>
      <c r="EW15" s="150" t="s">
        <v>243</v>
      </c>
    </row>
    <row r="16" spans="2:157" x14ac:dyDescent="0.2">
      <c r="B16" s="698" t="s">
        <v>407</v>
      </c>
      <c r="D16" s="550">
        <f>Financials!T29</f>
        <v>287919</v>
      </c>
      <c r="E16" s="550">
        <f t="shared" si="8"/>
        <v>1179.9959016393443</v>
      </c>
      <c r="F16" s="699">
        <f t="shared" si="9"/>
        <v>1.2332056949013157</v>
      </c>
      <c r="G16" s="700">
        <f>Financials!AK29</f>
        <v>7.5575296103316647E-2</v>
      </c>
      <c r="I16" s="550">
        <f>'Opex Budget'!E22</f>
        <v>69300</v>
      </c>
      <c r="J16" s="550">
        <f>IFERROR(I16/units,0)</f>
        <v>284.01639344262293</v>
      </c>
      <c r="K16" s="699">
        <f t="shared" si="10"/>
        <v>0.29682360197368424</v>
      </c>
      <c r="L16" s="705">
        <f ca="1">IFERROR(I16/Financials!$BA$18,0)</f>
        <v>1.6740548714449983E-2</v>
      </c>
      <c r="N16" s="702" t="s">
        <v>768</v>
      </c>
      <c r="P16" s="703"/>
      <c r="S16" s="144" t="str">
        <f t="shared" si="12"/>
        <v>W/D</v>
      </c>
      <c r="T16" s="550">
        <v>0</v>
      </c>
      <c r="U16" s="550">
        <f t="shared" si="16"/>
        <v>0</v>
      </c>
      <c r="V16" s="550">
        <f t="shared" si="19"/>
        <v>0</v>
      </c>
      <c r="W16" s="550">
        <f t="shared" si="19"/>
        <v>0</v>
      </c>
      <c r="X16" s="550">
        <f t="shared" si="19"/>
        <v>0</v>
      </c>
      <c r="Y16" s="550">
        <f t="shared" si="19"/>
        <v>0</v>
      </c>
      <c r="Z16" s="550">
        <f t="shared" si="19"/>
        <v>0</v>
      </c>
      <c r="AA16" s="550">
        <f t="shared" si="19"/>
        <v>0</v>
      </c>
      <c r="AB16" s="550">
        <f t="shared" si="19"/>
        <v>0</v>
      </c>
      <c r="AC16" s="550">
        <f t="shared" si="19"/>
        <v>0</v>
      </c>
      <c r="AD16" s="550">
        <f t="shared" si="19"/>
        <v>0</v>
      </c>
      <c r="AE16" s="550">
        <f t="shared" si="19"/>
        <v>0</v>
      </c>
      <c r="AF16" s="550">
        <f t="shared" si="19"/>
        <v>0</v>
      </c>
      <c r="AG16" s="550">
        <f t="shared" si="19"/>
        <v>0</v>
      </c>
      <c r="AH16" s="550">
        <f t="shared" si="19"/>
        <v>0</v>
      </c>
      <c r="AI16" s="550">
        <f t="shared" si="19"/>
        <v>0</v>
      </c>
      <c r="AJ16" s="550">
        <f t="shared" si="19"/>
        <v>0</v>
      </c>
      <c r="AK16" s="550">
        <f t="shared" si="19"/>
        <v>0</v>
      </c>
      <c r="AL16" s="550">
        <f t="shared" si="19"/>
        <v>0</v>
      </c>
      <c r="AM16" s="550">
        <f t="shared" si="19"/>
        <v>0</v>
      </c>
      <c r="AN16" s="550">
        <f t="shared" si="19"/>
        <v>0</v>
      </c>
      <c r="AO16" s="550">
        <f t="shared" si="19"/>
        <v>0</v>
      </c>
      <c r="AP16" s="550">
        <f t="shared" si="19"/>
        <v>0</v>
      </c>
      <c r="AQ16" s="550">
        <f t="shared" si="19"/>
        <v>0</v>
      </c>
      <c r="AR16" s="550">
        <f t="shared" si="19"/>
        <v>0</v>
      </c>
      <c r="AS16" s="550">
        <f t="shared" si="19"/>
        <v>0</v>
      </c>
      <c r="AT16" s="550">
        <f t="shared" si="19"/>
        <v>0</v>
      </c>
      <c r="AU16" s="550">
        <f t="shared" si="19"/>
        <v>0</v>
      </c>
      <c r="AV16" s="550">
        <f t="shared" si="19"/>
        <v>0</v>
      </c>
      <c r="AW16" s="550">
        <f t="shared" si="19"/>
        <v>0</v>
      </c>
      <c r="AX16" s="550">
        <f t="shared" si="19"/>
        <v>0</v>
      </c>
      <c r="AY16" s="550">
        <f t="shared" si="19"/>
        <v>0</v>
      </c>
      <c r="AZ16" s="550">
        <f t="shared" si="19"/>
        <v>0</v>
      </c>
      <c r="BA16" s="550">
        <f t="shared" si="19"/>
        <v>0</v>
      </c>
      <c r="BB16" s="550">
        <f t="shared" si="19"/>
        <v>0</v>
      </c>
      <c r="BC16" s="550">
        <f t="shared" si="19"/>
        <v>0</v>
      </c>
      <c r="BD16" s="550">
        <f t="shared" si="19"/>
        <v>0</v>
      </c>
      <c r="BE16" s="550">
        <f t="shared" si="19"/>
        <v>0</v>
      </c>
      <c r="BF16" s="550">
        <f t="shared" si="19"/>
        <v>0</v>
      </c>
      <c r="BG16" s="550">
        <f t="shared" si="19"/>
        <v>0</v>
      </c>
      <c r="BH16" s="550">
        <f t="shared" si="19"/>
        <v>0</v>
      </c>
      <c r="BI16" s="550">
        <f t="shared" si="19"/>
        <v>0</v>
      </c>
      <c r="BJ16" s="550">
        <f t="shared" si="19"/>
        <v>0</v>
      </c>
      <c r="BK16" s="550">
        <f t="shared" si="19"/>
        <v>0</v>
      </c>
      <c r="BL16" s="550">
        <f t="shared" si="19"/>
        <v>0</v>
      </c>
      <c r="BM16" s="550">
        <f t="shared" si="19"/>
        <v>0</v>
      </c>
      <c r="BN16" s="550">
        <f t="shared" si="19"/>
        <v>0</v>
      </c>
      <c r="BO16" s="550">
        <f t="shared" si="19"/>
        <v>0</v>
      </c>
      <c r="BP16" s="550">
        <f t="shared" si="19"/>
        <v>0</v>
      </c>
      <c r="BQ16" s="550">
        <f t="shared" si="19"/>
        <v>0</v>
      </c>
      <c r="BR16" s="550">
        <f t="shared" si="19"/>
        <v>0</v>
      </c>
      <c r="BS16" s="550">
        <f t="shared" si="19"/>
        <v>0</v>
      </c>
      <c r="BT16" s="550">
        <f t="shared" si="19"/>
        <v>0</v>
      </c>
      <c r="BU16" s="550">
        <f t="shared" si="19"/>
        <v>0</v>
      </c>
      <c r="BV16" s="550">
        <f t="shared" si="19"/>
        <v>0</v>
      </c>
      <c r="BW16" s="550">
        <f t="shared" si="19"/>
        <v>0</v>
      </c>
      <c r="BX16" s="550">
        <f t="shared" si="19"/>
        <v>0</v>
      </c>
      <c r="BY16" s="550">
        <f t="shared" si="19"/>
        <v>0</v>
      </c>
      <c r="BZ16" s="550">
        <f t="shared" si="19"/>
        <v>0</v>
      </c>
      <c r="CA16" s="550">
        <f t="shared" si="19"/>
        <v>0</v>
      </c>
      <c r="CB16" s="550">
        <f t="shared" si="19"/>
        <v>0</v>
      </c>
      <c r="CC16" s="550">
        <f t="shared" si="19"/>
        <v>0</v>
      </c>
      <c r="CD16" s="550">
        <f t="shared" si="19"/>
        <v>0</v>
      </c>
      <c r="CE16" s="550">
        <f t="shared" si="19"/>
        <v>0</v>
      </c>
      <c r="CF16" s="550">
        <f t="shared" si="19"/>
        <v>0</v>
      </c>
      <c r="CG16" s="550">
        <f t="shared" si="20"/>
        <v>0</v>
      </c>
      <c r="CH16" s="550">
        <f t="shared" si="20"/>
        <v>0</v>
      </c>
      <c r="CI16" s="550">
        <f t="shared" si="20"/>
        <v>0</v>
      </c>
      <c r="CJ16" s="550">
        <f t="shared" si="20"/>
        <v>0</v>
      </c>
      <c r="CK16" s="550">
        <f t="shared" si="20"/>
        <v>0</v>
      </c>
      <c r="CL16" s="550">
        <f t="shared" si="20"/>
        <v>0</v>
      </c>
      <c r="CM16" s="550">
        <f t="shared" si="20"/>
        <v>0</v>
      </c>
      <c r="CN16" s="550">
        <f t="shared" si="20"/>
        <v>0</v>
      </c>
      <c r="CO16" s="550">
        <f t="shared" si="20"/>
        <v>0</v>
      </c>
      <c r="CP16" s="550">
        <f t="shared" si="20"/>
        <v>0</v>
      </c>
      <c r="CQ16" s="550">
        <f t="shared" si="20"/>
        <v>0</v>
      </c>
      <c r="CR16" s="550">
        <f t="shared" si="20"/>
        <v>0</v>
      </c>
      <c r="CS16" s="550">
        <f t="shared" si="20"/>
        <v>0</v>
      </c>
      <c r="CT16" s="550">
        <f t="shared" si="20"/>
        <v>0</v>
      </c>
      <c r="CU16" s="550">
        <f t="shared" si="20"/>
        <v>0</v>
      </c>
      <c r="CV16" s="550">
        <f t="shared" si="20"/>
        <v>0</v>
      </c>
      <c r="CW16" s="550">
        <f t="shared" si="20"/>
        <v>0</v>
      </c>
      <c r="CX16" s="550">
        <f t="shared" si="20"/>
        <v>0</v>
      </c>
      <c r="CY16" s="550">
        <f t="shared" si="20"/>
        <v>0</v>
      </c>
      <c r="CZ16" s="550">
        <f t="shared" si="20"/>
        <v>0</v>
      </c>
      <c r="DA16" s="550">
        <f t="shared" si="20"/>
        <v>0</v>
      </c>
      <c r="DB16" s="550">
        <f t="shared" si="20"/>
        <v>0</v>
      </c>
      <c r="DC16" s="550">
        <f t="shared" si="20"/>
        <v>0</v>
      </c>
      <c r="DD16" s="550">
        <f t="shared" si="20"/>
        <v>0</v>
      </c>
      <c r="DE16" s="550">
        <f t="shared" si="20"/>
        <v>0</v>
      </c>
      <c r="DF16" s="550">
        <f t="shared" si="20"/>
        <v>0</v>
      </c>
      <c r="DG16" s="550">
        <f t="shared" si="20"/>
        <v>0</v>
      </c>
      <c r="DH16" s="550">
        <f t="shared" si="20"/>
        <v>0</v>
      </c>
      <c r="DI16" s="550">
        <f t="shared" si="20"/>
        <v>0</v>
      </c>
      <c r="DJ16" s="550">
        <f t="shared" si="20"/>
        <v>0</v>
      </c>
      <c r="DK16" s="550">
        <f t="shared" si="20"/>
        <v>0</v>
      </c>
      <c r="DL16" s="550">
        <f t="shared" si="20"/>
        <v>0</v>
      </c>
      <c r="DM16" s="550">
        <f t="shared" si="20"/>
        <v>0</v>
      </c>
      <c r="DN16" s="550">
        <f t="shared" si="20"/>
        <v>0</v>
      </c>
      <c r="DO16" s="550">
        <f t="shared" si="20"/>
        <v>0</v>
      </c>
      <c r="DP16" s="550">
        <f t="shared" si="20"/>
        <v>0</v>
      </c>
      <c r="DQ16" s="550">
        <f t="shared" si="20"/>
        <v>0</v>
      </c>
      <c r="DR16" s="550">
        <f t="shared" si="20"/>
        <v>0</v>
      </c>
      <c r="DS16" s="550">
        <f t="shared" si="20"/>
        <v>0</v>
      </c>
      <c r="DT16" s="550">
        <f t="shared" si="20"/>
        <v>0</v>
      </c>
      <c r="DU16" s="550">
        <f t="shared" si="20"/>
        <v>0</v>
      </c>
      <c r="DV16" s="550">
        <f t="shared" si="20"/>
        <v>0</v>
      </c>
      <c r="DW16" s="550">
        <f t="shared" si="20"/>
        <v>0</v>
      </c>
      <c r="DX16" s="550">
        <f t="shared" si="20"/>
        <v>0</v>
      </c>
      <c r="DY16" s="550">
        <f t="shared" si="20"/>
        <v>0</v>
      </c>
      <c r="DZ16" s="550">
        <f t="shared" si="20"/>
        <v>0</v>
      </c>
      <c r="EA16" s="550">
        <f t="shared" si="20"/>
        <v>0</v>
      </c>
      <c r="EB16" s="550">
        <f t="shared" si="20"/>
        <v>0</v>
      </c>
      <c r="EC16" s="550">
        <f t="shared" si="20"/>
        <v>0</v>
      </c>
      <c r="ED16" s="550">
        <f t="shared" si="20"/>
        <v>0</v>
      </c>
      <c r="EE16" s="550">
        <f t="shared" si="20"/>
        <v>0</v>
      </c>
      <c r="EF16" s="550">
        <f t="shared" si="20"/>
        <v>0</v>
      </c>
      <c r="EG16" s="550">
        <f t="shared" si="20"/>
        <v>0</v>
      </c>
      <c r="EH16" s="550">
        <f t="shared" si="20"/>
        <v>0</v>
      </c>
      <c r="EI16" s="550">
        <f t="shared" si="20"/>
        <v>0</v>
      </c>
      <c r="EJ16" s="550">
        <f t="shared" si="20"/>
        <v>0</v>
      </c>
      <c r="EK16" s="550">
        <f t="shared" si="20"/>
        <v>0</v>
      </c>
      <c r="EL16" s="550">
        <f t="shared" si="20"/>
        <v>0</v>
      </c>
      <c r="EM16" s="550">
        <f t="shared" si="20"/>
        <v>0</v>
      </c>
      <c r="EN16" s="550">
        <f t="shared" si="20"/>
        <v>0</v>
      </c>
      <c r="EO16" s="550">
        <f t="shared" si="20"/>
        <v>0</v>
      </c>
      <c r="EP16" s="550">
        <f t="shared" si="20"/>
        <v>0</v>
      </c>
      <c r="EQ16" s="550">
        <f t="shared" si="20"/>
        <v>0</v>
      </c>
      <c r="ER16" s="550">
        <f t="shared" si="20"/>
        <v>0</v>
      </c>
      <c r="ES16" s="550">
        <f t="shared" si="18"/>
        <v>0</v>
      </c>
      <c r="ET16" s="550">
        <f t="shared" si="18"/>
        <v>0</v>
      </c>
      <c r="EU16" s="550">
        <f t="shared" si="18"/>
        <v>0</v>
      </c>
      <c r="EV16" s="550">
        <f t="shared" si="18"/>
        <v>0</v>
      </c>
      <c r="EW16" s="150" t="s">
        <v>243</v>
      </c>
      <c r="EX16" s="150"/>
      <c r="EY16" s="150"/>
      <c r="EZ16" s="150"/>
      <c r="FA16" s="150"/>
    </row>
    <row r="17" spans="2:153" s="145" customFormat="1" ht="15" thickBot="1" x14ac:dyDescent="0.25">
      <c r="B17" s="707" t="s">
        <v>408</v>
      </c>
      <c r="C17" s="708"/>
      <c r="D17" s="709">
        <f>SUM(D8:D16)</f>
        <v>1460366.6800000002</v>
      </c>
      <c r="E17" s="709">
        <f t="shared" si="8"/>
        <v>5985.109344262296</v>
      </c>
      <c r="F17" s="710">
        <f t="shared" si="9"/>
        <v>6.2549970874451759</v>
      </c>
      <c r="G17" s="711">
        <f>Financials!AK30</f>
        <v>0.38332879823984339</v>
      </c>
      <c r="H17" s="708"/>
      <c r="I17" s="709">
        <f ca="1">SUM(I8:I16)</f>
        <v>1151169.5676247962</v>
      </c>
      <c r="J17" s="709">
        <f ca="1">IFERROR(I17/units,0)</f>
        <v>4717.9080640360498</v>
      </c>
      <c r="K17" s="710">
        <f t="shared" ca="1" si="10"/>
        <v>4.9306536442262718</v>
      </c>
      <c r="L17" s="712">
        <f ca="1">IFERROR(I17/Financials!$BA$18,0)</f>
        <v>0.27808384163658328</v>
      </c>
      <c r="M17" s="708"/>
      <c r="N17" s="713"/>
      <c r="O17" s="708"/>
      <c r="P17" s="714"/>
      <c r="S17" s="144" t="str">
        <f t="shared" si="12"/>
        <v>Furnished Units</v>
      </c>
      <c r="T17" s="550">
        <v>0</v>
      </c>
      <c r="U17" s="550">
        <f t="shared" si="16"/>
        <v>0</v>
      </c>
      <c r="V17" s="550">
        <f t="shared" si="19"/>
        <v>0</v>
      </c>
      <c r="W17" s="550">
        <f t="shared" si="19"/>
        <v>0</v>
      </c>
      <c r="X17" s="550">
        <f t="shared" si="19"/>
        <v>0</v>
      </c>
      <c r="Y17" s="550">
        <f t="shared" si="19"/>
        <v>0</v>
      </c>
      <c r="Z17" s="550">
        <f t="shared" si="19"/>
        <v>0</v>
      </c>
      <c r="AA17" s="550">
        <f t="shared" si="19"/>
        <v>0</v>
      </c>
      <c r="AB17" s="550">
        <f t="shared" si="19"/>
        <v>0</v>
      </c>
      <c r="AC17" s="550">
        <f t="shared" si="19"/>
        <v>0</v>
      </c>
      <c r="AD17" s="550">
        <f t="shared" si="19"/>
        <v>0</v>
      </c>
      <c r="AE17" s="550">
        <f t="shared" si="19"/>
        <v>0</v>
      </c>
      <c r="AF17" s="550">
        <f t="shared" si="19"/>
        <v>0</v>
      </c>
      <c r="AG17" s="550">
        <f t="shared" si="19"/>
        <v>0</v>
      </c>
      <c r="AH17" s="550">
        <f t="shared" si="19"/>
        <v>0</v>
      </c>
      <c r="AI17" s="550">
        <f t="shared" si="19"/>
        <v>0</v>
      </c>
      <c r="AJ17" s="550">
        <f t="shared" si="19"/>
        <v>0</v>
      </c>
      <c r="AK17" s="550">
        <f t="shared" si="19"/>
        <v>0</v>
      </c>
      <c r="AL17" s="550">
        <f t="shared" si="19"/>
        <v>0</v>
      </c>
      <c r="AM17" s="550">
        <f t="shared" si="19"/>
        <v>0</v>
      </c>
      <c r="AN17" s="550">
        <f t="shared" si="19"/>
        <v>0</v>
      </c>
      <c r="AO17" s="550">
        <f t="shared" si="19"/>
        <v>0</v>
      </c>
      <c r="AP17" s="550">
        <f t="shared" si="19"/>
        <v>0</v>
      </c>
      <c r="AQ17" s="550">
        <f t="shared" si="19"/>
        <v>0</v>
      </c>
      <c r="AR17" s="550">
        <f t="shared" si="19"/>
        <v>0</v>
      </c>
      <c r="AS17" s="550">
        <f t="shared" si="19"/>
        <v>0</v>
      </c>
      <c r="AT17" s="550">
        <f t="shared" si="19"/>
        <v>0</v>
      </c>
      <c r="AU17" s="550">
        <f t="shared" si="19"/>
        <v>0</v>
      </c>
      <c r="AV17" s="550">
        <f t="shared" si="19"/>
        <v>0</v>
      </c>
      <c r="AW17" s="550">
        <f t="shared" si="19"/>
        <v>0</v>
      </c>
      <c r="AX17" s="550">
        <f t="shared" si="19"/>
        <v>0</v>
      </c>
      <c r="AY17" s="550">
        <f t="shared" si="19"/>
        <v>0</v>
      </c>
      <c r="AZ17" s="550">
        <f t="shared" si="19"/>
        <v>0</v>
      </c>
      <c r="BA17" s="550">
        <f t="shared" si="19"/>
        <v>0</v>
      </c>
      <c r="BB17" s="550">
        <f t="shared" si="19"/>
        <v>0</v>
      </c>
      <c r="BC17" s="550">
        <f t="shared" si="19"/>
        <v>0</v>
      </c>
      <c r="BD17" s="550">
        <f t="shared" si="19"/>
        <v>0</v>
      </c>
      <c r="BE17" s="550">
        <f t="shared" si="19"/>
        <v>0</v>
      </c>
      <c r="BF17" s="550">
        <f t="shared" si="19"/>
        <v>0</v>
      </c>
      <c r="BG17" s="550">
        <f t="shared" si="19"/>
        <v>0</v>
      </c>
      <c r="BH17" s="550">
        <f t="shared" si="19"/>
        <v>0</v>
      </c>
      <c r="BI17" s="550">
        <f t="shared" si="19"/>
        <v>0</v>
      </c>
      <c r="BJ17" s="550">
        <f t="shared" si="19"/>
        <v>0</v>
      </c>
      <c r="BK17" s="550">
        <f t="shared" si="19"/>
        <v>0</v>
      </c>
      <c r="BL17" s="550">
        <f t="shared" si="19"/>
        <v>0</v>
      </c>
      <c r="BM17" s="550">
        <f t="shared" si="19"/>
        <v>0</v>
      </c>
      <c r="BN17" s="550">
        <f t="shared" si="19"/>
        <v>0</v>
      </c>
      <c r="BO17" s="550">
        <f t="shared" si="19"/>
        <v>0</v>
      </c>
      <c r="BP17" s="550">
        <f t="shared" si="19"/>
        <v>0</v>
      </c>
      <c r="BQ17" s="550">
        <f t="shared" si="19"/>
        <v>0</v>
      </c>
      <c r="BR17" s="550">
        <f t="shared" si="19"/>
        <v>0</v>
      </c>
      <c r="BS17" s="550">
        <f t="shared" si="19"/>
        <v>0</v>
      </c>
      <c r="BT17" s="550">
        <f t="shared" si="19"/>
        <v>0</v>
      </c>
      <c r="BU17" s="550">
        <f t="shared" si="19"/>
        <v>0</v>
      </c>
      <c r="BV17" s="550">
        <f t="shared" si="19"/>
        <v>0</v>
      </c>
      <c r="BW17" s="550">
        <f t="shared" si="19"/>
        <v>0</v>
      </c>
      <c r="BX17" s="550">
        <f t="shared" si="19"/>
        <v>0</v>
      </c>
      <c r="BY17" s="550">
        <f t="shared" si="19"/>
        <v>0</v>
      </c>
      <c r="BZ17" s="550">
        <f t="shared" si="19"/>
        <v>0</v>
      </c>
      <c r="CA17" s="550">
        <f t="shared" si="19"/>
        <v>0</v>
      </c>
      <c r="CB17" s="550">
        <f t="shared" si="19"/>
        <v>0</v>
      </c>
      <c r="CC17" s="550">
        <f t="shared" si="19"/>
        <v>0</v>
      </c>
      <c r="CD17" s="550">
        <f t="shared" si="19"/>
        <v>0</v>
      </c>
      <c r="CE17" s="550">
        <f t="shared" si="19"/>
        <v>0</v>
      </c>
      <c r="CF17" s="550">
        <f t="shared" si="19"/>
        <v>0</v>
      </c>
      <c r="CG17" s="550">
        <f t="shared" si="20"/>
        <v>0</v>
      </c>
      <c r="CH17" s="550">
        <f t="shared" si="20"/>
        <v>0</v>
      </c>
      <c r="CI17" s="550">
        <f t="shared" si="20"/>
        <v>0</v>
      </c>
      <c r="CJ17" s="550">
        <f t="shared" si="20"/>
        <v>0</v>
      </c>
      <c r="CK17" s="550">
        <f t="shared" si="20"/>
        <v>0</v>
      </c>
      <c r="CL17" s="550">
        <f t="shared" si="20"/>
        <v>0</v>
      </c>
      <c r="CM17" s="550">
        <f t="shared" si="20"/>
        <v>0</v>
      </c>
      <c r="CN17" s="550">
        <f t="shared" si="20"/>
        <v>0</v>
      </c>
      <c r="CO17" s="550">
        <f t="shared" si="20"/>
        <v>0</v>
      </c>
      <c r="CP17" s="550">
        <f t="shared" si="20"/>
        <v>0</v>
      </c>
      <c r="CQ17" s="550">
        <f t="shared" si="20"/>
        <v>0</v>
      </c>
      <c r="CR17" s="550">
        <f t="shared" si="20"/>
        <v>0</v>
      </c>
      <c r="CS17" s="550">
        <f t="shared" si="20"/>
        <v>0</v>
      </c>
      <c r="CT17" s="550">
        <f t="shared" si="20"/>
        <v>0</v>
      </c>
      <c r="CU17" s="550">
        <f t="shared" si="20"/>
        <v>0</v>
      </c>
      <c r="CV17" s="550">
        <f t="shared" si="20"/>
        <v>0</v>
      </c>
      <c r="CW17" s="550">
        <f t="shared" si="20"/>
        <v>0</v>
      </c>
      <c r="CX17" s="550">
        <f t="shared" si="20"/>
        <v>0</v>
      </c>
      <c r="CY17" s="550">
        <f t="shared" si="20"/>
        <v>0</v>
      </c>
      <c r="CZ17" s="550">
        <f t="shared" si="20"/>
        <v>0</v>
      </c>
      <c r="DA17" s="550">
        <f t="shared" si="20"/>
        <v>0</v>
      </c>
      <c r="DB17" s="550">
        <f t="shared" si="20"/>
        <v>0</v>
      </c>
      <c r="DC17" s="550">
        <f t="shared" si="20"/>
        <v>0</v>
      </c>
      <c r="DD17" s="550">
        <f t="shared" si="20"/>
        <v>0</v>
      </c>
      <c r="DE17" s="550">
        <f t="shared" si="20"/>
        <v>0</v>
      </c>
      <c r="DF17" s="550">
        <f t="shared" si="20"/>
        <v>0</v>
      </c>
      <c r="DG17" s="550">
        <f t="shared" si="20"/>
        <v>0</v>
      </c>
      <c r="DH17" s="550">
        <f t="shared" si="20"/>
        <v>0</v>
      </c>
      <c r="DI17" s="550">
        <f t="shared" si="20"/>
        <v>0</v>
      </c>
      <c r="DJ17" s="550">
        <f t="shared" si="20"/>
        <v>0</v>
      </c>
      <c r="DK17" s="550">
        <f t="shared" si="20"/>
        <v>0</v>
      </c>
      <c r="DL17" s="550">
        <f t="shared" si="20"/>
        <v>0</v>
      </c>
      <c r="DM17" s="550">
        <f t="shared" si="20"/>
        <v>0</v>
      </c>
      <c r="DN17" s="550">
        <f t="shared" si="20"/>
        <v>0</v>
      </c>
      <c r="DO17" s="550">
        <f t="shared" si="20"/>
        <v>0</v>
      </c>
      <c r="DP17" s="550">
        <f t="shared" si="20"/>
        <v>0</v>
      </c>
      <c r="DQ17" s="550">
        <f t="shared" si="20"/>
        <v>0</v>
      </c>
      <c r="DR17" s="550">
        <f t="shared" si="20"/>
        <v>0</v>
      </c>
      <c r="DS17" s="550">
        <f t="shared" si="20"/>
        <v>0</v>
      </c>
      <c r="DT17" s="550">
        <f t="shared" si="20"/>
        <v>0</v>
      </c>
      <c r="DU17" s="550">
        <f t="shared" si="20"/>
        <v>0</v>
      </c>
      <c r="DV17" s="550">
        <f t="shared" si="20"/>
        <v>0</v>
      </c>
      <c r="DW17" s="550">
        <f t="shared" si="20"/>
        <v>0</v>
      </c>
      <c r="DX17" s="550">
        <f t="shared" si="20"/>
        <v>0</v>
      </c>
      <c r="DY17" s="550">
        <f t="shared" si="20"/>
        <v>0</v>
      </c>
      <c r="DZ17" s="550">
        <f t="shared" si="20"/>
        <v>0</v>
      </c>
      <c r="EA17" s="550">
        <f t="shared" si="20"/>
        <v>0</v>
      </c>
      <c r="EB17" s="550">
        <f t="shared" si="20"/>
        <v>0</v>
      </c>
      <c r="EC17" s="550">
        <f t="shared" si="20"/>
        <v>0</v>
      </c>
      <c r="ED17" s="550">
        <f t="shared" si="20"/>
        <v>0</v>
      </c>
      <c r="EE17" s="550">
        <f t="shared" si="20"/>
        <v>0</v>
      </c>
      <c r="EF17" s="550">
        <f t="shared" si="20"/>
        <v>0</v>
      </c>
      <c r="EG17" s="550">
        <f t="shared" si="20"/>
        <v>0</v>
      </c>
      <c r="EH17" s="550">
        <f t="shared" si="20"/>
        <v>0</v>
      </c>
      <c r="EI17" s="550">
        <f t="shared" si="20"/>
        <v>0</v>
      </c>
      <c r="EJ17" s="550">
        <f t="shared" si="20"/>
        <v>0</v>
      </c>
      <c r="EK17" s="550">
        <f t="shared" si="20"/>
        <v>0</v>
      </c>
      <c r="EL17" s="550">
        <f t="shared" si="20"/>
        <v>0</v>
      </c>
      <c r="EM17" s="550">
        <f t="shared" si="20"/>
        <v>0</v>
      </c>
      <c r="EN17" s="550">
        <f t="shared" si="20"/>
        <v>0</v>
      </c>
      <c r="EO17" s="550">
        <f t="shared" si="20"/>
        <v>0</v>
      </c>
      <c r="EP17" s="550">
        <f t="shared" si="20"/>
        <v>0</v>
      </c>
      <c r="EQ17" s="550">
        <f t="shared" si="20"/>
        <v>0</v>
      </c>
      <c r="ER17" s="550">
        <f t="shared" si="20"/>
        <v>0</v>
      </c>
      <c r="ES17" s="550">
        <f t="shared" si="18"/>
        <v>0</v>
      </c>
      <c r="ET17" s="550">
        <f t="shared" si="18"/>
        <v>0</v>
      </c>
      <c r="EU17" s="550">
        <f t="shared" si="18"/>
        <v>0</v>
      </c>
      <c r="EV17" s="550">
        <f t="shared" si="18"/>
        <v>0</v>
      </c>
      <c r="EW17" s="150" t="s">
        <v>243</v>
      </c>
    </row>
    <row r="18" spans="2:153" x14ac:dyDescent="0.2">
      <c r="I18" s="550"/>
      <c r="J18" s="550"/>
      <c r="K18" s="550"/>
      <c r="N18" s="490"/>
      <c r="EW18" s="150" t="s">
        <v>243</v>
      </c>
    </row>
    <row r="19" spans="2:153" ht="15" thickBot="1" x14ac:dyDescent="0.25">
      <c r="N19" s="490"/>
      <c r="EW19" s="150" t="s">
        <v>243</v>
      </c>
    </row>
    <row r="20" spans="2:153" x14ac:dyDescent="0.2">
      <c r="B20" s="715" t="s">
        <v>78</v>
      </c>
      <c r="C20" s="716"/>
      <c r="D20" s="717" t="s">
        <v>10</v>
      </c>
      <c r="E20" s="717" t="s">
        <v>409</v>
      </c>
      <c r="F20" s="717" t="s">
        <v>140</v>
      </c>
      <c r="G20" s="717" t="s">
        <v>410</v>
      </c>
      <c r="H20" s="718"/>
      <c r="I20" s="717" t="s">
        <v>411</v>
      </c>
      <c r="J20" s="717" t="s">
        <v>412</v>
      </c>
      <c r="K20" s="719"/>
      <c r="L20" s="717" t="s">
        <v>413</v>
      </c>
      <c r="M20" s="716"/>
      <c r="N20" s="716" t="s">
        <v>394</v>
      </c>
      <c r="O20" s="718"/>
      <c r="P20" s="720"/>
      <c r="S20" s="145" t="s">
        <v>414</v>
      </c>
      <c r="EW20" s="150" t="s">
        <v>243</v>
      </c>
    </row>
    <row r="21" spans="2:153" x14ac:dyDescent="0.2">
      <c r="B21" s="721" t="s">
        <v>155</v>
      </c>
      <c r="D21" s="722">
        <v>0</v>
      </c>
      <c r="E21" s="723">
        <v>0</v>
      </c>
      <c r="F21" s="550">
        <f>E21*D21</f>
        <v>0</v>
      </c>
      <c r="G21" s="724">
        <f>IFERROR(I21/units,0)</f>
        <v>102.44031420765025</v>
      </c>
      <c r="H21" s="550"/>
      <c r="I21" s="550">
        <f>IFERROR(J21/12,0)</f>
        <v>24995.436666666661</v>
      </c>
      <c r="J21" s="550">
        <f>Financials!AH16</f>
        <v>299945.23999999993</v>
      </c>
      <c r="L21" s="725">
        <v>0</v>
      </c>
      <c r="N21" s="726"/>
      <c r="P21" s="703"/>
      <c r="S21" s="144" t="str">
        <f t="shared" ref="S21:CD27" si="21">S11</f>
        <v>Current Other Income</v>
      </c>
      <c r="T21" s="550">
        <f>T11</f>
        <v>24995.436666666661</v>
      </c>
      <c r="U21" s="550">
        <f>U11</f>
        <v>25995.254133333328</v>
      </c>
      <c r="V21" s="550">
        <f t="shared" si="21"/>
        <v>25995.254133333328</v>
      </c>
      <c r="W21" s="550">
        <f t="shared" si="21"/>
        <v>25995.254133333328</v>
      </c>
      <c r="X21" s="550">
        <f t="shared" si="21"/>
        <v>25995.254133333328</v>
      </c>
      <c r="Y21" s="550">
        <f t="shared" si="21"/>
        <v>25995.254133333328</v>
      </c>
      <c r="Z21" s="550">
        <f t="shared" si="21"/>
        <v>25995.254133333328</v>
      </c>
      <c r="AA21" s="550">
        <f t="shared" si="21"/>
        <v>25995.254133333328</v>
      </c>
      <c r="AB21" s="550">
        <f t="shared" si="21"/>
        <v>25995.254133333328</v>
      </c>
      <c r="AC21" s="550">
        <f t="shared" si="21"/>
        <v>25995.254133333328</v>
      </c>
      <c r="AD21" s="550">
        <f t="shared" si="21"/>
        <v>25995.254133333328</v>
      </c>
      <c r="AE21" s="550">
        <f t="shared" si="21"/>
        <v>25995.254133333328</v>
      </c>
      <c r="AF21" s="550">
        <f t="shared" si="21"/>
        <v>25995.254133333328</v>
      </c>
      <c r="AG21" s="550">
        <f t="shared" si="21"/>
        <v>27035.064298666661</v>
      </c>
      <c r="AH21" s="550">
        <f t="shared" si="21"/>
        <v>27035.064298666661</v>
      </c>
      <c r="AI21" s="550">
        <f t="shared" si="21"/>
        <v>27035.064298666661</v>
      </c>
      <c r="AJ21" s="550">
        <f t="shared" si="21"/>
        <v>27035.064298666661</v>
      </c>
      <c r="AK21" s="550">
        <f t="shared" si="21"/>
        <v>27035.064298666661</v>
      </c>
      <c r="AL21" s="550">
        <f t="shared" si="21"/>
        <v>27035.064298666661</v>
      </c>
      <c r="AM21" s="550">
        <f t="shared" si="21"/>
        <v>27035.064298666661</v>
      </c>
      <c r="AN21" s="550">
        <f t="shared" si="21"/>
        <v>27035.064298666661</v>
      </c>
      <c r="AO21" s="550">
        <f t="shared" si="21"/>
        <v>27035.064298666661</v>
      </c>
      <c r="AP21" s="550">
        <f t="shared" si="21"/>
        <v>27035.064298666661</v>
      </c>
      <c r="AQ21" s="550">
        <f t="shared" si="21"/>
        <v>27035.064298666661</v>
      </c>
      <c r="AR21" s="550">
        <f t="shared" si="21"/>
        <v>27035.064298666661</v>
      </c>
      <c r="AS21" s="550">
        <f t="shared" si="21"/>
        <v>27981.291549119993</v>
      </c>
      <c r="AT21" s="550">
        <f t="shared" si="21"/>
        <v>27981.291549119993</v>
      </c>
      <c r="AU21" s="550">
        <f t="shared" si="21"/>
        <v>27981.291549119993</v>
      </c>
      <c r="AV21" s="550">
        <f t="shared" si="21"/>
        <v>27981.291549119993</v>
      </c>
      <c r="AW21" s="550">
        <f t="shared" si="21"/>
        <v>27981.291549119993</v>
      </c>
      <c r="AX21" s="550">
        <f t="shared" si="21"/>
        <v>27981.291549119993</v>
      </c>
      <c r="AY21" s="550">
        <f t="shared" si="21"/>
        <v>27981.291549119993</v>
      </c>
      <c r="AZ21" s="550">
        <f t="shared" si="21"/>
        <v>27981.291549119993</v>
      </c>
      <c r="BA21" s="550">
        <f t="shared" si="21"/>
        <v>27981.291549119993</v>
      </c>
      <c r="BB21" s="550">
        <f t="shared" si="21"/>
        <v>27981.291549119993</v>
      </c>
      <c r="BC21" s="550">
        <f t="shared" si="21"/>
        <v>27981.291549119993</v>
      </c>
      <c r="BD21" s="550">
        <f t="shared" si="21"/>
        <v>27981.291549119993</v>
      </c>
      <c r="BE21" s="550">
        <f t="shared" si="21"/>
        <v>28960.636753339189</v>
      </c>
      <c r="BF21" s="550">
        <f t="shared" si="21"/>
        <v>28960.636753339189</v>
      </c>
      <c r="BG21" s="550">
        <f t="shared" si="21"/>
        <v>28960.636753339189</v>
      </c>
      <c r="BH21" s="550">
        <f t="shared" si="21"/>
        <v>28960.636753339189</v>
      </c>
      <c r="BI21" s="550">
        <f t="shared" si="21"/>
        <v>28960.636753339189</v>
      </c>
      <c r="BJ21" s="550">
        <f t="shared" si="21"/>
        <v>28960.636753339189</v>
      </c>
      <c r="BK21" s="550">
        <f t="shared" si="21"/>
        <v>28960.636753339189</v>
      </c>
      <c r="BL21" s="550">
        <f t="shared" si="21"/>
        <v>28960.636753339189</v>
      </c>
      <c r="BM21" s="550">
        <f t="shared" si="21"/>
        <v>28960.636753339189</v>
      </c>
      <c r="BN21" s="550">
        <f t="shared" si="21"/>
        <v>28960.636753339189</v>
      </c>
      <c r="BO21" s="550">
        <f t="shared" si="21"/>
        <v>28960.636753339189</v>
      </c>
      <c r="BP21" s="550">
        <f t="shared" si="21"/>
        <v>28960.636753339189</v>
      </c>
      <c r="BQ21" s="550">
        <f t="shared" si="21"/>
        <v>29974.259039706059</v>
      </c>
      <c r="BR21" s="550">
        <f t="shared" si="21"/>
        <v>29974.259039706059</v>
      </c>
      <c r="BS21" s="550">
        <f t="shared" si="21"/>
        <v>29974.259039706059</v>
      </c>
      <c r="BT21" s="550">
        <f t="shared" si="21"/>
        <v>29974.259039706059</v>
      </c>
      <c r="BU21" s="550">
        <f t="shared" si="21"/>
        <v>29974.259039706059</v>
      </c>
      <c r="BV21" s="550">
        <f t="shared" si="21"/>
        <v>29974.259039706059</v>
      </c>
      <c r="BW21" s="550">
        <f t="shared" si="21"/>
        <v>29974.259039706059</v>
      </c>
      <c r="BX21" s="550">
        <f t="shared" si="21"/>
        <v>29974.259039706059</v>
      </c>
      <c r="BY21" s="550">
        <f t="shared" si="21"/>
        <v>29974.259039706059</v>
      </c>
      <c r="BZ21" s="550">
        <f t="shared" si="21"/>
        <v>29974.259039706059</v>
      </c>
      <c r="CA21" s="550">
        <f t="shared" si="21"/>
        <v>29974.259039706059</v>
      </c>
      <c r="CB21" s="550">
        <f t="shared" si="21"/>
        <v>29974.259039706059</v>
      </c>
      <c r="CC21" s="550">
        <f t="shared" si="21"/>
        <v>31023.358106095769</v>
      </c>
      <c r="CD21" s="550">
        <f t="shared" si="21"/>
        <v>31023.358106095769</v>
      </c>
      <c r="CE21" s="550">
        <f t="shared" ref="CE21:EP21" si="22">CE11</f>
        <v>31023.358106095769</v>
      </c>
      <c r="CF21" s="550">
        <f t="shared" si="22"/>
        <v>31023.358106095769</v>
      </c>
      <c r="CG21" s="550">
        <f t="shared" si="22"/>
        <v>31023.358106095769</v>
      </c>
      <c r="CH21" s="550">
        <f t="shared" si="22"/>
        <v>31023.358106095769</v>
      </c>
      <c r="CI21" s="550">
        <f t="shared" si="22"/>
        <v>31023.358106095769</v>
      </c>
      <c r="CJ21" s="550">
        <f t="shared" si="22"/>
        <v>31023.358106095769</v>
      </c>
      <c r="CK21" s="550">
        <f t="shared" si="22"/>
        <v>31023.358106095769</v>
      </c>
      <c r="CL21" s="550">
        <f t="shared" si="22"/>
        <v>31023.358106095769</v>
      </c>
      <c r="CM21" s="550">
        <f t="shared" si="22"/>
        <v>31023.358106095769</v>
      </c>
      <c r="CN21" s="550">
        <f t="shared" si="22"/>
        <v>31023.358106095769</v>
      </c>
      <c r="CO21" s="550">
        <f t="shared" si="22"/>
        <v>32109.17563980912</v>
      </c>
      <c r="CP21" s="550">
        <f t="shared" si="22"/>
        <v>32109.17563980912</v>
      </c>
      <c r="CQ21" s="550">
        <f t="shared" si="22"/>
        <v>32109.17563980912</v>
      </c>
      <c r="CR21" s="550">
        <f t="shared" si="22"/>
        <v>32109.17563980912</v>
      </c>
      <c r="CS21" s="550">
        <f t="shared" si="22"/>
        <v>32109.17563980912</v>
      </c>
      <c r="CT21" s="550">
        <f t="shared" si="22"/>
        <v>32109.17563980912</v>
      </c>
      <c r="CU21" s="550">
        <f t="shared" si="22"/>
        <v>32109.17563980912</v>
      </c>
      <c r="CV21" s="550">
        <f t="shared" si="22"/>
        <v>32109.17563980912</v>
      </c>
      <c r="CW21" s="550">
        <f t="shared" si="22"/>
        <v>32109.17563980912</v>
      </c>
      <c r="CX21" s="550">
        <f t="shared" si="22"/>
        <v>32109.17563980912</v>
      </c>
      <c r="CY21" s="550">
        <f t="shared" si="22"/>
        <v>32109.17563980912</v>
      </c>
      <c r="CZ21" s="550">
        <f t="shared" si="22"/>
        <v>32109.17563980912</v>
      </c>
      <c r="DA21" s="550">
        <f t="shared" si="22"/>
        <v>33232.996787202435</v>
      </c>
      <c r="DB21" s="550">
        <f t="shared" si="22"/>
        <v>33232.996787202435</v>
      </c>
      <c r="DC21" s="550">
        <f t="shared" si="22"/>
        <v>33232.996787202435</v>
      </c>
      <c r="DD21" s="550">
        <f t="shared" si="22"/>
        <v>33232.996787202435</v>
      </c>
      <c r="DE21" s="550">
        <f t="shared" si="22"/>
        <v>33232.996787202435</v>
      </c>
      <c r="DF21" s="550">
        <f t="shared" si="22"/>
        <v>33232.996787202435</v>
      </c>
      <c r="DG21" s="550">
        <f t="shared" si="22"/>
        <v>33232.996787202435</v>
      </c>
      <c r="DH21" s="550">
        <f t="shared" si="22"/>
        <v>33232.996787202435</v>
      </c>
      <c r="DI21" s="550">
        <f t="shared" si="22"/>
        <v>33232.996787202435</v>
      </c>
      <c r="DJ21" s="550">
        <f t="shared" si="22"/>
        <v>33232.996787202435</v>
      </c>
      <c r="DK21" s="550">
        <f t="shared" si="22"/>
        <v>33232.996787202435</v>
      </c>
      <c r="DL21" s="550">
        <f t="shared" si="22"/>
        <v>33232.996787202435</v>
      </c>
      <c r="DM21" s="550">
        <f t="shared" si="22"/>
        <v>34396.151674754517</v>
      </c>
      <c r="DN21" s="550">
        <f t="shared" si="22"/>
        <v>34396.151674754517</v>
      </c>
      <c r="DO21" s="550">
        <f t="shared" si="22"/>
        <v>34396.151674754517</v>
      </c>
      <c r="DP21" s="550">
        <f t="shared" si="22"/>
        <v>34396.151674754517</v>
      </c>
      <c r="DQ21" s="550">
        <f t="shared" si="22"/>
        <v>34396.151674754517</v>
      </c>
      <c r="DR21" s="550">
        <f t="shared" si="22"/>
        <v>34396.151674754517</v>
      </c>
      <c r="DS21" s="550">
        <f t="shared" si="22"/>
        <v>34396.151674754517</v>
      </c>
      <c r="DT21" s="550">
        <f t="shared" si="22"/>
        <v>34396.151674754517</v>
      </c>
      <c r="DU21" s="550">
        <f t="shared" si="22"/>
        <v>34396.151674754517</v>
      </c>
      <c r="DV21" s="550">
        <f t="shared" si="22"/>
        <v>34396.151674754517</v>
      </c>
      <c r="DW21" s="550">
        <f t="shared" si="22"/>
        <v>34396.151674754517</v>
      </c>
      <c r="DX21" s="550">
        <f t="shared" si="22"/>
        <v>34396.151674754517</v>
      </c>
      <c r="DY21" s="550">
        <f t="shared" si="22"/>
        <v>35170.065087436495</v>
      </c>
      <c r="DZ21" s="550">
        <f t="shared" si="22"/>
        <v>35170.065087436495</v>
      </c>
      <c r="EA21" s="550">
        <f t="shared" si="22"/>
        <v>35170.065087436495</v>
      </c>
      <c r="EB21" s="550">
        <f t="shared" si="22"/>
        <v>35170.065087436495</v>
      </c>
      <c r="EC21" s="550">
        <f t="shared" si="22"/>
        <v>35170.065087436495</v>
      </c>
      <c r="ED21" s="550">
        <f t="shared" si="22"/>
        <v>35170.065087436495</v>
      </c>
      <c r="EE21" s="550">
        <f t="shared" si="22"/>
        <v>35170.065087436495</v>
      </c>
      <c r="EF21" s="550">
        <f t="shared" si="22"/>
        <v>35170.065087436495</v>
      </c>
      <c r="EG21" s="550">
        <f t="shared" si="22"/>
        <v>35170.065087436495</v>
      </c>
      <c r="EH21" s="550">
        <f t="shared" si="22"/>
        <v>35170.065087436495</v>
      </c>
      <c r="EI21" s="550">
        <f t="shared" si="22"/>
        <v>35170.065087436495</v>
      </c>
      <c r="EJ21" s="550">
        <f t="shared" si="22"/>
        <v>35170.065087436495</v>
      </c>
      <c r="EK21" s="550">
        <f t="shared" si="22"/>
        <v>35961.391551903813</v>
      </c>
      <c r="EL21" s="550">
        <f t="shared" si="22"/>
        <v>35961.391551903813</v>
      </c>
      <c r="EM21" s="550">
        <f t="shared" si="22"/>
        <v>35961.391551903813</v>
      </c>
      <c r="EN21" s="550">
        <f t="shared" si="22"/>
        <v>35961.391551903813</v>
      </c>
      <c r="EO21" s="550">
        <f t="shared" si="22"/>
        <v>35961.391551903813</v>
      </c>
      <c r="EP21" s="550">
        <f t="shared" si="22"/>
        <v>35961.391551903813</v>
      </c>
      <c r="EQ21" s="550">
        <f t="shared" ref="EQ21:EV21" si="23">EQ11</f>
        <v>35961.391551903813</v>
      </c>
      <c r="ER21" s="550">
        <f t="shared" si="23"/>
        <v>35961.391551903813</v>
      </c>
      <c r="ES21" s="550">
        <f t="shared" si="23"/>
        <v>35961.391551903813</v>
      </c>
      <c r="ET21" s="550">
        <f t="shared" si="23"/>
        <v>35961.391551903813</v>
      </c>
      <c r="EU21" s="550">
        <f t="shared" si="23"/>
        <v>35961.391551903813</v>
      </c>
      <c r="EV21" s="550">
        <f t="shared" si="23"/>
        <v>35961.391551903813</v>
      </c>
      <c r="EW21" s="150" t="s">
        <v>243</v>
      </c>
    </row>
    <row r="22" spans="2:153" x14ac:dyDescent="0.2">
      <c r="B22" s="727" t="s">
        <v>415</v>
      </c>
      <c r="D22" s="722">
        <v>0</v>
      </c>
      <c r="E22" s="723">
        <v>0</v>
      </c>
      <c r="F22" s="550">
        <f t="shared" ref="F22:F27" si="24">E22*D22</f>
        <v>0</v>
      </c>
      <c r="G22" s="723">
        <v>0</v>
      </c>
      <c r="H22" s="550"/>
      <c r="I22" s="550">
        <f t="shared" ref="I22:I27" si="25">G22*D22</f>
        <v>0</v>
      </c>
      <c r="J22" s="550">
        <f>I22*12</f>
        <v>0</v>
      </c>
      <c r="L22" s="725">
        <v>11</v>
      </c>
      <c r="N22" s="726"/>
      <c r="P22" s="703"/>
      <c r="S22" s="144" t="str">
        <f t="shared" si="21"/>
        <v>Admin/App Fee</v>
      </c>
      <c r="T22" s="550">
        <f>T12*IF(T$5&gt;=$L22,1,T$5/$L22)</f>
        <v>0</v>
      </c>
      <c r="U22" s="550">
        <f>U12*IF(U$5&gt;=$L22,1,U$5/$L22)</f>
        <v>0</v>
      </c>
      <c r="V22" s="550">
        <f t="shared" ref="V22:CF22" si="26">V12*IF(V$5&gt;=$L22,1,V$5/$L22)</f>
        <v>0</v>
      </c>
      <c r="W22" s="550">
        <f t="shared" si="26"/>
        <v>0</v>
      </c>
      <c r="X22" s="550">
        <f t="shared" si="26"/>
        <v>0</v>
      </c>
      <c r="Y22" s="550">
        <f t="shared" si="26"/>
        <v>0</v>
      </c>
      <c r="Z22" s="550">
        <f t="shared" si="26"/>
        <v>0</v>
      </c>
      <c r="AA22" s="550">
        <f t="shared" si="26"/>
        <v>0</v>
      </c>
      <c r="AB22" s="550">
        <f t="shared" si="26"/>
        <v>0</v>
      </c>
      <c r="AC22" s="550">
        <f t="shared" si="26"/>
        <v>0</v>
      </c>
      <c r="AD22" s="550">
        <f t="shared" si="26"/>
        <v>0</v>
      </c>
      <c r="AE22" s="550">
        <f t="shared" si="26"/>
        <v>0</v>
      </c>
      <c r="AF22" s="550">
        <f t="shared" si="26"/>
        <v>0</v>
      </c>
      <c r="AG22" s="550">
        <f t="shared" si="26"/>
        <v>0</v>
      </c>
      <c r="AH22" s="550">
        <f t="shared" si="26"/>
        <v>0</v>
      </c>
      <c r="AI22" s="550">
        <f t="shared" si="26"/>
        <v>0</v>
      </c>
      <c r="AJ22" s="550">
        <f t="shared" si="26"/>
        <v>0</v>
      </c>
      <c r="AK22" s="550">
        <f t="shared" si="26"/>
        <v>0</v>
      </c>
      <c r="AL22" s="550">
        <f t="shared" si="26"/>
        <v>0</v>
      </c>
      <c r="AM22" s="550">
        <f t="shared" si="26"/>
        <v>0</v>
      </c>
      <c r="AN22" s="550">
        <f t="shared" si="26"/>
        <v>0</v>
      </c>
      <c r="AO22" s="550">
        <f t="shared" si="26"/>
        <v>0</v>
      </c>
      <c r="AP22" s="550">
        <f t="shared" si="26"/>
        <v>0</v>
      </c>
      <c r="AQ22" s="550">
        <f t="shared" si="26"/>
        <v>0</v>
      </c>
      <c r="AR22" s="550">
        <f t="shared" si="26"/>
        <v>0</v>
      </c>
      <c r="AS22" s="550">
        <f t="shared" si="26"/>
        <v>0</v>
      </c>
      <c r="AT22" s="550">
        <f t="shared" si="26"/>
        <v>0</v>
      </c>
      <c r="AU22" s="550">
        <f t="shared" si="26"/>
        <v>0</v>
      </c>
      <c r="AV22" s="550">
        <f t="shared" si="26"/>
        <v>0</v>
      </c>
      <c r="AW22" s="550">
        <f t="shared" si="26"/>
        <v>0</v>
      </c>
      <c r="AX22" s="550">
        <f t="shared" si="26"/>
        <v>0</v>
      </c>
      <c r="AY22" s="550">
        <f t="shared" si="26"/>
        <v>0</v>
      </c>
      <c r="AZ22" s="550">
        <f t="shared" si="26"/>
        <v>0</v>
      </c>
      <c r="BA22" s="550">
        <f t="shared" si="26"/>
        <v>0</v>
      </c>
      <c r="BB22" s="550">
        <f t="shared" si="26"/>
        <v>0</v>
      </c>
      <c r="BC22" s="550">
        <f t="shared" si="26"/>
        <v>0</v>
      </c>
      <c r="BD22" s="550">
        <f t="shared" si="26"/>
        <v>0</v>
      </c>
      <c r="BE22" s="550">
        <f t="shared" si="26"/>
        <v>0</v>
      </c>
      <c r="BF22" s="550">
        <f t="shared" si="26"/>
        <v>0</v>
      </c>
      <c r="BG22" s="550">
        <f t="shared" si="26"/>
        <v>0</v>
      </c>
      <c r="BH22" s="550">
        <f t="shared" si="26"/>
        <v>0</v>
      </c>
      <c r="BI22" s="550">
        <f t="shared" si="26"/>
        <v>0</v>
      </c>
      <c r="BJ22" s="550">
        <f t="shared" si="26"/>
        <v>0</v>
      </c>
      <c r="BK22" s="550">
        <f t="shared" si="26"/>
        <v>0</v>
      </c>
      <c r="BL22" s="550">
        <f t="shared" si="26"/>
        <v>0</v>
      </c>
      <c r="BM22" s="550">
        <f t="shared" si="26"/>
        <v>0</v>
      </c>
      <c r="BN22" s="550">
        <f t="shared" si="26"/>
        <v>0</v>
      </c>
      <c r="BO22" s="550">
        <f t="shared" si="26"/>
        <v>0</v>
      </c>
      <c r="BP22" s="550">
        <f t="shared" si="26"/>
        <v>0</v>
      </c>
      <c r="BQ22" s="550">
        <f t="shared" si="26"/>
        <v>0</v>
      </c>
      <c r="BR22" s="550">
        <f t="shared" si="26"/>
        <v>0</v>
      </c>
      <c r="BS22" s="550">
        <f t="shared" si="26"/>
        <v>0</v>
      </c>
      <c r="BT22" s="550">
        <f t="shared" si="26"/>
        <v>0</v>
      </c>
      <c r="BU22" s="550">
        <f t="shared" si="26"/>
        <v>0</v>
      </c>
      <c r="BV22" s="550">
        <f t="shared" si="26"/>
        <v>0</v>
      </c>
      <c r="BW22" s="550">
        <f t="shared" si="26"/>
        <v>0</v>
      </c>
      <c r="BX22" s="550">
        <f t="shared" si="26"/>
        <v>0</v>
      </c>
      <c r="BY22" s="550">
        <f t="shared" si="26"/>
        <v>0</v>
      </c>
      <c r="BZ22" s="550">
        <f t="shared" si="26"/>
        <v>0</v>
      </c>
      <c r="CA22" s="550">
        <f t="shared" si="26"/>
        <v>0</v>
      </c>
      <c r="CB22" s="550">
        <f t="shared" si="26"/>
        <v>0</v>
      </c>
      <c r="CC22" s="550">
        <f t="shared" si="26"/>
        <v>0</v>
      </c>
      <c r="CD22" s="550">
        <f t="shared" si="26"/>
        <v>0</v>
      </c>
      <c r="CE22" s="550">
        <f t="shared" si="26"/>
        <v>0</v>
      </c>
      <c r="CF22" s="550">
        <f t="shared" si="26"/>
        <v>0</v>
      </c>
      <c r="CG22" s="550">
        <f t="shared" ref="CG22:ER22" si="27">CG12*IF(CG$5&gt;=$L22,1,CG$5/$L22)</f>
        <v>0</v>
      </c>
      <c r="CH22" s="550">
        <f t="shared" si="27"/>
        <v>0</v>
      </c>
      <c r="CI22" s="550">
        <f t="shared" si="27"/>
        <v>0</v>
      </c>
      <c r="CJ22" s="550">
        <f t="shared" si="27"/>
        <v>0</v>
      </c>
      <c r="CK22" s="550">
        <f t="shared" si="27"/>
        <v>0</v>
      </c>
      <c r="CL22" s="550">
        <f t="shared" si="27"/>
        <v>0</v>
      </c>
      <c r="CM22" s="550">
        <f t="shared" si="27"/>
        <v>0</v>
      </c>
      <c r="CN22" s="550">
        <f t="shared" si="27"/>
        <v>0</v>
      </c>
      <c r="CO22" s="550">
        <f t="shared" si="27"/>
        <v>0</v>
      </c>
      <c r="CP22" s="550">
        <f t="shared" si="27"/>
        <v>0</v>
      </c>
      <c r="CQ22" s="550">
        <f t="shared" si="27"/>
        <v>0</v>
      </c>
      <c r="CR22" s="550">
        <f t="shared" si="27"/>
        <v>0</v>
      </c>
      <c r="CS22" s="550">
        <f t="shared" si="27"/>
        <v>0</v>
      </c>
      <c r="CT22" s="550">
        <f t="shared" si="27"/>
        <v>0</v>
      </c>
      <c r="CU22" s="550">
        <f t="shared" si="27"/>
        <v>0</v>
      </c>
      <c r="CV22" s="550">
        <f t="shared" si="27"/>
        <v>0</v>
      </c>
      <c r="CW22" s="550">
        <f t="shared" si="27"/>
        <v>0</v>
      </c>
      <c r="CX22" s="550">
        <f t="shared" si="27"/>
        <v>0</v>
      </c>
      <c r="CY22" s="550">
        <f t="shared" si="27"/>
        <v>0</v>
      </c>
      <c r="CZ22" s="550">
        <f t="shared" si="27"/>
        <v>0</v>
      </c>
      <c r="DA22" s="550">
        <f t="shared" si="27"/>
        <v>0</v>
      </c>
      <c r="DB22" s="550">
        <f t="shared" si="27"/>
        <v>0</v>
      </c>
      <c r="DC22" s="550">
        <f t="shared" si="27"/>
        <v>0</v>
      </c>
      <c r="DD22" s="550">
        <f t="shared" si="27"/>
        <v>0</v>
      </c>
      <c r="DE22" s="550">
        <f t="shared" si="27"/>
        <v>0</v>
      </c>
      <c r="DF22" s="550">
        <f t="shared" si="27"/>
        <v>0</v>
      </c>
      <c r="DG22" s="550">
        <f t="shared" si="27"/>
        <v>0</v>
      </c>
      <c r="DH22" s="550">
        <f t="shared" si="27"/>
        <v>0</v>
      </c>
      <c r="DI22" s="550">
        <f t="shared" si="27"/>
        <v>0</v>
      </c>
      <c r="DJ22" s="550">
        <f t="shared" si="27"/>
        <v>0</v>
      </c>
      <c r="DK22" s="550">
        <f t="shared" si="27"/>
        <v>0</v>
      </c>
      <c r="DL22" s="550">
        <f t="shared" si="27"/>
        <v>0</v>
      </c>
      <c r="DM22" s="550">
        <f t="shared" si="27"/>
        <v>0</v>
      </c>
      <c r="DN22" s="550">
        <f t="shared" si="27"/>
        <v>0</v>
      </c>
      <c r="DO22" s="550">
        <f t="shared" si="27"/>
        <v>0</v>
      </c>
      <c r="DP22" s="550">
        <f t="shared" si="27"/>
        <v>0</v>
      </c>
      <c r="DQ22" s="550">
        <f t="shared" si="27"/>
        <v>0</v>
      </c>
      <c r="DR22" s="550">
        <f t="shared" si="27"/>
        <v>0</v>
      </c>
      <c r="DS22" s="550">
        <f t="shared" si="27"/>
        <v>0</v>
      </c>
      <c r="DT22" s="550">
        <f t="shared" si="27"/>
        <v>0</v>
      </c>
      <c r="DU22" s="550">
        <f t="shared" si="27"/>
        <v>0</v>
      </c>
      <c r="DV22" s="550">
        <f t="shared" si="27"/>
        <v>0</v>
      </c>
      <c r="DW22" s="550">
        <f t="shared" si="27"/>
        <v>0</v>
      </c>
      <c r="DX22" s="550">
        <f t="shared" si="27"/>
        <v>0</v>
      </c>
      <c r="DY22" s="550">
        <f t="shared" si="27"/>
        <v>0</v>
      </c>
      <c r="DZ22" s="550">
        <f t="shared" si="27"/>
        <v>0</v>
      </c>
      <c r="EA22" s="550">
        <f t="shared" si="27"/>
        <v>0</v>
      </c>
      <c r="EB22" s="550">
        <f t="shared" si="27"/>
        <v>0</v>
      </c>
      <c r="EC22" s="550">
        <f t="shared" si="27"/>
        <v>0</v>
      </c>
      <c r="ED22" s="550">
        <f t="shared" si="27"/>
        <v>0</v>
      </c>
      <c r="EE22" s="550">
        <f t="shared" si="27"/>
        <v>0</v>
      </c>
      <c r="EF22" s="550">
        <f t="shared" si="27"/>
        <v>0</v>
      </c>
      <c r="EG22" s="550">
        <f t="shared" si="27"/>
        <v>0</v>
      </c>
      <c r="EH22" s="550">
        <f t="shared" si="27"/>
        <v>0</v>
      </c>
      <c r="EI22" s="550">
        <f t="shared" si="27"/>
        <v>0</v>
      </c>
      <c r="EJ22" s="550">
        <f t="shared" si="27"/>
        <v>0</v>
      </c>
      <c r="EK22" s="550">
        <f t="shared" si="27"/>
        <v>0</v>
      </c>
      <c r="EL22" s="550">
        <f t="shared" si="27"/>
        <v>0</v>
      </c>
      <c r="EM22" s="550">
        <f t="shared" si="27"/>
        <v>0</v>
      </c>
      <c r="EN22" s="550">
        <f t="shared" si="27"/>
        <v>0</v>
      </c>
      <c r="EO22" s="550">
        <f t="shared" si="27"/>
        <v>0</v>
      </c>
      <c r="EP22" s="550">
        <f t="shared" si="27"/>
        <v>0</v>
      </c>
      <c r="EQ22" s="550">
        <f t="shared" si="27"/>
        <v>0</v>
      </c>
      <c r="ER22" s="550">
        <f t="shared" si="27"/>
        <v>0</v>
      </c>
      <c r="ES22" s="550">
        <f t="shared" ref="ES22:EV22" si="28">ES12*IF(ES$5&gt;=$L22,1,ES$5/$L22)</f>
        <v>0</v>
      </c>
      <c r="ET22" s="550">
        <f t="shared" si="28"/>
        <v>0</v>
      </c>
      <c r="EU22" s="550">
        <f t="shared" si="28"/>
        <v>0</v>
      </c>
      <c r="EV22" s="550">
        <f t="shared" si="28"/>
        <v>0</v>
      </c>
      <c r="EW22" s="150" t="s">
        <v>243</v>
      </c>
    </row>
    <row r="23" spans="2:153" x14ac:dyDescent="0.2">
      <c r="B23" s="727" t="s">
        <v>416</v>
      </c>
      <c r="D23" s="722">
        <v>0</v>
      </c>
      <c r="E23" s="723">
        <v>0</v>
      </c>
      <c r="F23" s="550">
        <f t="shared" si="24"/>
        <v>0</v>
      </c>
      <c r="G23" s="723">
        <v>0</v>
      </c>
      <c r="H23" s="550"/>
      <c r="I23" s="550">
        <f t="shared" si="25"/>
        <v>0</v>
      </c>
      <c r="J23" s="550">
        <f t="shared" ref="J23:J27" si="29">I23*12</f>
        <v>0</v>
      </c>
      <c r="L23" s="725">
        <v>8</v>
      </c>
      <c r="N23" s="726"/>
      <c r="P23" s="703"/>
      <c r="S23" s="144" t="str">
        <f t="shared" si="21"/>
        <v>Late Fees/Damages/etc</v>
      </c>
      <c r="T23" s="550">
        <f>T13*IF(T$5&gt;=$L23,1,T$5/$L23)</f>
        <v>0</v>
      </c>
      <c r="U23" s="550">
        <f t="shared" ref="U23:CF24" si="30">U13*IF(U$5&gt;=$L23,1,U$5/$L23)</f>
        <v>0</v>
      </c>
      <c r="V23" s="550">
        <f t="shared" si="30"/>
        <v>0</v>
      </c>
      <c r="W23" s="550">
        <f t="shared" si="30"/>
        <v>0</v>
      </c>
      <c r="X23" s="550">
        <f t="shared" si="30"/>
        <v>0</v>
      </c>
      <c r="Y23" s="550">
        <f t="shared" si="30"/>
        <v>0</v>
      </c>
      <c r="Z23" s="550">
        <f t="shared" si="30"/>
        <v>0</v>
      </c>
      <c r="AA23" s="550">
        <f t="shared" si="30"/>
        <v>0</v>
      </c>
      <c r="AB23" s="550">
        <f t="shared" si="30"/>
        <v>0</v>
      </c>
      <c r="AC23" s="550">
        <f t="shared" si="30"/>
        <v>0</v>
      </c>
      <c r="AD23" s="550">
        <f t="shared" si="30"/>
        <v>0</v>
      </c>
      <c r="AE23" s="550">
        <f t="shared" si="30"/>
        <v>0</v>
      </c>
      <c r="AF23" s="550">
        <f t="shared" si="30"/>
        <v>0</v>
      </c>
      <c r="AG23" s="550">
        <f t="shared" si="30"/>
        <v>0</v>
      </c>
      <c r="AH23" s="550">
        <f t="shared" si="30"/>
        <v>0</v>
      </c>
      <c r="AI23" s="550">
        <f t="shared" si="30"/>
        <v>0</v>
      </c>
      <c r="AJ23" s="550">
        <f t="shared" si="30"/>
        <v>0</v>
      </c>
      <c r="AK23" s="550">
        <f t="shared" si="30"/>
        <v>0</v>
      </c>
      <c r="AL23" s="550">
        <f t="shared" si="30"/>
        <v>0</v>
      </c>
      <c r="AM23" s="550">
        <f t="shared" si="30"/>
        <v>0</v>
      </c>
      <c r="AN23" s="550">
        <f t="shared" si="30"/>
        <v>0</v>
      </c>
      <c r="AO23" s="550">
        <f t="shared" si="30"/>
        <v>0</v>
      </c>
      <c r="AP23" s="550">
        <f t="shared" si="30"/>
        <v>0</v>
      </c>
      <c r="AQ23" s="550">
        <f t="shared" si="30"/>
        <v>0</v>
      </c>
      <c r="AR23" s="550">
        <f t="shared" si="30"/>
        <v>0</v>
      </c>
      <c r="AS23" s="550">
        <f t="shared" si="30"/>
        <v>0</v>
      </c>
      <c r="AT23" s="550">
        <f t="shared" si="30"/>
        <v>0</v>
      </c>
      <c r="AU23" s="550">
        <f t="shared" si="30"/>
        <v>0</v>
      </c>
      <c r="AV23" s="550">
        <f t="shared" si="30"/>
        <v>0</v>
      </c>
      <c r="AW23" s="550">
        <f t="shared" si="30"/>
        <v>0</v>
      </c>
      <c r="AX23" s="550">
        <f t="shared" si="30"/>
        <v>0</v>
      </c>
      <c r="AY23" s="550">
        <f t="shared" si="30"/>
        <v>0</v>
      </c>
      <c r="AZ23" s="550">
        <f t="shared" si="30"/>
        <v>0</v>
      </c>
      <c r="BA23" s="550">
        <f t="shared" si="30"/>
        <v>0</v>
      </c>
      <c r="BB23" s="550">
        <f t="shared" si="30"/>
        <v>0</v>
      </c>
      <c r="BC23" s="550">
        <f t="shared" si="30"/>
        <v>0</v>
      </c>
      <c r="BD23" s="550">
        <f t="shared" si="30"/>
        <v>0</v>
      </c>
      <c r="BE23" s="550">
        <f t="shared" si="30"/>
        <v>0</v>
      </c>
      <c r="BF23" s="550">
        <f t="shared" si="30"/>
        <v>0</v>
      </c>
      <c r="BG23" s="550">
        <f t="shared" si="30"/>
        <v>0</v>
      </c>
      <c r="BH23" s="550">
        <f t="shared" si="30"/>
        <v>0</v>
      </c>
      <c r="BI23" s="550">
        <f t="shared" si="30"/>
        <v>0</v>
      </c>
      <c r="BJ23" s="550">
        <f t="shared" si="30"/>
        <v>0</v>
      </c>
      <c r="BK23" s="550">
        <f t="shared" si="30"/>
        <v>0</v>
      </c>
      <c r="BL23" s="550">
        <f t="shared" si="30"/>
        <v>0</v>
      </c>
      <c r="BM23" s="550">
        <f t="shared" si="30"/>
        <v>0</v>
      </c>
      <c r="BN23" s="550">
        <f t="shared" si="30"/>
        <v>0</v>
      </c>
      <c r="BO23" s="550">
        <f t="shared" si="30"/>
        <v>0</v>
      </c>
      <c r="BP23" s="550">
        <f t="shared" si="30"/>
        <v>0</v>
      </c>
      <c r="BQ23" s="550">
        <f t="shared" si="30"/>
        <v>0</v>
      </c>
      <c r="BR23" s="550">
        <f t="shared" si="30"/>
        <v>0</v>
      </c>
      <c r="BS23" s="550">
        <f t="shared" si="30"/>
        <v>0</v>
      </c>
      <c r="BT23" s="550">
        <f t="shared" si="30"/>
        <v>0</v>
      </c>
      <c r="BU23" s="550">
        <f t="shared" si="30"/>
        <v>0</v>
      </c>
      <c r="BV23" s="550">
        <f t="shared" si="30"/>
        <v>0</v>
      </c>
      <c r="BW23" s="550">
        <f t="shared" si="30"/>
        <v>0</v>
      </c>
      <c r="BX23" s="550">
        <f t="shared" si="30"/>
        <v>0</v>
      </c>
      <c r="BY23" s="550">
        <f t="shared" si="30"/>
        <v>0</v>
      </c>
      <c r="BZ23" s="550">
        <f t="shared" si="30"/>
        <v>0</v>
      </c>
      <c r="CA23" s="550">
        <f t="shared" si="30"/>
        <v>0</v>
      </c>
      <c r="CB23" s="550">
        <f t="shared" si="30"/>
        <v>0</v>
      </c>
      <c r="CC23" s="550">
        <f t="shared" si="30"/>
        <v>0</v>
      </c>
      <c r="CD23" s="550">
        <f t="shared" si="30"/>
        <v>0</v>
      </c>
      <c r="CE23" s="550">
        <f t="shared" si="30"/>
        <v>0</v>
      </c>
      <c r="CF23" s="550">
        <f t="shared" si="30"/>
        <v>0</v>
      </c>
      <c r="CG23" s="550">
        <f t="shared" ref="CG23:ER26" si="31">CG13*IF(CG$5&gt;=$L23,1,CG$5/$L23)</f>
        <v>0</v>
      </c>
      <c r="CH23" s="550">
        <f t="shared" si="31"/>
        <v>0</v>
      </c>
      <c r="CI23" s="550">
        <f t="shared" si="31"/>
        <v>0</v>
      </c>
      <c r="CJ23" s="550">
        <f t="shared" si="31"/>
        <v>0</v>
      </c>
      <c r="CK23" s="550">
        <f t="shared" si="31"/>
        <v>0</v>
      </c>
      <c r="CL23" s="550">
        <f t="shared" si="31"/>
        <v>0</v>
      </c>
      <c r="CM23" s="550">
        <f t="shared" si="31"/>
        <v>0</v>
      </c>
      <c r="CN23" s="550">
        <f t="shared" si="31"/>
        <v>0</v>
      </c>
      <c r="CO23" s="550">
        <f t="shared" si="31"/>
        <v>0</v>
      </c>
      <c r="CP23" s="550">
        <f t="shared" si="31"/>
        <v>0</v>
      </c>
      <c r="CQ23" s="550">
        <f t="shared" si="31"/>
        <v>0</v>
      </c>
      <c r="CR23" s="550">
        <f t="shared" si="31"/>
        <v>0</v>
      </c>
      <c r="CS23" s="550">
        <f t="shared" si="31"/>
        <v>0</v>
      </c>
      <c r="CT23" s="550">
        <f t="shared" si="31"/>
        <v>0</v>
      </c>
      <c r="CU23" s="550">
        <f t="shared" si="31"/>
        <v>0</v>
      </c>
      <c r="CV23" s="550">
        <f t="shared" si="31"/>
        <v>0</v>
      </c>
      <c r="CW23" s="550">
        <f t="shared" si="31"/>
        <v>0</v>
      </c>
      <c r="CX23" s="550">
        <f t="shared" si="31"/>
        <v>0</v>
      </c>
      <c r="CY23" s="550">
        <f t="shared" si="31"/>
        <v>0</v>
      </c>
      <c r="CZ23" s="550">
        <f t="shared" si="31"/>
        <v>0</v>
      </c>
      <c r="DA23" s="550">
        <f t="shared" si="31"/>
        <v>0</v>
      </c>
      <c r="DB23" s="550">
        <f t="shared" si="31"/>
        <v>0</v>
      </c>
      <c r="DC23" s="550">
        <f t="shared" si="31"/>
        <v>0</v>
      </c>
      <c r="DD23" s="550">
        <f t="shared" si="31"/>
        <v>0</v>
      </c>
      <c r="DE23" s="550">
        <f t="shared" si="31"/>
        <v>0</v>
      </c>
      <c r="DF23" s="550">
        <f t="shared" si="31"/>
        <v>0</v>
      </c>
      <c r="DG23" s="550">
        <f t="shared" si="31"/>
        <v>0</v>
      </c>
      <c r="DH23" s="550">
        <f t="shared" si="31"/>
        <v>0</v>
      </c>
      <c r="DI23" s="550">
        <f t="shared" si="31"/>
        <v>0</v>
      </c>
      <c r="DJ23" s="550">
        <f t="shared" si="31"/>
        <v>0</v>
      </c>
      <c r="DK23" s="550">
        <f t="shared" si="31"/>
        <v>0</v>
      </c>
      <c r="DL23" s="550">
        <f t="shared" si="31"/>
        <v>0</v>
      </c>
      <c r="DM23" s="550">
        <f t="shared" si="31"/>
        <v>0</v>
      </c>
      <c r="DN23" s="550">
        <f t="shared" si="31"/>
        <v>0</v>
      </c>
      <c r="DO23" s="550">
        <f t="shared" si="31"/>
        <v>0</v>
      </c>
      <c r="DP23" s="550">
        <f t="shared" si="31"/>
        <v>0</v>
      </c>
      <c r="DQ23" s="550">
        <f t="shared" si="31"/>
        <v>0</v>
      </c>
      <c r="DR23" s="550">
        <f t="shared" si="31"/>
        <v>0</v>
      </c>
      <c r="DS23" s="550">
        <f t="shared" si="31"/>
        <v>0</v>
      </c>
      <c r="DT23" s="550">
        <f t="shared" si="31"/>
        <v>0</v>
      </c>
      <c r="DU23" s="550">
        <f t="shared" si="31"/>
        <v>0</v>
      </c>
      <c r="DV23" s="550">
        <f t="shared" si="31"/>
        <v>0</v>
      </c>
      <c r="DW23" s="550">
        <f t="shared" si="31"/>
        <v>0</v>
      </c>
      <c r="DX23" s="550">
        <f t="shared" si="31"/>
        <v>0</v>
      </c>
      <c r="DY23" s="550">
        <f t="shared" si="31"/>
        <v>0</v>
      </c>
      <c r="DZ23" s="550">
        <f t="shared" si="31"/>
        <v>0</v>
      </c>
      <c r="EA23" s="550">
        <f t="shared" si="31"/>
        <v>0</v>
      </c>
      <c r="EB23" s="550">
        <f t="shared" si="31"/>
        <v>0</v>
      </c>
      <c r="EC23" s="550">
        <f t="shared" si="31"/>
        <v>0</v>
      </c>
      <c r="ED23" s="550">
        <f t="shared" si="31"/>
        <v>0</v>
      </c>
      <c r="EE23" s="550">
        <f t="shared" si="31"/>
        <v>0</v>
      </c>
      <c r="EF23" s="550">
        <f t="shared" si="31"/>
        <v>0</v>
      </c>
      <c r="EG23" s="550">
        <f t="shared" si="31"/>
        <v>0</v>
      </c>
      <c r="EH23" s="550">
        <f t="shared" si="31"/>
        <v>0</v>
      </c>
      <c r="EI23" s="550">
        <f t="shared" si="31"/>
        <v>0</v>
      </c>
      <c r="EJ23" s="550">
        <f t="shared" si="31"/>
        <v>0</v>
      </c>
      <c r="EK23" s="550">
        <f t="shared" si="31"/>
        <v>0</v>
      </c>
      <c r="EL23" s="550">
        <f t="shared" si="31"/>
        <v>0</v>
      </c>
      <c r="EM23" s="550">
        <f t="shared" si="31"/>
        <v>0</v>
      </c>
      <c r="EN23" s="550">
        <f t="shared" si="31"/>
        <v>0</v>
      </c>
      <c r="EO23" s="550">
        <f t="shared" si="31"/>
        <v>0</v>
      </c>
      <c r="EP23" s="550">
        <f t="shared" si="31"/>
        <v>0</v>
      </c>
      <c r="EQ23" s="550">
        <f t="shared" si="31"/>
        <v>0</v>
      </c>
      <c r="ER23" s="550">
        <f t="shared" si="31"/>
        <v>0</v>
      </c>
      <c r="ES23" s="550">
        <f t="shared" ref="ES23:EV25" si="32">ES13*IF(ES$5&gt;=$L23,1,ES$5/$L23)</f>
        <v>0</v>
      </c>
      <c r="ET23" s="550">
        <f t="shared" si="32"/>
        <v>0</v>
      </c>
      <c r="EU23" s="550">
        <f t="shared" si="32"/>
        <v>0</v>
      </c>
      <c r="EV23" s="550">
        <f t="shared" si="32"/>
        <v>0</v>
      </c>
      <c r="EW23" s="150" t="s">
        <v>243</v>
      </c>
    </row>
    <row r="24" spans="2:153" x14ac:dyDescent="0.2">
      <c r="B24" s="727" t="s">
        <v>187</v>
      </c>
      <c r="D24" s="722">
        <v>0</v>
      </c>
      <c r="E24" s="723">
        <v>0</v>
      </c>
      <c r="F24" s="550">
        <f t="shared" si="24"/>
        <v>0</v>
      </c>
      <c r="G24" s="723">
        <v>0</v>
      </c>
      <c r="H24" s="550"/>
      <c r="I24" s="550">
        <f t="shared" si="25"/>
        <v>0</v>
      </c>
      <c r="J24" s="550">
        <f t="shared" si="29"/>
        <v>0</v>
      </c>
      <c r="L24" s="725">
        <v>0</v>
      </c>
      <c r="N24" s="726"/>
      <c r="P24" s="703"/>
      <c r="S24" s="144" t="str">
        <f t="shared" si="21"/>
        <v>Carports</v>
      </c>
      <c r="T24" s="550">
        <f>T14*IF(T$5&gt;=$L24,1,T$5/$L24)</f>
        <v>0</v>
      </c>
      <c r="U24" s="550">
        <f t="shared" si="30"/>
        <v>0</v>
      </c>
      <c r="V24" s="550">
        <f t="shared" ref="T24:AI27" si="33">V14*IF(V$5&gt;=$L24,1,V$5/$L24)</f>
        <v>0</v>
      </c>
      <c r="W24" s="550">
        <f t="shared" si="33"/>
        <v>0</v>
      </c>
      <c r="X24" s="550">
        <f t="shared" si="33"/>
        <v>0</v>
      </c>
      <c r="Y24" s="550">
        <f t="shared" si="33"/>
        <v>0</v>
      </c>
      <c r="Z24" s="550">
        <f t="shared" si="33"/>
        <v>0</v>
      </c>
      <c r="AA24" s="550">
        <f t="shared" si="33"/>
        <v>0</v>
      </c>
      <c r="AB24" s="550">
        <f t="shared" si="33"/>
        <v>0</v>
      </c>
      <c r="AC24" s="550">
        <f t="shared" si="33"/>
        <v>0</v>
      </c>
      <c r="AD24" s="550">
        <f t="shared" si="33"/>
        <v>0</v>
      </c>
      <c r="AE24" s="550">
        <f t="shared" si="33"/>
        <v>0</v>
      </c>
      <c r="AF24" s="550">
        <f t="shared" si="33"/>
        <v>0</v>
      </c>
      <c r="AG24" s="550">
        <f t="shared" si="33"/>
        <v>0</v>
      </c>
      <c r="AH24" s="550">
        <f t="shared" si="33"/>
        <v>0</v>
      </c>
      <c r="AI24" s="550">
        <f t="shared" si="33"/>
        <v>0</v>
      </c>
      <c r="AJ24" s="550">
        <f t="shared" si="30"/>
        <v>0</v>
      </c>
      <c r="AK24" s="550">
        <f t="shared" si="30"/>
        <v>0</v>
      </c>
      <c r="AL24" s="550">
        <f t="shared" si="30"/>
        <v>0</v>
      </c>
      <c r="AM24" s="550">
        <f t="shared" si="30"/>
        <v>0</v>
      </c>
      <c r="AN24" s="550">
        <f t="shared" si="30"/>
        <v>0</v>
      </c>
      <c r="AO24" s="550">
        <f t="shared" si="30"/>
        <v>0</v>
      </c>
      <c r="AP24" s="550">
        <f t="shared" si="30"/>
        <v>0</v>
      </c>
      <c r="AQ24" s="550">
        <f t="shared" si="30"/>
        <v>0</v>
      </c>
      <c r="AR24" s="550">
        <f t="shared" si="30"/>
        <v>0</v>
      </c>
      <c r="AS24" s="550">
        <f t="shared" si="30"/>
        <v>0</v>
      </c>
      <c r="AT24" s="550">
        <f t="shared" si="30"/>
        <v>0</v>
      </c>
      <c r="AU24" s="550">
        <f t="shared" si="30"/>
        <v>0</v>
      </c>
      <c r="AV24" s="550">
        <f t="shared" si="30"/>
        <v>0</v>
      </c>
      <c r="AW24" s="550">
        <f t="shared" si="30"/>
        <v>0</v>
      </c>
      <c r="AX24" s="550">
        <f t="shared" si="30"/>
        <v>0</v>
      </c>
      <c r="AY24" s="550">
        <f t="shared" si="30"/>
        <v>0</v>
      </c>
      <c r="AZ24" s="550">
        <f t="shared" si="30"/>
        <v>0</v>
      </c>
      <c r="BA24" s="550">
        <f t="shared" si="30"/>
        <v>0</v>
      </c>
      <c r="BB24" s="550">
        <f t="shared" si="30"/>
        <v>0</v>
      </c>
      <c r="BC24" s="550">
        <f t="shared" si="30"/>
        <v>0</v>
      </c>
      <c r="BD24" s="550">
        <f t="shared" si="30"/>
        <v>0</v>
      </c>
      <c r="BE24" s="550">
        <f t="shared" si="30"/>
        <v>0</v>
      </c>
      <c r="BF24" s="550">
        <f t="shared" si="30"/>
        <v>0</v>
      </c>
      <c r="BG24" s="550">
        <f t="shared" si="30"/>
        <v>0</v>
      </c>
      <c r="BH24" s="550">
        <f t="shared" si="30"/>
        <v>0</v>
      </c>
      <c r="BI24" s="550">
        <f t="shared" si="30"/>
        <v>0</v>
      </c>
      <c r="BJ24" s="550">
        <f t="shared" si="30"/>
        <v>0</v>
      </c>
      <c r="BK24" s="550">
        <f t="shared" si="30"/>
        <v>0</v>
      </c>
      <c r="BL24" s="550">
        <f t="shared" si="30"/>
        <v>0</v>
      </c>
      <c r="BM24" s="550">
        <f t="shared" si="30"/>
        <v>0</v>
      </c>
      <c r="BN24" s="550">
        <f t="shared" si="30"/>
        <v>0</v>
      </c>
      <c r="BO24" s="550">
        <f t="shared" si="30"/>
        <v>0</v>
      </c>
      <c r="BP24" s="550">
        <f t="shared" si="30"/>
        <v>0</v>
      </c>
      <c r="BQ24" s="550">
        <f t="shared" si="30"/>
        <v>0</v>
      </c>
      <c r="BR24" s="550">
        <f t="shared" si="30"/>
        <v>0</v>
      </c>
      <c r="BS24" s="550">
        <f t="shared" si="30"/>
        <v>0</v>
      </c>
      <c r="BT24" s="550">
        <f t="shared" si="30"/>
        <v>0</v>
      </c>
      <c r="BU24" s="550">
        <f t="shared" si="30"/>
        <v>0</v>
      </c>
      <c r="BV24" s="550">
        <f t="shared" si="30"/>
        <v>0</v>
      </c>
      <c r="BW24" s="550">
        <f t="shared" si="30"/>
        <v>0</v>
      </c>
      <c r="BX24" s="550">
        <f t="shared" si="30"/>
        <v>0</v>
      </c>
      <c r="BY24" s="550">
        <f t="shared" si="30"/>
        <v>0</v>
      </c>
      <c r="BZ24" s="550">
        <f t="shared" si="30"/>
        <v>0</v>
      </c>
      <c r="CA24" s="550">
        <f t="shared" si="30"/>
        <v>0</v>
      </c>
      <c r="CB24" s="550">
        <f t="shared" si="30"/>
        <v>0</v>
      </c>
      <c r="CC24" s="550">
        <f t="shared" si="30"/>
        <v>0</v>
      </c>
      <c r="CD24" s="550">
        <f t="shared" si="30"/>
        <v>0</v>
      </c>
      <c r="CE24" s="550">
        <f t="shared" si="30"/>
        <v>0</v>
      </c>
      <c r="CF24" s="550">
        <f t="shared" si="30"/>
        <v>0</v>
      </c>
      <c r="CG24" s="550">
        <f t="shared" si="31"/>
        <v>0</v>
      </c>
      <c r="CH24" s="550">
        <f t="shared" si="31"/>
        <v>0</v>
      </c>
      <c r="CI24" s="550">
        <f t="shared" si="31"/>
        <v>0</v>
      </c>
      <c r="CJ24" s="550">
        <f t="shared" si="31"/>
        <v>0</v>
      </c>
      <c r="CK24" s="550">
        <f t="shared" si="31"/>
        <v>0</v>
      </c>
      <c r="CL24" s="550">
        <f t="shared" si="31"/>
        <v>0</v>
      </c>
      <c r="CM24" s="550">
        <f t="shared" si="31"/>
        <v>0</v>
      </c>
      <c r="CN24" s="550">
        <f t="shared" si="31"/>
        <v>0</v>
      </c>
      <c r="CO24" s="550">
        <f t="shared" si="31"/>
        <v>0</v>
      </c>
      <c r="CP24" s="550">
        <f t="shared" si="31"/>
        <v>0</v>
      </c>
      <c r="CQ24" s="550">
        <f t="shared" si="31"/>
        <v>0</v>
      </c>
      <c r="CR24" s="550">
        <f t="shared" si="31"/>
        <v>0</v>
      </c>
      <c r="CS24" s="550">
        <f t="shared" si="31"/>
        <v>0</v>
      </c>
      <c r="CT24" s="550">
        <f t="shared" si="31"/>
        <v>0</v>
      </c>
      <c r="CU24" s="550">
        <f t="shared" si="31"/>
        <v>0</v>
      </c>
      <c r="CV24" s="550">
        <f t="shared" si="31"/>
        <v>0</v>
      </c>
      <c r="CW24" s="550">
        <f t="shared" si="31"/>
        <v>0</v>
      </c>
      <c r="CX24" s="550">
        <f t="shared" si="31"/>
        <v>0</v>
      </c>
      <c r="CY24" s="550">
        <f t="shared" si="31"/>
        <v>0</v>
      </c>
      <c r="CZ24" s="550">
        <f t="shared" si="31"/>
        <v>0</v>
      </c>
      <c r="DA24" s="550">
        <f t="shared" si="31"/>
        <v>0</v>
      </c>
      <c r="DB24" s="550">
        <f t="shared" si="31"/>
        <v>0</v>
      </c>
      <c r="DC24" s="550">
        <f t="shared" si="31"/>
        <v>0</v>
      </c>
      <c r="DD24" s="550">
        <f t="shared" si="31"/>
        <v>0</v>
      </c>
      <c r="DE24" s="550">
        <f t="shared" si="31"/>
        <v>0</v>
      </c>
      <c r="DF24" s="550">
        <f t="shared" si="31"/>
        <v>0</v>
      </c>
      <c r="DG24" s="550">
        <f t="shared" si="31"/>
        <v>0</v>
      </c>
      <c r="DH24" s="550">
        <f t="shared" si="31"/>
        <v>0</v>
      </c>
      <c r="DI24" s="550">
        <f t="shared" si="31"/>
        <v>0</v>
      </c>
      <c r="DJ24" s="550">
        <f t="shared" si="31"/>
        <v>0</v>
      </c>
      <c r="DK24" s="550">
        <f t="shared" si="31"/>
        <v>0</v>
      </c>
      <c r="DL24" s="550">
        <f t="shared" si="31"/>
        <v>0</v>
      </c>
      <c r="DM24" s="550">
        <f t="shared" si="31"/>
        <v>0</v>
      </c>
      <c r="DN24" s="550">
        <f t="shared" si="31"/>
        <v>0</v>
      </c>
      <c r="DO24" s="550">
        <f t="shared" si="31"/>
        <v>0</v>
      </c>
      <c r="DP24" s="550">
        <f t="shared" si="31"/>
        <v>0</v>
      </c>
      <c r="DQ24" s="550">
        <f t="shared" si="31"/>
        <v>0</v>
      </c>
      <c r="DR24" s="550">
        <f t="shared" si="31"/>
        <v>0</v>
      </c>
      <c r="DS24" s="550">
        <f t="shared" si="31"/>
        <v>0</v>
      </c>
      <c r="DT24" s="550">
        <f t="shared" si="31"/>
        <v>0</v>
      </c>
      <c r="DU24" s="550">
        <f t="shared" si="31"/>
        <v>0</v>
      </c>
      <c r="DV24" s="550">
        <f t="shared" si="31"/>
        <v>0</v>
      </c>
      <c r="DW24" s="550">
        <f t="shared" si="31"/>
        <v>0</v>
      </c>
      <c r="DX24" s="550">
        <f t="shared" si="31"/>
        <v>0</v>
      </c>
      <c r="DY24" s="550">
        <f t="shared" si="31"/>
        <v>0</v>
      </c>
      <c r="DZ24" s="550">
        <f t="shared" si="31"/>
        <v>0</v>
      </c>
      <c r="EA24" s="550">
        <f t="shared" si="31"/>
        <v>0</v>
      </c>
      <c r="EB24" s="550">
        <f t="shared" si="31"/>
        <v>0</v>
      </c>
      <c r="EC24" s="550">
        <f t="shared" si="31"/>
        <v>0</v>
      </c>
      <c r="ED24" s="550">
        <f t="shared" si="31"/>
        <v>0</v>
      </c>
      <c r="EE24" s="550">
        <f t="shared" si="31"/>
        <v>0</v>
      </c>
      <c r="EF24" s="550">
        <f t="shared" si="31"/>
        <v>0</v>
      </c>
      <c r="EG24" s="550">
        <f t="shared" si="31"/>
        <v>0</v>
      </c>
      <c r="EH24" s="550">
        <f t="shared" si="31"/>
        <v>0</v>
      </c>
      <c r="EI24" s="550">
        <f t="shared" si="31"/>
        <v>0</v>
      </c>
      <c r="EJ24" s="550">
        <f t="shared" si="31"/>
        <v>0</v>
      </c>
      <c r="EK24" s="550">
        <f t="shared" si="31"/>
        <v>0</v>
      </c>
      <c r="EL24" s="550">
        <f t="shared" si="31"/>
        <v>0</v>
      </c>
      <c r="EM24" s="550">
        <f t="shared" si="31"/>
        <v>0</v>
      </c>
      <c r="EN24" s="550">
        <f t="shared" si="31"/>
        <v>0</v>
      </c>
      <c r="EO24" s="550">
        <f t="shared" si="31"/>
        <v>0</v>
      </c>
      <c r="EP24" s="550">
        <f t="shared" si="31"/>
        <v>0</v>
      </c>
      <c r="EQ24" s="550">
        <f t="shared" si="31"/>
        <v>0</v>
      </c>
      <c r="ER24" s="550">
        <f t="shared" si="31"/>
        <v>0</v>
      </c>
      <c r="ES24" s="550">
        <f t="shared" si="32"/>
        <v>0</v>
      </c>
      <c r="ET24" s="550">
        <f t="shared" si="32"/>
        <v>0</v>
      </c>
      <c r="EU24" s="550">
        <f t="shared" si="32"/>
        <v>0</v>
      </c>
      <c r="EV24" s="550">
        <f t="shared" si="32"/>
        <v>0</v>
      </c>
      <c r="EW24" s="728" t="s">
        <v>243</v>
      </c>
    </row>
    <row r="25" spans="2:153" x14ac:dyDescent="0.2">
      <c r="B25" s="727" t="s">
        <v>188</v>
      </c>
      <c r="D25" s="722">
        <v>0</v>
      </c>
      <c r="E25" s="723">
        <v>0</v>
      </c>
      <c r="F25" s="550">
        <f t="shared" si="24"/>
        <v>0</v>
      </c>
      <c r="G25" s="723">
        <v>0</v>
      </c>
      <c r="H25" s="550"/>
      <c r="I25" s="550">
        <f t="shared" si="25"/>
        <v>0</v>
      </c>
      <c r="J25" s="550">
        <f t="shared" si="29"/>
        <v>0</v>
      </c>
      <c r="L25" s="725">
        <v>8</v>
      </c>
      <c r="N25" s="726"/>
      <c r="P25" s="703"/>
      <c r="S25" s="144" t="str">
        <f t="shared" si="21"/>
        <v>Pet Fees</v>
      </c>
      <c r="T25" s="550">
        <f t="shared" si="33"/>
        <v>0</v>
      </c>
      <c r="U25" s="550">
        <f t="shared" ref="U25:CF27" si="34">U15*IF(U$5&gt;=$L25,1,U$5/$L25)</f>
        <v>0</v>
      </c>
      <c r="V25" s="550">
        <f t="shared" si="34"/>
        <v>0</v>
      </c>
      <c r="W25" s="550">
        <f t="shared" si="34"/>
        <v>0</v>
      </c>
      <c r="X25" s="550">
        <f t="shared" si="34"/>
        <v>0</v>
      </c>
      <c r="Y25" s="550">
        <f t="shared" si="34"/>
        <v>0</v>
      </c>
      <c r="Z25" s="550">
        <f t="shared" si="34"/>
        <v>0</v>
      </c>
      <c r="AA25" s="550">
        <f t="shared" si="34"/>
        <v>0</v>
      </c>
      <c r="AB25" s="550">
        <f t="shared" si="34"/>
        <v>0</v>
      </c>
      <c r="AC25" s="550">
        <f t="shared" si="34"/>
        <v>0</v>
      </c>
      <c r="AD25" s="550">
        <f t="shared" si="34"/>
        <v>0</v>
      </c>
      <c r="AE25" s="550">
        <f t="shared" si="34"/>
        <v>0</v>
      </c>
      <c r="AF25" s="550">
        <f t="shared" si="34"/>
        <v>0</v>
      </c>
      <c r="AG25" s="550">
        <f t="shared" si="34"/>
        <v>0</v>
      </c>
      <c r="AH25" s="550">
        <f t="shared" si="34"/>
        <v>0</v>
      </c>
      <c r="AI25" s="550">
        <f t="shared" si="34"/>
        <v>0</v>
      </c>
      <c r="AJ25" s="550">
        <f t="shared" si="34"/>
        <v>0</v>
      </c>
      <c r="AK25" s="550">
        <f t="shared" si="34"/>
        <v>0</v>
      </c>
      <c r="AL25" s="550">
        <f t="shared" si="34"/>
        <v>0</v>
      </c>
      <c r="AM25" s="550">
        <f t="shared" si="34"/>
        <v>0</v>
      </c>
      <c r="AN25" s="550">
        <f t="shared" si="34"/>
        <v>0</v>
      </c>
      <c r="AO25" s="550">
        <f t="shared" si="34"/>
        <v>0</v>
      </c>
      <c r="AP25" s="550">
        <f t="shared" si="34"/>
        <v>0</v>
      </c>
      <c r="AQ25" s="550">
        <f t="shared" si="34"/>
        <v>0</v>
      </c>
      <c r="AR25" s="550">
        <f t="shared" si="34"/>
        <v>0</v>
      </c>
      <c r="AS25" s="550">
        <f t="shared" si="34"/>
        <v>0</v>
      </c>
      <c r="AT25" s="550">
        <f t="shared" si="34"/>
        <v>0</v>
      </c>
      <c r="AU25" s="550">
        <f t="shared" si="34"/>
        <v>0</v>
      </c>
      <c r="AV25" s="550">
        <f t="shared" si="34"/>
        <v>0</v>
      </c>
      <c r="AW25" s="550">
        <f t="shared" si="34"/>
        <v>0</v>
      </c>
      <c r="AX25" s="550">
        <f t="shared" si="34"/>
        <v>0</v>
      </c>
      <c r="AY25" s="550">
        <f t="shared" si="34"/>
        <v>0</v>
      </c>
      <c r="AZ25" s="550">
        <f t="shared" si="34"/>
        <v>0</v>
      </c>
      <c r="BA25" s="550">
        <f t="shared" si="34"/>
        <v>0</v>
      </c>
      <c r="BB25" s="550">
        <f t="shared" si="34"/>
        <v>0</v>
      </c>
      <c r="BC25" s="550">
        <f t="shared" si="34"/>
        <v>0</v>
      </c>
      <c r="BD25" s="550">
        <f t="shared" si="34"/>
        <v>0</v>
      </c>
      <c r="BE25" s="550">
        <f t="shared" si="34"/>
        <v>0</v>
      </c>
      <c r="BF25" s="550">
        <f t="shared" si="34"/>
        <v>0</v>
      </c>
      <c r="BG25" s="550">
        <f t="shared" si="34"/>
        <v>0</v>
      </c>
      <c r="BH25" s="550">
        <f t="shared" si="34"/>
        <v>0</v>
      </c>
      <c r="BI25" s="550">
        <f t="shared" si="34"/>
        <v>0</v>
      </c>
      <c r="BJ25" s="550">
        <f t="shared" si="34"/>
        <v>0</v>
      </c>
      <c r="BK25" s="550">
        <f t="shared" si="34"/>
        <v>0</v>
      </c>
      <c r="BL25" s="550">
        <f t="shared" si="34"/>
        <v>0</v>
      </c>
      <c r="BM25" s="550">
        <f t="shared" si="34"/>
        <v>0</v>
      </c>
      <c r="BN25" s="550">
        <f t="shared" si="34"/>
        <v>0</v>
      </c>
      <c r="BO25" s="550">
        <f t="shared" si="34"/>
        <v>0</v>
      </c>
      <c r="BP25" s="550">
        <f t="shared" si="34"/>
        <v>0</v>
      </c>
      <c r="BQ25" s="550">
        <f t="shared" si="34"/>
        <v>0</v>
      </c>
      <c r="BR25" s="550">
        <f t="shared" si="34"/>
        <v>0</v>
      </c>
      <c r="BS25" s="550">
        <f t="shared" si="34"/>
        <v>0</v>
      </c>
      <c r="BT25" s="550">
        <f t="shared" si="34"/>
        <v>0</v>
      </c>
      <c r="BU25" s="550">
        <f t="shared" si="34"/>
        <v>0</v>
      </c>
      <c r="BV25" s="550">
        <f t="shared" si="34"/>
        <v>0</v>
      </c>
      <c r="BW25" s="550">
        <f t="shared" si="34"/>
        <v>0</v>
      </c>
      <c r="BX25" s="550">
        <f t="shared" si="34"/>
        <v>0</v>
      </c>
      <c r="BY25" s="550">
        <f t="shared" si="34"/>
        <v>0</v>
      </c>
      <c r="BZ25" s="550">
        <f t="shared" si="34"/>
        <v>0</v>
      </c>
      <c r="CA25" s="550">
        <f t="shared" si="34"/>
        <v>0</v>
      </c>
      <c r="CB25" s="550">
        <f t="shared" si="34"/>
        <v>0</v>
      </c>
      <c r="CC25" s="550">
        <f t="shared" si="34"/>
        <v>0</v>
      </c>
      <c r="CD25" s="550">
        <f t="shared" si="34"/>
        <v>0</v>
      </c>
      <c r="CE25" s="550">
        <f t="shared" si="34"/>
        <v>0</v>
      </c>
      <c r="CF25" s="550">
        <f t="shared" si="34"/>
        <v>0</v>
      </c>
      <c r="CG25" s="550">
        <f t="shared" si="31"/>
        <v>0</v>
      </c>
      <c r="CH25" s="550">
        <f t="shared" si="31"/>
        <v>0</v>
      </c>
      <c r="CI25" s="550">
        <f t="shared" si="31"/>
        <v>0</v>
      </c>
      <c r="CJ25" s="550">
        <f t="shared" si="31"/>
        <v>0</v>
      </c>
      <c r="CK25" s="550">
        <f t="shared" si="31"/>
        <v>0</v>
      </c>
      <c r="CL25" s="550">
        <f t="shared" si="31"/>
        <v>0</v>
      </c>
      <c r="CM25" s="550">
        <f t="shared" si="31"/>
        <v>0</v>
      </c>
      <c r="CN25" s="550">
        <f t="shared" si="31"/>
        <v>0</v>
      </c>
      <c r="CO25" s="550">
        <f t="shared" si="31"/>
        <v>0</v>
      </c>
      <c r="CP25" s="550">
        <f t="shared" si="31"/>
        <v>0</v>
      </c>
      <c r="CQ25" s="550">
        <f t="shared" si="31"/>
        <v>0</v>
      </c>
      <c r="CR25" s="550">
        <f t="shared" si="31"/>
        <v>0</v>
      </c>
      <c r="CS25" s="550">
        <f t="shared" si="31"/>
        <v>0</v>
      </c>
      <c r="CT25" s="550">
        <f t="shared" si="31"/>
        <v>0</v>
      </c>
      <c r="CU25" s="550">
        <f t="shared" si="31"/>
        <v>0</v>
      </c>
      <c r="CV25" s="550">
        <f t="shared" si="31"/>
        <v>0</v>
      </c>
      <c r="CW25" s="550">
        <f t="shared" si="31"/>
        <v>0</v>
      </c>
      <c r="CX25" s="550">
        <f t="shared" si="31"/>
        <v>0</v>
      </c>
      <c r="CY25" s="550">
        <f t="shared" si="31"/>
        <v>0</v>
      </c>
      <c r="CZ25" s="550">
        <f t="shared" si="31"/>
        <v>0</v>
      </c>
      <c r="DA25" s="550">
        <f t="shared" si="31"/>
        <v>0</v>
      </c>
      <c r="DB25" s="550">
        <f t="shared" si="31"/>
        <v>0</v>
      </c>
      <c r="DC25" s="550">
        <f t="shared" si="31"/>
        <v>0</v>
      </c>
      <c r="DD25" s="550">
        <f t="shared" si="31"/>
        <v>0</v>
      </c>
      <c r="DE25" s="550">
        <f t="shared" si="31"/>
        <v>0</v>
      </c>
      <c r="DF25" s="550">
        <f t="shared" si="31"/>
        <v>0</v>
      </c>
      <c r="DG25" s="550">
        <f t="shared" si="31"/>
        <v>0</v>
      </c>
      <c r="DH25" s="550">
        <f t="shared" si="31"/>
        <v>0</v>
      </c>
      <c r="DI25" s="550">
        <f t="shared" si="31"/>
        <v>0</v>
      </c>
      <c r="DJ25" s="550">
        <f t="shared" si="31"/>
        <v>0</v>
      </c>
      <c r="DK25" s="550">
        <f t="shared" si="31"/>
        <v>0</v>
      </c>
      <c r="DL25" s="550">
        <f t="shared" si="31"/>
        <v>0</v>
      </c>
      <c r="DM25" s="550">
        <f t="shared" si="31"/>
        <v>0</v>
      </c>
      <c r="DN25" s="550">
        <f t="shared" si="31"/>
        <v>0</v>
      </c>
      <c r="DO25" s="550">
        <f t="shared" si="31"/>
        <v>0</v>
      </c>
      <c r="DP25" s="550">
        <f t="shared" si="31"/>
        <v>0</v>
      </c>
      <c r="DQ25" s="550">
        <f t="shared" si="31"/>
        <v>0</v>
      </c>
      <c r="DR25" s="550">
        <f t="shared" si="31"/>
        <v>0</v>
      </c>
      <c r="DS25" s="550">
        <f t="shared" si="31"/>
        <v>0</v>
      </c>
      <c r="DT25" s="550">
        <f t="shared" si="31"/>
        <v>0</v>
      </c>
      <c r="DU25" s="550">
        <f t="shared" si="31"/>
        <v>0</v>
      </c>
      <c r="DV25" s="550">
        <f t="shared" si="31"/>
        <v>0</v>
      </c>
      <c r="DW25" s="550">
        <f t="shared" si="31"/>
        <v>0</v>
      </c>
      <c r="DX25" s="550">
        <f t="shared" si="31"/>
        <v>0</v>
      </c>
      <c r="DY25" s="550">
        <f t="shared" si="31"/>
        <v>0</v>
      </c>
      <c r="DZ25" s="550">
        <f t="shared" si="31"/>
        <v>0</v>
      </c>
      <c r="EA25" s="550">
        <f t="shared" si="31"/>
        <v>0</v>
      </c>
      <c r="EB25" s="550">
        <f t="shared" si="31"/>
        <v>0</v>
      </c>
      <c r="EC25" s="550">
        <f t="shared" si="31"/>
        <v>0</v>
      </c>
      <c r="ED25" s="550">
        <f t="shared" si="31"/>
        <v>0</v>
      </c>
      <c r="EE25" s="550">
        <f t="shared" si="31"/>
        <v>0</v>
      </c>
      <c r="EF25" s="550">
        <f t="shared" si="31"/>
        <v>0</v>
      </c>
      <c r="EG25" s="550">
        <f t="shared" si="31"/>
        <v>0</v>
      </c>
      <c r="EH25" s="550">
        <f t="shared" si="31"/>
        <v>0</v>
      </c>
      <c r="EI25" s="550">
        <f t="shared" si="31"/>
        <v>0</v>
      </c>
      <c r="EJ25" s="550">
        <f t="shared" si="31"/>
        <v>0</v>
      </c>
      <c r="EK25" s="550">
        <f t="shared" si="31"/>
        <v>0</v>
      </c>
      <c r="EL25" s="550">
        <f t="shared" si="31"/>
        <v>0</v>
      </c>
      <c r="EM25" s="550">
        <f t="shared" si="31"/>
        <v>0</v>
      </c>
      <c r="EN25" s="550">
        <f t="shared" si="31"/>
        <v>0</v>
      </c>
      <c r="EO25" s="550">
        <f t="shared" si="31"/>
        <v>0</v>
      </c>
      <c r="EP25" s="550">
        <f t="shared" si="31"/>
        <v>0</v>
      </c>
      <c r="EQ25" s="550">
        <f t="shared" si="31"/>
        <v>0</v>
      </c>
      <c r="ER25" s="550">
        <f t="shared" si="31"/>
        <v>0</v>
      </c>
      <c r="ES25" s="550">
        <f t="shared" si="32"/>
        <v>0</v>
      </c>
      <c r="ET25" s="550">
        <f t="shared" si="32"/>
        <v>0</v>
      </c>
      <c r="EU25" s="550">
        <f t="shared" si="32"/>
        <v>0</v>
      </c>
      <c r="EV25" s="550">
        <f t="shared" si="32"/>
        <v>0</v>
      </c>
      <c r="EW25" s="150" t="s">
        <v>243</v>
      </c>
    </row>
    <row r="26" spans="2:153" x14ac:dyDescent="0.2">
      <c r="B26" s="727" t="s">
        <v>186</v>
      </c>
      <c r="D26" s="722">
        <v>0</v>
      </c>
      <c r="E26" s="723">
        <v>0</v>
      </c>
      <c r="F26" s="550">
        <f t="shared" si="24"/>
        <v>0</v>
      </c>
      <c r="G26" s="723">
        <v>0</v>
      </c>
      <c r="H26" s="550"/>
      <c r="I26" s="550">
        <f t="shared" si="25"/>
        <v>0</v>
      </c>
      <c r="J26" s="550">
        <f t="shared" si="29"/>
        <v>0</v>
      </c>
      <c r="L26" s="725">
        <v>0</v>
      </c>
      <c r="N26" s="726"/>
      <c r="P26" s="703"/>
      <c r="S26" s="144" t="str">
        <f t="shared" si="21"/>
        <v>W/D</v>
      </c>
      <c r="T26" s="550">
        <f t="shared" si="33"/>
        <v>0</v>
      </c>
      <c r="U26" s="550">
        <f t="shared" si="34"/>
        <v>0</v>
      </c>
      <c r="V26" s="550">
        <f t="shared" si="34"/>
        <v>0</v>
      </c>
      <c r="W26" s="550">
        <f t="shared" si="34"/>
        <v>0</v>
      </c>
      <c r="X26" s="550">
        <f t="shared" si="34"/>
        <v>0</v>
      </c>
      <c r="Y26" s="550">
        <f t="shared" si="34"/>
        <v>0</v>
      </c>
      <c r="Z26" s="550">
        <f t="shared" si="34"/>
        <v>0</v>
      </c>
      <c r="AA26" s="550">
        <f t="shared" si="34"/>
        <v>0</v>
      </c>
      <c r="AB26" s="550">
        <f t="shared" si="34"/>
        <v>0</v>
      </c>
      <c r="AC26" s="550">
        <f t="shared" si="34"/>
        <v>0</v>
      </c>
      <c r="AD26" s="550">
        <f t="shared" si="34"/>
        <v>0</v>
      </c>
      <c r="AE26" s="550">
        <f t="shared" si="34"/>
        <v>0</v>
      </c>
      <c r="AF26" s="550">
        <f t="shared" si="34"/>
        <v>0</v>
      </c>
      <c r="AG26" s="550">
        <f t="shared" si="34"/>
        <v>0</v>
      </c>
      <c r="AH26" s="550">
        <f t="shared" si="34"/>
        <v>0</v>
      </c>
      <c r="AI26" s="550">
        <f t="shared" si="34"/>
        <v>0</v>
      </c>
      <c r="AJ26" s="550">
        <f t="shared" si="34"/>
        <v>0</v>
      </c>
      <c r="AK26" s="550">
        <f t="shared" si="34"/>
        <v>0</v>
      </c>
      <c r="AL26" s="550">
        <f t="shared" si="34"/>
        <v>0</v>
      </c>
      <c r="AM26" s="550">
        <f t="shared" si="34"/>
        <v>0</v>
      </c>
      <c r="AN26" s="550">
        <f t="shared" si="34"/>
        <v>0</v>
      </c>
      <c r="AO26" s="550">
        <f t="shared" si="34"/>
        <v>0</v>
      </c>
      <c r="AP26" s="550">
        <f t="shared" si="34"/>
        <v>0</v>
      </c>
      <c r="AQ26" s="550">
        <f t="shared" si="34"/>
        <v>0</v>
      </c>
      <c r="AR26" s="550">
        <f t="shared" si="34"/>
        <v>0</v>
      </c>
      <c r="AS26" s="550">
        <f t="shared" si="34"/>
        <v>0</v>
      </c>
      <c r="AT26" s="550">
        <f t="shared" si="34"/>
        <v>0</v>
      </c>
      <c r="AU26" s="550">
        <f t="shared" si="34"/>
        <v>0</v>
      </c>
      <c r="AV26" s="550">
        <f t="shared" si="34"/>
        <v>0</v>
      </c>
      <c r="AW26" s="550">
        <f t="shared" si="34"/>
        <v>0</v>
      </c>
      <c r="AX26" s="550">
        <f t="shared" si="34"/>
        <v>0</v>
      </c>
      <c r="AY26" s="550">
        <f t="shared" si="34"/>
        <v>0</v>
      </c>
      <c r="AZ26" s="550">
        <f t="shared" si="34"/>
        <v>0</v>
      </c>
      <c r="BA26" s="550">
        <f t="shared" si="34"/>
        <v>0</v>
      </c>
      <c r="BB26" s="550">
        <f t="shared" si="34"/>
        <v>0</v>
      </c>
      <c r="BC26" s="550">
        <f t="shared" si="34"/>
        <v>0</v>
      </c>
      <c r="BD26" s="550">
        <f t="shared" si="34"/>
        <v>0</v>
      </c>
      <c r="BE26" s="550">
        <f t="shared" si="34"/>
        <v>0</v>
      </c>
      <c r="BF26" s="550">
        <f t="shared" si="34"/>
        <v>0</v>
      </c>
      <c r="BG26" s="550">
        <f t="shared" si="34"/>
        <v>0</v>
      </c>
      <c r="BH26" s="550">
        <f t="shared" si="34"/>
        <v>0</v>
      </c>
      <c r="BI26" s="550">
        <f t="shared" si="34"/>
        <v>0</v>
      </c>
      <c r="BJ26" s="550">
        <f t="shared" si="34"/>
        <v>0</v>
      </c>
      <c r="BK26" s="550">
        <f t="shared" si="34"/>
        <v>0</v>
      </c>
      <c r="BL26" s="550">
        <f t="shared" si="34"/>
        <v>0</v>
      </c>
      <c r="BM26" s="550">
        <f t="shared" si="34"/>
        <v>0</v>
      </c>
      <c r="BN26" s="550">
        <f t="shared" si="34"/>
        <v>0</v>
      </c>
      <c r="BO26" s="550">
        <f t="shared" si="34"/>
        <v>0</v>
      </c>
      <c r="BP26" s="550">
        <f t="shared" si="34"/>
        <v>0</v>
      </c>
      <c r="BQ26" s="550">
        <f t="shared" si="34"/>
        <v>0</v>
      </c>
      <c r="BR26" s="550">
        <f t="shared" si="34"/>
        <v>0</v>
      </c>
      <c r="BS26" s="550">
        <f t="shared" si="34"/>
        <v>0</v>
      </c>
      <c r="BT26" s="550">
        <f t="shared" si="34"/>
        <v>0</v>
      </c>
      <c r="BU26" s="550">
        <f t="shared" si="34"/>
        <v>0</v>
      </c>
      <c r="BV26" s="550">
        <f t="shared" si="34"/>
        <v>0</v>
      </c>
      <c r="BW26" s="550">
        <f t="shared" si="34"/>
        <v>0</v>
      </c>
      <c r="BX26" s="550">
        <f t="shared" si="34"/>
        <v>0</v>
      </c>
      <c r="BY26" s="550">
        <f t="shared" si="34"/>
        <v>0</v>
      </c>
      <c r="BZ26" s="550">
        <f t="shared" si="34"/>
        <v>0</v>
      </c>
      <c r="CA26" s="550">
        <f t="shared" si="34"/>
        <v>0</v>
      </c>
      <c r="CB26" s="550">
        <f t="shared" si="34"/>
        <v>0</v>
      </c>
      <c r="CC26" s="550">
        <f t="shared" si="34"/>
        <v>0</v>
      </c>
      <c r="CD26" s="550">
        <f t="shared" si="34"/>
        <v>0</v>
      </c>
      <c r="CE26" s="550">
        <f t="shared" si="34"/>
        <v>0</v>
      </c>
      <c r="CF26" s="550">
        <f t="shared" si="34"/>
        <v>0</v>
      </c>
      <c r="CG26" s="550">
        <f t="shared" si="31"/>
        <v>0</v>
      </c>
      <c r="CH26" s="550">
        <f t="shared" si="31"/>
        <v>0</v>
      </c>
      <c r="CI26" s="550">
        <f t="shared" si="31"/>
        <v>0</v>
      </c>
      <c r="CJ26" s="550">
        <f t="shared" si="31"/>
        <v>0</v>
      </c>
      <c r="CK26" s="550">
        <f t="shared" si="31"/>
        <v>0</v>
      </c>
      <c r="CL26" s="550">
        <f t="shared" si="31"/>
        <v>0</v>
      </c>
      <c r="CM26" s="550">
        <f t="shared" si="31"/>
        <v>0</v>
      </c>
      <c r="CN26" s="550">
        <f t="shared" si="31"/>
        <v>0</v>
      </c>
      <c r="CO26" s="550">
        <f t="shared" si="31"/>
        <v>0</v>
      </c>
      <c r="CP26" s="550">
        <f t="shared" si="31"/>
        <v>0</v>
      </c>
      <c r="CQ26" s="550">
        <f t="shared" si="31"/>
        <v>0</v>
      </c>
      <c r="CR26" s="550">
        <f t="shared" si="31"/>
        <v>0</v>
      </c>
      <c r="CS26" s="550">
        <f t="shared" si="31"/>
        <v>0</v>
      </c>
      <c r="CT26" s="550">
        <f t="shared" si="31"/>
        <v>0</v>
      </c>
      <c r="CU26" s="550">
        <f t="shared" si="31"/>
        <v>0</v>
      </c>
      <c r="CV26" s="550">
        <f t="shared" si="31"/>
        <v>0</v>
      </c>
      <c r="CW26" s="550">
        <f t="shared" si="31"/>
        <v>0</v>
      </c>
      <c r="CX26" s="550">
        <f t="shared" si="31"/>
        <v>0</v>
      </c>
      <c r="CY26" s="550">
        <f t="shared" si="31"/>
        <v>0</v>
      </c>
      <c r="CZ26" s="550">
        <f t="shared" si="31"/>
        <v>0</v>
      </c>
      <c r="DA26" s="550">
        <f t="shared" si="31"/>
        <v>0</v>
      </c>
      <c r="DB26" s="550">
        <f t="shared" si="31"/>
        <v>0</v>
      </c>
      <c r="DC26" s="550">
        <f t="shared" si="31"/>
        <v>0</v>
      </c>
      <c r="DD26" s="550">
        <f t="shared" si="31"/>
        <v>0</v>
      </c>
      <c r="DE26" s="550">
        <f t="shared" si="31"/>
        <v>0</v>
      </c>
      <c r="DF26" s="550">
        <f t="shared" si="31"/>
        <v>0</v>
      </c>
      <c r="DG26" s="550">
        <f t="shared" si="31"/>
        <v>0</v>
      </c>
      <c r="DH26" s="550">
        <f t="shared" si="31"/>
        <v>0</v>
      </c>
      <c r="DI26" s="550">
        <f t="shared" si="31"/>
        <v>0</v>
      </c>
      <c r="DJ26" s="550">
        <f t="shared" si="31"/>
        <v>0</v>
      </c>
      <c r="DK26" s="550">
        <f t="shared" si="31"/>
        <v>0</v>
      </c>
      <c r="DL26" s="550">
        <f t="shared" si="31"/>
        <v>0</v>
      </c>
      <c r="DM26" s="550">
        <f t="shared" si="31"/>
        <v>0</v>
      </c>
      <c r="DN26" s="550">
        <f t="shared" si="31"/>
        <v>0</v>
      </c>
      <c r="DO26" s="550">
        <f t="shared" si="31"/>
        <v>0</v>
      </c>
      <c r="DP26" s="550">
        <f t="shared" si="31"/>
        <v>0</v>
      </c>
      <c r="DQ26" s="550">
        <f t="shared" si="31"/>
        <v>0</v>
      </c>
      <c r="DR26" s="550">
        <f t="shared" si="31"/>
        <v>0</v>
      </c>
      <c r="DS26" s="550">
        <f t="shared" si="31"/>
        <v>0</v>
      </c>
      <c r="DT26" s="550">
        <f t="shared" si="31"/>
        <v>0</v>
      </c>
      <c r="DU26" s="550">
        <f t="shared" si="31"/>
        <v>0</v>
      </c>
      <c r="DV26" s="550">
        <f t="shared" si="31"/>
        <v>0</v>
      </c>
      <c r="DW26" s="550">
        <f t="shared" si="31"/>
        <v>0</v>
      </c>
      <c r="DX26" s="550">
        <f t="shared" si="31"/>
        <v>0</v>
      </c>
      <c r="DY26" s="550">
        <f t="shared" si="31"/>
        <v>0</v>
      </c>
      <c r="DZ26" s="550">
        <f t="shared" si="31"/>
        <v>0</v>
      </c>
      <c r="EA26" s="550">
        <f t="shared" si="31"/>
        <v>0</v>
      </c>
      <c r="EB26" s="550">
        <f t="shared" si="31"/>
        <v>0</v>
      </c>
      <c r="EC26" s="550">
        <f t="shared" si="31"/>
        <v>0</v>
      </c>
      <c r="ED26" s="550">
        <f t="shared" si="31"/>
        <v>0</v>
      </c>
      <c r="EE26" s="550">
        <f t="shared" si="31"/>
        <v>0</v>
      </c>
      <c r="EF26" s="550">
        <f t="shared" si="31"/>
        <v>0</v>
      </c>
      <c r="EG26" s="550">
        <f t="shared" si="31"/>
        <v>0</v>
      </c>
      <c r="EH26" s="550">
        <f t="shared" si="31"/>
        <v>0</v>
      </c>
      <c r="EI26" s="550">
        <f t="shared" si="31"/>
        <v>0</v>
      </c>
      <c r="EJ26" s="550">
        <f t="shared" si="31"/>
        <v>0</v>
      </c>
      <c r="EK26" s="550">
        <f t="shared" si="31"/>
        <v>0</v>
      </c>
      <c r="EL26" s="550">
        <f t="shared" si="31"/>
        <v>0</v>
      </c>
      <c r="EM26" s="550">
        <f t="shared" si="31"/>
        <v>0</v>
      </c>
      <c r="EN26" s="550">
        <f t="shared" si="31"/>
        <v>0</v>
      </c>
      <c r="EO26" s="550">
        <f t="shared" si="31"/>
        <v>0</v>
      </c>
      <c r="EP26" s="550">
        <f t="shared" si="31"/>
        <v>0</v>
      </c>
      <c r="EQ26" s="550">
        <f t="shared" si="31"/>
        <v>0</v>
      </c>
      <c r="ER26" s="550">
        <f t="shared" ref="ER26:EV27" si="35">ER16*IF(ER$5&gt;=$L26,1,ER$5/$L26)</f>
        <v>0</v>
      </c>
      <c r="ES26" s="550">
        <f t="shared" si="35"/>
        <v>0</v>
      </c>
      <c r="ET26" s="550">
        <f t="shared" si="35"/>
        <v>0</v>
      </c>
      <c r="EU26" s="550">
        <f t="shared" si="35"/>
        <v>0</v>
      </c>
      <c r="EV26" s="550">
        <f t="shared" si="35"/>
        <v>0</v>
      </c>
      <c r="EW26" s="150" t="s">
        <v>243</v>
      </c>
    </row>
    <row r="27" spans="2:153" x14ac:dyDescent="0.2">
      <c r="B27" s="727" t="s">
        <v>417</v>
      </c>
      <c r="D27" s="722">
        <v>0</v>
      </c>
      <c r="E27" s="723">
        <v>0</v>
      </c>
      <c r="F27" s="550">
        <f t="shared" si="24"/>
        <v>0</v>
      </c>
      <c r="G27" s="723">
        <v>0</v>
      </c>
      <c r="H27" s="550"/>
      <c r="I27" s="550">
        <f t="shared" si="25"/>
        <v>0</v>
      </c>
      <c r="J27" s="550">
        <f t="shared" si="29"/>
        <v>0</v>
      </c>
      <c r="L27" s="725">
        <v>0</v>
      </c>
      <c r="N27" s="729"/>
      <c r="P27" s="703"/>
      <c r="S27" s="144" t="str">
        <f t="shared" si="21"/>
        <v>Furnished Units</v>
      </c>
      <c r="T27" s="550">
        <f t="shared" si="33"/>
        <v>0</v>
      </c>
      <c r="U27" s="550">
        <f t="shared" si="34"/>
        <v>0</v>
      </c>
      <c r="V27" s="550">
        <f>V17*IF(V$5&gt;=$L27,1,V$5/$L27)</f>
        <v>0</v>
      </c>
      <c r="W27" s="550">
        <f t="shared" si="34"/>
        <v>0</v>
      </c>
      <c r="X27" s="550">
        <f t="shared" si="34"/>
        <v>0</v>
      </c>
      <c r="Y27" s="550">
        <f t="shared" si="34"/>
        <v>0</v>
      </c>
      <c r="Z27" s="550">
        <f t="shared" si="34"/>
        <v>0</v>
      </c>
      <c r="AA27" s="550">
        <f t="shared" si="34"/>
        <v>0</v>
      </c>
      <c r="AB27" s="550">
        <f t="shared" si="34"/>
        <v>0</v>
      </c>
      <c r="AC27" s="550">
        <f t="shared" si="34"/>
        <v>0</v>
      </c>
      <c r="AD27" s="550">
        <f t="shared" si="34"/>
        <v>0</v>
      </c>
      <c r="AE27" s="550">
        <f t="shared" si="34"/>
        <v>0</v>
      </c>
      <c r="AF27" s="550">
        <f t="shared" si="34"/>
        <v>0</v>
      </c>
      <c r="AG27" s="550">
        <f t="shared" si="34"/>
        <v>0</v>
      </c>
      <c r="AH27" s="550">
        <f t="shared" si="34"/>
        <v>0</v>
      </c>
      <c r="AI27" s="550">
        <f t="shared" si="34"/>
        <v>0</v>
      </c>
      <c r="AJ27" s="550">
        <f t="shared" si="34"/>
        <v>0</v>
      </c>
      <c r="AK27" s="550">
        <f t="shared" si="34"/>
        <v>0</v>
      </c>
      <c r="AL27" s="550">
        <f t="shared" si="34"/>
        <v>0</v>
      </c>
      <c r="AM27" s="550">
        <f t="shared" si="34"/>
        <v>0</v>
      </c>
      <c r="AN27" s="550">
        <f t="shared" si="34"/>
        <v>0</v>
      </c>
      <c r="AO27" s="550">
        <f t="shared" si="34"/>
        <v>0</v>
      </c>
      <c r="AP27" s="550">
        <f t="shared" si="34"/>
        <v>0</v>
      </c>
      <c r="AQ27" s="550">
        <f t="shared" si="34"/>
        <v>0</v>
      </c>
      <c r="AR27" s="550">
        <f t="shared" si="34"/>
        <v>0</v>
      </c>
      <c r="AS27" s="550">
        <f t="shared" si="34"/>
        <v>0</v>
      </c>
      <c r="AT27" s="550">
        <f t="shared" si="34"/>
        <v>0</v>
      </c>
      <c r="AU27" s="550">
        <f t="shared" si="34"/>
        <v>0</v>
      </c>
      <c r="AV27" s="550">
        <f t="shared" si="34"/>
        <v>0</v>
      </c>
      <c r="AW27" s="550">
        <f t="shared" si="34"/>
        <v>0</v>
      </c>
      <c r="AX27" s="550">
        <f t="shared" si="34"/>
        <v>0</v>
      </c>
      <c r="AY27" s="550">
        <f t="shared" si="34"/>
        <v>0</v>
      </c>
      <c r="AZ27" s="550">
        <f t="shared" si="34"/>
        <v>0</v>
      </c>
      <c r="BA27" s="550">
        <f t="shared" si="34"/>
        <v>0</v>
      </c>
      <c r="BB27" s="550">
        <f t="shared" si="34"/>
        <v>0</v>
      </c>
      <c r="BC27" s="550">
        <f t="shared" si="34"/>
        <v>0</v>
      </c>
      <c r="BD27" s="550">
        <f t="shared" si="34"/>
        <v>0</v>
      </c>
      <c r="BE27" s="550">
        <f t="shared" si="34"/>
        <v>0</v>
      </c>
      <c r="BF27" s="550">
        <f t="shared" si="34"/>
        <v>0</v>
      </c>
      <c r="BG27" s="550">
        <f t="shared" si="34"/>
        <v>0</v>
      </c>
      <c r="BH27" s="550">
        <f t="shared" si="34"/>
        <v>0</v>
      </c>
      <c r="BI27" s="550">
        <f t="shared" si="34"/>
        <v>0</v>
      </c>
      <c r="BJ27" s="550">
        <f t="shared" si="34"/>
        <v>0</v>
      </c>
      <c r="BK27" s="550">
        <f t="shared" si="34"/>
        <v>0</v>
      </c>
      <c r="BL27" s="550">
        <f t="shared" si="34"/>
        <v>0</v>
      </c>
      <c r="BM27" s="550">
        <f t="shared" si="34"/>
        <v>0</v>
      </c>
      <c r="BN27" s="550">
        <f t="shared" si="34"/>
        <v>0</v>
      </c>
      <c r="BO27" s="550">
        <f t="shared" si="34"/>
        <v>0</v>
      </c>
      <c r="BP27" s="550">
        <f t="shared" si="34"/>
        <v>0</v>
      </c>
      <c r="BQ27" s="550">
        <f t="shared" si="34"/>
        <v>0</v>
      </c>
      <c r="BR27" s="550">
        <f t="shared" si="34"/>
        <v>0</v>
      </c>
      <c r="BS27" s="550">
        <f t="shared" si="34"/>
        <v>0</v>
      </c>
      <c r="BT27" s="550">
        <f t="shared" si="34"/>
        <v>0</v>
      </c>
      <c r="BU27" s="550">
        <f t="shared" si="34"/>
        <v>0</v>
      </c>
      <c r="BV27" s="550">
        <f t="shared" si="34"/>
        <v>0</v>
      </c>
      <c r="BW27" s="550">
        <f t="shared" si="34"/>
        <v>0</v>
      </c>
      <c r="BX27" s="550">
        <f t="shared" si="34"/>
        <v>0</v>
      </c>
      <c r="BY27" s="550">
        <f t="shared" si="34"/>
        <v>0</v>
      </c>
      <c r="BZ27" s="550">
        <f t="shared" si="34"/>
        <v>0</v>
      </c>
      <c r="CA27" s="550">
        <f t="shared" si="34"/>
        <v>0</v>
      </c>
      <c r="CB27" s="550">
        <f t="shared" si="34"/>
        <v>0</v>
      </c>
      <c r="CC27" s="550">
        <f t="shared" si="34"/>
        <v>0</v>
      </c>
      <c r="CD27" s="550">
        <f t="shared" si="34"/>
        <v>0</v>
      </c>
      <c r="CE27" s="550">
        <f t="shared" si="34"/>
        <v>0</v>
      </c>
      <c r="CF27" s="550">
        <f t="shared" si="34"/>
        <v>0</v>
      </c>
      <c r="CG27" s="550">
        <f t="shared" ref="CG27:ER27" si="36">CG17*IF(CG$5&gt;=$L27,1,CG$5/$L27)</f>
        <v>0</v>
      </c>
      <c r="CH27" s="550">
        <f t="shared" si="36"/>
        <v>0</v>
      </c>
      <c r="CI27" s="550">
        <f t="shared" si="36"/>
        <v>0</v>
      </c>
      <c r="CJ27" s="550">
        <f t="shared" si="36"/>
        <v>0</v>
      </c>
      <c r="CK27" s="550">
        <f t="shared" si="36"/>
        <v>0</v>
      </c>
      <c r="CL27" s="550">
        <f t="shared" si="36"/>
        <v>0</v>
      </c>
      <c r="CM27" s="550">
        <f t="shared" si="36"/>
        <v>0</v>
      </c>
      <c r="CN27" s="550">
        <f t="shared" si="36"/>
        <v>0</v>
      </c>
      <c r="CO27" s="550">
        <f t="shared" si="36"/>
        <v>0</v>
      </c>
      <c r="CP27" s="550">
        <f t="shared" si="36"/>
        <v>0</v>
      </c>
      <c r="CQ27" s="550">
        <f t="shared" si="36"/>
        <v>0</v>
      </c>
      <c r="CR27" s="550">
        <f t="shared" si="36"/>
        <v>0</v>
      </c>
      <c r="CS27" s="550">
        <f t="shared" si="36"/>
        <v>0</v>
      </c>
      <c r="CT27" s="550">
        <f t="shared" si="36"/>
        <v>0</v>
      </c>
      <c r="CU27" s="550">
        <f t="shared" si="36"/>
        <v>0</v>
      </c>
      <c r="CV27" s="550">
        <f t="shared" si="36"/>
        <v>0</v>
      </c>
      <c r="CW27" s="550">
        <f t="shared" si="36"/>
        <v>0</v>
      </c>
      <c r="CX27" s="550">
        <f t="shared" si="36"/>
        <v>0</v>
      </c>
      <c r="CY27" s="550">
        <f t="shared" si="36"/>
        <v>0</v>
      </c>
      <c r="CZ27" s="550">
        <f t="shared" si="36"/>
        <v>0</v>
      </c>
      <c r="DA27" s="550">
        <f t="shared" si="36"/>
        <v>0</v>
      </c>
      <c r="DB27" s="550">
        <f t="shared" si="36"/>
        <v>0</v>
      </c>
      <c r="DC27" s="550">
        <f t="shared" si="36"/>
        <v>0</v>
      </c>
      <c r="DD27" s="550">
        <f t="shared" si="36"/>
        <v>0</v>
      </c>
      <c r="DE27" s="550">
        <f t="shared" si="36"/>
        <v>0</v>
      </c>
      <c r="DF27" s="550">
        <f t="shared" si="36"/>
        <v>0</v>
      </c>
      <c r="DG27" s="550">
        <f t="shared" si="36"/>
        <v>0</v>
      </c>
      <c r="DH27" s="550">
        <f t="shared" si="36"/>
        <v>0</v>
      </c>
      <c r="DI27" s="550">
        <f t="shared" si="36"/>
        <v>0</v>
      </c>
      <c r="DJ27" s="550">
        <f t="shared" si="36"/>
        <v>0</v>
      </c>
      <c r="DK27" s="550">
        <f t="shared" si="36"/>
        <v>0</v>
      </c>
      <c r="DL27" s="550">
        <f t="shared" si="36"/>
        <v>0</v>
      </c>
      <c r="DM27" s="550">
        <f t="shared" si="36"/>
        <v>0</v>
      </c>
      <c r="DN27" s="550">
        <f t="shared" si="36"/>
        <v>0</v>
      </c>
      <c r="DO27" s="550">
        <f t="shared" si="36"/>
        <v>0</v>
      </c>
      <c r="DP27" s="550">
        <f t="shared" si="36"/>
        <v>0</v>
      </c>
      <c r="DQ27" s="550">
        <f t="shared" si="36"/>
        <v>0</v>
      </c>
      <c r="DR27" s="550">
        <f t="shared" si="36"/>
        <v>0</v>
      </c>
      <c r="DS27" s="550">
        <f t="shared" si="36"/>
        <v>0</v>
      </c>
      <c r="DT27" s="550">
        <f t="shared" si="36"/>
        <v>0</v>
      </c>
      <c r="DU27" s="550">
        <f t="shared" si="36"/>
        <v>0</v>
      </c>
      <c r="DV27" s="550">
        <f t="shared" si="36"/>
        <v>0</v>
      </c>
      <c r="DW27" s="550">
        <f t="shared" si="36"/>
        <v>0</v>
      </c>
      <c r="DX27" s="550">
        <f t="shared" si="36"/>
        <v>0</v>
      </c>
      <c r="DY27" s="550">
        <f t="shared" si="36"/>
        <v>0</v>
      </c>
      <c r="DZ27" s="550">
        <f t="shared" si="36"/>
        <v>0</v>
      </c>
      <c r="EA27" s="550">
        <f t="shared" si="36"/>
        <v>0</v>
      </c>
      <c r="EB27" s="550">
        <f t="shared" si="36"/>
        <v>0</v>
      </c>
      <c r="EC27" s="550">
        <f t="shared" si="36"/>
        <v>0</v>
      </c>
      <c r="ED27" s="550">
        <f t="shared" si="36"/>
        <v>0</v>
      </c>
      <c r="EE27" s="550">
        <f t="shared" si="36"/>
        <v>0</v>
      </c>
      <c r="EF27" s="550">
        <f t="shared" si="36"/>
        <v>0</v>
      </c>
      <c r="EG27" s="550">
        <f t="shared" si="36"/>
        <v>0</v>
      </c>
      <c r="EH27" s="550">
        <f t="shared" si="36"/>
        <v>0</v>
      </c>
      <c r="EI27" s="550">
        <f t="shared" si="36"/>
        <v>0</v>
      </c>
      <c r="EJ27" s="550">
        <f t="shared" si="36"/>
        <v>0</v>
      </c>
      <c r="EK27" s="550">
        <f t="shared" si="36"/>
        <v>0</v>
      </c>
      <c r="EL27" s="550">
        <f t="shared" si="36"/>
        <v>0</v>
      </c>
      <c r="EM27" s="550">
        <f t="shared" si="36"/>
        <v>0</v>
      </c>
      <c r="EN27" s="550">
        <f t="shared" si="36"/>
        <v>0</v>
      </c>
      <c r="EO27" s="550">
        <f t="shared" si="36"/>
        <v>0</v>
      </c>
      <c r="EP27" s="550">
        <f t="shared" si="36"/>
        <v>0</v>
      </c>
      <c r="EQ27" s="550">
        <f t="shared" si="36"/>
        <v>0</v>
      </c>
      <c r="ER27" s="550">
        <f t="shared" si="36"/>
        <v>0</v>
      </c>
      <c r="ES27" s="550">
        <f t="shared" si="35"/>
        <v>0</v>
      </c>
      <c r="ET27" s="550">
        <f t="shared" si="35"/>
        <v>0</v>
      </c>
      <c r="EU27" s="550">
        <f t="shared" si="35"/>
        <v>0</v>
      </c>
      <c r="EV27" s="550">
        <f t="shared" si="35"/>
        <v>0</v>
      </c>
      <c r="EW27" s="150" t="s">
        <v>243</v>
      </c>
    </row>
    <row r="28" spans="2:153" ht="15" thickBot="1" x14ac:dyDescent="0.25">
      <c r="B28" s="707" t="s">
        <v>20</v>
      </c>
      <c r="C28" s="708"/>
      <c r="D28" s="708">
        <f>MAX(D21:D27)</f>
        <v>0</v>
      </c>
      <c r="E28" s="709">
        <f>IFERROR(F28/D28,0)</f>
        <v>0</v>
      </c>
      <c r="F28" s="709">
        <f>SUM(F21:F27)</f>
        <v>0</v>
      </c>
      <c r="G28" s="709">
        <f>IFERROR(I28/units,0)</f>
        <v>102.44031420765025</v>
      </c>
      <c r="H28" s="709"/>
      <c r="I28" s="709">
        <f>IFERROR(J28/12,0)</f>
        <v>24995.436666666661</v>
      </c>
      <c r="J28" s="709">
        <f>SUM(J21:J27)</f>
        <v>299945.23999999993</v>
      </c>
      <c r="K28" s="708"/>
      <c r="L28" s="730">
        <f>MAX(L21:L27)</f>
        <v>11</v>
      </c>
      <c r="M28" s="731"/>
      <c r="N28" s="732"/>
      <c r="O28" s="731"/>
      <c r="P28" s="733"/>
      <c r="S28" s="145" t="s">
        <v>20</v>
      </c>
      <c r="T28" s="734">
        <f>SUM(T21:T27)</f>
        <v>24995.436666666661</v>
      </c>
      <c r="U28" s="734">
        <f>SUM(U21:U27)</f>
        <v>25995.254133333328</v>
      </c>
      <c r="V28" s="734">
        <f>SUM(V21:V27)</f>
        <v>25995.254133333328</v>
      </c>
      <c r="W28" s="734">
        <f t="shared" ref="W28:CH28" si="37">SUM(W21:W27)</f>
        <v>25995.254133333328</v>
      </c>
      <c r="X28" s="734">
        <f t="shared" si="37"/>
        <v>25995.254133333328</v>
      </c>
      <c r="Y28" s="734">
        <f>SUM(Y21:Y27)</f>
        <v>25995.254133333328</v>
      </c>
      <c r="Z28" s="734">
        <f t="shared" si="37"/>
        <v>25995.254133333328</v>
      </c>
      <c r="AA28" s="734">
        <f t="shared" si="37"/>
        <v>25995.254133333328</v>
      </c>
      <c r="AB28" s="734">
        <f t="shared" si="37"/>
        <v>25995.254133333328</v>
      </c>
      <c r="AC28" s="734">
        <f t="shared" si="37"/>
        <v>25995.254133333328</v>
      </c>
      <c r="AD28" s="734">
        <f t="shared" si="37"/>
        <v>25995.254133333328</v>
      </c>
      <c r="AE28" s="734">
        <f t="shared" si="37"/>
        <v>25995.254133333328</v>
      </c>
      <c r="AF28" s="734">
        <f t="shared" si="37"/>
        <v>25995.254133333328</v>
      </c>
      <c r="AG28" s="734">
        <f t="shared" si="37"/>
        <v>27035.064298666661</v>
      </c>
      <c r="AH28" s="734">
        <f t="shared" si="37"/>
        <v>27035.064298666661</v>
      </c>
      <c r="AI28" s="734">
        <f t="shared" si="37"/>
        <v>27035.064298666661</v>
      </c>
      <c r="AJ28" s="734">
        <f t="shared" si="37"/>
        <v>27035.064298666661</v>
      </c>
      <c r="AK28" s="734">
        <f t="shared" si="37"/>
        <v>27035.064298666661</v>
      </c>
      <c r="AL28" s="734">
        <f t="shared" si="37"/>
        <v>27035.064298666661</v>
      </c>
      <c r="AM28" s="734">
        <f t="shared" si="37"/>
        <v>27035.064298666661</v>
      </c>
      <c r="AN28" s="734">
        <f t="shared" si="37"/>
        <v>27035.064298666661</v>
      </c>
      <c r="AO28" s="734">
        <f t="shared" si="37"/>
        <v>27035.064298666661</v>
      </c>
      <c r="AP28" s="734">
        <f t="shared" si="37"/>
        <v>27035.064298666661</v>
      </c>
      <c r="AQ28" s="734">
        <f t="shared" si="37"/>
        <v>27035.064298666661</v>
      </c>
      <c r="AR28" s="734">
        <f t="shared" si="37"/>
        <v>27035.064298666661</v>
      </c>
      <c r="AS28" s="734">
        <f t="shared" si="37"/>
        <v>27981.291549119993</v>
      </c>
      <c r="AT28" s="734">
        <f t="shared" si="37"/>
        <v>27981.291549119993</v>
      </c>
      <c r="AU28" s="734">
        <f t="shared" si="37"/>
        <v>27981.291549119993</v>
      </c>
      <c r="AV28" s="734">
        <f t="shared" si="37"/>
        <v>27981.291549119993</v>
      </c>
      <c r="AW28" s="734">
        <f t="shared" si="37"/>
        <v>27981.291549119993</v>
      </c>
      <c r="AX28" s="734">
        <f t="shared" si="37"/>
        <v>27981.291549119993</v>
      </c>
      <c r="AY28" s="734">
        <f t="shared" si="37"/>
        <v>27981.291549119993</v>
      </c>
      <c r="AZ28" s="734">
        <f t="shared" si="37"/>
        <v>27981.291549119993</v>
      </c>
      <c r="BA28" s="734">
        <f t="shared" si="37"/>
        <v>27981.291549119993</v>
      </c>
      <c r="BB28" s="734">
        <f t="shared" si="37"/>
        <v>27981.291549119993</v>
      </c>
      <c r="BC28" s="734">
        <f t="shared" si="37"/>
        <v>27981.291549119993</v>
      </c>
      <c r="BD28" s="734">
        <f t="shared" si="37"/>
        <v>27981.291549119993</v>
      </c>
      <c r="BE28" s="734">
        <f t="shared" si="37"/>
        <v>28960.636753339189</v>
      </c>
      <c r="BF28" s="734">
        <f t="shared" si="37"/>
        <v>28960.636753339189</v>
      </c>
      <c r="BG28" s="734">
        <f t="shared" si="37"/>
        <v>28960.636753339189</v>
      </c>
      <c r="BH28" s="734">
        <f t="shared" si="37"/>
        <v>28960.636753339189</v>
      </c>
      <c r="BI28" s="734">
        <f t="shared" si="37"/>
        <v>28960.636753339189</v>
      </c>
      <c r="BJ28" s="734">
        <f t="shared" si="37"/>
        <v>28960.636753339189</v>
      </c>
      <c r="BK28" s="734">
        <f t="shared" si="37"/>
        <v>28960.636753339189</v>
      </c>
      <c r="BL28" s="734">
        <f t="shared" si="37"/>
        <v>28960.636753339189</v>
      </c>
      <c r="BM28" s="734">
        <f t="shared" si="37"/>
        <v>28960.636753339189</v>
      </c>
      <c r="BN28" s="734">
        <f t="shared" si="37"/>
        <v>28960.636753339189</v>
      </c>
      <c r="BO28" s="734">
        <f t="shared" si="37"/>
        <v>28960.636753339189</v>
      </c>
      <c r="BP28" s="734">
        <f t="shared" si="37"/>
        <v>28960.636753339189</v>
      </c>
      <c r="BQ28" s="734">
        <f t="shared" si="37"/>
        <v>29974.259039706059</v>
      </c>
      <c r="BR28" s="734">
        <f t="shared" si="37"/>
        <v>29974.259039706059</v>
      </c>
      <c r="BS28" s="734">
        <f t="shared" si="37"/>
        <v>29974.259039706059</v>
      </c>
      <c r="BT28" s="734">
        <f t="shared" si="37"/>
        <v>29974.259039706059</v>
      </c>
      <c r="BU28" s="734">
        <f t="shared" si="37"/>
        <v>29974.259039706059</v>
      </c>
      <c r="BV28" s="734">
        <f t="shared" si="37"/>
        <v>29974.259039706059</v>
      </c>
      <c r="BW28" s="734">
        <f t="shared" si="37"/>
        <v>29974.259039706059</v>
      </c>
      <c r="BX28" s="734">
        <f t="shared" si="37"/>
        <v>29974.259039706059</v>
      </c>
      <c r="BY28" s="734">
        <f t="shared" si="37"/>
        <v>29974.259039706059</v>
      </c>
      <c r="BZ28" s="734">
        <f t="shared" si="37"/>
        <v>29974.259039706059</v>
      </c>
      <c r="CA28" s="734">
        <f t="shared" si="37"/>
        <v>29974.259039706059</v>
      </c>
      <c r="CB28" s="734">
        <f t="shared" si="37"/>
        <v>29974.259039706059</v>
      </c>
      <c r="CC28" s="734">
        <f t="shared" si="37"/>
        <v>31023.358106095769</v>
      </c>
      <c r="CD28" s="734">
        <f t="shared" si="37"/>
        <v>31023.358106095769</v>
      </c>
      <c r="CE28" s="734">
        <f t="shared" si="37"/>
        <v>31023.358106095769</v>
      </c>
      <c r="CF28" s="734">
        <f t="shared" si="37"/>
        <v>31023.358106095769</v>
      </c>
      <c r="CG28" s="734">
        <f t="shared" si="37"/>
        <v>31023.358106095769</v>
      </c>
      <c r="CH28" s="734">
        <f t="shared" si="37"/>
        <v>31023.358106095769</v>
      </c>
      <c r="CI28" s="734">
        <f t="shared" ref="CI28:ET28" si="38">SUM(CI21:CI27)</f>
        <v>31023.358106095769</v>
      </c>
      <c r="CJ28" s="734">
        <f t="shared" si="38"/>
        <v>31023.358106095769</v>
      </c>
      <c r="CK28" s="734">
        <f t="shared" si="38"/>
        <v>31023.358106095769</v>
      </c>
      <c r="CL28" s="734">
        <f t="shared" si="38"/>
        <v>31023.358106095769</v>
      </c>
      <c r="CM28" s="734">
        <f t="shared" si="38"/>
        <v>31023.358106095769</v>
      </c>
      <c r="CN28" s="734">
        <f t="shared" si="38"/>
        <v>31023.358106095769</v>
      </c>
      <c r="CO28" s="734">
        <f t="shared" si="38"/>
        <v>32109.17563980912</v>
      </c>
      <c r="CP28" s="734">
        <f t="shared" si="38"/>
        <v>32109.17563980912</v>
      </c>
      <c r="CQ28" s="734">
        <f t="shared" si="38"/>
        <v>32109.17563980912</v>
      </c>
      <c r="CR28" s="734">
        <f t="shared" si="38"/>
        <v>32109.17563980912</v>
      </c>
      <c r="CS28" s="734">
        <f t="shared" si="38"/>
        <v>32109.17563980912</v>
      </c>
      <c r="CT28" s="734">
        <f t="shared" si="38"/>
        <v>32109.17563980912</v>
      </c>
      <c r="CU28" s="734">
        <f t="shared" si="38"/>
        <v>32109.17563980912</v>
      </c>
      <c r="CV28" s="734">
        <f t="shared" si="38"/>
        <v>32109.17563980912</v>
      </c>
      <c r="CW28" s="734">
        <f t="shared" si="38"/>
        <v>32109.17563980912</v>
      </c>
      <c r="CX28" s="734">
        <f t="shared" si="38"/>
        <v>32109.17563980912</v>
      </c>
      <c r="CY28" s="734">
        <f t="shared" si="38"/>
        <v>32109.17563980912</v>
      </c>
      <c r="CZ28" s="734">
        <f t="shared" si="38"/>
        <v>32109.17563980912</v>
      </c>
      <c r="DA28" s="734">
        <f t="shared" si="38"/>
        <v>33232.996787202435</v>
      </c>
      <c r="DB28" s="734">
        <f t="shared" si="38"/>
        <v>33232.996787202435</v>
      </c>
      <c r="DC28" s="734">
        <f t="shared" si="38"/>
        <v>33232.996787202435</v>
      </c>
      <c r="DD28" s="734">
        <f t="shared" si="38"/>
        <v>33232.996787202435</v>
      </c>
      <c r="DE28" s="734">
        <f t="shared" si="38"/>
        <v>33232.996787202435</v>
      </c>
      <c r="DF28" s="734">
        <f t="shared" si="38"/>
        <v>33232.996787202435</v>
      </c>
      <c r="DG28" s="734">
        <f t="shared" si="38"/>
        <v>33232.996787202435</v>
      </c>
      <c r="DH28" s="734">
        <f t="shared" si="38"/>
        <v>33232.996787202435</v>
      </c>
      <c r="DI28" s="734">
        <f t="shared" si="38"/>
        <v>33232.996787202435</v>
      </c>
      <c r="DJ28" s="734">
        <f t="shared" si="38"/>
        <v>33232.996787202435</v>
      </c>
      <c r="DK28" s="734">
        <f t="shared" si="38"/>
        <v>33232.996787202435</v>
      </c>
      <c r="DL28" s="734">
        <f t="shared" si="38"/>
        <v>33232.996787202435</v>
      </c>
      <c r="DM28" s="734">
        <f t="shared" si="38"/>
        <v>34396.151674754517</v>
      </c>
      <c r="DN28" s="734">
        <f t="shared" si="38"/>
        <v>34396.151674754517</v>
      </c>
      <c r="DO28" s="734">
        <f t="shared" si="38"/>
        <v>34396.151674754517</v>
      </c>
      <c r="DP28" s="734">
        <f t="shared" si="38"/>
        <v>34396.151674754517</v>
      </c>
      <c r="DQ28" s="734">
        <f t="shared" si="38"/>
        <v>34396.151674754517</v>
      </c>
      <c r="DR28" s="734">
        <f t="shared" si="38"/>
        <v>34396.151674754517</v>
      </c>
      <c r="DS28" s="734">
        <f t="shared" si="38"/>
        <v>34396.151674754517</v>
      </c>
      <c r="DT28" s="734">
        <f t="shared" si="38"/>
        <v>34396.151674754517</v>
      </c>
      <c r="DU28" s="734">
        <f t="shared" si="38"/>
        <v>34396.151674754517</v>
      </c>
      <c r="DV28" s="734">
        <f t="shared" si="38"/>
        <v>34396.151674754517</v>
      </c>
      <c r="DW28" s="734">
        <f t="shared" si="38"/>
        <v>34396.151674754517</v>
      </c>
      <c r="DX28" s="734">
        <f t="shared" si="38"/>
        <v>34396.151674754517</v>
      </c>
      <c r="DY28" s="734">
        <f t="shared" si="38"/>
        <v>35170.065087436495</v>
      </c>
      <c r="DZ28" s="734">
        <f t="shared" si="38"/>
        <v>35170.065087436495</v>
      </c>
      <c r="EA28" s="734">
        <f t="shared" si="38"/>
        <v>35170.065087436495</v>
      </c>
      <c r="EB28" s="734">
        <f t="shared" si="38"/>
        <v>35170.065087436495</v>
      </c>
      <c r="EC28" s="734">
        <f t="shared" si="38"/>
        <v>35170.065087436495</v>
      </c>
      <c r="ED28" s="734">
        <f t="shared" si="38"/>
        <v>35170.065087436495</v>
      </c>
      <c r="EE28" s="734">
        <f t="shared" si="38"/>
        <v>35170.065087436495</v>
      </c>
      <c r="EF28" s="734">
        <f t="shared" si="38"/>
        <v>35170.065087436495</v>
      </c>
      <c r="EG28" s="734">
        <f t="shared" si="38"/>
        <v>35170.065087436495</v>
      </c>
      <c r="EH28" s="734">
        <f t="shared" si="38"/>
        <v>35170.065087436495</v>
      </c>
      <c r="EI28" s="734">
        <f t="shared" si="38"/>
        <v>35170.065087436495</v>
      </c>
      <c r="EJ28" s="734">
        <f t="shared" si="38"/>
        <v>35170.065087436495</v>
      </c>
      <c r="EK28" s="734">
        <f t="shared" si="38"/>
        <v>35961.391551903813</v>
      </c>
      <c r="EL28" s="734">
        <f t="shared" si="38"/>
        <v>35961.391551903813</v>
      </c>
      <c r="EM28" s="734">
        <f t="shared" si="38"/>
        <v>35961.391551903813</v>
      </c>
      <c r="EN28" s="734">
        <f t="shared" si="38"/>
        <v>35961.391551903813</v>
      </c>
      <c r="EO28" s="734">
        <f t="shared" si="38"/>
        <v>35961.391551903813</v>
      </c>
      <c r="EP28" s="734">
        <f t="shared" si="38"/>
        <v>35961.391551903813</v>
      </c>
      <c r="EQ28" s="734">
        <f t="shared" si="38"/>
        <v>35961.391551903813</v>
      </c>
      <c r="ER28" s="734">
        <f t="shared" si="38"/>
        <v>35961.391551903813</v>
      </c>
      <c r="ES28" s="734">
        <f t="shared" si="38"/>
        <v>35961.391551903813</v>
      </c>
      <c r="ET28" s="734">
        <f t="shared" si="38"/>
        <v>35961.391551903813</v>
      </c>
      <c r="EU28" s="734">
        <f t="shared" ref="EU28:EV28" si="39">SUM(EU21:EU27)</f>
        <v>35961.391551903813</v>
      </c>
      <c r="EV28" s="734">
        <f t="shared" si="39"/>
        <v>35961.391551903813</v>
      </c>
      <c r="EW28" s="150" t="s">
        <v>243</v>
      </c>
    </row>
    <row r="29" spans="2:153" x14ac:dyDescent="0.2">
      <c r="EW29" s="150" t="s">
        <v>243</v>
      </c>
    </row>
    <row r="30" spans="2:153" x14ac:dyDescent="0.2">
      <c r="EW30" s="150" t="s">
        <v>243</v>
      </c>
    </row>
    <row r="31" spans="2:153" x14ac:dyDescent="0.2">
      <c r="B31" s="735" t="s">
        <v>418</v>
      </c>
      <c r="C31" s="736"/>
      <c r="D31" s="736"/>
      <c r="E31" s="736"/>
      <c r="F31" s="736"/>
      <c r="G31" s="736"/>
      <c r="H31" s="736"/>
      <c r="I31" s="736"/>
      <c r="J31" s="736"/>
      <c r="K31" s="737"/>
      <c r="S31" s="738" t="s">
        <v>419</v>
      </c>
      <c r="T31" s="336">
        <v>0</v>
      </c>
      <c r="U31" s="688">
        <f>IF(AND('Ops Assumptions'!$P$40="Annual",U$4&gt;T$4),INDEX('Ops Assumptions'!$C$34:$C$44,MATCH(U$4,'Ops Assumptions'!$B$34:$B$44,0)),IF('Ops Assumptions'!$P$40="Monthly",INDEX('Ops Assumptions'!$C$34:$C$44,MATCH(U$4,'Ops Assumptions'!$B$34:$B$44,0))/12,0))</f>
        <v>0.03</v>
      </c>
      <c r="V31" s="688">
        <f>IF(AND('Ops Assumptions'!$P$40="Annual",V$4&gt;U$4),INDEX('Ops Assumptions'!$C$34:$C$44,MATCH(V$4,'Ops Assumptions'!$B$34:$B$44,0)),IF('Ops Assumptions'!$P$40="Monthly",INDEX('Ops Assumptions'!$C$34:$C$44,MATCH(V$4,'Ops Assumptions'!$B$34:$B$44,0))^1/12,0))</f>
        <v>0</v>
      </c>
      <c r="W31" s="688">
        <f>IF(AND('Ops Assumptions'!$P$40="Annual",W$4&gt;V$4),INDEX('Ops Assumptions'!$C$34:$C$44,MATCH(W$4,'Ops Assumptions'!$B$34:$B$44,0)),IF('Ops Assumptions'!$P$40="Monthly",INDEX('Ops Assumptions'!$C$34:$C$44,MATCH(W$4,'Ops Assumptions'!$B$34:$B$44,0))^1/12,0))</f>
        <v>0</v>
      </c>
      <c r="X31" s="688">
        <f>IF(AND('Ops Assumptions'!$P$40="Annual",X$4&gt;W$4),INDEX('Ops Assumptions'!$C$34:$C$44,MATCH(X$4,'Ops Assumptions'!$B$34:$B$44,0)),IF('Ops Assumptions'!$P$40="Monthly",INDEX('Ops Assumptions'!$C$34:$C$44,MATCH(X$4,'Ops Assumptions'!$B$34:$B$44,0))^1/12,0))</f>
        <v>0</v>
      </c>
      <c r="Y31" s="688">
        <f>IF(AND('Ops Assumptions'!$P$40="Annual",Y$4&gt;X$4),INDEX('Ops Assumptions'!$C$34:$C$44,MATCH(Y$4,'Ops Assumptions'!$B$34:$B$44,0)),IF('Ops Assumptions'!$P$40="Monthly",INDEX('Ops Assumptions'!$C$34:$C$44,MATCH(Y$4,'Ops Assumptions'!$B$34:$B$44,0))^1/12,0))</f>
        <v>0</v>
      </c>
      <c r="Z31" s="688">
        <f>IF(AND('Ops Assumptions'!$P$40="Annual",Z$4&gt;Y$4),INDEX('Ops Assumptions'!$C$34:$C$44,MATCH(Z$4,'Ops Assumptions'!$B$34:$B$44,0)),IF('Ops Assumptions'!$P$40="Monthly",INDEX('Ops Assumptions'!$C$34:$C$44,MATCH(Z$4,'Ops Assumptions'!$B$34:$B$44,0))^1/12,0))</f>
        <v>0</v>
      </c>
      <c r="AA31" s="688">
        <f>IF(AND('Ops Assumptions'!$P$40="Annual",AA$4&gt;Z$4),INDEX('Ops Assumptions'!$C$34:$C$44,MATCH(AA$4,'Ops Assumptions'!$B$34:$B$44,0)),IF('Ops Assumptions'!$P$40="Monthly",INDEX('Ops Assumptions'!$C$34:$C$44,MATCH(AA$4,'Ops Assumptions'!$B$34:$B$44,0))^1/12,0))</f>
        <v>0</v>
      </c>
      <c r="AB31" s="688">
        <f>IF(AND('Ops Assumptions'!$P$40="Annual",AB$4&gt;AA$4),INDEX('Ops Assumptions'!$C$34:$C$44,MATCH(AB$4,'Ops Assumptions'!$B$34:$B$44,0)),IF('Ops Assumptions'!$P$40="Monthly",INDEX('Ops Assumptions'!$C$34:$C$44,MATCH(AB$4,'Ops Assumptions'!$B$34:$B$44,0))^1/12,0))</f>
        <v>0</v>
      </c>
      <c r="AC31" s="688">
        <f>IF(AND('Ops Assumptions'!$P$40="Annual",AC$4&gt;AB$4),INDEX('Ops Assumptions'!$C$34:$C$44,MATCH(AC$4,'Ops Assumptions'!$B$34:$B$44,0)),IF('Ops Assumptions'!$P$40="Monthly",INDEX('Ops Assumptions'!$C$34:$C$44,MATCH(AC$4,'Ops Assumptions'!$B$34:$B$44,0))^1/12,0))</f>
        <v>0</v>
      </c>
      <c r="AD31" s="688">
        <f>IF(AND('Ops Assumptions'!$P$40="Annual",AD$4&gt;AC$4),INDEX('Ops Assumptions'!$C$34:$C$44,MATCH(AD$4,'Ops Assumptions'!$B$34:$B$44,0)),IF('Ops Assumptions'!$P$40="Monthly",INDEX('Ops Assumptions'!$C$34:$C$44,MATCH(AD$4,'Ops Assumptions'!$B$34:$B$44,0))^1/12,0))</f>
        <v>0</v>
      </c>
      <c r="AE31" s="688">
        <f>IF(AND('Ops Assumptions'!$P$40="Annual",AE$4&gt;AD$4),INDEX('Ops Assumptions'!$C$34:$C$44,MATCH(AE$4,'Ops Assumptions'!$B$34:$B$44,0)),IF('Ops Assumptions'!$P$40="Monthly",INDEX('Ops Assumptions'!$C$34:$C$44,MATCH(AE$4,'Ops Assumptions'!$B$34:$B$44,0))^1/12,0))</f>
        <v>0</v>
      </c>
      <c r="AF31" s="688">
        <f>IF(AND('Ops Assumptions'!$P$40="Annual",AF$4&gt;AE$4),INDEX('Ops Assumptions'!$C$34:$C$44,MATCH(AF$4,'Ops Assumptions'!$B$34:$B$44,0)),IF('Ops Assumptions'!$P$40="Monthly",INDEX('Ops Assumptions'!$C$34:$C$44,MATCH(AF$4,'Ops Assumptions'!$B$34:$B$44,0))^1/12,0))</f>
        <v>0</v>
      </c>
      <c r="AG31" s="688">
        <f>IF(AND('Ops Assumptions'!$P$40="Annual",AG$4&gt;AF$4),INDEX('Ops Assumptions'!$C$34:$C$44,MATCH(AG$4,'Ops Assumptions'!$B$34:$B$44,0)),IF('Ops Assumptions'!$P$40="Monthly",INDEX('Ops Assumptions'!$C$34:$C$44,MATCH(AG$4,'Ops Assumptions'!$B$34:$B$44,0))^1/12,0))</f>
        <v>0.03</v>
      </c>
      <c r="AH31" s="688">
        <f>IF(AND('Ops Assumptions'!$P$40="Annual",AH$4&gt;AG$4),INDEX('Ops Assumptions'!$C$34:$C$44,MATCH(AH$4,'Ops Assumptions'!$B$34:$B$44,0)),IF('Ops Assumptions'!$P$40="Monthly",INDEX('Ops Assumptions'!$C$34:$C$44,MATCH(AH$4,'Ops Assumptions'!$B$34:$B$44,0))^1/12,0))</f>
        <v>0</v>
      </c>
      <c r="AI31" s="688">
        <f>IF(AND('Ops Assumptions'!$P$40="Annual",AI$4&gt;AH$4),INDEX('Ops Assumptions'!$C$34:$C$44,MATCH(AI$4,'Ops Assumptions'!$B$34:$B$44,0)),IF('Ops Assumptions'!$P$40="Monthly",INDEX('Ops Assumptions'!$C$34:$C$44,MATCH(AI$4,'Ops Assumptions'!$B$34:$B$44,0))^1/12,0))</f>
        <v>0</v>
      </c>
      <c r="AJ31" s="688">
        <f>IF(AND('Ops Assumptions'!$P$40="Annual",AJ$4&gt;AI$4),INDEX('Ops Assumptions'!$C$34:$C$44,MATCH(AJ$4,'Ops Assumptions'!$B$34:$B$44,0)),IF('Ops Assumptions'!$P$40="Monthly",INDEX('Ops Assumptions'!$C$34:$C$44,MATCH(AJ$4,'Ops Assumptions'!$B$34:$B$44,0))^1/12,0))</f>
        <v>0</v>
      </c>
      <c r="AK31" s="688">
        <f>IF(AND('Ops Assumptions'!$P$40="Annual",AK$4&gt;AJ$4),INDEX('Ops Assumptions'!$C$34:$C$44,MATCH(AK$4,'Ops Assumptions'!$B$34:$B$44,0)),IF('Ops Assumptions'!$P$40="Monthly",INDEX('Ops Assumptions'!$C$34:$C$44,MATCH(AK$4,'Ops Assumptions'!$B$34:$B$44,0))^1/12,0))</f>
        <v>0</v>
      </c>
      <c r="AL31" s="688">
        <f>IF(AND('Ops Assumptions'!$P$40="Annual",AL$4&gt;AK$4),INDEX('Ops Assumptions'!$C$34:$C$44,MATCH(AL$4,'Ops Assumptions'!$B$34:$B$44,0)),IF('Ops Assumptions'!$P$40="Monthly",INDEX('Ops Assumptions'!$C$34:$C$44,MATCH(AL$4,'Ops Assumptions'!$B$34:$B$44,0))^1/12,0))</f>
        <v>0</v>
      </c>
      <c r="AM31" s="688">
        <f>IF(AND('Ops Assumptions'!$P$40="Annual",AM$4&gt;AL$4),INDEX('Ops Assumptions'!$C$34:$C$44,MATCH(AM$4,'Ops Assumptions'!$B$34:$B$44,0)),IF('Ops Assumptions'!$P$40="Monthly",INDEX('Ops Assumptions'!$C$34:$C$44,MATCH(AM$4,'Ops Assumptions'!$B$34:$B$44,0))^1/12,0))</f>
        <v>0</v>
      </c>
      <c r="AN31" s="688">
        <f>IF(AND('Ops Assumptions'!$P$40="Annual",AN$4&gt;AM$4),INDEX('Ops Assumptions'!$C$34:$C$44,MATCH(AN$4,'Ops Assumptions'!$B$34:$B$44,0)),IF('Ops Assumptions'!$P$40="Monthly",INDEX('Ops Assumptions'!$C$34:$C$44,MATCH(AN$4,'Ops Assumptions'!$B$34:$B$44,0))^1/12,0))</f>
        <v>0</v>
      </c>
      <c r="AO31" s="688">
        <f>IF(AND('Ops Assumptions'!$P$40="Annual",AO$4&gt;AN$4),INDEX('Ops Assumptions'!$C$34:$C$44,MATCH(AO$4,'Ops Assumptions'!$B$34:$B$44,0)),IF('Ops Assumptions'!$P$40="Monthly",INDEX('Ops Assumptions'!$C$34:$C$44,MATCH(AO$4,'Ops Assumptions'!$B$34:$B$44,0))^1/12,0))</f>
        <v>0</v>
      </c>
      <c r="AP31" s="688">
        <f>IF(AND('Ops Assumptions'!$P$40="Annual",AP$4&gt;AO$4),INDEX('Ops Assumptions'!$C$34:$C$44,MATCH(AP$4,'Ops Assumptions'!$B$34:$B$44,0)),IF('Ops Assumptions'!$P$40="Monthly",INDEX('Ops Assumptions'!$C$34:$C$44,MATCH(AP$4,'Ops Assumptions'!$B$34:$B$44,0))^1/12,0))</f>
        <v>0</v>
      </c>
      <c r="AQ31" s="688">
        <f>IF(AND('Ops Assumptions'!$P$40="Annual",AQ$4&gt;AP$4),INDEX('Ops Assumptions'!$C$34:$C$44,MATCH(AQ$4,'Ops Assumptions'!$B$34:$B$44,0)),IF('Ops Assumptions'!$P$40="Monthly",INDEX('Ops Assumptions'!$C$34:$C$44,MATCH(AQ$4,'Ops Assumptions'!$B$34:$B$44,0))^1/12,0))</f>
        <v>0</v>
      </c>
      <c r="AR31" s="688">
        <f>IF(AND('Ops Assumptions'!$P$40="Annual",AR$4&gt;AQ$4),INDEX('Ops Assumptions'!$C$34:$C$44,MATCH(AR$4,'Ops Assumptions'!$B$34:$B$44,0)),IF('Ops Assumptions'!$P$40="Monthly",INDEX('Ops Assumptions'!$C$34:$C$44,MATCH(AR$4,'Ops Assumptions'!$B$34:$B$44,0))^1/12,0))</f>
        <v>0</v>
      </c>
      <c r="AS31" s="688">
        <f>IF(AND('Ops Assumptions'!$P$40="Annual",AS$4&gt;AR$4),INDEX('Ops Assumptions'!$C$34:$C$44,MATCH(AS$4,'Ops Assumptions'!$B$34:$B$44,0)),IF('Ops Assumptions'!$P$40="Monthly",INDEX('Ops Assumptions'!$C$34:$C$44,MATCH(AS$4,'Ops Assumptions'!$B$34:$B$44,0))^1/12,0))</f>
        <v>0.03</v>
      </c>
      <c r="AT31" s="688">
        <f>IF(AND('Ops Assumptions'!$P$40="Annual",AT$4&gt;AS$4),INDEX('Ops Assumptions'!$C$34:$C$44,MATCH(AT$4,'Ops Assumptions'!$B$34:$B$44,0)),IF('Ops Assumptions'!$P$40="Monthly",INDEX('Ops Assumptions'!$C$34:$C$44,MATCH(AT$4,'Ops Assumptions'!$B$34:$B$44,0))^1/12,0))</f>
        <v>0</v>
      </c>
      <c r="AU31" s="688">
        <f>IF(AND('Ops Assumptions'!$P$40="Annual",AU$4&gt;AT$4),INDEX('Ops Assumptions'!$C$34:$C$44,MATCH(AU$4,'Ops Assumptions'!$B$34:$B$44,0)),IF('Ops Assumptions'!$P$40="Monthly",INDEX('Ops Assumptions'!$C$34:$C$44,MATCH(AU$4,'Ops Assumptions'!$B$34:$B$44,0))^1/12,0))</f>
        <v>0</v>
      </c>
      <c r="AV31" s="688">
        <f>IF(AND('Ops Assumptions'!$P$40="Annual",AV$4&gt;AU$4),INDEX('Ops Assumptions'!$C$34:$C$44,MATCH(AV$4,'Ops Assumptions'!$B$34:$B$44,0)),IF('Ops Assumptions'!$P$40="Monthly",INDEX('Ops Assumptions'!$C$34:$C$44,MATCH(AV$4,'Ops Assumptions'!$B$34:$B$44,0))^1/12,0))</f>
        <v>0</v>
      </c>
      <c r="AW31" s="688">
        <f>IF(AND('Ops Assumptions'!$P$40="Annual",AW$4&gt;AV$4),INDEX('Ops Assumptions'!$C$34:$C$44,MATCH(AW$4,'Ops Assumptions'!$B$34:$B$44,0)),IF('Ops Assumptions'!$P$40="Monthly",INDEX('Ops Assumptions'!$C$34:$C$44,MATCH(AW$4,'Ops Assumptions'!$B$34:$B$44,0))^1/12,0))</f>
        <v>0</v>
      </c>
      <c r="AX31" s="688">
        <f>IF(AND('Ops Assumptions'!$P$40="Annual",AX$4&gt;AW$4),INDEX('Ops Assumptions'!$C$34:$C$44,MATCH(AX$4,'Ops Assumptions'!$B$34:$B$44,0)),IF('Ops Assumptions'!$P$40="Monthly",INDEX('Ops Assumptions'!$C$34:$C$44,MATCH(AX$4,'Ops Assumptions'!$B$34:$B$44,0))^1/12,0))</f>
        <v>0</v>
      </c>
      <c r="AY31" s="688">
        <f>IF(AND('Ops Assumptions'!$P$40="Annual",AY$4&gt;AX$4),INDEX('Ops Assumptions'!$C$34:$C$44,MATCH(AY$4,'Ops Assumptions'!$B$34:$B$44,0)),IF('Ops Assumptions'!$P$40="Monthly",INDEX('Ops Assumptions'!$C$34:$C$44,MATCH(AY$4,'Ops Assumptions'!$B$34:$B$44,0))^1/12,0))</f>
        <v>0</v>
      </c>
      <c r="AZ31" s="688">
        <f>IF(AND('Ops Assumptions'!$P$40="Annual",AZ$4&gt;AY$4),INDEX('Ops Assumptions'!$C$34:$C$44,MATCH(AZ$4,'Ops Assumptions'!$B$34:$B$44,0)),IF('Ops Assumptions'!$P$40="Monthly",INDEX('Ops Assumptions'!$C$34:$C$44,MATCH(AZ$4,'Ops Assumptions'!$B$34:$B$44,0))^1/12,0))</f>
        <v>0</v>
      </c>
      <c r="BA31" s="688">
        <f>IF(AND('Ops Assumptions'!$P$40="Annual",BA$4&gt;AZ$4),INDEX('Ops Assumptions'!$C$34:$C$44,MATCH(BA$4,'Ops Assumptions'!$B$34:$B$44,0)),IF('Ops Assumptions'!$P$40="Monthly",INDEX('Ops Assumptions'!$C$34:$C$44,MATCH(BA$4,'Ops Assumptions'!$B$34:$B$44,0))^1/12,0))</f>
        <v>0</v>
      </c>
      <c r="BB31" s="688">
        <f>IF(AND('Ops Assumptions'!$P$40="Annual",BB$4&gt;BA$4),INDEX('Ops Assumptions'!$C$34:$C$44,MATCH(BB$4,'Ops Assumptions'!$B$34:$B$44,0)),IF('Ops Assumptions'!$P$40="Monthly",INDEX('Ops Assumptions'!$C$34:$C$44,MATCH(BB$4,'Ops Assumptions'!$B$34:$B$44,0))^1/12,0))</f>
        <v>0</v>
      </c>
      <c r="BC31" s="688">
        <f>IF(AND('Ops Assumptions'!$P$40="Annual",BC$4&gt;BB$4),INDEX('Ops Assumptions'!$C$34:$C$44,MATCH(BC$4,'Ops Assumptions'!$B$34:$B$44,0)),IF('Ops Assumptions'!$P$40="Monthly",INDEX('Ops Assumptions'!$C$34:$C$44,MATCH(BC$4,'Ops Assumptions'!$B$34:$B$44,0))^1/12,0))</f>
        <v>0</v>
      </c>
      <c r="BD31" s="688">
        <f>IF(AND('Ops Assumptions'!$P$40="Annual",BD$4&gt;BC$4),INDEX('Ops Assumptions'!$C$34:$C$44,MATCH(BD$4,'Ops Assumptions'!$B$34:$B$44,0)),IF('Ops Assumptions'!$P$40="Monthly",INDEX('Ops Assumptions'!$C$34:$C$44,MATCH(BD$4,'Ops Assumptions'!$B$34:$B$44,0))^1/12,0))</f>
        <v>0</v>
      </c>
      <c r="BE31" s="688">
        <f>IF(AND('Ops Assumptions'!$P$40="Annual",BE$4&gt;BD$4),INDEX('Ops Assumptions'!$C$34:$C$44,MATCH(BE$4,'Ops Assumptions'!$B$34:$B$44,0)),IF('Ops Assumptions'!$P$40="Monthly",INDEX('Ops Assumptions'!$C$34:$C$44,MATCH(BE$4,'Ops Assumptions'!$B$34:$B$44,0))^1/12,0))</f>
        <v>0.03</v>
      </c>
      <c r="BF31" s="688">
        <f>IF(AND('Ops Assumptions'!$P$40="Annual",BF$4&gt;BE$4),INDEX('Ops Assumptions'!$C$34:$C$44,MATCH(BF$4,'Ops Assumptions'!$B$34:$B$44,0)),IF('Ops Assumptions'!$P$40="Monthly",INDEX('Ops Assumptions'!$C$34:$C$44,MATCH(BF$4,'Ops Assumptions'!$B$34:$B$44,0))^1/12,0))</f>
        <v>0</v>
      </c>
      <c r="BG31" s="688">
        <f>IF(AND('Ops Assumptions'!$P$40="Annual",BG$4&gt;BF$4),INDEX('Ops Assumptions'!$C$34:$C$44,MATCH(BG$4,'Ops Assumptions'!$B$34:$B$44,0)),IF('Ops Assumptions'!$P$40="Monthly",INDEX('Ops Assumptions'!$C$34:$C$44,MATCH(BG$4,'Ops Assumptions'!$B$34:$B$44,0))^1/12,0))</f>
        <v>0</v>
      </c>
      <c r="BH31" s="688">
        <f>IF(AND('Ops Assumptions'!$P$40="Annual",BH$4&gt;BG$4),INDEX('Ops Assumptions'!$C$34:$C$44,MATCH(BH$4,'Ops Assumptions'!$B$34:$B$44,0)),IF('Ops Assumptions'!$P$40="Monthly",INDEX('Ops Assumptions'!$C$34:$C$44,MATCH(BH$4,'Ops Assumptions'!$B$34:$B$44,0))^1/12,0))</f>
        <v>0</v>
      </c>
      <c r="BI31" s="688">
        <f>IF(AND('Ops Assumptions'!$P$40="Annual",BI$4&gt;BH$4),INDEX('Ops Assumptions'!$C$34:$C$44,MATCH(BI$4,'Ops Assumptions'!$B$34:$B$44,0)),IF('Ops Assumptions'!$P$40="Monthly",INDEX('Ops Assumptions'!$C$34:$C$44,MATCH(BI$4,'Ops Assumptions'!$B$34:$B$44,0))^1/12,0))</f>
        <v>0</v>
      </c>
      <c r="BJ31" s="688">
        <f>IF(AND('Ops Assumptions'!$P$40="Annual",BJ$4&gt;BI$4),INDEX('Ops Assumptions'!$C$34:$C$44,MATCH(BJ$4,'Ops Assumptions'!$B$34:$B$44,0)),IF('Ops Assumptions'!$P$40="Monthly",INDEX('Ops Assumptions'!$C$34:$C$44,MATCH(BJ$4,'Ops Assumptions'!$B$34:$B$44,0))^1/12,0))</f>
        <v>0</v>
      </c>
      <c r="BK31" s="688">
        <f>IF(AND('Ops Assumptions'!$P$40="Annual",BK$4&gt;BJ$4),INDEX('Ops Assumptions'!$C$34:$C$44,MATCH(BK$4,'Ops Assumptions'!$B$34:$B$44,0)),IF('Ops Assumptions'!$P$40="Monthly",INDEX('Ops Assumptions'!$C$34:$C$44,MATCH(BK$4,'Ops Assumptions'!$B$34:$B$44,0))^1/12,0))</f>
        <v>0</v>
      </c>
      <c r="BL31" s="688">
        <f>IF(AND('Ops Assumptions'!$P$40="Annual",BL$4&gt;BK$4),INDEX('Ops Assumptions'!$C$34:$C$44,MATCH(BL$4,'Ops Assumptions'!$B$34:$B$44,0)),IF('Ops Assumptions'!$P$40="Monthly",INDEX('Ops Assumptions'!$C$34:$C$44,MATCH(BL$4,'Ops Assumptions'!$B$34:$B$44,0))^1/12,0))</f>
        <v>0</v>
      </c>
      <c r="BM31" s="688">
        <f>IF(AND('Ops Assumptions'!$P$40="Annual",BM$4&gt;BL$4),INDEX('Ops Assumptions'!$C$34:$C$44,MATCH(BM$4,'Ops Assumptions'!$B$34:$B$44,0)),IF('Ops Assumptions'!$P$40="Monthly",INDEX('Ops Assumptions'!$C$34:$C$44,MATCH(BM$4,'Ops Assumptions'!$B$34:$B$44,0))^1/12,0))</f>
        <v>0</v>
      </c>
      <c r="BN31" s="688">
        <f>IF(AND('Ops Assumptions'!$P$40="Annual",BN$4&gt;BM$4),INDEX('Ops Assumptions'!$C$34:$C$44,MATCH(BN$4,'Ops Assumptions'!$B$34:$B$44,0)),IF('Ops Assumptions'!$P$40="Monthly",INDEX('Ops Assumptions'!$C$34:$C$44,MATCH(BN$4,'Ops Assumptions'!$B$34:$B$44,0))^1/12,0))</f>
        <v>0</v>
      </c>
      <c r="BO31" s="688">
        <f>IF(AND('Ops Assumptions'!$P$40="Annual",BO$4&gt;BN$4),INDEX('Ops Assumptions'!$C$34:$C$44,MATCH(BO$4,'Ops Assumptions'!$B$34:$B$44,0)),IF('Ops Assumptions'!$P$40="Monthly",INDEX('Ops Assumptions'!$C$34:$C$44,MATCH(BO$4,'Ops Assumptions'!$B$34:$B$44,0))^1/12,0))</f>
        <v>0</v>
      </c>
      <c r="BP31" s="688">
        <f>IF(AND('Ops Assumptions'!$P$40="Annual",BP$4&gt;BO$4),INDEX('Ops Assumptions'!$C$34:$C$44,MATCH(BP$4,'Ops Assumptions'!$B$34:$B$44,0)),IF('Ops Assumptions'!$P$40="Monthly",INDEX('Ops Assumptions'!$C$34:$C$44,MATCH(BP$4,'Ops Assumptions'!$B$34:$B$44,0))^1/12,0))</f>
        <v>0</v>
      </c>
      <c r="BQ31" s="688">
        <f>IF(AND('Ops Assumptions'!$P$40="Annual",BQ$4&gt;BP$4),INDEX('Ops Assumptions'!$C$34:$C$44,MATCH(BQ$4,'Ops Assumptions'!$B$34:$B$44,0)),IF('Ops Assumptions'!$P$40="Monthly",INDEX('Ops Assumptions'!$C$34:$C$44,MATCH(BQ$4,'Ops Assumptions'!$B$34:$B$44,0))^1/12,0))</f>
        <v>0.03</v>
      </c>
      <c r="BR31" s="688">
        <f>IF(AND('Ops Assumptions'!$P$40="Annual",BR$4&gt;BQ$4),INDEX('Ops Assumptions'!$C$34:$C$44,MATCH(BR$4,'Ops Assumptions'!$B$34:$B$44,0)),IF('Ops Assumptions'!$P$40="Monthly",INDEX('Ops Assumptions'!$C$34:$C$44,MATCH(BR$4,'Ops Assumptions'!$B$34:$B$44,0))^1/12,0))</f>
        <v>0</v>
      </c>
      <c r="BS31" s="688">
        <f>IF(AND('Ops Assumptions'!$P$40="Annual",BS$4&gt;BR$4),INDEX('Ops Assumptions'!$C$34:$C$44,MATCH(BS$4,'Ops Assumptions'!$B$34:$B$44,0)),IF('Ops Assumptions'!$P$40="Monthly",INDEX('Ops Assumptions'!$C$34:$C$44,MATCH(BS$4,'Ops Assumptions'!$B$34:$B$44,0))^1/12,0))</f>
        <v>0</v>
      </c>
      <c r="BT31" s="688">
        <f>IF(AND('Ops Assumptions'!$P$40="Annual",BT$4&gt;BS$4),INDEX('Ops Assumptions'!$C$34:$C$44,MATCH(BT$4,'Ops Assumptions'!$B$34:$B$44,0)),IF('Ops Assumptions'!$P$40="Monthly",INDEX('Ops Assumptions'!$C$34:$C$44,MATCH(BT$4,'Ops Assumptions'!$B$34:$B$44,0))^1/12,0))</f>
        <v>0</v>
      </c>
      <c r="BU31" s="688">
        <f>IF(AND('Ops Assumptions'!$P$40="Annual",BU$4&gt;BT$4),INDEX('Ops Assumptions'!$C$34:$C$44,MATCH(BU$4,'Ops Assumptions'!$B$34:$B$44,0)),IF('Ops Assumptions'!$P$40="Monthly",INDEX('Ops Assumptions'!$C$34:$C$44,MATCH(BU$4,'Ops Assumptions'!$B$34:$B$44,0))^1/12,0))</f>
        <v>0</v>
      </c>
      <c r="BV31" s="688">
        <f>IF(AND('Ops Assumptions'!$P$40="Annual",BV$4&gt;BU$4),INDEX('Ops Assumptions'!$C$34:$C$44,MATCH(BV$4,'Ops Assumptions'!$B$34:$B$44,0)),IF('Ops Assumptions'!$P$40="Monthly",INDEX('Ops Assumptions'!$C$34:$C$44,MATCH(BV$4,'Ops Assumptions'!$B$34:$B$44,0))^1/12,0))</f>
        <v>0</v>
      </c>
      <c r="BW31" s="688">
        <f>IF(AND('Ops Assumptions'!$P$40="Annual",BW$4&gt;BV$4),INDEX('Ops Assumptions'!$C$34:$C$44,MATCH(BW$4,'Ops Assumptions'!$B$34:$B$44,0)),IF('Ops Assumptions'!$P$40="Monthly",INDEX('Ops Assumptions'!$C$34:$C$44,MATCH(BW$4,'Ops Assumptions'!$B$34:$B$44,0))^1/12,0))</f>
        <v>0</v>
      </c>
      <c r="BX31" s="688">
        <f>IF(AND('Ops Assumptions'!$P$40="Annual",BX$4&gt;BW$4),INDEX('Ops Assumptions'!$C$34:$C$44,MATCH(BX$4,'Ops Assumptions'!$B$34:$B$44,0)),IF('Ops Assumptions'!$P$40="Monthly",INDEX('Ops Assumptions'!$C$34:$C$44,MATCH(BX$4,'Ops Assumptions'!$B$34:$B$44,0))^1/12,0))</f>
        <v>0</v>
      </c>
      <c r="BY31" s="688">
        <f>IF(AND('Ops Assumptions'!$P$40="Annual",BY$4&gt;BX$4),INDEX('Ops Assumptions'!$C$34:$C$44,MATCH(BY$4,'Ops Assumptions'!$B$34:$B$44,0)),IF('Ops Assumptions'!$P$40="Monthly",INDEX('Ops Assumptions'!$C$34:$C$44,MATCH(BY$4,'Ops Assumptions'!$B$34:$B$44,0))^1/12,0))</f>
        <v>0</v>
      </c>
      <c r="BZ31" s="688">
        <f>IF(AND('Ops Assumptions'!$P$40="Annual",BZ$4&gt;BY$4),INDEX('Ops Assumptions'!$C$34:$C$44,MATCH(BZ$4,'Ops Assumptions'!$B$34:$B$44,0)),IF('Ops Assumptions'!$P$40="Monthly",INDEX('Ops Assumptions'!$C$34:$C$44,MATCH(BZ$4,'Ops Assumptions'!$B$34:$B$44,0))^1/12,0))</f>
        <v>0</v>
      </c>
      <c r="CA31" s="688">
        <f>IF(AND('Ops Assumptions'!$P$40="Annual",CA$4&gt;BZ$4),INDEX('Ops Assumptions'!$C$34:$C$44,MATCH(CA$4,'Ops Assumptions'!$B$34:$B$44,0)),IF('Ops Assumptions'!$P$40="Monthly",INDEX('Ops Assumptions'!$C$34:$C$44,MATCH(CA$4,'Ops Assumptions'!$B$34:$B$44,0))^1/12,0))</f>
        <v>0</v>
      </c>
      <c r="CB31" s="688">
        <f>IF(AND('Ops Assumptions'!$P$40="Annual",CB$4&gt;CA$4),INDEX('Ops Assumptions'!$C$34:$C$44,MATCH(CB$4,'Ops Assumptions'!$B$34:$B$44,0)),IF('Ops Assumptions'!$P$40="Monthly",INDEX('Ops Assumptions'!$C$34:$C$44,MATCH(CB$4,'Ops Assumptions'!$B$34:$B$44,0))^1/12,0))</f>
        <v>0</v>
      </c>
      <c r="CC31" s="688">
        <f>IF(AND('Ops Assumptions'!$P$40="Annual",CC$4&gt;CB$4),INDEX('Ops Assumptions'!$C$34:$C$44,MATCH(CC$4,'Ops Assumptions'!$B$34:$B$44,0)),IF('Ops Assumptions'!$P$40="Monthly",INDEX('Ops Assumptions'!$C$34:$C$44,MATCH(CC$4,'Ops Assumptions'!$B$34:$B$44,0))^1/12,0))</f>
        <v>0.03</v>
      </c>
      <c r="CD31" s="688">
        <f>IF(AND('Ops Assumptions'!$P$40="Annual",CD$4&gt;CC$4),INDEX('Ops Assumptions'!$C$34:$C$44,MATCH(CD$4,'Ops Assumptions'!$B$34:$B$44,0)),IF('Ops Assumptions'!$P$40="Monthly",INDEX('Ops Assumptions'!$C$34:$C$44,MATCH(CD$4,'Ops Assumptions'!$B$34:$B$44,0))^1/12,0))</f>
        <v>0</v>
      </c>
      <c r="CE31" s="688">
        <f>IF(AND('Ops Assumptions'!$P$40="Annual",CE$4&gt;CD$4),INDEX('Ops Assumptions'!$C$34:$C$44,MATCH(CE$4,'Ops Assumptions'!$B$34:$B$44,0)),IF('Ops Assumptions'!$P$40="Monthly",INDEX('Ops Assumptions'!$C$34:$C$44,MATCH(CE$4,'Ops Assumptions'!$B$34:$B$44,0))^1/12,0))</f>
        <v>0</v>
      </c>
      <c r="CF31" s="688">
        <f>IF(AND('Ops Assumptions'!$P$40="Annual",CF$4&gt;CE$4),INDEX('Ops Assumptions'!$C$34:$C$44,MATCH(CF$4,'Ops Assumptions'!$B$34:$B$44,0)),IF('Ops Assumptions'!$P$40="Monthly",INDEX('Ops Assumptions'!$C$34:$C$44,MATCH(CF$4,'Ops Assumptions'!$B$34:$B$44,0))^1/12,0))</f>
        <v>0</v>
      </c>
      <c r="CG31" s="688">
        <f>IF(AND('Ops Assumptions'!$P$40="Annual",CG$4&gt;CF$4),INDEX('Ops Assumptions'!$C$34:$C$44,MATCH(CG$4,'Ops Assumptions'!$B$34:$B$44,0)),IF('Ops Assumptions'!$P$40="Monthly",INDEX('Ops Assumptions'!$C$34:$C$44,MATCH(CG$4,'Ops Assumptions'!$B$34:$B$44,0))^1/12,0))</f>
        <v>0</v>
      </c>
      <c r="CH31" s="688">
        <f>IF(AND('Ops Assumptions'!$P$40="Annual",CH$4&gt;CG$4),INDEX('Ops Assumptions'!$C$34:$C$44,MATCH(CH$4,'Ops Assumptions'!$B$34:$B$44,0)),IF('Ops Assumptions'!$P$40="Monthly",INDEX('Ops Assumptions'!$C$34:$C$44,MATCH(CH$4,'Ops Assumptions'!$B$34:$B$44,0))^1/12,0))</f>
        <v>0</v>
      </c>
      <c r="CI31" s="688">
        <f>IF(AND('Ops Assumptions'!$P$40="Annual",CI$4&gt;CH$4),INDEX('Ops Assumptions'!$C$34:$C$44,MATCH(CI$4,'Ops Assumptions'!$B$34:$B$44,0)),IF('Ops Assumptions'!$P$40="Monthly",INDEX('Ops Assumptions'!$C$34:$C$44,MATCH(CI$4,'Ops Assumptions'!$B$34:$B$44,0))^1/12,0))</f>
        <v>0</v>
      </c>
      <c r="CJ31" s="688">
        <f>IF(AND('Ops Assumptions'!$P$40="Annual",CJ$4&gt;CI$4),INDEX('Ops Assumptions'!$C$34:$C$44,MATCH(CJ$4,'Ops Assumptions'!$B$34:$B$44,0)),IF('Ops Assumptions'!$P$40="Monthly",INDEX('Ops Assumptions'!$C$34:$C$44,MATCH(CJ$4,'Ops Assumptions'!$B$34:$B$44,0))^1/12,0))</f>
        <v>0</v>
      </c>
      <c r="CK31" s="688">
        <f>IF(AND('Ops Assumptions'!$P$40="Annual",CK$4&gt;CJ$4),INDEX('Ops Assumptions'!$C$34:$C$44,MATCH(CK$4,'Ops Assumptions'!$B$34:$B$44,0)),IF('Ops Assumptions'!$P$40="Monthly",INDEX('Ops Assumptions'!$C$34:$C$44,MATCH(CK$4,'Ops Assumptions'!$B$34:$B$44,0))^1/12,0))</f>
        <v>0</v>
      </c>
      <c r="CL31" s="688">
        <f>IF(AND('Ops Assumptions'!$P$40="Annual",CL$4&gt;CK$4),INDEX('Ops Assumptions'!$C$34:$C$44,MATCH(CL$4,'Ops Assumptions'!$B$34:$B$44,0)),IF('Ops Assumptions'!$P$40="Monthly",INDEX('Ops Assumptions'!$C$34:$C$44,MATCH(CL$4,'Ops Assumptions'!$B$34:$B$44,0))^1/12,0))</f>
        <v>0</v>
      </c>
      <c r="CM31" s="688">
        <f>IF(AND('Ops Assumptions'!$P$40="Annual",CM$4&gt;CL$4),INDEX('Ops Assumptions'!$C$34:$C$44,MATCH(CM$4,'Ops Assumptions'!$B$34:$B$44,0)),IF('Ops Assumptions'!$P$40="Monthly",INDEX('Ops Assumptions'!$C$34:$C$44,MATCH(CM$4,'Ops Assumptions'!$B$34:$B$44,0))^1/12,0))</f>
        <v>0</v>
      </c>
      <c r="CN31" s="688">
        <f>IF(AND('Ops Assumptions'!$P$40="Annual",CN$4&gt;CM$4),INDEX('Ops Assumptions'!$C$34:$C$44,MATCH(CN$4,'Ops Assumptions'!$B$34:$B$44,0)),IF('Ops Assumptions'!$P$40="Monthly",INDEX('Ops Assumptions'!$C$34:$C$44,MATCH(CN$4,'Ops Assumptions'!$B$34:$B$44,0))^1/12,0))</f>
        <v>0</v>
      </c>
      <c r="CO31" s="688">
        <f>IF(AND('Ops Assumptions'!$P$40="Annual",CO$4&gt;CN$4),INDEX('Ops Assumptions'!$C$34:$C$44,MATCH(CO$4,'Ops Assumptions'!$B$34:$B$44,0)),IF('Ops Assumptions'!$P$40="Monthly",INDEX('Ops Assumptions'!$C$34:$C$44,MATCH(CO$4,'Ops Assumptions'!$B$34:$B$44,0))^1/12,0))</f>
        <v>0.03</v>
      </c>
      <c r="CP31" s="688">
        <f>IF(AND('Ops Assumptions'!$P$40="Annual",CP$4&gt;CO$4),INDEX('Ops Assumptions'!$C$34:$C$44,MATCH(CP$4,'Ops Assumptions'!$B$34:$B$44,0)),IF('Ops Assumptions'!$P$40="Monthly",INDEX('Ops Assumptions'!$C$34:$C$44,MATCH(CP$4,'Ops Assumptions'!$B$34:$B$44,0))^1/12,0))</f>
        <v>0</v>
      </c>
      <c r="CQ31" s="688">
        <f>IF(AND('Ops Assumptions'!$P$40="Annual",CQ$4&gt;CP$4),INDEX('Ops Assumptions'!$C$34:$C$44,MATCH(CQ$4,'Ops Assumptions'!$B$34:$B$44,0)),IF('Ops Assumptions'!$P$40="Monthly",INDEX('Ops Assumptions'!$C$34:$C$44,MATCH(CQ$4,'Ops Assumptions'!$B$34:$B$44,0))^1/12,0))</f>
        <v>0</v>
      </c>
      <c r="CR31" s="688">
        <f>IF(AND('Ops Assumptions'!$P$40="Annual",CR$4&gt;CQ$4),INDEX('Ops Assumptions'!$C$34:$C$44,MATCH(CR$4,'Ops Assumptions'!$B$34:$B$44,0)),IF('Ops Assumptions'!$P$40="Monthly",INDEX('Ops Assumptions'!$C$34:$C$44,MATCH(CR$4,'Ops Assumptions'!$B$34:$B$44,0))^1/12,0))</f>
        <v>0</v>
      </c>
      <c r="CS31" s="688">
        <f>IF(AND('Ops Assumptions'!$P$40="Annual",CS$4&gt;CR$4),INDEX('Ops Assumptions'!$C$34:$C$44,MATCH(CS$4,'Ops Assumptions'!$B$34:$B$44,0)),IF('Ops Assumptions'!$P$40="Monthly",INDEX('Ops Assumptions'!$C$34:$C$44,MATCH(CS$4,'Ops Assumptions'!$B$34:$B$44,0))^1/12,0))</f>
        <v>0</v>
      </c>
      <c r="CT31" s="688">
        <f>IF(AND('Ops Assumptions'!$P$40="Annual",CT$4&gt;CS$4),INDEX('Ops Assumptions'!$C$34:$C$44,MATCH(CT$4,'Ops Assumptions'!$B$34:$B$44,0)),IF('Ops Assumptions'!$P$40="Monthly",INDEX('Ops Assumptions'!$C$34:$C$44,MATCH(CT$4,'Ops Assumptions'!$B$34:$B$44,0))^1/12,0))</f>
        <v>0</v>
      </c>
      <c r="CU31" s="688">
        <f>IF(AND('Ops Assumptions'!$P$40="Annual",CU$4&gt;CT$4),INDEX('Ops Assumptions'!$C$34:$C$44,MATCH(CU$4,'Ops Assumptions'!$B$34:$B$44,0)),IF('Ops Assumptions'!$P$40="Monthly",INDEX('Ops Assumptions'!$C$34:$C$44,MATCH(CU$4,'Ops Assumptions'!$B$34:$B$44,0))^1/12,0))</f>
        <v>0</v>
      </c>
      <c r="CV31" s="688">
        <f>IF(AND('Ops Assumptions'!$P$40="Annual",CV$4&gt;CU$4),INDEX('Ops Assumptions'!$C$34:$C$44,MATCH(CV$4,'Ops Assumptions'!$B$34:$B$44,0)),IF('Ops Assumptions'!$P$40="Monthly",INDEX('Ops Assumptions'!$C$34:$C$44,MATCH(CV$4,'Ops Assumptions'!$B$34:$B$44,0))^1/12,0))</f>
        <v>0</v>
      </c>
      <c r="CW31" s="688">
        <f>IF(AND('Ops Assumptions'!$P$40="Annual",CW$4&gt;CV$4),INDEX('Ops Assumptions'!$C$34:$C$44,MATCH(CW$4,'Ops Assumptions'!$B$34:$B$44,0)),IF('Ops Assumptions'!$P$40="Monthly",INDEX('Ops Assumptions'!$C$34:$C$44,MATCH(CW$4,'Ops Assumptions'!$B$34:$B$44,0))^1/12,0))</f>
        <v>0</v>
      </c>
      <c r="CX31" s="688">
        <f>IF(AND('Ops Assumptions'!$P$40="Annual",CX$4&gt;CW$4),INDEX('Ops Assumptions'!$C$34:$C$44,MATCH(CX$4,'Ops Assumptions'!$B$34:$B$44,0)),IF('Ops Assumptions'!$P$40="Monthly",INDEX('Ops Assumptions'!$C$34:$C$44,MATCH(CX$4,'Ops Assumptions'!$B$34:$B$44,0))^1/12,0))</f>
        <v>0</v>
      </c>
      <c r="CY31" s="688">
        <f>IF(AND('Ops Assumptions'!$P$40="Annual",CY$4&gt;CX$4),INDEX('Ops Assumptions'!$C$34:$C$44,MATCH(CY$4,'Ops Assumptions'!$B$34:$B$44,0)),IF('Ops Assumptions'!$P$40="Monthly",INDEX('Ops Assumptions'!$C$34:$C$44,MATCH(CY$4,'Ops Assumptions'!$B$34:$B$44,0))^1/12,0))</f>
        <v>0</v>
      </c>
      <c r="CZ31" s="688">
        <f>IF(AND('Ops Assumptions'!$P$40="Annual",CZ$4&gt;CY$4),INDEX('Ops Assumptions'!$C$34:$C$44,MATCH(CZ$4,'Ops Assumptions'!$B$34:$B$44,0)),IF('Ops Assumptions'!$P$40="Monthly",INDEX('Ops Assumptions'!$C$34:$C$44,MATCH(CZ$4,'Ops Assumptions'!$B$34:$B$44,0))^1/12,0))</f>
        <v>0</v>
      </c>
      <c r="DA31" s="688">
        <f>IF(AND('Ops Assumptions'!$P$40="Annual",DA$4&gt;CZ$4),INDEX('Ops Assumptions'!$C$34:$C$44,MATCH(DA$4,'Ops Assumptions'!$B$34:$B$44,0)),IF('Ops Assumptions'!$P$40="Monthly",INDEX('Ops Assumptions'!$C$34:$C$44,MATCH(DA$4,'Ops Assumptions'!$B$34:$B$44,0))^1/12,0))</f>
        <v>0.03</v>
      </c>
      <c r="DB31" s="688">
        <f>IF(AND('Ops Assumptions'!$P$40="Annual",DB$4&gt;DA$4),INDEX('Ops Assumptions'!$C$34:$C$44,MATCH(DB$4,'Ops Assumptions'!$B$34:$B$44,0)),IF('Ops Assumptions'!$P$40="Monthly",INDEX('Ops Assumptions'!$C$34:$C$44,MATCH(DB$4,'Ops Assumptions'!$B$34:$B$44,0))^1/12,0))</f>
        <v>0</v>
      </c>
      <c r="DC31" s="688">
        <f>IF(AND('Ops Assumptions'!$P$40="Annual",DC$4&gt;DB$4),INDEX('Ops Assumptions'!$C$34:$C$44,MATCH(DC$4,'Ops Assumptions'!$B$34:$B$44,0)),IF('Ops Assumptions'!$P$40="Monthly",INDEX('Ops Assumptions'!$C$34:$C$44,MATCH(DC$4,'Ops Assumptions'!$B$34:$B$44,0))^1/12,0))</f>
        <v>0</v>
      </c>
      <c r="DD31" s="688">
        <f>IF(AND('Ops Assumptions'!$P$40="Annual",DD$4&gt;DC$4),INDEX('Ops Assumptions'!$C$34:$C$44,MATCH(DD$4,'Ops Assumptions'!$B$34:$B$44,0)),IF('Ops Assumptions'!$P$40="Monthly",INDEX('Ops Assumptions'!$C$34:$C$44,MATCH(DD$4,'Ops Assumptions'!$B$34:$B$44,0))^1/12,0))</f>
        <v>0</v>
      </c>
      <c r="DE31" s="688">
        <f>IF(AND('Ops Assumptions'!$P$40="Annual",DE$4&gt;DD$4),INDEX('Ops Assumptions'!$C$34:$C$44,MATCH(DE$4,'Ops Assumptions'!$B$34:$B$44,0)),IF('Ops Assumptions'!$P$40="Monthly",INDEX('Ops Assumptions'!$C$34:$C$44,MATCH(DE$4,'Ops Assumptions'!$B$34:$B$44,0))^1/12,0))</f>
        <v>0</v>
      </c>
      <c r="DF31" s="688">
        <f>IF(AND('Ops Assumptions'!$P$40="Annual",DF$4&gt;DE$4),INDEX('Ops Assumptions'!$C$34:$C$44,MATCH(DF$4,'Ops Assumptions'!$B$34:$B$44,0)),IF('Ops Assumptions'!$P$40="Monthly",INDEX('Ops Assumptions'!$C$34:$C$44,MATCH(DF$4,'Ops Assumptions'!$B$34:$B$44,0))^1/12,0))</f>
        <v>0</v>
      </c>
      <c r="DG31" s="688">
        <f>IF(AND('Ops Assumptions'!$P$40="Annual",DG$4&gt;DF$4),INDEX('Ops Assumptions'!$C$34:$C$44,MATCH(DG$4,'Ops Assumptions'!$B$34:$B$44,0)),IF('Ops Assumptions'!$P$40="Monthly",INDEX('Ops Assumptions'!$C$34:$C$44,MATCH(DG$4,'Ops Assumptions'!$B$34:$B$44,0))^1/12,0))</f>
        <v>0</v>
      </c>
      <c r="DH31" s="688">
        <f>IF(AND('Ops Assumptions'!$P$40="Annual",DH$4&gt;DG$4),INDEX('Ops Assumptions'!$C$34:$C$44,MATCH(DH$4,'Ops Assumptions'!$B$34:$B$44,0)),IF('Ops Assumptions'!$P$40="Monthly",INDEX('Ops Assumptions'!$C$34:$C$44,MATCH(DH$4,'Ops Assumptions'!$B$34:$B$44,0))^1/12,0))</f>
        <v>0</v>
      </c>
      <c r="DI31" s="688">
        <f>IF(AND('Ops Assumptions'!$P$40="Annual",DI$4&gt;DH$4),INDEX('Ops Assumptions'!$C$34:$C$44,MATCH(DI$4,'Ops Assumptions'!$B$34:$B$44,0)),IF('Ops Assumptions'!$P$40="Monthly",INDEX('Ops Assumptions'!$C$34:$C$44,MATCH(DI$4,'Ops Assumptions'!$B$34:$B$44,0))^1/12,0))</f>
        <v>0</v>
      </c>
      <c r="DJ31" s="688">
        <f>IF(AND('Ops Assumptions'!$P$40="Annual",DJ$4&gt;DI$4),INDEX('Ops Assumptions'!$C$34:$C$44,MATCH(DJ$4,'Ops Assumptions'!$B$34:$B$44,0)),IF('Ops Assumptions'!$P$40="Monthly",INDEX('Ops Assumptions'!$C$34:$C$44,MATCH(DJ$4,'Ops Assumptions'!$B$34:$B$44,0))^1/12,0))</f>
        <v>0</v>
      </c>
      <c r="DK31" s="688">
        <f>IF(AND('Ops Assumptions'!$P$40="Annual",DK$4&gt;DJ$4),INDEX('Ops Assumptions'!$C$34:$C$44,MATCH(DK$4,'Ops Assumptions'!$B$34:$B$44,0)),IF('Ops Assumptions'!$P$40="Monthly",INDEX('Ops Assumptions'!$C$34:$C$44,MATCH(DK$4,'Ops Assumptions'!$B$34:$B$44,0))^1/12,0))</f>
        <v>0</v>
      </c>
      <c r="DL31" s="688">
        <f>IF(AND('Ops Assumptions'!$P$40="Annual",DL$4&gt;DK$4),INDEX('Ops Assumptions'!$C$34:$C$44,MATCH(DL$4,'Ops Assumptions'!$B$34:$B$44,0)),IF('Ops Assumptions'!$P$40="Monthly",INDEX('Ops Assumptions'!$C$34:$C$44,MATCH(DL$4,'Ops Assumptions'!$B$34:$B$44,0))^1/12,0))</f>
        <v>0</v>
      </c>
      <c r="DM31" s="688">
        <f>IF(AND('Ops Assumptions'!$P$40="Annual",DM$4&gt;DL$4),INDEX('Ops Assumptions'!$C$34:$C$44,MATCH(DM$4,'Ops Assumptions'!$B$34:$B$44,0)),IF('Ops Assumptions'!$P$40="Monthly",INDEX('Ops Assumptions'!$C$34:$C$44,MATCH(DM$4,'Ops Assumptions'!$B$34:$B$44,0))^1/12,0))</f>
        <v>0.03</v>
      </c>
      <c r="DN31" s="688">
        <f>IF(AND('Ops Assumptions'!$P$40="Annual",DN$4&gt;DM$4),INDEX('Ops Assumptions'!$C$34:$C$44,MATCH(DN$4,'Ops Assumptions'!$B$34:$B$44,0)),IF('Ops Assumptions'!$P$40="Monthly",INDEX('Ops Assumptions'!$C$34:$C$44,MATCH(DN$4,'Ops Assumptions'!$B$34:$B$44,0))^1/12,0))</f>
        <v>0</v>
      </c>
      <c r="DO31" s="688">
        <f>IF(AND('Ops Assumptions'!$P$40="Annual",DO$4&gt;DN$4),INDEX('Ops Assumptions'!$C$34:$C$44,MATCH(DO$4,'Ops Assumptions'!$B$34:$B$44,0)),IF('Ops Assumptions'!$P$40="Monthly",INDEX('Ops Assumptions'!$C$34:$C$44,MATCH(DO$4,'Ops Assumptions'!$B$34:$B$44,0))^1/12,0))</f>
        <v>0</v>
      </c>
      <c r="DP31" s="688">
        <f>IF(AND('Ops Assumptions'!$P$40="Annual",DP$4&gt;DO$4),INDEX('Ops Assumptions'!$C$34:$C$44,MATCH(DP$4,'Ops Assumptions'!$B$34:$B$44,0)),IF('Ops Assumptions'!$P$40="Monthly",INDEX('Ops Assumptions'!$C$34:$C$44,MATCH(DP$4,'Ops Assumptions'!$B$34:$B$44,0))^1/12,0))</f>
        <v>0</v>
      </c>
      <c r="DQ31" s="688">
        <f>IF(AND('Ops Assumptions'!$P$40="Annual",DQ$4&gt;DP$4),INDEX('Ops Assumptions'!$C$34:$C$44,MATCH(DQ$4,'Ops Assumptions'!$B$34:$B$44,0)),IF('Ops Assumptions'!$P$40="Monthly",INDEX('Ops Assumptions'!$C$34:$C$44,MATCH(DQ$4,'Ops Assumptions'!$B$34:$B$44,0))^1/12,0))</f>
        <v>0</v>
      </c>
      <c r="DR31" s="688">
        <f>IF(AND('Ops Assumptions'!$P$40="Annual",DR$4&gt;DQ$4),INDEX('Ops Assumptions'!$C$34:$C$44,MATCH(DR$4,'Ops Assumptions'!$B$34:$B$44,0)),IF('Ops Assumptions'!$P$40="Monthly",INDEX('Ops Assumptions'!$C$34:$C$44,MATCH(DR$4,'Ops Assumptions'!$B$34:$B$44,0))^1/12,0))</f>
        <v>0</v>
      </c>
      <c r="DS31" s="688">
        <f>IF(AND('Ops Assumptions'!$P$40="Annual",DS$4&gt;DR$4),INDEX('Ops Assumptions'!$C$34:$C$44,MATCH(DS$4,'Ops Assumptions'!$B$34:$B$44,0)),IF('Ops Assumptions'!$P$40="Monthly",INDEX('Ops Assumptions'!$C$34:$C$44,MATCH(DS$4,'Ops Assumptions'!$B$34:$B$44,0))^1/12,0))</f>
        <v>0</v>
      </c>
      <c r="DT31" s="688">
        <f>IF(AND('Ops Assumptions'!$P$40="Annual",DT$4&gt;DS$4),INDEX('Ops Assumptions'!$C$34:$C$44,MATCH(DT$4,'Ops Assumptions'!$B$34:$B$44,0)),IF('Ops Assumptions'!$P$40="Monthly",INDEX('Ops Assumptions'!$C$34:$C$44,MATCH(DT$4,'Ops Assumptions'!$B$34:$B$44,0))^1/12,0))</f>
        <v>0</v>
      </c>
      <c r="DU31" s="688">
        <f>IF(AND('Ops Assumptions'!$P$40="Annual",DU$4&gt;DT$4),INDEX('Ops Assumptions'!$C$34:$C$44,MATCH(DU$4,'Ops Assumptions'!$B$34:$B$44,0)),IF('Ops Assumptions'!$P$40="Monthly",INDEX('Ops Assumptions'!$C$34:$C$44,MATCH(DU$4,'Ops Assumptions'!$B$34:$B$44,0))^1/12,0))</f>
        <v>0</v>
      </c>
      <c r="DV31" s="688">
        <f>IF(AND('Ops Assumptions'!$P$40="Annual",DV$4&gt;DU$4),INDEX('Ops Assumptions'!$C$34:$C$44,MATCH(DV$4,'Ops Assumptions'!$B$34:$B$44,0)),IF('Ops Assumptions'!$P$40="Monthly",INDEX('Ops Assumptions'!$C$34:$C$44,MATCH(DV$4,'Ops Assumptions'!$B$34:$B$44,0))^1/12,0))</f>
        <v>0</v>
      </c>
      <c r="DW31" s="688">
        <f>IF(AND('Ops Assumptions'!$P$40="Annual",DW$4&gt;DV$4),INDEX('Ops Assumptions'!$C$34:$C$44,MATCH(DW$4,'Ops Assumptions'!$B$34:$B$44,0)),IF('Ops Assumptions'!$P$40="Monthly",INDEX('Ops Assumptions'!$C$34:$C$44,MATCH(DW$4,'Ops Assumptions'!$B$34:$B$44,0))^1/12,0))</f>
        <v>0</v>
      </c>
      <c r="DX31" s="688">
        <f>IF(AND('Ops Assumptions'!$P$40="Annual",DX$4&gt;DW$4),INDEX('Ops Assumptions'!$C$34:$C$44,MATCH(DX$4,'Ops Assumptions'!$B$34:$B$44,0)),IF('Ops Assumptions'!$P$40="Monthly",INDEX('Ops Assumptions'!$C$34:$C$44,MATCH(DX$4,'Ops Assumptions'!$B$34:$B$44,0))^1/12,0))</f>
        <v>0</v>
      </c>
      <c r="DY31" s="688">
        <f>IF(AND('Ops Assumptions'!$P$40="Annual",DY$4&gt;DX$4),INDEX('Ops Assumptions'!$C$34:$C$44,MATCH(DY$4,'Ops Assumptions'!$B$34:$B$44,0)),IF('Ops Assumptions'!$P$40="Monthly",INDEX('Ops Assumptions'!$C$34:$C$44,MATCH(DY$4,'Ops Assumptions'!$B$34:$B$44,0))^1/12,0))</f>
        <v>0.03</v>
      </c>
      <c r="DZ31" s="688">
        <f>IF(AND('Ops Assumptions'!$P$40="Annual",DZ$4&gt;DY$4),INDEX('Ops Assumptions'!$C$34:$C$44,MATCH(DZ$4,'Ops Assumptions'!$B$34:$B$44,0)),IF('Ops Assumptions'!$P$40="Monthly",INDEX('Ops Assumptions'!$C$34:$C$44,MATCH(DZ$4,'Ops Assumptions'!$B$34:$B$44,0))^1/12,0))</f>
        <v>0</v>
      </c>
      <c r="EA31" s="688">
        <f>IF(AND('Ops Assumptions'!$P$40="Annual",EA$4&gt;DZ$4),INDEX('Ops Assumptions'!$C$34:$C$44,MATCH(EA$4,'Ops Assumptions'!$B$34:$B$44,0)),IF('Ops Assumptions'!$P$40="Monthly",INDEX('Ops Assumptions'!$C$34:$C$44,MATCH(EA$4,'Ops Assumptions'!$B$34:$B$44,0))^1/12,0))</f>
        <v>0</v>
      </c>
      <c r="EB31" s="688">
        <f>IF(AND('Ops Assumptions'!$P$40="Annual",EB$4&gt;EA$4),INDEX('Ops Assumptions'!$C$34:$C$44,MATCH(EB$4,'Ops Assumptions'!$B$34:$B$44,0)),IF('Ops Assumptions'!$P$40="Monthly",INDEX('Ops Assumptions'!$C$34:$C$44,MATCH(EB$4,'Ops Assumptions'!$B$34:$B$44,0))^1/12,0))</f>
        <v>0</v>
      </c>
      <c r="EC31" s="688">
        <f>IF(AND('Ops Assumptions'!$P$40="Annual",EC$4&gt;EB$4),INDEX('Ops Assumptions'!$C$34:$C$44,MATCH(EC$4,'Ops Assumptions'!$B$34:$B$44,0)),IF('Ops Assumptions'!$P$40="Monthly",INDEX('Ops Assumptions'!$C$34:$C$44,MATCH(EC$4,'Ops Assumptions'!$B$34:$B$44,0))^1/12,0))</f>
        <v>0</v>
      </c>
      <c r="ED31" s="688">
        <f>IF(AND('Ops Assumptions'!$P$40="Annual",ED$4&gt;EC$4),INDEX('Ops Assumptions'!$C$34:$C$44,MATCH(ED$4,'Ops Assumptions'!$B$34:$B$44,0)),IF('Ops Assumptions'!$P$40="Monthly",INDEX('Ops Assumptions'!$C$34:$C$44,MATCH(ED$4,'Ops Assumptions'!$B$34:$B$44,0))^1/12,0))</f>
        <v>0</v>
      </c>
      <c r="EE31" s="688">
        <f>IF(AND('Ops Assumptions'!$P$40="Annual",EE$4&gt;ED$4),INDEX('Ops Assumptions'!$C$34:$C$44,MATCH(EE$4,'Ops Assumptions'!$B$34:$B$44,0)),IF('Ops Assumptions'!$P$40="Monthly",INDEX('Ops Assumptions'!$C$34:$C$44,MATCH(EE$4,'Ops Assumptions'!$B$34:$B$44,0))^1/12,0))</f>
        <v>0</v>
      </c>
      <c r="EF31" s="688">
        <f>IF(AND('Ops Assumptions'!$P$40="Annual",EF$4&gt;EE$4),INDEX('Ops Assumptions'!$C$34:$C$44,MATCH(EF$4,'Ops Assumptions'!$B$34:$B$44,0)),IF('Ops Assumptions'!$P$40="Monthly",INDEX('Ops Assumptions'!$C$34:$C$44,MATCH(EF$4,'Ops Assumptions'!$B$34:$B$44,0))^1/12,0))</f>
        <v>0</v>
      </c>
      <c r="EG31" s="688">
        <f>IF(AND('Ops Assumptions'!$P$40="Annual",EG$4&gt;EF$4),INDEX('Ops Assumptions'!$C$34:$C$44,MATCH(EG$4,'Ops Assumptions'!$B$34:$B$44,0)),IF('Ops Assumptions'!$P$40="Monthly",INDEX('Ops Assumptions'!$C$34:$C$44,MATCH(EG$4,'Ops Assumptions'!$B$34:$B$44,0))^1/12,0))</f>
        <v>0</v>
      </c>
      <c r="EH31" s="688">
        <f>IF(AND('Ops Assumptions'!$P$40="Annual",EH$4&gt;EG$4),INDEX('Ops Assumptions'!$C$34:$C$44,MATCH(EH$4,'Ops Assumptions'!$B$34:$B$44,0)),IF('Ops Assumptions'!$P$40="Monthly",INDEX('Ops Assumptions'!$C$34:$C$44,MATCH(EH$4,'Ops Assumptions'!$B$34:$B$44,0))^1/12,0))</f>
        <v>0</v>
      </c>
      <c r="EI31" s="688">
        <f>IF(AND('Ops Assumptions'!$P$40="Annual",EI$4&gt;EH$4),INDEX('Ops Assumptions'!$C$34:$C$44,MATCH(EI$4,'Ops Assumptions'!$B$34:$B$44,0)),IF('Ops Assumptions'!$P$40="Monthly",INDEX('Ops Assumptions'!$C$34:$C$44,MATCH(EI$4,'Ops Assumptions'!$B$34:$B$44,0))^1/12,0))</f>
        <v>0</v>
      </c>
      <c r="EJ31" s="688">
        <f>IF(AND('Ops Assumptions'!$P$40="Annual",EJ$4&gt;EI$4),INDEX('Ops Assumptions'!$C$34:$C$44,MATCH(EJ$4,'Ops Assumptions'!$B$34:$B$44,0)),IF('Ops Assumptions'!$P$40="Monthly",INDEX('Ops Assumptions'!$C$34:$C$44,MATCH(EJ$4,'Ops Assumptions'!$B$34:$B$44,0))^1/12,0))</f>
        <v>0</v>
      </c>
      <c r="EK31" s="688">
        <f>IF(AND('Ops Assumptions'!$P$40="Annual",EK$4&gt;EJ$4),INDEX('Ops Assumptions'!$C$34:$C$44,MATCH(EK$4,'Ops Assumptions'!$B$34:$B$44,0)),IF('Ops Assumptions'!$P$40="Monthly",INDEX('Ops Assumptions'!$C$34:$C$44,MATCH(EK$4,'Ops Assumptions'!$B$34:$B$44,0))^1/12,0))</f>
        <v>0.03</v>
      </c>
      <c r="EL31" s="688">
        <f>IF(AND('Ops Assumptions'!$P$40="Annual",EL$4&gt;EK$4),INDEX('Ops Assumptions'!$C$34:$C$44,MATCH(EL$4,'Ops Assumptions'!$B$34:$B$44,0)),IF('Ops Assumptions'!$P$40="Monthly",INDEX('Ops Assumptions'!$C$34:$C$44,MATCH(EL$4,'Ops Assumptions'!$B$34:$B$44,0))^1/12,0))</f>
        <v>0</v>
      </c>
      <c r="EM31" s="688">
        <f>IF(AND('Ops Assumptions'!$P$40="Annual",EM$4&gt;EL$4),INDEX('Ops Assumptions'!$C$34:$C$44,MATCH(EM$4,'Ops Assumptions'!$B$34:$B$44,0)),IF('Ops Assumptions'!$P$40="Monthly",INDEX('Ops Assumptions'!$C$34:$C$44,MATCH(EM$4,'Ops Assumptions'!$B$34:$B$44,0))^1/12,0))</f>
        <v>0</v>
      </c>
      <c r="EN31" s="688">
        <f>IF(AND('Ops Assumptions'!$P$40="Annual",EN$4&gt;EM$4),INDEX('Ops Assumptions'!$C$34:$C$44,MATCH(EN$4,'Ops Assumptions'!$B$34:$B$44,0)),IF('Ops Assumptions'!$P$40="Monthly",INDEX('Ops Assumptions'!$C$34:$C$44,MATCH(EN$4,'Ops Assumptions'!$B$34:$B$44,0))^1/12,0))</f>
        <v>0</v>
      </c>
      <c r="EO31" s="688">
        <f>IF(AND('Ops Assumptions'!$P$40="Annual",EO$4&gt;EN$4),INDEX('Ops Assumptions'!$C$34:$C$44,MATCH(EO$4,'Ops Assumptions'!$B$34:$B$44,0)),IF('Ops Assumptions'!$P$40="Monthly",INDEX('Ops Assumptions'!$C$34:$C$44,MATCH(EO$4,'Ops Assumptions'!$B$34:$B$44,0))^1/12,0))</f>
        <v>0</v>
      </c>
      <c r="EP31" s="688">
        <f>IF(AND('Ops Assumptions'!$P$40="Annual",EP$4&gt;EO$4),INDEX('Ops Assumptions'!$C$34:$C$44,MATCH(EP$4,'Ops Assumptions'!$B$34:$B$44,0)),IF('Ops Assumptions'!$P$40="Monthly",INDEX('Ops Assumptions'!$C$34:$C$44,MATCH(EP$4,'Ops Assumptions'!$B$34:$B$44,0))^1/12,0))</f>
        <v>0</v>
      </c>
      <c r="EQ31" s="688">
        <f>IF(AND('Ops Assumptions'!$P$40="Annual",EQ$4&gt;EP$4),INDEX('Ops Assumptions'!$C$34:$C$44,MATCH(EQ$4,'Ops Assumptions'!$B$34:$B$44,0)),IF('Ops Assumptions'!$P$40="Monthly",INDEX('Ops Assumptions'!$C$34:$C$44,MATCH(EQ$4,'Ops Assumptions'!$B$34:$B$44,0))^1/12,0))</f>
        <v>0</v>
      </c>
      <c r="ER31" s="688">
        <f>IF(AND('Ops Assumptions'!$P$40="Annual",ER$4&gt;EQ$4),INDEX('Ops Assumptions'!$C$34:$C$44,MATCH(ER$4,'Ops Assumptions'!$B$34:$B$44,0)),IF('Ops Assumptions'!$P$40="Monthly",INDEX('Ops Assumptions'!$C$34:$C$44,MATCH(ER$4,'Ops Assumptions'!$B$34:$B$44,0))^1/12,0))</f>
        <v>0</v>
      </c>
      <c r="ES31" s="688">
        <f>IF(AND('Ops Assumptions'!$P$40="Annual",ES$4&gt;ER$4),INDEX('Ops Assumptions'!$C$34:$C$44,MATCH(ES$4,'Ops Assumptions'!$B$34:$B$44,0)),IF('Ops Assumptions'!$P$40="Monthly",INDEX('Ops Assumptions'!$C$34:$C$44,MATCH(ES$4,'Ops Assumptions'!$B$34:$B$44,0))^1/12,0))</f>
        <v>0</v>
      </c>
      <c r="ET31" s="688">
        <f>IF(AND('Ops Assumptions'!$P$40="Annual",ET$4&gt;ES$4),INDEX('Ops Assumptions'!$C$34:$C$44,MATCH(ET$4,'Ops Assumptions'!$B$34:$B$44,0)),IF('Ops Assumptions'!$P$40="Monthly",INDEX('Ops Assumptions'!$C$34:$C$44,MATCH(ET$4,'Ops Assumptions'!$B$34:$B$44,0))^1/12,0))</f>
        <v>0</v>
      </c>
      <c r="EU31" s="688">
        <f>IF(AND('Ops Assumptions'!$P$40="Annual",EU$4&gt;ET$4),INDEX('Ops Assumptions'!$C$34:$C$44,MATCH(EU$4,'Ops Assumptions'!$B$34:$B$44,0)),IF('Ops Assumptions'!$P$40="Monthly",INDEX('Ops Assumptions'!$C$34:$C$44,MATCH(EU$4,'Ops Assumptions'!$B$34:$B$44,0))^1/12,0))</f>
        <v>0</v>
      </c>
      <c r="EV31" s="688">
        <f>IF(AND('Ops Assumptions'!$P$40="Annual",EV$4&gt;EU$4),INDEX('Ops Assumptions'!$C$34:$C$44,MATCH(EV$4,'Ops Assumptions'!$B$34:$B$44,0)),IF('Ops Assumptions'!$P$40="Monthly",INDEX('Ops Assumptions'!$C$34:$C$44,MATCH(EV$4,'Ops Assumptions'!$B$34:$B$44,0))^1/12,0))</f>
        <v>0</v>
      </c>
      <c r="EW31" s="150" t="s">
        <v>243</v>
      </c>
    </row>
    <row r="32" spans="2:153" ht="57.75" thickBot="1" x14ac:dyDescent="0.25">
      <c r="B32" s="739" t="s">
        <v>13</v>
      </c>
      <c r="C32" s="740" t="s">
        <v>420</v>
      </c>
      <c r="D32" s="740" t="s">
        <v>421</v>
      </c>
      <c r="E32" s="740" t="s">
        <v>395</v>
      </c>
      <c r="F32" s="741" t="s">
        <v>422</v>
      </c>
      <c r="G32" s="740" t="s">
        <v>423</v>
      </c>
      <c r="H32" s="740" t="s">
        <v>424</v>
      </c>
      <c r="I32" s="740" t="s">
        <v>425</v>
      </c>
      <c r="J32" s="740" t="s">
        <v>426</v>
      </c>
      <c r="K32" s="740" t="s">
        <v>427</v>
      </c>
      <c r="EW32" s="150" t="s">
        <v>243</v>
      </c>
    </row>
    <row r="33" spans="2:153" s="490" customFormat="1" x14ac:dyDescent="0.2">
      <c r="B33" s="154" t="s">
        <v>232</v>
      </c>
      <c r="C33" s="742"/>
      <c r="D33" s="742"/>
      <c r="E33" s="742"/>
      <c r="F33" s="743">
        <f>-IFERROR(Financials!AH13/Financials!AH11,0)</f>
        <v>8.7839680340139458E-3</v>
      </c>
      <c r="G33" s="743">
        <f>-Financials!AK12</f>
        <v>4.2311163673710746E-2</v>
      </c>
      <c r="H33" s="743">
        <f>-IFERROR(Financials!AH14/Financials!AH11,0)</f>
        <v>2.1340412151971996E-3</v>
      </c>
      <c r="I33" s="744">
        <f>-Financials!AK10</f>
        <v>6.7925056798730205E-2</v>
      </c>
      <c r="J33" s="745"/>
      <c r="K33" s="746">
        <f>Financials!AH36</f>
        <v>0.81157155581957929</v>
      </c>
      <c r="M33" s="747" t="s">
        <v>17</v>
      </c>
      <c r="N33" s="690"/>
      <c r="O33" s="690"/>
      <c r="P33" s="748" t="s">
        <v>428</v>
      </c>
      <c r="S33" s="479" t="s">
        <v>41</v>
      </c>
      <c r="EW33" s="706" t="s">
        <v>243</v>
      </c>
    </row>
    <row r="34" spans="2:153" x14ac:dyDescent="0.2">
      <c r="B34" s="749">
        <v>1</v>
      </c>
      <c r="C34" s="750">
        <v>0.03</v>
      </c>
      <c r="D34" s="750">
        <v>0.06</v>
      </c>
      <c r="E34" s="750">
        <v>0.04</v>
      </c>
      <c r="F34" s="750">
        <v>0.01</v>
      </c>
      <c r="G34" s="750">
        <v>0.06</v>
      </c>
      <c r="H34" s="750">
        <v>5.0000000000000001E-3</v>
      </c>
      <c r="I34" s="750">
        <v>0.05</v>
      </c>
      <c r="J34" s="750">
        <v>0.02</v>
      </c>
      <c r="K34" s="160">
        <v>0.82</v>
      </c>
      <c r="M34" s="721" t="s">
        <v>429</v>
      </c>
      <c r="N34" s="144"/>
      <c r="P34" s="751">
        <v>0.02</v>
      </c>
      <c r="S34" s="752" t="str">
        <f>B8</f>
        <v>Payroll</v>
      </c>
      <c r="T34" s="753">
        <f>Financials!AL21</f>
        <v>37316.017499999994</v>
      </c>
      <c r="U34" s="753">
        <f>IFERROR(I8*(1+U$31)/12,0)</f>
        <v>28956.733333333334</v>
      </c>
      <c r="V34" s="753">
        <f>IFERROR(U34*(1+V$31),0)</f>
        <v>28956.733333333334</v>
      </c>
      <c r="W34" s="753">
        <f t="shared" ref="W34:AL40" si="40">IFERROR(V34*(1+W$31),0)</f>
        <v>28956.733333333334</v>
      </c>
      <c r="X34" s="753">
        <f t="shared" si="40"/>
        <v>28956.733333333334</v>
      </c>
      <c r="Y34" s="753">
        <f t="shared" si="40"/>
        <v>28956.733333333334</v>
      </c>
      <c r="Z34" s="753">
        <f t="shared" si="40"/>
        <v>28956.733333333334</v>
      </c>
      <c r="AA34" s="753">
        <f t="shared" si="40"/>
        <v>28956.733333333334</v>
      </c>
      <c r="AB34" s="753">
        <f t="shared" si="40"/>
        <v>28956.733333333334</v>
      </c>
      <c r="AC34" s="753">
        <f t="shared" si="40"/>
        <v>28956.733333333334</v>
      </c>
      <c r="AD34" s="753">
        <f t="shared" si="40"/>
        <v>28956.733333333334</v>
      </c>
      <c r="AE34" s="753">
        <f t="shared" si="40"/>
        <v>28956.733333333334</v>
      </c>
      <c r="AF34" s="753">
        <f t="shared" si="40"/>
        <v>28956.733333333334</v>
      </c>
      <c r="AG34" s="753">
        <f>IFERROR(AF34*(1+AG$31),0)</f>
        <v>29825.435333333335</v>
      </c>
      <c r="AH34" s="753">
        <f t="shared" si="40"/>
        <v>29825.435333333335</v>
      </c>
      <c r="AI34" s="753">
        <f t="shared" si="40"/>
        <v>29825.435333333335</v>
      </c>
      <c r="AJ34" s="753">
        <f t="shared" si="40"/>
        <v>29825.435333333335</v>
      </c>
      <c r="AK34" s="753">
        <f t="shared" si="40"/>
        <v>29825.435333333335</v>
      </c>
      <c r="AL34" s="753">
        <f t="shared" si="40"/>
        <v>29825.435333333335</v>
      </c>
      <c r="AM34" s="753">
        <f t="shared" ref="AM34:BB40" si="41">IFERROR(AL34*(1+AM$31),0)</f>
        <v>29825.435333333335</v>
      </c>
      <c r="AN34" s="753">
        <f t="shared" si="41"/>
        <v>29825.435333333335</v>
      </c>
      <c r="AO34" s="753">
        <f t="shared" si="41"/>
        <v>29825.435333333335</v>
      </c>
      <c r="AP34" s="753">
        <f t="shared" si="41"/>
        <v>29825.435333333335</v>
      </c>
      <c r="AQ34" s="753">
        <f t="shared" si="41"/>
        <v>29825.435333333335</v>
      </c>
      <c r="AR34" s="753">
        <f t="shared" si="41"/>
        <v>29825.435333333335</v>
      </c>
      <c r="AS34" s="753">
        <f t="shared" si="41"/>
        <v>30720.198393333336</v>
      </c>
      <c r="AT34" s="753">
        <f t="shared" si="41"/>
        <v>30720.198393333336</v>
      </c>
      <c r="AU34" s="753">
        <f t="shared" si="41"/>
        <v>30720.198393333336</v>
      </c>
      <c r="AV34" s="753">
        <f t="shared" si="41"/>
        <v>30720.198393333336</v>
      </c>
      <c r="AW34" s="753">
        <f t="shared" si="41"/>
        <v>30720.198393333336</v>
      </c>
      <c r="AX34" s="753">
        <f t="shared" si="41"/>
        <v>30720.198393333336</v>
      </c>
      <c r="AY34" s="753">
        <f t="shared" si="41"/>
        <v>30720.198393333336</v>
      </c>
      <c r="AZ34" s="753">
        <f t="shared" si="41"/>
        <v>30720.198393333336</v>
      </c>
      <c r="BA34" s="753">
        <f t="shared" si="41"/>
        <v>30720.198393333336</v>
      </c>
      <c r="BB34" s="753">
        <f t="shared" si="41"/>
        <v>30720.198393333336</v>
      </c>
      <c r="BC34" s="753">
        <f t="shared" ref="BC34:BR40" si="42">IFERROR(BB34*(1+BC$31),0)</f>
        <v>30720.198393333336</v>
      </c>
      <c r="BD34" s="753">
        <f t="shared" si="42"/>
        <v>30720.198393333336</v>
      </c>
      <c r="BE34" s="753">
        <f t="shared" si="42"/>
        <v>31641.804345133336</v>
      </c>
      <c r="BF34" s="753">
        <f t="shared" si="42"/>
        <v>31641.804345133336</v>
      </c>
      <c r="BG34" s="753">
        <f t="shared" si="42"/>
        <v>31641.804345133336</v>
      </c>
      <c r="BH34" s="753">
        <f t="shared" si="42"/>
        <v>31641.804345133336</v>
      </c>
      <c r="BI34" s="753">
        <f t="shared" si="42"/>
        <v>31641.804345133336</v>
      </c>
      <c r="BJ34" s="753">
        <f t="shared" si="42"/>
        <v>31641.804345133336</v>
      </c>
      <c r="BK34" s="753">
        <f t="shared" si="42"/>
        <v>31641.804345133336</v>
      </c>
      <c r="BL34" s="753">
        <f t="shared" si="42"/>
        <v>31641.804345133336</v>
      </c>
      <c r="BM34" s="753">
        <f t="shared" si="42"/>
        <v>31641.804345133336</v>
      </c>
      <c r="BN34" s="753">
        <f t="shared" si="42"/>
        <v>31641.804345133336</v>
      </c>
      <c r="BO34" s="753">
        <f t="shared" si="42"/>
        <v>31641.804345133336</v>
      </c>
      <c r="BP34" s="753">
        <f t="shared" si="42"/>
        <v>31641.804345133336</v>
      </c>
      <c r="BQ34" s="753">
        <f t="shared" si="42"/>
        <v>32591.058475487338</v>
      </c>
      <c r="BR34" s="753">
        <f t="shared" si="42"/>
        <v>32591.058475487338</v>
      </c>
      <c r="BS34" s="753">
        <f t="shared" ref="BS34:CH40" si="43">IFERROR(BR34*(1+BS$31),0)</f>
        <v>32591.058475487338</v>
      </c>
      <c r="BT34" s="753">
        <f t="shared" si="43"/>
        <v>32591.058475487338</v>
      </c>
      <c r="BU34" s="753">
        <f t="shared" si="43"/>
        <v>32591.058475487338</v>
      </c>
      <c r="BV34" s="753">
        <f t="shared" si="43"/>
        <v>32591.058475487338</v>
      </c>
      <c r="BW34" s="753">
        <f t="shared" si="43"/>
        <v>32591.058475487338</v>
      </c>
      <c r="BX34" s="753">
        <f t="shared" si="43"/>
        <v>32591.058475487338</v>
      </c>
      <c r="BY34" s="753">
        <f t="shared" si="43"/>
        <v>32591.058475487338</v>
      </c>
      <c r="BZ34" s="753">
        <f t="shared" si="43"/>
        <v>32591.058475487338</v>
      </c>
      <c r="CA34" s="753">
        <f t="shared" si="43"/>
        <v>32591.058475487338</v>
      </c>
      <c r="CB34" s="753">
        <f t="shared" si="43"/>
        <v>32591.058475487338</v>
      </c>
      <c r="CC34" s="753">
        <f t="shared" si="43"/>
        <v>33568.790229751961</v>
      </c>
      <c r="CD34" s="753">
        <f t="shared" si="43"/>
        <v>33568.790229751961</v>
      </c>
      <c r="CE34" s="753">
        <f t="shared" si="43"/>
        <v>33568.790229751961</v>
      </c>
      <c r="CF34" s="753">
        <f t="shared" si="43"/>
        <v>33568.790229751961</v>
      </c>
      <c r="CG34" s="753">
        <f t="shared" si="43"/>
        <v>33568.790229751961</v>
      </c>
      <c r="CH34" s="753">
        <f t="shared" si="43"/>
        <v>33568.790229751961</v>
      </c>
      <c r="CI34" s="753">
        <f t="shared" ref="CI34:CX40" si="44">IFERROR(CH34*(1+CI$31),0)</f>
        <v>33568.790229751961</v>
      </c>
      <c r="CJ34" s="753">
        <f t="shared" si="44"/>
        <v>33568.790229751961</v>
      </c>
      <c r="CK34" s="753">
        <f t="shared" si="44"/>
        <v>33568.790229751961</v>
      </c>
      <c r="CL34" s="753">
        <f t="shared" si="44"/>
        <v>33568.790229751961</v>
      </c>
      <c r="CM34" s="753">
        <f t="shared" si="44"/>
        <v>33568.790229751961</v>
      </c>
      <c r="CN34" s="753">
        <f t="shared" si="44"/>
        <v>33568.790229751961</v>
      </c>
      <c r="CO34" s="753">
        <f t="shared" si="44"/>
        <v>34575.853936644518</v>
      </c>
      <c r="CP34" s="753">
        <f t="shared" si="44"/>
        <v>34575.853936644518</v>
      </c>
      <c r="CQ34" s="753">
        <f t="shared" si="44"/>
        <v>34575.853936644518</v>
      </c>
      <c r="CR34" s="753">
        <f t="shared" si="44"/>
        <v>34575.853936644518</v>
      </c>
      <c r="CS34" s="753">
        <f t="shared" si="44"/>
        <v>34575.853936644518</v>
      </c>
      <c r="CT34" s="753">
        <f t="shared" si="44"/>
        <v>34575.853936644518</v>
      </c>
      <c r="CU34" s="753">
        <f t="shared" si="44"/>
        <v>34575.853936644518</v>
      </c>
      <c r="CV34" s="753">
        <f t="shared" si="44"/>
        <v>34575.853936644518</v>
      </c>
      <c r="CW34" s="753">
        <f t="shared" si="44"/>
        <v>34575.853936644518</v>
      </c>
      <c r="CX34" s="753">
        <f t="shared" si="44"/>
        <v>34575.853936644518</v>
      </c>
      <c r="CY34" s="753">
        <f t="shared" ref="CY34:DN40" si="45">IFERROR(CX34*(1+CY$31),0)</f>
        <v>34575.853936644518</v>
      </c>
      <c r="CZ34" s="753">
        <f t="shared" si="45"/>
        <v>34575.853936644518</v>
      </c>
      <c r="DA34" s="753">
        <f t="shared" si="45"/>
        <v>35613.129554743857</v>
      </c>
      <c r="DB34" s="753">
        <f t="shared" si="45"/>
        <v>35613.129554743857</v>
      </c>
      <c r="DC34" s="753">
        <f t="shared" si="45"/>
        <v>35613.129554743857</v>
      </c>
      <c r="DD34" s="753">
        <f t="shared" si="45"/>
        <v>35613.129554743857</v>
      </c>
      <c r="DE34" s="753">
        <f t="shared" si="45"/>
        <v>35613.129554743857</v>
      </c>
      <c r="DF34" s="753">
        <f t="shared" si="45"/>
        <v>35613.129554743857</v>
      </c>
      <c r="DG34" s="753">
        <f t="shared" si="45"/>
        <v>35613.129554743857</v>
      </c>
      <c r="DH34" s="753">
        <f t="shared" si="45"/>
        <v>35613.129554743857</v>
      </c>
      <c r="DI34" s="753">
        <f t="shared" si="45"/>
        <v>35613.129554743857</v>
      </c>
      <c r="DJ34" s="753">
        <f t="shared" si="45"/>
        <v>35613.129554743857</v>
      </c>
      <c r="DK34" s="753">
        <f t="shared" si="45"/>
        <v>35613.129554743857</v>
      </c>
      <c r="DL34" s="753">
        <f t="shared" si="45"/>
        <v>35613.129554743857</v>
      </c>
      <c r="DM34" s="753">
        <f t="shared" si="45"/>
        <v>36681.523441386176</v>
      </c>
      <c r="DN34" s="753">
        <f t="shared" si="45"/>
        <v>36681.523441386176</v>
      </c>
      <c r="DO34" s="753">
        <f t="shared" ref="DO34:ED40" si="46">IFERROR(DN34*(1+DO$31),0)</f>
        <v>36681.523441386176</v>
      </c>
      <c r="DP34" s="753">
        <f t="shared" si="46"/>
        <v>36681.523441386176</v>
      </c>
      <c r="DQ34" s="753">
        <f t="shared" si="46"/>
        <v>36681.523441386176</v>
      </c>
      <c r="DR34" s="753">
        <f t="shared" si="46"/>
        <v>36681.523441386176</v>
      </c>
      <c r="DS34" s="753">
        <f t="shared" si="46"/>
        <v>36681.523441386176</v>
      </c>
      <c r="DT34" s="753">
        <f t="shared" si="46"/>
        <v>36681.523441386176</v>
      </c>
      <c r="DU34" s="753">
        <f t="shared" si="46"/>
        <v>36681.523441386176</v>
      </c>
      <c r="DV34" s="753">
        <f t="shared" si="46"/>
        <v>36681.523441386176</v>
      </c>
      <c r="DW34" s="753">
        <f t="shared" si="46"/>
        <v>36681.523441386176</v>
      </c>
      <c r="DX34" s="753">
        <f t="shared" si="46"/>
        <v>36681.523441386176</v>
      </c>
      <c r="DY34" s="753">
        <f t="shared" si="46"/>
        <v>37781.969144627765</v>
      </c>
      <c r="DZ34" s="753">
        <f t="shared" si="46"/>
        <v>37781.969144627765</v>
      </c>
      <c r="EA34" s="753">
        <f t="shared" si="46"/>
        <v>37781.969144627765</v>
      </c>
      <c r="EB34" s="753">
        <f t="shared" si="46"/>
        <v>37781.969144627765</v>
      </c>
      <c r="EC34" s="753">
        <f t="shared" si="46"/>
        <v>37781.969144627765</v>
      </c>
      <c r="ED34" s="753">
        <f t="shared" si="46"/>
        <v>37781.969144627765</v>
      </c>
      <c r="EE34" s="753">
        <f t="shared" ref="EE34:ET40" si="47">IFERROR(ED34*(1+EE$31),0)</f>
        <v>37781.969144627765</v>
      </c>
      <c r="EF34" s="753">
        <f t="shared" si="47"/>
        <v>37781.969144627765</v>
      </c>
      <c r="EG34" s="753">
        <f t="shared" si="47"/>
        <v>37781.969144627765</v>
      </c>
      <c r="EH34" s="753">
        <f t="shared" si="47"/>
        <v>37781.969144627765</v>
      </c>
      <c r="EI34" s="753">
        <f t="shared" si="47"/>
        <v>37781.969144627765</v>
      </c>
      <c r="EJ34" s="753">
        <f t="shared" si="47"/>
        <v>37781.969144627765</v>
      </c>
      <c r="EK34" s="753">
        <f t="shared" si="47"/>
        <v>38915.428218966597</v>
      </c>
      <c r="EL34" s="753">
        <f t="shared" si="47"/>
        <v>38915.428218966597</v>
      </c>
      <c r="EM34" s="753">
        <f t="shared" si="47"/>
        <v>38915.428218966597</v>
      </c>
      <c r="EN34" s="753">
        <f t="shared" si="47"/>
        <v>38915.428218966597</v>
      </c>
      <c r="EO34" s="753">
        <f t="shared" si="47"/>
        <v>38915.428218966597</v>
      </c>
      <c r="EP34" s="753">
        <f t="shared" si="47"/>
        <v>38915.428218966597</v>
      </c>
      <c r="EQ34" s="753">
        <f t="shared" si="47"/>
        <v>38915.428218966597</v>
      </c>
      <c r="ER34" s="753">
        <f t="shared" si="47"/>
        <v>38915.428218966597</v>
      </c>
      <c r="ES34" s="753">
        <f t="shared" si="47"/>
        <v>38915.428218966597</v>
      </c>
      <c r="ET34" s="753">
        <f t="shared" si="47"/>
        <v>38915.428218966597</v>
      </c>
      <c r="EU34" s="753">
        <f t="shared" ref="EU34:EV40" si="48">IFERROR(ET34*(1+EU$31),0)</f>
        <v>38915.428218966597</v>
      </c>
      <c r="EV34" s="753">
        <f t="shared" si="48"/>
        <v>38915.428218966597</v>
      </c>
      <c r="EW34" s="150" t="s">
        <v>243</v>
      </c>
    </row>
    <row r="35" spans="2:153" x14ac:dyDescent="0.2">
      <c r="B35" s="749">
        <f>B34+1</f>
        <v>2</v>
      </c>
      <c r="C35" s="750">
        <v>0.03</v>
      </c>
      <c r="D35" s="750">
        <v>0.05</v>
      </c>
      <c r="E35" s="750">
        <v>0.04</v>
      </c>
      <c r="F35" s="750">
        <v>5.0000000000000001E-3</v>
      </c>
      <c r="G35" s="750">
        <v>0.06</v>
      </c>
      <c r="H35" s="750">
        <v>5.0000000000000001E-3</v>
      </c>
      <c r="I35" s="750">
        <v>0.02</v>
      </c>
      <c r="J35" s="750">
        <v>0.02</v>
      </c>
      <c r="K35" s="160">
        <v>0.82</v>
      </c>
      <c r="M35" s="721" t="s">
        <v>150</v>
      </c>
      <c r="N35" s="144"/>
      <c r="P35" s="754">
        <v>0.03</v>
      </c>
      <c r="S35" s="752" t="str">
        <f t="shared" ref="S35:S41" si="49">B10</f>
        <v>Contract Services</v>
      </c>
      <c r="T35" s="753">
        <f>Financials!AL23</f>
        <v>6532.4683333333332</v>
      </c>
      <c r="U35" s="753">
        <f>IFERROR(I10*(1+U$31)/12,0)</f>
        <v>6513.376666666667</v>
      </c>
      <c r="V35" s="753">
        <f t="shared" ref="V35:AK40" si="50">IFERROR(U35*(1+V$31),0)</f>
        <v>6513.376666666667</v>
      </c>
      <c r="W35" s="753">
        <f t="shared" si="50"/>
        <v>6513.376666666667</v>
      </c>
      <c r="X35" s="753">
        <f t="shared" si="50"/>
        <v>6513.376666666667</v>
      </c>
      <c r="Y35" s="753">
        <f t="shared" si="50"/>
        <v>6513.376666666667</v>
      </c>
      <c r="Z35" s="753">
        <f t="shared" si="50"/>
        <v>6513.376666666667</v>
      </c>
      <c r="AA35" s="753">
        <f t="shared" si="50"/>
        <v>6513.376666666667</v>
      </c>
      <c r="AB35" s="753">
        <f t="shared" si="50"/>
        <v>6513.376666666667</v>
      </c>
      <c r="AC35" s="753">
        <f t="shared" si="50"/>
        <v>6513.376666666667</v>
      </c>
      <c r="AD35" s="753">
        <f t="shared" si="50"/>
        <v>6513.376666666667</v>
      </c>
      <c r="AE35" s="753">
        <f t="shared" si="50"/>
        <v>6513.376666666667</v>
      </c>
      <c r="AF35" s="753">
        <f t="shared" si="50"/>
        <v>6513.376666666667</v>
      </c>
      <c r="AG35" s="753">
        <f t="shared" si="50"/>
        <v>6708.7779666666675</v>
      </c>
      <c r="AH35" s="753">
        <f t="shared" si="50"/>
        <v>6708.7779666666675</v>
      </c>
      <c r="AI35" s="753">
        <f t="shared" si="50"/>
        <v>6708.7779666666675</v>
      </c>
      <c r="AJ35" s="753">
        <f t="shared" si="50"/>
        <v>6708.7779666666675</v>
      </c>
      <c r="AK35" s="753">
        <f t="shared" si="50"/>
        <v>6708.7779666666675</v>
      </c>
      <c r="AL35" s="753">
        <f t="shared" si="40"/>
        <v>6708.7779666666675</v>
      </c>
      <c r="AM35" s="753">
        <f t="shared" si="41"/>
        <v>6708.7779666666675</v>
      </c>
      <c r="AN35" s="753">
        <f t="shared" si="41"/>
        <v>6708.7779666666675</v>
      </c>
      <c r="AO35" s="753">
        <f t="shared" si="41"/>
        <v>6708.7779666666675</v>
      </c>
      <c r="AP35" s="753">
        <f t="shared" si="41"/>
        <v>6708.7779666666675</v>
      </c>
      <c r="AQ35" s="753">
        <f t="shared" si="41"/>
        <v>6708.7779666666675</v>
      </c>
      <c r="AR35" s="753">
        <f t="shared" si="41"/>
        <v>6708.7779666666675</v>
      </c>
      <c r="AS35" s="753">
        <f t="shared" si="41"/>
        <v>6910.0413056666675</v>
      </c>
      <c r="AT35" s="753">
        <f t="shared" si="41"/>
        <v>6910.0413056666675</v>
      </c>
      <c r="AU35" s="753">
        <f t="shared" si="41"/>
        <v>6910.0413056666675</v>
      </c>
      <c r="AV35" s="753">
        <f t="shared" si="41"/>
        <v>6910.0413056666675</v>
      </c>
      <c r="AW35" s="753">
        <f t="shared" si="41"/>
        <v>6910.0413056666675</v>
      </c>
      <c r="AX35" s="753">
        <f t="shared" si="41"/>
        <v>6910.0413056666675</v>
      </c>
      <c r="AY35" s="753">
        <f t="shared" si="41"/>
        <v>6910.0413056666675</v>
      </c>
      <c r="AZ35" s="753">
        <f t="shared" si="41"/>
        <v>6910.0413056666675</v>
      </c>
      <c r="BA35" s="753">
        <f t="shared" si="41"/>
        <v>6910.0413056666675</v>
      </c>
      <c r="BB35" s="753">
        <f t="shared" si="41"/>
        <v>6910.0413056666675</v>
      </c>
      <c r="BC35" s="753">
        <f t="shared" si="42"/>
        <v>6910.0413056666675</v>
      </c>
      <c r="BD35" s="753">
        <f t="shared" si="42"/>
        <v>6910.0413056666675</v>
      </c>
      <c r="BE35" s="753">
        <f t="shared" si="42"/>
        <v>7117.3425448366679</v>
      </c>
      <c r="BF35" s="753">
        <f t="shared" si="42"/>
        <v>7117.3425448366679</v>
      </c>
      <c r="BG35" s="753">
        <f t="shared" si="42"/>
        <v>7117.3425448366679</v>
      </c>
      <c r="BH35" s="753">
        <f t="shared" si="42"/>
        <v>7117.3425448366679</v>
      </c>
      <c r="BI35" s="753">
        <f t="shared" si="42"/>
        <v>7117.3425448366679</v>
      </c>
      <c r="BJ35" s="753">
        <f t="shared" si="42"/>
        <v>7117.3425448366679</v>
      </c>
      <c r="BK35" s="753">
        <f t="shared" si="42"/>
        <v>7117.3425448366679</v>
      </c>
      <c r="BL35" s="753">
        <f t="shared" si="42"/>
        <v>7117.3425448366679</v>
      </c>
      <c r="BM35" s="753">
        <f t="shared" si="42"/>
        <v>7117.3425448366679</v>
      </c>
      <c r="BN35" s="753">
        <f t="shared" si="42"/>
        <v>7117.3425448366679</v>
      </c>
      <c r="BO35" s="753">
        <f t="shared" si="42"/>
        <v>7117.3425448366679</v>
      </c>
      <c r="BP35" s="753">
        <f t="shared" si="42"/>
        <v>7117.3425448366679</v>
      </c>
      <c r="BQ35" s="753">
        <f t="shared" si="42"/>
        <v>7330.8628211817677</v>
      </c>
      <c r="BR35" s="753">
        <f t="shared" si="42"/>
        <v>7330.8628211817677</v>
      </c>
      <c r="BS35" s="753">
        <f t="shared" si="43"/>
        <v>7330.8628211817677</v>
      </c>
      <c r="BT35" s="753">
        <f t="shared" si="43"/>
        <v>7330.8628211817677</v>
      </c>
      <c r="BU35" s="753">
        <f t="shared" si="43"/>
        <v>7330.8628211817677</v>
      </c>
      <c r="BV35" s="753">
        <f t="shared" si="43"/>
        <v>7330.8628211817677</v>
      </c>
      <c r="BW35" s="753">
        <f t="shared" si="43"/>
        <v>7330.8628211817677</v>
      </c>
      <c r="BX35" s="753">
        <f t="shared" si="43"/>
        <v>7330.8628211817677</v>
      </c>
      <c r="BY35" s="753">
        <f t="shared" si="43"/>
        <v>7330.8628211817677</v>
      </c>
      <c r="BZ35" s="753">
        <f t="shared" si="43"/>
        <v>7330.8628211817677</v>
      </c>
      <c r="CA35" s="753">
        <f t="shared" si="43"/>
        <v>7330.8628211817677</v>
      </c>
      <c r="CB35" s="753">
        <f t="shared" si="43"/>
        <v>7330.8628211817677</v>
      </c>
      <c r="CC35" s="753">
        <f t="shared" si="43"/>
        <v>7550.7887058172209</v>
      </c>
      <c r="CD35" s="753">
        <f t="shared" si="43"/>
        <v>7550.7887058172209</v>
      </c>
      <c r="CE35" s="753">
        <f t="shared" si="43"/>
        <v>7550.7887058172209</v>
      </c>
      <c r="CF35" s="753">
        <f t="shared" si="43"/>
        <v>7550.7887058172209</v>
      </c>
      <c r="CG35" s="753">
        <f t="shared" si="43"/>
        <v>7550.7887058172209</v>
      </c>
      <c r="CH35" s="753">
        <f t="shared" si="43"/>
        <v>7550.7887058172209</v>
      </c>
      <c r="CI35" s="753">
        <f t="shared" si="44"/>
        <v>7550.7887058172209</v>
      </c>
      <c r="CJ35" s="753">
        <f t="shared" si="44"/>
        <v>7550.7887058172209</v>
      </c>
      <c r="CK35" s="753">
        <f t="shared" si="44"/>
        <v>7550.7887058172209</v>
      </c>
      <c r="CL35" s="753">
        <f t="shared" si="44"/>
        <v>7550.7887058172209</v>
      </c>
      <c r="CM35" s="753">
        <f t="shared" si="44"/>
        <v>7550.7887058172209</v>
      </c>
      <c r="CN35" s="753">
        <f t="shared" si="44"/>
        <v>7550.7887058172209</v>
      </c>
      <c r="CO35" s="753">
        <f t="shared" si="44"/>
        <v>7777.3123669917377</v>
      </c>
      <c r="CP35" s="753">
        <f t="shared" si="44"/>
        <v>7777.3123669917377</v>
      </c>
      <c r="CQ35" s="753">
        <f t="shared" si="44"/>
        <v>7777.3123669917377</v>
      </c>
      <c r="CR35" s="753">
        <f t="shared" si="44"/>
        <v>7777.3123669917377</v>
      </c>
      <c r="CS35" s="753">
        <f t="shared" si="44"/>
        <v>7777.3123669917377</v>
      </c>
      <c r="CT35" s="753">
        <f t="shared" si="44"/>
        <v>7777.3123669917377</v>
      </c>
      <c r="CU35" s="753">
        <f t="shared" si="44"/>
        <v>7777.3123669917377</v>
      </c>
      <c r="CV35" s="753">
        <f t="shared" si="44"/>
        <v>7777.3123669917377</v>
      </c>
      <c r="CW35" s="753">
        <f t="shared" si="44"/>
        <v>7777.3123669917377</v>
      </c>
      <c r="CX35" s="753">
        <f t="shared" si="44"/>
        <v>7777.3123669917377</v>
      </c>
      <c r="CY35" s="753">
        <f t="shared" si="45"/>
        <v>7777.3123669917377</v>
      </c>
      <c r="CZ35" s="753">
        <f t="shared" si="45"/>
        <v>7777.3123669917377</v>
      </c>
      <c r="DA35" s="753">
        <f t="shared" si="45"/>
        <v>8010.6317380014898</v>
      </c>
      <c r="DB35" s="753">
        <f t="shared" si="45"/>
        <v>8010.6317380014898</v>
      </c>
      <c r="DC35" s="753">
        <f t="shared" si="45"/>
        <v>8010.6317380014898</v>
      </c>
      <c r="DD35" s="753">
        <f t="shared" si="45"/>
        <v>8010.6317380014898</v>
      </c>
      <c r="DE35" s="753">
        <f t="shared" si="45"/>
        <v>8010.6317380014898</v>
      </c>
      <c r="DF35" s="753">
        <f t="shared" si="45"/>
        <v>8010.6317380014898</v>
      </c>
      <c r="DG35" s="753">
        <f t="shared" si="45"/>
        <v>8010.6317380014898</v>
      </c>
      <c r="DH35" s="753">
        <f t="shared" si="45"/>
        <v>8010.6317380014898</v>
      </c>
      <c r="DI35" s="753">
        <f t="shared" si="45"/>
        <v>8010.6317380014898</v>
      </c>
      <c r="DJ35" s="753">
        <f t="shared" si="45"/>
        <v>8010.6317380014898</v>
      </c>
      <c r="DK35" s="753">
        <f t="shared" si="45"/>
        <v>8010.6317380014898</v>
      </c>
      <c r="DL35" s="753">
        <f t="shared" si="45"/>
        <v>8010.6317380014898</v>
      </c>
      <c r="DM35" s="753">
        <f t="shared" si="45"/>
        <v>8250.9506901415352</v>
      </c>
      <c r="DN35" s="753">
        <f t="shared" si="45"/>
        <v>8250.9506901415352</v>
      </c>
      <c r="DO35" s="753">
        <f t="shared" si="46"/>
        <v>8250.9506901415352</v>
      </c>
      <c r="DP35" s="753">
        <f t="shared" si="46"/>
        <v>8250.9506901415352</v>
      </c>
      <c r="DQ35" s="753">
        <f t="shared" si="46"/>
        <v>8250.9506901415352</v>
      </c>
      <c r="DR35" s="753">
        <f t="shared" si="46"/>
        <v>8250.9506901415352</v>
      </c>
      <c r="DS35" s="753">
        <f t="shared" si="46"/>
        <v>8250.9506901415352</v>
      </c>
      <c r="DT35" s="753">
        <f t="shared" si="46"/>
        <v>8250.9506901415352</v>
      </c>
      <c r="DU35" s="753">
        <f t="shared" si="46"/>
        <v>8250.9506901415352</v>
      </c>
      <c r="DV35" s="753">
        <f t="shared" si="46"/>
        <v>8250.9506901415352</v>
      </c>
      <c r="DW35" s="753">
        <f t="shared" si="46"/>
        <v>8250.9506901415352</v>
      </c>
      <c r="DX35" s="753">
        <f t="shared" si="46"/>
        <v>8250.9506901415352</v>
      </c>
      <c r="DY35" s="753">
        <f t="shared" si="46"/>
        <v>8498.4792108457823</v>
      </c>
      <c r="DZ35" s="753">
        <f t="shared" si="46"/>
        <v>8498.4792108457823</v>
      </c>
      <c r="EA35" s="753">
        <f t="shared" si="46"/>
        <v>8498.4792108457823</v>
      </c>
      <c r="EB35" s="753">
        <f t="shared" si="46"/>
        <v>8498.4792108457823</v>
      </c>
      <c r="EC35" s="753">
        <f t="shared" si="46"/>
        <v>8498.4792108457823</v>
      </c>
      <c r="ED35" s="753">
        <f t="shared" si="46"/>
        <v>8498.4792108457823</v>
      </c>
      <c r="EE35" s="753">
        <f t="shared" si="47"/>
        <v>8498.4792108457823</v>
      </c>
      <c r="EF35" s="753">
        <f t="shared" si="47"/>
        <v>8498.4792108457823</v>
      </c>
      <c r="EG35" s="753">
        <f t="shared" si="47"/>
        <v>8498.4792108457823</v>
      </c>
      <c r="EH35" s="753">
        <f t="shared" si="47"/>
        <v>8498.4792108457823</v>
      </c>
      <c r="EI35" s="753">
        <f t="shared" si="47"/>
        <v>8498.4792108457823</v>
      </c>
      <c r="EJ35" s="753">
        <f t="shared" si="47"/>
        <v>8498.4792108457823</v>
      </c>
      <c r="EK35" s="753">
        <f t="shared" si="47"/>
        <v>8753.4335871711555</v>
      </c>
      <c r="EL35" s="753">
        <f t="shared" si="47"/>
        <v>8753.4335871711555</v>
      </c>
      <c r="EM35" s="753">
        <f t="shared" si="47"/>
        <v>8753.4335871711555</v>
      </c>
      <c r="EN35" s="753">
        <f t="shared" si="47"/>
        <v>8753.4335871711555</v>
      </c>
      <c r="EO35" s="753">
        <f t="shared" si="47"/>
        <v>8753.4335871711555</v>
      </c>
      <c r="EP35" s="753">
        <f t="shared" si="47"/>
        <v>8753.4335871711555</v>
      </c>
      <c r="EQ35" s="753">
        <f t="shared" si="47"/>
        <v>8753.4335871711555</v>
      </c>
      <c r="ER35" s="753">
        <f t="shared" si="47"/>
        <v>8753.4335871711555</v>
      </c>
      <c r="ES35" s="753">
        <f t="shared" si="47"/>
        <v>8753.4335871711555</v>
      </c>
      <c r="ET35" s="753">
        <f t="shared" si="47"/>
        <v>8753.4335871711555</v>
      </c>
      <c r="EU35" s="753">
        <f t="shared" si="48"/>
        <v>8753.4335871711555</v>
      </c>
      <c r="EV35" s="753">
        <f t="shared" si="48"/>
        <v>8753.4335871711555</v>
      </c>
      <c r="EW35" s="150" t="s">
        <v>243</v>
      </c>
    </row>
    <row r="36" spans="2:153" x14ac:dyDescent="0.2">
      <c r="B36" s="749">
        <f t="shared" ref="B36:B44" si="51">B35+1</f>
        <v>3</v>
      </c>
      <c r="C36" s="750">
        <v>0.03</v>
      </c>
      <c r="D36" s="750">
        <v>0.05</v>
      </c>
      <c r="E36" s="750">
        <v>3.5000000000000003E-2</v>
      </c>
      <c r="F36" s="750">
        <v>5.0000000000000001E-3</v>
      </c>
      <c r="G36" s="750">
        <v>0.05</v>
      </c>
      <c r="H36" s="750">
        <v>5.0000000000000001E-3</v>
      </c>
      <c r="I36" s="750">
        <v>0.02</v>
      </c>
      <c r="J36" s="750">
        <v>0.02</v>
      </c>
      <c r="K36" s="160">
        <v>0.82</v>
      </c>
      <c r="M36" s="721" t="s">
        <v>148</v>
      </c>
      <c r="N36" s="144"/>
      <c r="P36" s="751">
        <v>0</v>
      </c>
      <c r="S36" s="752" t="str">
        <f t="shared" si="49"/>
        <v>Administrative</v>
      </c>
      <c r="T36" s="753">
        <f>Financials!AL24</f>
        <v>8959.2408333333333</v>
      </c>
      <c r="U36" s="753">
        <f>IFERROR(I11*(1+U$31)/12,0)</f>
        <v>6646.8552250000002</v>
      </c>
      <c r="V36" s="753">
        <f>IFERROR(U36*(1+V$31),0)</f>
        <v>6646.8552250000002</v>
      </c>
      <c r="W36" s="753">
        <f t="shared" si="50"/>
        <v>6646.8552250000002</v>
      </c>
      <c r="X36" s="753">
        <f t="shared" si="50"/>
        <v>6646.8552250000002</v>
      </c>
      <c r="Y36" s="753">
        <f t="shared" si="50"/>
        <v>6646.8552250000002</v>
      </c>
      <c r="Z36" s="753">
        <f t="shared" si="50"/>
        <v>6646.8552250000002</v>
      </c>
      <c r="AA36" s="753">
        <f t="shared" si="50"/>
        <v>6646.8552250000002</v>
      </c>
      <c r="AB36" s="753">
        <f t="shared" si="50"/>
        <v>6646.8552250000002</v>
      </c>
      <c r="AC36" s="753">
        <f t="shared" si="50"/>
        <v>6646.8552250000002</v>
      </c>
      <c r="AD36" s="753">
        <f t="shared" si="50"/>
        <v>6646.8552250000002</v>
      </c>
      <c r="AE36" s="753">
        <f t="shared" si="50"/>
        <v>6646.8552250000002</v>
      </c>
      <c r="AF36" s="753">
        <f t="shared" si="50"/>
        <v>6646.8552250000002</v>
      </c>
      <c r="AG36" s="753">
        <f t="shared" si="50"/>
        <v>6846.2608817500004</v>
      </c>
      <c r="AH36" s="753">
        <f t="shared" si="50"/>
        <v>6846.2608817500004</v>
      </c>
      <c r="AI36" s="753">
        <f t="shared" si="50"/>
        <v>6846.2608817500004</v>
      </c>
      <c r="AJ36" s="753">
        <f t="shared" si="50"/>
        <v>6846.2608817500004</v>
      </c>
      <c r="AK36" s="753">
        <f t="shared" si="50"/>
        <v>6846.2608817500004</v>
      </c>
      <c r="AL36" s="753">
        <f t="shared" si="40"/>
        <v>6846.2608817500004</v>
      </c>
      <c r="AM36" s="753">
        <f t="shared" si="41"/>
        <v>6846.2608817500004</v>
      </c>
      <c r="AN36" s="753">
        <f t="shared" si="41"/>
        <v>6846.2608817500004</v>
      </c>
      <c r="AO36" s="753">
        <f t="shared" si="41"/>
        <v>6846.2608817500004</v>
      </c>
      <c r="AP36" s="753">
        <f t="shared" si="41"/>
        <v>6846.2608817500004</v>
      </c>
      <c r="AQ36" s="753">
        <f t="shared" si="41"/>
        <v>6846.2608817500004</v>
      </c>
      <c r="AR36" s="753">
        <f t="shared" si="41"/>
        <v>6846.2608817500004</v>
      </c>
      <c r="AS36" s="753">
        <f t="shared" si="41"/>
        <v>7051.6487082025005</v>
      </c>
      <c r="AT36" s="753">
        <f t="shared" si="41"/>
        <v>7051.6487082025005</v>
      </c>
      <c r="AU36" s="753">
        <f t="shared" si="41"/>
        <v>7051.6487082025005</v>
      </c>
      <c r="AV36" s="753">
        <f t="shared" si="41"/>
        <v>7051.6487082025005</v>
      </c>
      <c r="AW36" s="753">
        <f t="shared" si="41"/>
        <v>7051.6487082025005</v>
      </c>
      <c r="AX36" s="753">
        <f t="shared" si="41"/>
        <v>7051.6487082025005</v>
      </c>
      <c r="AY36" s="753">
        <f t="shared" si="41"/>
        <v>7051.6487082025005</v>
      </c>
      <c r="AZ36" s="753">
        <f t="shared" si="41"/>
        <v>7051.6487082025005</v>
      </c>
      <c r="BA36" s="753">
        <f t="shared" si="41"/>
        <v>7051.6487082025005</v>
      </c>
      <c r="BB36" s="753">
        <f t="shared" si="41"/>
        <v>7051.6487082025005</v>
      </c>
      <c r="BC36" s="753">
        <f t="shared" si="42"/>
        <v>7051.6487082025005</v>
      </c>
      <c r="BD36" s="753">
        <f t="shared" si="42"/>
        <v>7051.6487082025005</v>
      </c>
      <c r="BE36" s="753">
        <f t="shared" si="42"/>
        <v>7263.1981694485758</v>
      </c>
      <c r="BF36" s="753">
        <f t="shared" si="42"/>
        <v>7263.1981694485758</v>
      </c>
      <c r="BG36" s="753">
        <f t="shared" si="42"/>
        <v>7263.1981694485758</v>
      </c>
      <c r="BH36" s="753">
        <f t="shared" si="42"/>
        <v>7263.1981694485758</v>
      </c>
      <c r="BI36" s="753">
        <f t="shared" si="42"/>
        <v>7263.1981694485758</v>
      </c>
      <c r="BJ36" s="753">
        <f t="shared" si="42"/>
        <v>7263.1981694485758</v>
      </c>
      <c r="BK36" s="753">
        <f t="shared" si="42"/>
        <v>7263.1981694485758</v>
      </c>
      <c r="BL36" s="753">
        <f t="shared" si="42"/>
        <v>7263.1981694485758</v>
      </c>
      <c r="BM36" s="753">
        <f t="shared" si="42"/>
        <v>7263.1981694485758</v>
      </c>
      <c r="BN36" s="753">
        <f t="shared" si="42"/>
        <v>7263.1981694485758</v>
      </c>
      <c r="BO36" s="753">
        <f t="shared" si="42"/>
        <v>7263.1981694485758</v>
      </c>
      <c r="BP36" s="753">
        <f t="shared" si="42"/>
        <v>7263.1981694485758</v>
      </c>
      <c r="BQ36" s="753">
        <f t="shared" si="42"/>
        <v>7481.094114532033</v>
      </c>
      <c r="BR36" s="753">
        <f t="shared" si="42"/>
        <v>7481.094114532033</v>
      </c>
      <c r="BS36" s="753">
        <f t="shared" si="43"/>
        <v>7481.094114532033</v>
      </c>
      <c r="BT36" s="753">
        <f t="shared" si="43"/>
        <v>7481.094114532033</v>
      </c>
      <c r="BU36" s="753">
        <f t="shared" si="43"/>
        <v>7481.094114532033</v>
      </c>
      <c r="BV36" s="753">
        <f t="shared" si="43"/>
        <v>7481.094114532033</v>
      </c>
      <c r="BW36" s="753">
        <f t="shared" si="43"/>
        <v>7481.094114532033</v>
      </c>
      <c r="BX36" s="753">
        <f t="shared" si="43"/>
        <v>7481.094114532033</v>
      </c>
      <c r="BY36" s="753">
        <f t="shared" si="43"/>
        <v>7481.094114532033</v>
      </c>
      <c r="BZ36" s="753">
        <f t="shared" si="43"/>
        <v>7481.094114532033</v>
      </c>
      <c r="CA36" s="753">
        <f t="shared" si="43"/>
        <v>7481.094114532033</v>
      </c>
      <c r="CB36" s="753">
        <f t="shared" si="43"/>
        <v>7481.094114532033</v>
      </c>
      <c r="CC36" s="753">
        <f t="shared" si="43"/>
        <v>7705.5269379679939</v>
      </c>
      <c r="CD36" s="753">
        <f t="shared" si="43"/>
        <v>7705.5269379679939</v>
      </c>
      <c r="CE36" s="753">
        <f t="shared" si="43"/>
        <v>7705.5269379679939</v>
      </c>
      <c r="CF36" s="753">
        <f t="shared" si="43"/>
        <v>7705.5269379679939</v>
      </c>
      <c r="CG36" s="753">
        <f t="shared" si="43"/>
        <v>7705.5269379679939</v>
      </c>
      <c r="CH36" s="753">
        <f t="shared" si="43"/>
        <v>7705.5269379679939</v>
      </c>
      <c r="CI36" s="753">
        <f t="shared" si="44"/>
        <v>7705.5269379679939</v>
      </c>
      <c r="CJ36" s="753">
        <f t="shared" si="44"/>
        <v>7705.5269379679939</v>
      </c>
      <c r="CK36" s="753">
        <f t="shared" si="44"/>
        <v>7705.5269379679939</v>
      </c>
      <c r="CL36" s="753">
        <f t="shared" si="44"/>
        <v>7705.5269379679939</v>
      </c>
      <c r="CM36" s="753">
        <f t="shared" si="44"/>
        <v>7705.5269379679939</v>
      </c>
      <c r="CN36" s="753">
        <f t="shared" si="44"/>
        <v>7705.5269379679939</v>
      </c>
      <c r="CO36" s="753">
        <f t="shared" si="44"/>
        <v>7936.6927461070336</v>
      </c>
      <c r="CP36" s="753">
        <f t="shared" si="44"/>
        <v>7936.6927461070336</v>
      </c>
      <c r="CQ36" s="753">
        <f t="shared" si="44"/>
        <v>7936.6927461070336</v>
      </c>
      <c r="CR36" s="753">
        <f t="shared" si="44"/>
        <v>7936.6927461070336</v>
      </c>
      <c r="CS36" s="753">
        <f t="shared" si="44"/>
        <v>7936.6927461070336</v>
      </c>
      <c r="CT36" s="753">
        <f t="shared" si="44"/>
        <v>7936.6927461070336</v>
      </c>
      <c r="CU36" s="753">
        <f t="shared" si="44"/>
        <v>7936.6927461070336</v>
      </c>
      <c r="CV36" s="753">
        <f t="shared" si="44"/>
        <v>7936.6927461070336</v>
      </c>
      <c r="CW36" s="753">
        <f t="shared" si="44"/>
        <v>7936.6927461070336</v>
      </c>
      <c r="CX36" s="753">
        <f t="shared" si="44"/>
        <v>7936.6927461070336</v>
      </c>
      <c r="CY36" s="753">
        <f t="shared" si="45"/>
        <v>7936.6927461070336</v>
      </c>
      <c r="CZ36" s="753">
        <f t="shared" si="45"/>
        <v>7936.6927461070336</v>
      </c>
      <c r="DA36" s="753">
        <f t="shared" si="45"/>
        <v>8174.7935284902451</v>
      </c>
      <c r="DB36" s="753">
        <f t="shared" si="45"/>
        <v>8174.7935284902451</v>
      </c>
      <c r="DC36" s="753">
        <f t="shared" si="45"/>
        <v>8174.7935284902451</v>
      </c>
      <c r="DD36" s="753">
        <f t="shared" si="45"/>
        <v>8174.7935284902451</v>
      </c>
      <c r="DE36" s="753">
        <f t="shared" si="45"/>
        <v>8174.7935284902451</v>
      </c>
      <c r="DF36" s="753">
        <f t="shared" si="45"/>
        <v>8174.7935284902451</v>
      </c>
      <c r="DG36" s="753">
        <f t="shared" si="45"/>
        <v>8174.7935284902451</v>
      </c>
      <c r="DH36" s="753">
        <f t="shared" si="45"/>
        <v>8174.7935284902451</v>
      </c>
      <c r="DI36" s="753">
        <f t="shared" si="45"/>
        <v>8174.7935284902451</v>
      </c>
      <c r="DJ36" s="753">
        <f t="shared" si="45"/>
        <v>8174.7935284902451</v>
      </c>
      <c r="DK36" s="753">
        <f t="shared" si="45"/>
        <v>8174.7935284902451</v>
      </c>
      <c r="DL36" s="753">
        <f t="shared" si="45"/>
        <v>8174.7935284902451</v>
      </c>
      <c r="DM36" s="753">
        <f t="shared" si="45"/>
        <v>8420.0373343449519</v>
      </c>
      <c r="DN36" s="753">
        <f t="shared" si="45"/>
        <v>8420.0373343449519</v>
      </c>
      <c r="DO36" s="753">
        <f t="shared" si="46"/>
        <v>8420.0373343449519</v>
      </c>
      <c r="DP36" s="753">
        <f t="shared" si="46"/>
        <v>8420.0373343449519</v>
      </c>
      <c r="DQ36" s="753">
        <f t="shared" si="46"/>
        <v>8420.0373343449519</v>
      </c>
      <c r="DR36" s="753">
        <f t="shared" si="46"/>
        <v>8420.0373343449519</v>
      </c>
      <c r="DS36" s="753">
        <f t="shared" si="46"/>
        <v>8420.0373343449519</v>
      </c>
      <c r="DT36" s="753">
        <f t="shared" si="46"/>
        <v>8420.0373343449519</v>
      </c>
      <c r="DU36" s="753">
        <f t="shared" si="46"/>
        <v>8420.0373343449519</v>
      </c>
      <c r="DV36" s="753">
        <f t="shared" si="46"/>
        <v>8420.0373343449519</v>
      </c>
      <c r="DW36" s="753">
        <f t="shared" si="46"/>
        <v>8420.0373343449519</v>
      </c>
      <c r="DX36" s="753">
        <f t="shared" si="46"/>
        <v>8420.0373343449519</v>
      </c>
      <c r="DY36" s="753">
        <f t="shared" si="46"/>
        <v>8672.6384543753011</v>
      </c>
      <c r="DZ36" s="753">
        <f t="shared" si="46"/>
        <v>8672.6384543753011</v>
      </c>
      <c r="EA36" s="753">
        <f t="shared" si="46"/>
        <v>8672.6384543753011</v>
      </c>
      <c r="EB36" s="753">
        <f t="shared" si="46"/>
        <v>8672.6384543753011</v>
      </c>
      <c r="EC36" s="753">
        <f t="shared" si="46"/>
        <v>8672.6384543753011</v>
      </c>
      <c r="ED36" s="753">
        <f t="shared" si="46"/>
        <v>8672.6384543753011</v>
      </c>
      <c r="EE36" s="753">
        <f t="shared" si="47"/>
        <v>8672.6384543753011</v>
      </c>
      <c r="EF36" s="753">
        <f t="shared" si="47"/>
        <v>8672.6384543753011</v>
      </c>
      <c r="EG36" s="753">
        <f t="shared" si="47"/>
        <v>8672.6384543753011</v>
      </c>
      <c r="EH36" s="753">
        <f t="shared" si="47"/>
        <v>8672.6384543753011</v>
      </c>
      <c r="EI36" s="753">
        <f t="shared" si="47"/>
        <v>8672.6384543753011</v>
      </c>
      <c r="EJ36" s="753">
        <f t="shared" si="47"/>
        <v>8672.6384543753011</v>
      </c>
      <c r="EK36" s="753">
        <f t="shared" si="47"/>
        <v>8932.8176080065605</v>
      </c>
      <c r="EL36" s="753">
        <f t="shared" si="47"/>
        <v>8932.8176080065605</v>
      </c>
      <c r="EM36" s="753">
        <f t="shared" si="47"/>
        <v>8932.8176080065605</v>
      </c>
      <c r="EN36" s="753">
        <f t="shared" si="47"/>
        <v>8932.8176080065605</v>
      </c>
      <c r="EO36" s="753">
        <f t="shared" si="47"/>
        <v>8932.8176080065605</v>
      </c>
      <c r="EP36" s="753">
        <f t="shared" si="47"/>
        <v>8932.8176080065605</v>
      </c>
      <c r="EQ36" s="753">
        <f t="shared" si="47"/>
        <v>8932.8176080065605</v>
      </c>
      <c r="ER36" s="753">
        <f t="shared" si="47"/>
        <v>8932.8176080065605</v>
      </c>
      <c r="ES36" s="753">
        <f t="shared" si="47"/>
        <v>8932.8176080065605</v>
      </c>
      <c r="ET36" s="753">
        <f t="shared" si="47"/>
        <v>8932.8176080065605</v>
      </c>
      <c r="EU36" s="753">
        <f t="shared" si="48"/>
        <v>8932.8176080065605</v>
      </c>
      <c r="EV36" s="753">
        <f t="shared" si="48"/>
        <v>8932.8176080065605</v>
      </c>
      <c r="EW36" s="150" t="s">
        <v>243</v>
      </c>
    </row>
    <row r="37" spans="2:153" x14ac:dyDescent="0.2">
      <c r="B37" s="749">
        <f t="shared" si="51"/>
        <v>4</v>
      </c>
      <c r="C37" s="750">
        <v>0.03</v>
      </c>
      <c r="D37" s="750">
        <v>0.04</v>
      </c>
      <c r="E37" s="750">
        <v>3.5000000000000003E-2</v>
      </c>
      <c r="F37" s="750">
        <v>5.0000000000000001E-3</v>
      </c>
      <c r="G37" s="750">
        <v>0.05</v>
      </c>
      <c r="H37" s="750">
        <v>5.0000000000000001E-3</v>
      </c>
      <c r="I37" s="750">
        <v>0.02</v>
      </c>
      <c r="J37" s="750">
        <v>0.02</v>
      </c>
      <c r="K37" s="160">
        <v>0.82</v>
      </c>
      <c r="M37" s="721" t="s">
        <v>430</v>
      </c>
      <c r="N37" s="144"/>
      <c r="O37" s="490"/>
      <c r="P37" s="755">
        <v>200</v>
      </c>
      <c r="S37" s="752" t="str">
        <f t="shared" si="49"/>
        <v>Marketing</v>
      </c>
      <c r="T37" s="753">
        <f>Financials!AL25</f>
        <v>2898.7341666666666</v>
      </c>
      <c r="U37" s="753">
        <f t="shared" ref="U37:U40" si="52">IFERROR(I12*(1+U$31)/12,0)</f>
        <v>4439.9866666666667</v>
      </c>
      <c r="V37" s="753">
        <f t="shared" si="50"/>
        <v>4439.9866666666667</v>
      </c>
      <c r="W37" s="753">
        <f t="shared" si="50"/>
        <v>4439.9866666666667</v>
      </c>
      <c r="X37" s="753">
        <f t="shared" si="50"/>
        <v>4439.9866666666667</v>
      </c>
      <c r="Y37" s="753">
        <f t="shared" si="50"/>
        <v>4439.9866666666667</v>
      </c>
      <c r="Z37" s="753">
        <f t="shared" si="50"/>
        <v>4439.9866666666667</v>
      </c>
      <c r="AA37" s="753">
        <f t="shared" si="50"/>
        <v>4439.9866666666667</v>
      </c>
      <c r="AB37" s="753">
        <f t="shared" si="50"/>
        <v>4439.9866666666667</v>
      </c>
      <c r="AC37" s="753">
        <f t="shared" si="50"/>
        <v>4439.9866666666667</v>
      </c>
      <c r="AD37" s="753">
        <f t="shared" si="50"/>
        <v>4439.9866666666667</v>
      </c>
      <c r="AE37" s="753">
        <f t="shared" si="50"/>
        <v>4439.9866666666667</v>
      </c>
      <c r="AF37" s="753">
        <f t="shared" si="50"/>
        <v>4439.9866666666667</v>
      </c>
      <c r="AG37" s="753">
        <f t="shared" si="50"/>
        <v>4573.1862666666666</v>
      </c>
      <c r="AH37" s="753">
        <f t="shared" si="50"/>
        <v>4573.1862666666666</v>
      </c>
      <c r="AI37" s="753">
        <f t="shared" si="50"/>
        <v>4573.1862666666666</v>
      </c>
      <c r="AJ37" s="753">
        <f t="shared" si="50"/>
        <v>4573.1862666666666</v>
      </c>
      <c r="AK37" s="753">
        <f t="shared" si="50"/>
        <v>4573.1862666666666</v>
      </c>
      <c r="AL37" s="753">
        <f t="shared" si="40"/>
        <v>4573.1862666666666</v>
      </c>
      <c r="AM37" s="753">
        <f t="shared" si="41"/>
        <v>4573.1862666666666</v>
      </c>
      <c r="AN37" s="753">
        <f t="shared" si="41"/>
        <v>4573.1862666666666</v>
      </c>
      <c r="AO37" s="753">
        <f t="shared" si="41"/>
        <v>4573.1862666666666</v>
      </c>
      <c r="AP37" s="753">
        <f t="shared" si="41"/>
        <v>4573.1862666666666</v>
      </c>
      <c r="AQ37" s="753">
        <f t="shared" si="41"/>
        <v>4573.1862666666666</v>
      </c>
      <c r="AR37" s="753">
        <f t="shared" si="41"/>
        <v>4573.1862666666666</v>
      </c>
      <c r="AS37" s="753">
        <f t="shared" si="41"/>
        <v>4710.3818546666671</v>
      </c>
      <c r="AT37" s="753">
        <f t="shared" si="41"/>
        <v>4710.3818546666671</v>
      </c>
      <c r="AU37" s="753">
        <f t="shared" si="41"/>
        <v>4710.3818546666671</v>
      </c>
      <c r="AV37" s="753">
        <f t="shared" si="41"/>
        <v>4710.3818546666671</v>
      </c>
      <c r="AW37" s="753">
        <f t="shared" si="41"/>
        <v>4710.3818546666671</v>
      </c>
      <c r="AX37" s="753">
        <f t="shared" si="41"/>
        <v>4710.3818546666671</v>
      </c>
      <c r="AY37" s="753">
        <f t="shared" si="41"/>
        <v>4710.3818546666671</v>
      </c>
      <c r="AZ37" s="753">
        <f t="shared" si="41"/>
        <v>4710.3818546666671</v>
      </c>
      <c r="BA37" s="753">
        <f t="shared" si="41"/>
        <v>4710.3818546666671</v>
      </c>
      <c r="BB37" s="753">
        <f t="shared" si="41"/>
        <v>4710.3818546666671</v>
      </c>
      <c r="BC37" s="753">
        <f t="shared" si="42"/>
        <v>4710.3818546666671</v>
      </c>
      <c r="BD37" s="753">
        <f t="shared" si="42"/>
        <v>4710.3818546666671</v>
      </c>
      <c r="BE37" s="753">
        <f t="shared" si="42"/>
        <v>4851.6933103066676</v>
      </c>
      <c r="BF37" s="753">
        <f t="shared" si="42"/>
        <v>4851.6933103066676</v>
      </c>
      <c r="BG37" s="753">
        <f t="shared" si="42"/>
        <v>4851.6933103066676</v>
      </c>
      <c r="BH37" s="753">
        <f t="shared" si="42"/>
        <v>4851.6933103066676</v>
      </c>
      <c r="BI37" s="753">
        <f t="shared" si="42"/>
        <v>4851.6933103066676</v>
      </c>
      <c r="BJ37" s="753">
        <f t="shared" si="42"/>
        <v>4851.6933103066676</v>
      </c>
      <c r="BK37" s="753">
        <f t="shared" si="42"/>
        <v>4851.6933103066676</v>
      </c>
      <c r="BL37" s="753">
        <f t="shared" si="42"/>
        <v>4851.6933103066676</v>
      </c>
      <c r="BM37" s="753">
        <f t="shared" si="42"/>
        <v>4851.6933103066676</v>
      </c>
      <c r="BN37" s="753">
        <f t="shared" si="42"/>
        <v>4851.6933103066676</v>
      </c>
      <c r="BO37" s="753">
        <f t="shared" si="42"/>
        <v>4851.6933103066676</v>
      </c>
      <c r="BP37" s="753">
        <f t="shared" si="42"/>
        <v>4851.6933103066676</v>
      </c>
      <c r="BQ37" s="753">
        <f t="shared" si="42"/>
        <v>4997.2441096158682</v>
      </c>
      <c r="BR37" s="753">
        <f t="shared" si="42"/>
        <v>4997.2441096158682</v>
      </c>
      <c r="BS37" s="753">
        <f t="shared" si="43"/>
        <v>4997.2441096158682</v>
      </c>
      <c r="BT37" s="753">
        <f t="shared" si="43"/>
        <v>4997.2441096158682</v>
      </c>
      <c r="BU37" s="753">
        <f t="shared" si="43"/>
        <v>4997.2441096158682</v>
      </c>
      <c r="BV37" s="753">
        <f t="shared" si="43"/>
        <v>4997.2441096158682</v>
      </c>
      <c r="BW37" s="753">
        <f t="shared" si="43"/>
        <v>4997.2441096158682</v>
      </c>
      <c r="BX37" s="753">
        <f t="shared" si="43"/>
        <v>4997.2441096158682</v>
      </c>
      <c r="BY37" s="753">
        <f t="shared" si="43"/>
        <v>4997.2441096158682</v>
      </c>
      <c r="BZ37" s="753">
        <f t="shared" si="43"/>
        <v>4997.2441096158682</v>
      </c>
      <c r="CA37" s="753">
        <f t="shared" si="43"/>
        <v>4997.2441096158682</v>
      </c>
      <c r="CB37" s="753">
        <f t="shared" si="43"/>
        <v>4997.2441096158682</v>
      </c>
      <c r="CC37" s="753">
        <f t="shared" si="43"/>
        <v>5147.1614329043441</v>
      </c>
      <c r="CD37" s="753">
        <f t="shared" si="43"/>
        <v>5147.1614329043441</v>
      </c>
      <c r="CE37" s="753">
        <f t="shared" si="43"/>
        <v>5147.1614329043441</v>
      </c>
      <c r="CF37" s="753">
        <f t="shared" si="43"/>
        <v>5147.1614329043441</v>
      </c>
      <c r="CG37" s="753">
        <f t="shared" si="43"/>
        <v>5147.1614329043441</v>
      </c>
      <c r="CH37" s="753">
        <f t="shared" si="43"/>
        <v>5147.1614329043441</v>
      </c>
      <c r="CI37" s="753">
        <f t="shared" si="44"/>
        <v>5147.1614329043441</v>
      </c>
      <c r="CJ37" s="753">
        <f t="shared" si="44"/>
        <v>5147.1614329043441</v>
      </c>
      <c r="CK37" s="753">
        <f t="shared" si="44"/>
        <v>5147.1614329043441</v>
      </c>
      <c r="CL37" s="753">
        <f t="shared" si="44"/>
        <v>5147.1614329043441</v>
      </c>
      <c r="CM37" s="753">
        <f t="shared" si="44"/>
        <v>5147.1614329043441</v>
      </c>
      <c r="CN37" s="753">
        <f t="shared" si="44"/>
        <v>5147.1614329043441</v>
      </c>
      <c r="CO37" s="753">
        <f t="shared" si="44"/>
        <v>5301.5762758914743</v>
      </c>
      <c r="CP37" s="753">
        <f t="shared" si="44"/>
        <v>5301.5762758914743</v>
      </c>
      <c r="CQ37" s="753">
        <f t="shared" si="44"/>
        <v>5301.5762758914743</v>
      </c>
      <c r="CR37" s="753">
        <f t="shared" si="44"/>
        <v>5301.5762758914743</v>
      </c>
      <c r="CS37" s="753">
        <f t="shared" si="44"/>
        <v>5301.5762758914743</v>
      </c>
      <c r="CT37" s="753">
        <f t="shared" si="44"/>
        <v>5301.5762758914743</v>
      </c>
      <c r="CU37" s="753">
        <f t="shared" si="44"/>
        <v>5301.5762758914743</v>
      </c>
      <c r="CV37" s="753">
        <f t="shared" si="44"/>
        <v>5301.5762758914743</v>
      </c>
      <c r="CW37" s="753">
        <f t="shared" si="44"/>
        <v>5301.5762758914743</v>
      </c>
      <c r="CX37" s="753">
        <f t="shared" si="44"/>
        <v>5301.5762758914743</v>
      </c>
      <c r="CY37" s="753">
        <f t="shared" si="45"/>
        <v>5301.5762758914743</v>
      </c>
      <c r="CZ37" s="753">
        <f t="shared" si="45"/>
        <v>5301.5762758914743</v>
      </c>
      <c r="DA37" s="753">
        <f t="shared" si="45"/>
        <v>5460.6235641682188</v>
      </c>
      <c r="DB37" s="753">
        <f t="shared" si="45"/>
        <v>5460.6235641682188</v>
      </c>
      <c r="DC37" s="753">
        <f t="shared" si="45"/>
        <v>5460.6235641682188</v>
      </c>
      <c r="DD37" s="753">
        <f t="shared" si="45"/>
        <v>5460.6235641682188</v>
      </c>
      <c r="DE37" s="753">
        <f t="shared" si="45"/>
        <v>5460.6235641682188</v>
      </c>
      <c r="DF37" s="753">
        <f t="shared" si="45"/>
        <v>5460.6235641682188</v>
      </c>
      <c r="DG37" s="753">
        <f t="shared" si="45"/>
        <v>5460.6235641682188</v>
      </c>
      <c r="DH37" s="753">
        <f t="shared" si="45"/>
        <v>5460.6235641682188</v>
      </c>
      <c r="DI37" s="753">
        <f t="shared" si="45"/>
        <v>5460.6235641682188</v>
      </c>
      <c r="DJ37" s="753">
        <f t="shared" si="45"/>
        <v>5460.6235641682188</v>
      </c>
      <c r="DK37" s="753">
        <f t="shared" si="45"/>
        <v>5460.6235641682188</v>
      </c>
      <c r="DL37" s="753">
        <f t="shared" si="45"/>
        <v>5460.6235641682188</v>
      </c>
      <c r="DM37" s="753">
        <f t="shared" si="45"/>
        <v>5624.4422710932658</v>
      </c>
      <c r="DN37" s="753">
        <f t="shared" si="45"/>
        <v>5624.4422710932658</v>
      </c>
      <c r="DO37" s="753">
        <f t="shared" si="46"/>
        <v>5624.4422710932658</v>
      </c>
      <c r="DP37" s="753">
        <f t="shared" si="46"/>
        <v>5624.4422710932658</v>
      </c>
      <c r="DQ37" s="753">
        <f t="shared" si="46"/>
        <v>5624.4422710932658</v>
      </c>
      <c r="DR37" s="753">
        <f t="shared" si="46"/>
        <v>5624.4422710932658</v>
      </c>
      <c r="DS37" s="753">
        <f t="shared" si="46"/>
        <v>5624.4422710932658</v>
      </c>
      <c r="DT37" s="753">
        <f t="shared" si="46"/>
        <v>5624.4422710932658</v>
      </c>
      <c r="DU37" s="753">
        <f t="shared" si="46"/>
        <v>5624.4422710932658</v>
      </c>
      <c r="DV37" s="753">
        <f t="shared" si="46"/>
        <v>5624.4422710932658</v>
      </c>
      <c r="DW37" s="753">
        <f t="shared" si="46"/>
        <v>5624.4422710932658</v>
      </c>
      <c r="DX37" s="753">
        <f t="shared" si="46"/>
        <v>5624.4422710932658</v>
      </c>
      <c r="DY37" s="753">
        <f t="shared" si="46"/>
        <v>5793.1755392260638</v>
      </c>
      <c r="DZ37" s="753">
        <f t="shared" si="46"/>
        <v>5793.1755392260638</v>
      </c>
      <c r="EA37" s="753">
        <f t="shared" si="46"/>
        <v>5793.1755392260638</v>
      </c>
      <c r="EB37" s="753">
        <f t="shared" si="46"/>
        <v>5793.1755392260638</v>
      </c>
      <c r="EC37" s="753">
        <f t="shared" si="46"/>
        <v>5793.1755392260638</v>
      </c>
      <c r="ED37" s="753">
        <f t="shared" si="46"/>
        <v>5793.1755392260638</v>
      </c>
      <c r="EE37" s="753">
        <f t="shared" si="47"/>
        <v>5793.1755392260638</v>
      </c>
      <c r="EF37" s="753">
        <f t="shared" si="47"/>
        <v>5793.1755392260638</v>
      </c>
      <c r="EG37" s="753">
        <f t="shared" si="47"/>
        <v>5793.1755392260638</v>
      </c>
      <c r="EH37" s="753">
        <f t="shared" si="47"/>
        <v>5793.1755392260638</v>
      </c>
      <c r="EI37" s="753">
        <f t="shared" si="47"/>
        <v>5793.1755392260638</v>
      </c>
      <c r="EJ37" s="753">
        <f t="shared" si="47"/>
        <v>5793.1755392260638</v>
      </c>
      <c r="EK37" s="753">
        <f t="shared" si="47"/>
        <v>5966.9708054028461</v>
      </c>
      <c r="EL37" s="753">
        <f t="shared" si="47"/>
        <v>5966.9708054028461</v>
      </c>
      <c r="EM37" s="753">
        <f t="shared" si="47"/>
        <v>5966.9708054028461</v>
      </c>
      <c r="EN37" s="753">
        <f t="shared" si="47"/>
        <v>5966.9708054028461</v>
      </c>
      <c r="EO37" s="753">
        <f t="shared" si="47"/>
        <v>5966.9708054028461</v>
      </c>
      <c r="EP37" s="753">
        <f t="shared" si="47"/>
        <v>5966.9708054028461</v>
      </c>
      <c r="EQ37" s="753">
        <f t="shared" si="47"/>
        <v>5966.9708054028461</v>
      </c>
      <c r="ER37" s="753">
        <f t="shared" si="47"/>
        <v>5966.9708054028461</v>
      </c>
      <c r="ES37" s="753">
        <f t="shared" si="47"/>
        <v>5966.9708054028461</v>
      </c>
      <c r="ET37" s="753">
        <f t="shared" si="47"/>
        <v>5966.9708054028461</v>
      </c>
      <c r="EU37" s="753">
        <f t="shared" si="48"/>
        <v>5966.9708054028461</v>
      </c>
      <c r="EV37" s="753">
        <f t="shared" si="48"/>
        <v>5966.9708054028461</v>
      </c>
      <c r="EW37" s="150" t="s">
        <v>243</v>
      </c>
    </row>
    <row r="38" spans="2:153" x14ac:dyDescent="0.2">
      <c r="B38" s="749">
        <f t="shared" si="51"/>
        <v>5</v>
      </c>
      <c r="C38" s="750">
        <v>0.03</v>
      </c>
      <c r="D38" s="750">
        <v>0.04</v>
      </c>
      <c r="E38" s="750">
        <v>3.5000000000000003E-2</v>
      </c>
      <c r="F38" s="750">
        <v>5.0000000000000001E-3</v>
      </c>
      <c r="G38" s="750">
        <v>0.05</v>
      </c>
      <c r="H38" s="750">
        <v>5.0000000000000001E-3</v>
      </c>
      <c r="I38" s="750">
        <v>0.02</v>
      </c>
      <c r="J38" s="750">
        <v>0.02</v>
      </c>
      <c r="K38" s="160">
        <v>0.82</v>
      </c>
      <c r="M38" s="721" t="s">
        <v>431</v>
      </c>
      <c r="N38" s="144"/>
      <c r="P38" s="756" t="s">
        <v>440</v>
      </c>
      <c r="S38" s="752" t="str">
        <f t="shared" si="49"/>
        <v>Utilities</v>
      </c>
      <c r="T38" s="753">
        <f>Financials!AL26</f>
        <v>12148.179166666667</v>
      </c>
      <c r="U38" s="753">
        <f t="shared" si="52"/>
        <v>12503.17</v>
      </c>
      <c r="V38" s="753">
        <f t="shared" si="50"/>
        <v>12503.17</v>
      </c>
      <c r="W38" s="753">
        <f t="shared" si="50"/>
        <v>12503.17</v>
      </c>
      <c r="X38" s="753">
        <f t="shared" si="50"/>
        <v>12503.17</v>
      </c>
      <c r="Y38" s="753">
        <f t="shared" si="50"/>
        <v>12503.17</v>
      </c>
      <c r="Z38" s="753">
        <f t="shared" si="50"/>
        <v>12503.17</v>
      </c>
      <c r="AA38" s="753">
        <f t="shared" si="50"/>
        <v>12503.17</v>
      </c>
      <c r="AB38" s="753">
        <f t="shared" si="50"/>
        <v>12503.17</v>
      </c>
      <c r="AC38" s="753">
        <f t="shared" si="50"/>
        <v>12503.17</v>
      </c>
      <c r="AD38" s="753">
        <f t="shared" si="50"/>
        <v>12503.17</v>
      </c>
      <c r="AE38" s="753">
        <f t="shared" si="50"/>
        <v>12503.17</v>
      </c>
      <c r="AF38" s="753">
        <f t="shared" si="50"/>
        <v>12503.17</v>
      </c>
      <c r="AG38" s="753">
        <f t="shared" si="50"/>
        <v>12878.265100000001</v>
      </c>
      <c r="AH38" s="753">
        <f t="shared" si="50"/>
        <v>12878.265100000001</v>
      </c>
      <c r="AI38" s="753">
        <f t="shared" si="50"/>
        <v>12878.265100000001</v>
      </c>
      <c r="AJ38" s="753">
        <f t="shared" si="50"/>
        <v>12878.265100000001</v>
      </c>
      <c r="AK38" s="753">
        <f t="shared" si="50"/>
        <v>12878.265100000001</v>
      </c>
      <c r="AL38" s="753">
        <f t="shared" si="40"/>
        <v>12878.265100000001</v>
      </c>
      <c r="AM38" s="753">
        <f t="shared" si="41"/>
        <v>12878.265100000001</v>
      </c>
      <c r="AN38" s="753">
        <f t="shared" si="41"/>
        <v>12878.265100000001</v>
      </c>
      <c r="AO38" s="753">
        <f t="shared" si="41"/>
        <v>12878.265100000001</v>
      </c>
      <c r="AP38" s="753">
        <f t="shared" si="41"/>
        <v>12878.265100000001</v>
      </c>
      <c r="AQ38" s="753">
        <f t="shared" si="41"/>
        <v>12878.265100000001</v>
      </c>
      <c r="AR38" s="753">
        <f t="shared" si="41"/>
        <v>12878.265100000001</v>
      </c>
      <c r="AS38" s="753">
        <f t="shared" si="41"/>
        <v>13264.613053000001</v>
      </c>
      <c r="AT38" s="753">
        <f t="shared" si="41"/>
        <v>13264.613053000001</v>
      </c>
      <c r="AU38" s="753">
        <f t="shared" si="41"/>
        <v>13264.613053000001</v>
      </c>
      <c r="AV38" s="753">
        <f t="shared" si="41"/>
        <v>13264.613053000001</v>
      </c>
      <c r="AW38" s="753">
        <f t="shared" si="41"/>
        <v>13264.613053000001</v>
      </c>
      <c r="AX38" s="753">
        <f t="shared" si="41"/>
        <v>13264.613053000001</v>
      </c>
      <c r="AY38" s="753">
        <f t="shared" si="41"/>
        <v>13264.613053000001</v>
      </c>
      <c r="AZ38" s="753">
        <f t="shared" si="41"/>
        <v>13264.613053000001</v>
      </c>
      <c r="BA38" s="753">
        <f t="shared" si="41"/>
        <v>13264.613053000001</v>
      </c>
      <c r="BB38" s="753">
        <f t="shared" si="41"/>
        <v>13264.613053000001</v>
      </c>
      <c r="BC38" s="753">
        <f t="shared" si="42"/>
        <v>13264.613053000001</v>
      </c>
      <c r="BD38" s="753">
        <f t="shared" si="42"/>
        <v>13264.613053000001</v>
      </c>
      <c r="BE38" s="753">
        <f t="shared" si="42"/>
        <v>13662.551444590001</v>
      </c>
      <c r="BF38" s="753">
        <f t="shared" si="42"/>
        <v>13662.551444590001</v>
      </c>
      <c r="BG38" s="753">
        <f t="shared" si="42"/>
        <v>13662.551444590001</v>
      </c>
      <c r="BH38" s="753">
        <f t="shared" si="42"/>
        <v>13662.551444590001</v>
      </c>
      <c r="BI38" s="753">
        <f t="shared" si="42"/>
        <v>13662.551444590001</v>
      </c>
      <c r="BJ38" s="753">
        <f t="shared" si="42"/>
        <v>13662.551444590001</v>
      </c>
      <c r="BK38" s="753">
        <f t="shared" si="42"/>
        <v>13662.551444590001</v>
      </c>
      <c r="BL38" s="753">
        <f t="shared" si="42"/>
        <v>13662.551444590001</v>
      </c>
      <c r="BM38" s="753">
        <f t="shared" si="42"/>
        <v>13662.551444590001</v>
      </c>
      <c r="BN38" s="753">
        <f t="shared" si="42"/>
        <v>13662.551444590001</v>
      </c>
      <c r="BO38" s="753">
        <f t="shared" si="42"/>
        <v>13662.551444590001</v>
      </c>
      <c r="BP38" s="753">
        <f t="shared" si="42"/>
        <v>13662.551444590001</v>
      </c>
      <c r="BQ38" s="753">
        <f t="shared" si="42"/>
        <v>14072.427987927702</v>
      </c>
      <c r="BR38" s="753">
        <f t="shared" si="42"/>
        <v>14072.427987927702</v>
      </c>
      <c r="BS38" s="753">
        <f t="shared" si="43"/>
        <v>14072.427987927702</v>
      </c>
      <c r="BT38" s="753">
        <f t="shared" si="43"/>
        <v>14072.427987927702</v>
      </c>
      <c r="BU38" s="753">
        <f t="shared" si="43"/>
        <v>14072.427987927702</v>
      </c>
      <c r="BV38" s="753">
        <f t="shared" si="43"/>
        <v>14072.427987927702</v>
      </c>
      <c r="BW38" s="753">
        <f t="shared" si="43"/>
        <v>14072.427987927702</v>
      </c>
      <c r="BX38" s="753">
        <f t="shared" si="43"/>
        <v>14072.427987927702</v>
      </c>
      <c r="BY38" s="753">
        <f t="shared" si="43"/>
        <v>14072.427987927702</v>
      </c>
      <c r="BZ38" s="753">
        <f t="shared" si="43"/>
        <v>14072.427987927702</v>
      </c>
      <c r="CA38" s="753">
        <f t="shared" si="43"/>
        <v>14072.427987927702</v>
      </c>
      <c r="CB38" s="753">
        <f t="shared" si="43"/>
        <v>14072.427987927702</v>
      </c>
      <c r="CC38" s="753">
        <f t="shared" si="43"/>
        <v>14494.600827565533</v>
      </c>
      <c r="CD38" s="753">
        <f t="shared" si="43"/>
        <v>14494.600827565533</v>
      </c>
      <c r="CE38" s="753">
        <f t="shared" si="43"/>
        <v>14494.600827565533</v>
      </c>
      <c r="CF38" s="753">
        <f t="shared" si="43"/>
        <v>14494.600827565533</v>
      </c>
      <c r="CG38" s="753">
        <f t="shared" si="43"/>
        <v>14494.600827565533</v>
      </c>
      <c r="CH38" s="753">
        <f t="shared" si="43"/>
        <v>14494.600827565533</v>
      </c>
      <c r="CI38" s="753">
        <f t="shared" si="44"/>
        <v>14494.600827565533</v>
      </c>
      <c r="CJ38" s="753">
        <f t="shared" si="44"/>
        <v>14494.600827565533</v>
      </c>
      <c r="CK38" s="753">
        <f t="shared" si="44"/>
        <v>14494.600827565533</v>
      </c>
      <c r="CL38" s="753">
        <f t="shared" si="44"/>
        <v>14494.600827565533</v>
      </c>
      <c r="CM38" s="753">
        <f t="shared" si="44"/>
        <v>14494.600827565533</v>
      </c>
      <c r="CN38" s="753">
        <f t="shared" si="44"/>
        <v>14494.600827565533</v>
      </c>
      <c r="CO38" s="753">
        <f t="shared" si="44"/>
        <v>14929.438852392499</v>
      </c>
      <c r="CP38" s="753">
        <f t="shared" si="44"/>
        <v>14929.438852392499</v>
      </c>
      <c r="CQ38" s="753">
        <f t="shared" si="44"/>
        <v>14929.438852392499</v>
      </c>
      <c r="CR38" s="753">
        <f t="shared" si="44"/>
        <v>14929.438852392499</v>
      </c>
      <c r="CS38" s="753">
        <f t="shared" si="44"/>
        <v>14929.438852392499</v>
      </c>
      <c r="CT38" s="753">
        <f t="shared" si="44"/>
        <v>14929.438852392499</v>
      </c>
      <c r="CU38" s="753">
        <f t="shared" si="44"/>
        <v>14929.438852392499</v>
      </c>
      <c r="CV38" s="753">
        <f t="shared" si="44"/>
        <v>14929.438852392499</v>
      </c>
      <c r="CW38" s="753">
        <f t="shared" si="44"/>
        <v>14929.438852392499</v>
      </c>
      <c r="CX38" s="753">
        <f t="shared" si="44"/>
        <v>14929.438852392499</v>
      </c>
      <c r="CY38" s="753">
        <f t="shared" si="45"/>
        <v>14929.438852392499</v>
      </c>
      <c r="CZ38" s="753">
        <f t="shared" si="45"/>
        <v>14929.438852392499</v>
      </c>
      <c r="DA38" s="753">
        <f t="shared" si="45"/>
        <v>15377.322017964274</v>
      </c>
      <c r="DB38" s="753">
        <f t="shared" si="45"/>
        <v>15377.322017964274</v>
      </c>
      <c r="DC38" s="753">
        <f t="shared" si="45"/>
        <v>15377.322017964274</v>
      </c>
      <c r="DD38" s="753">
        <f t="shared" si="45"/>
        <v>15377.322017964274</v>
      </c>
      <c r="DE38" s="753">
        <f t="shared" si="45"/>
        <v>15377.322017964274</v>
      </c>
      <c r="DF38" s="753">
        <f t="shared" si="45"/>
        <v>15377.322017964274</v>
      </c>
      <c r="DG38" s="753">
        <f t="shared" si="45"/>
        <v>15377.322017964274</v>
      </c>
      <c r="DH38" s="753">
        <f t="shared" si="45"/>
        <v>15377.322017964274</v>
      </c>
      <c r="DI38" s="753">
        <f t="shared" si="45"/>
        <v>15377.322017964274</v>
      </c>
      <c r="DJ38" s="753">
        <f t="shared" si="45"/>
        <v>15377.322017964274</v>
      </c>
      <c r="DK38" s="753">
        <f t="shared" si="45"/>
        <v>15377.322017964274</v>
      </c>
      <c r="DL38" s="753">
        <f t="shared" si="45"/>
        <v>15377.322017964274</v>
      </c>
      <c r="DM38" s="753">
        <f t="shared" si="45"/>
        <v>15838.641678503203</v>
      </c>
      <c r="DN38" s="753">
        <f t="shared" si="45"/>
        <v>15838.641678503203</v>
      </c>
      <c r="DO38" s="753">
        <f t="shared" si="46"/>
        <v>15838.641678503203</v>
      </c>
      <c r="DP38" s="753">
        <f t="shared" si="46"/>
        <v>15838.641678503203</v>
      </c>
      <c r="DQ38" s="753">
        <f t="shared" si="46"/>
        <v>15838.641678503203</v>
      </c>
      <c r="DR38" s="753">
        <f t="shared" si="46"/>
        <v>15838.641678503203</v>
      </c>
      <c r="DS38" s="753">
        <f t="shared" si="46"/>
        <v>15838.641678503203</v>
      </c>
      <c r="DT38" s="753">
        <f t="shared" si="46"/>
        <v>15838.641678503203</v>
      </c>
      <c r="DU38" s="753">
        <f t="shared" si="46"/>
        <v>15838.641678503203</v>
      </c>
      <c r="DV38" s="753">
        <f t="shared" si="46"/>
        <v>15838.641678503203</v>
      </c>
      <c r="DW38" s="753">
        <f t="shared" si="46"/>
        <v>15838.641678503203</v>
      </c>
      <c r="DX38" s="753">
        <f t="shared" si="46"/>
        <v>15838.641678503203</v>
      </c>
      <c r="DY38" s="753">
        <f t="shared" si="46"/>
        <v>16313.8009288583</v>
      </c>
      <c r="DZ38" s="753">
        <f t="shared" si="46"/>
        <v>16313.8009288583</v>
      </c>
      <c r="EA38" s="753">
        <f t="shared" si="46"/>
        <v>16313.8009288583</v>
      </c>
      <c r="EB38" s="753">
        <f t="shared" si="46"/>
        <v>16313.8009288583</v>
      </c>
      <c r="EC38" s="753">
        <f t="shared" si="46"/>
        <v>16313.8009288583</v>
      </c>
      <c r="ED38" s="753">
        <f t="shared" si="46"/>
        <v>16313.8009288583</v>
      </c>
      <c r="EE38" s="753">
        <f t="shared" si="47"/>
        <v>16313.8009288583</v>
      </c>
      <c r="EF38" s="753">
        <f t="shared" si="47"/>
        <v>16313.8009288583</v>
      </c>
      <c r="EG38" s="753">
        <f t="shared" si="47"/>
        <v>16313.8009288583</v>
      </c>
      <c r="EH38" s="753">
        <f t="shared" si="47"/>
        <v>16313.8009288583</v>
      </c>
      <c r="EI38" s="753">
        <f t="shared" si="47"/>
        <v>16313.8009288583</v>
      </c>
      <c r="EJ38" s="753">
        <f t="shared" si="47"/>
        <v>16313.8009288583</v>
      </c>
      <c r="EK38" s="753">
        <f t="shared" si="47"/>
        <v>16803.214956724049</v>
      </c>
      <c r="EL38" s="753">
        <f t="shared" si="47"/>
        <v>16803.214956724049</v>
      </c>
      <c r="EM38" s="753">
        <f t="shared" si="47"/>
        <v>16803.214956724049</v>
      </c>
      <c r="EN38" s="753">
        <f t="shared" si="47"/>
        <v>16803.214956724049</v>
      </c>
      <c r="EO38" s="753">
        <f t="shared" si="47"/>
        <v>16803.214956724049</v>
      </c>
      <c r="EP38" s="753">
        <f t="shared" si="47"/>
        <v>16803.214956724049</v>
      </c>
      <c r="EQ38" s="753">
        <f t="shared" si="47"/>
        <v>16803.214956724049</v>
      </c>
      <c r="ER38" s="753">
        <f t="shared" si="47"/>
        <v>16803.214956724049</v>
      </c>
      <c r="ES38" s="753">
        <f t="shared" si="47"/>
        <v>16803.214956724049</v>
      </c>
      <c r="ET38" s="753">
        <f t="shared" si="47"/>
        <v>16803.214956724049</v>
      </c>
      <c r="EU38" s="753">
        <f t="shared" si="48"/>
        <v>16803.214956724049</v>
      </c>
      <c r="EV38" s="753">
        <f t="shared" si="48"/>
        <v>16803.214956724049</v>
      </c>
      <c r="EW38" s="150" t="s">
        <v>243</v>
      </c>
    </row>
    <row r="39" spans="2:153" x14ac:dyDescent="0.2">
      <c r="B39" s="749">
        <f t="shared" si="51"/>
        <v>6</v>
      </c>
      <c r="C39" s="750">
        <v>0.03</v>
      </c>
      <c r="D39" s="750">
        <v>0.04</v>
      </c>
      <c r="E39" s="750">
        <v>3.5000000000000003E-2</v>
      </c>
      <c r="F39" s="750">
        <v>5.0000000000000001E-3</v>
      </c>
      <c r="G39" s="750">
        <v>0.05</v>
      </c>
      <c r="H39" s="750">
        <v>5.0000000000000001E-3</v>
      </c>
      <c r="I39" s="750">
        <v>0.02</v>
      </c>
      <c r="J39" s="750">
        <v>0.02</v>
      </c>
      <c r="K39" s="160">
        <v>0.82</v>
      </c>
      <c r="M39" s="721" t="s">
        <v>432</v>
      </c>
      <c r="N39" s="144"/>
      <c r="P39" s="756" t="s">
        <v>440</v>
      </c>
      <c r="S39" s="752" t="str">
        <f t="shared" si="49"/>
        <v>Maintenance &amp; Repair</v>
      </c>
      <c r="T39" s="753">
        <f>Financials!AL27</f>
        <v>16661.868333333332</v>
      </c>
      <c r="U39" s="753">
        <f t="shared" si="52"/>
        <v>14304.296666666667</v>
      </c>
      <c r="V39" s="753">
        <f t="shared" si="50"/>
        <v>14304.296666666667</v>
      </c>
      <c r="W39" s="753">
        <f t="shared" si="50"/>
        <v>14304.296666666667</v>
      </c>
      <c r="X39" s="753">
        <f t="shared" si="50"/>
        <v>14304.296666666667</v>
      </c>
      <c r="Y39" s="753">
        <f t="shared" si="50"/>
        <v>14304.296666666667</v>
      </c>
      <c r="Z39" s="753">
        <f t="shared" si="50"/>
        <v>14304.296666666667</v>
      </c>
      <c r="AA39" s="753">
        <f t="shared" si="50"/>
        <v>14304.296666666667</v>
      </c>
      <c r="AB39" s="753">
        <f t="shared" si="50"/>
        <v>14304.296666666667</v>
      </c>
      <c r="AC39" s="753">
        <f t="shared" si="50"/>
        <v>14304.296666666667</v>
      </c>
      <c r="AD39" s="753">
        <f t="shared" si="50"/>
        <v>14304.296666666667</v>
      </c>
      <c r="AE39" s="753">
        <f t="shared" si="50"/>
        <v>14304.296666666667</v>
      </c>
      <c r="AF39" s="753">
        <f t="shared" si="50"/>
        <v>14304.296666666667</v>
      </c>
      <c r="AG39" s="753">
        <f t="shared" si="50"/>
        <v>14733.425566666667</v>
      </c>
      <c r="AH39" s="753">
        <f t="shared" si="50"/>
        <v>14733.425566666667</v>
      </c>
      <c r="AI39" s="753">
        <f t="shared" si="50"/>
        <v>14733.425566666667</v>
      </c>
      <c r="AJ39" s="753">
        <f t="shared" si="50"/>
        <v>14733.425566666667</v>
      </c>
      <c r="AK39" s="753">
        <f t="shared" si="50"/>
        <v>14733.425566666667</v>
      </c>
      <c r="AL39" s="753">
        <f t="shared" si="40"/>
        <v>14733.425566666667</v>
      </c>
      <c r="AM39" s="753">
        <f t="shared" si="41"/>
        <v>14733.425566666667</v>
      </c>
      <c r="AN39" s="753">
        <f t="shared" si="41"/>
        <v>14733.425566666667</v>
      </c>
      <c r="AO39" s="753">
        <f t="shared" si="41"/>
        <v>14733.425566666667</v>
      </c>
      <c r="AP39" s="753">
        <f t="shared" si="41"/>
        <v>14733.425566666667</v>
      </c>
      <c r="AQ39" s="753">
        <f t="shared" si="41"/>
        <v>14733.425566666667</v>
      </c>
      <c r="AR39" s="753">
        <f t="shared" si="41"/>
        <v>14733.425566666667</v>
      </c>
      <c r="AS39" s="753">
        <f t="shared" si="41"/>
        <v>15175.428333666667</v>
      </c>
      <c r="AT39" s="753">
        <f t="shared" si="41"/>
        <v>15175.428333666667</v>
      </c>
      <c r="AU39" s="753">
        <f t="shared" si="41"/>
        <v>15175.428333666667</v>
      </c>
      <c r="AV39" s="753">
        <f t="shared" si="41"/>
        <v>15175.428333666667</v>
      </c>
      <c r="AW39" s="753">
        <f t="shared" si="41"/>
        <v>15175.428333666667</v>
      </c>
      <c r="AX39" s="753">
        <f t="shared" si="41"/>
        <v>15175.428333666667</v>
      </c>
      <c r="AY39" s="753">
        <f t="shared" si="41"/>
        <v>15175.428333666667</v>
      </c>
      <c r="AZ39" s="753">
        <f t="shared" si="41"/>
        <v>15175.428333666667</v>
      </c>
      <c r="BA39" s="753">
        <f t="shared" si="41"/>
        <v>15175.428333666667</v>
      </c>
      <c r="BB39" s="753">
        <f t="shared" si="41"/>
        <v>15175.428333666667</v>
      </c>
      <c r="BC39" s="753">
        <f t="shared" si="42"/>
        <v>15175.428333666667</v>
      </c>
      <c r="BD39" s="753">
        <f t="shared" si="42"/>
        <v>15175.428333666667</v>
      </c>
      <c r="BE39" s="753">
        <f t="shared" si="42"/>
        <v>15630.691183676667</v>
      </c>
      <c r="BF39" s="753">
        <f t="shared" si="42"/>
        <v>15630.691183676667</v>
      </c>
      <c r="BG39" s="753">
        <f t="shared" si="42"/>
        <v>15630.691183676667</v>
      </c>
      <c r="BH39" s="753">
        <f t="shared" si="42"/>
        <v>15630.691183676667</v>
      </c>
      <c r="BI39" s="753">
        <f t="shared" si="42"/>
        <v>15630.691183676667</v>
      </c>
      <c r="BJ39" s="753">
        <f t="shared" si="42"/>
        <v>15630.691183676667</v>
      </c>
      <c r="BK39" s="753">
        <f t="shared" si="42"/>
        <v>15630.691183676667</v>
      </c>
      <c r="BL39" s="753">
        <f t="shared" si="42"/>
        <v>15630.691183676667</v>
      </c>
      <c r="BM39" s="753">
        <f t="shared" si="42"/>
        <v>15630.691183676667</v>
      </c>
      <c r="BN39" s="753">
        <f t="shared" si="42"/>
        <v>15630.691183676667</v>
      </c>
      <c r="BO39" s="753">
        <f t="shared" si="42"/>
        <v>15630.691183676667</v>
      </c>
      <c r="BP39" s="753">
        <f t="shared" si="42"/>
        <v>15630.691183676667</v>
      </c>
      <c r="BQ39" s="753">
        <f t="shared" si="42"/>
        <v>16099.611919186967</v>
      </c>
      <c r="BR39" s="753">
        <f t="shared" si="42"/>
        <v>16099.611919186967</v>
      </c>
      <c r="BS39" s="753">
        <f t="shared" si="43"/>
        <v>16099.611919186967</v>
      </c>
      <c r="BT39" s="753">
        <f t="shared" si="43"/>
        <v>16099.611919186967</v>
      </c>
      <c r="BU39" s="753">
        <f t="shared" si="43"/>
        <v>16099.611919186967</v>
      </c>
      <c r="BV39" s="753">
        <f t="shared" si="43"/>
        <v>16099.611919186967</v>
      </c>
      <c r="BW39" s="753">
        <f t="shared" si="43"/>
        <v>16099.611919186967</v>
      </c>
      <c r="BX39" s="753">
        <f t="shared" si="43"/>
        <v>16099.611919186967</v>
      </c>
      <c r="BY39" s="753">
        <f t="shared" si="43"/>
        <v>16099.611919186967</v>
      </c>
      <c r="BZ39" s="753">
        <f t="shared" si="43"/>
        <v>16099.611919186967</v>
      </c>
      <c r="CA39" s="753">
        <f t="shared" si="43"/>
        <v>16099.611919186967</v>
      </c>
      <c r="CB39" s="753">
        <f t="shared" si="43"/>
        <v>16099.611919186967</v>
      </c>
      <c r="CC39" s="753">
        <f t="shared" si="43"/>
        <v>16582.600276762576</v>
      </c>
      <c r="CD39" s="753">
        <f t="shared" si="43"/>
        <v>16582.600276762576</v>
      </c>
      <c r="CE39" s="753">
        <f t="shared" si="43"/>
        <v>16582.600276762576</v>
      </c>
      <c r="CF39" s="753">
        <f t="shared" si="43"/>
        <v>16582.600276762576</v>
      </c>
      <c r="CG39" s="753">
        <f t="shared" si="43"/>
        <v>16582.600276762576</v>
      </c>
      <c r="CH39" s="753">
        <f t="shared" si="43"/>
        <v>16582.600276762576</v>
      </c>
      <c r="CI39" s="753">
        <f t="shared" si="44"/>
        <v>16582.600276762576</v>
      </c>
      <c r="CJ39" s="753">
        <f t="shared" si="44"/>
        <v>16582.600276762576</v>
      </c>
      <c r="CK39" s="753">
        <f t="shared" si="44"/>
        <v>16582.600276762576</v>
      </c>
      <c r="CL39" s="753">
        <f t="shared" si="44"/>
        <v>16582.600276762576</v>
      </c>
      <c r="CM39" s="753">
        <f t="shared" si="44"/>
        <v>16582.600276762576</v>
      </c>
      <c r="CN39" s="753">
        <f t="shared" si="44"/>
        <v>16582.600276762576</v>
      </c>
      <c r="CO39" s="753">
        <f t="shared" si="44"/>
        <v>17080.078285065454</v>
      </c>
      <c r="CP39" s="753">
        <f t="shared" si="44"/>
        <v>17080.078285065454</v>
      </c>
      <c r="CQ39" s="753">
        <f t="shared" si="44"/>
        <v>17080.078285065454</v>
      </c>
      <c r="CR39" s="753">
        <f t="shared" si="44"/>
        <v>17080.078285065454</v>
      </c>
      <c r="CS39" s="753">
        <f t="shared" si="44"/>
        <v>17080.078285065454</v>
      </c>
      <c r="CT39" s="753">
        <f t="shared" si="44"/>
        <v>17080.078285065454</v>
      </c>
      <c r="CU39" s="753">
        <f t="shared" si="44"/>
        <v>17080.078285065454</v>
      </c>
      <c r="CV39" s="753">
        <f t="shared" si="44"/>
        <v>17080.078285065454</v>
      </c>
      <c r="CW39" s="753">
        <f t="shared" si="44"/>
        <v>17080.078285065454</v>
      </c>
      <c r="CX39" s="753">
        <f t="shared" si="44"/>
        <v>17080.078285065454</v>
      </c>
      <c r="CY39" s="753">
        <f t="shared" si="45"/>
        <v>17080.078285065454</v>
      </c>
      <c r="CZ39" s="753">
        <f t="shared" si="45"/>
        <v>17080.078285065454</v>
      </c>
      <c r="DA39" s="753">
        <f t="shared" si="45"/>
        <v>17592.480633617419</v>
      </c>
      <c r="DB39" s="753">
        <f t="shared" si="45"/>
        <v>17592.480633617419</v>
      </c>
      <c r="DC39" s="753">
        <f t="shared" si="45"/>
        <v>17592.480633617419</v>
      </c>
      <c r="DD39" s="753">
        <f t="shared" si="45"/>
        <v>17592.480633617419</v>
      </c>
      <c r="DE39" s="753">
        <f t="shared" si="45"/>
        <v>17592.480633617419</v>
      </c>
      <c r="DF39" s="753">
        <f t="shared" si="45"/>
        <v>17592.480633617419</v>
      </c>
      <c r="DG39" s="753">
        <f t="shared" si="45"/>
        <v>17592.480633617419</v>
      </c>
      <c r="DH39" s="753">
        <f t="shared" si="45"/>
        <v>17592.480633617419</v>
      </c>
      <c r="DI39" s="753">
        <f t="shared" si="45"/>
        <v>17592.480633617419</v>
      </c>
      <c r="DJ39" s="753">
        <f t="shared" si="45"/>
        <v>17592.480633617419</v>
      </c>
      <c r="DK39" s="753">
        <f t="shared" si="45"/>
        <v>17592.480633617419</v>
      </c>
      <c r="DL39" s="753">
        <f t="shared" si="45"/>
        <v>17592.480633617419</v>
      </c>
      <c r="DM39" s="753">
        <f t="shared" si="45"/>
        <v>18120.25505262594</v>
      </c>
      <c r="DN39" s="753">
        <f t="shared" si="45"/>
        <v>18120.25505262594</v>
      </c>
      <c r="DO39" s="753">
        <f t="shared" si="46"/>
        <v>18120.25505262594</v>
      </c>
      <c r="DP39" s="753">
        <f t="shared" si="46"/>
        <v>18120.25505262594</v>
      </c>
      <c r="DQ39" s="753">
        <f t="shared" si="46"/>
        <v>18120.25505262594</v>
      </c>
      <c r="DR39" s="753">
        <f t="shared" si="46"/>
        <v>18120.25505262594</v>
      </c>
      <c r="DS39" s="753">
        <f t="shared" si="46"/>
        <v>18120.25505262594</v>
      </c>
      <c r="DT39" s="753">
        <f t="shared" si="46"/>
        <v>18120.25505262594</v>
      </c>
      <c r="DU39" s="753">
        <f t="shared" si="46"/>
        <v>18120.25505262594</v>
      </c>
      <c r="DV39" s="753">
        <f t="shared" si="46"/>
        <v>18120.25505262594</v>
      </c>
      <c r="DW39" s="753">
        <f t="shared" si="46"/>
        <v>18120.25505262594</v>
      </c>
      <c r="DX39" s="753">
        <f t="shared" si="46"/>
        <v>18120.25505262594</v>
      </c>
      <c r="DY39" s="753">
        <f t="shared" si="46"/>
        <v>18663.862704204719</v>
      </c>
      <c r="DZ39" s="753">
        <f t="shared" si="46"/>
        <v>18663.862704204719</v>
      </c>
      <c r="EA39" s="753">
        <f t="shared" si="46"/>
        <v>18663.862704204719</v>
      </c>
      <c r="EB39" s="753">
        <f t="shared" si="46"/>
        <v>18663.862704204719</v>
      </c>
      <c r="EC39" s="753">
        <f t="shared" si="46"/>
        <v>18663.862704204719</v>
      </c>
      <c r="ED39" s="753">
        <f t="shared" si="46"/>
        <v>18663.862704204719</v>
      </c>
      <c r="EE39" s="753">
        <f t="shared" si="47"/>
        <v>18663.862704204719</v>
      </c>
      <c r="EF39" s="753">
        <f t="shared" si="47"/>
        <v>18663.862704204719</v>
      </c>
      <c r="EG39" s="753">
        <f t="shared" si="47"/>
        <v>18663.862704204719</v>
      </c>
      <c r="EH39" s="753">
        <f t="shared" si="47"/>
        <v>18663.862704204719</v>
      </c>
      <c r="EI39" s="753">
        <f t="shared" si="47"/>
        <v>18663.862704204719</v>
      </c>
      <c r="EJ39" s="753">
        <f t="shared" si="47"/>
        <v>18663.862704204719</v>
      </c>
      <c r="EK39" s="753">
        <f t="shared" si="47"/>
        <v>19223.77858533086</v>
      </c>
      <c r="EL39" s="753">
        <f t="shared" si="47"/>
        <v>19223.77858533086</v>
      </c>
      <c r="EM39" s="753">
        <f t="shared" si="47"/>
        <v>19223.77858533086</v>
      </c>
      <c r="EN39" s="753">
        <f t="shared" si="47"/>
        <v>19223.77858533086</v>
      </c>
      <c r="EO39" s="753">
        <f t="shared" si="47"/>
        <v>19223.77858533086</v>
      </c>
      <c r="EP39" s="753">
        <f t="shared" si="47"/>
        <v>19223.77858533086</v>
      </c>
      <c r="EQ39" s="753">
        <f t="shared" si="47"/>
        <v>19223.77858533086</v>
      </c>
      <c r="ER39" s="753">
        <f t="shared" si="47"/>
        <v>19223.77858533086</v>
      </c>
      <c r="ES39" s="753">
        <f t="shared" si="47"/>
        <v>19223.77858533086</v>
      </c>
      <c r="ET39" s="753">
        <f t="shared" si="47"/>
        <v>19223.77858533086</v>
      </c>
      <c r="EU39" s="753">
        <f t="shared" si="48"/>
        <v>19223.77858533086</v>
      </c>
      <c r="EV39" s="753">
        <f t="shared" si="48"/>
        <v>19223.77858533086</v>
      </c>
      <c r="EW39" s="150" t="s">
        <v>243</v>
      </c>
    </row>
    <row r="40" spans="2:153" ht="15" thickBot="1" x14ac:dyDescent="0.25">
      <c r="B40" s="749">
        <f t="shared" si="51"/>
        <v>7</v>
      </c>
      <c r="C40" s="750">
        <v>0.03</v>
      </c>
      <c r="D40" s="750">
        <v>0.04</v>
      </c>
      <c r="E40" s="750">
        <v>3.5000000000000003E-2</v>
      </c>
      <c r="F40" s="750">
        <v>5.0000000000000001E-3</v>
      </c>
      <c r="G40" s="750">
        <v>0.05</v>
      </c>
      <c r="H40" s="750">
        <v>5.0000000000000001E-3</v>
      </c>
      <c r="I40" s="750">
        <v>0.02</v>
      </c>
      <c r="J40" s="750">
        <v>0.02</v>
      </c>
      <c r="K40" s="160">
        <v>0.82</v>
      </c>
      <c r="M40" s="757" t="s">
        <v>433</v>
      </c>
      <c r="N40" s="758"/>
      <c r="O40" s="759"/>
      <c r="P40" s="760" t="s">
        <v>440</v>
      </c>
      <c r="S40" s="752" t="str">
        <f t="shared" si="49"/>
        <v xml:space="preserve">Insurance </v>
      </c>
      <c r="T40" s="753">
        <f>Financials!AL28</f>
        <v>5142.1941666666671</v>
      </c>
      <c r="U40" s="753">
        <f t="shared" si="52"/>
        <v>8836.4558333333334</v>
      </c>
      <c r="V40" s="753">
        <f t="shared" si="50"/>
        <v>8836.4558333333334</v>
      </c>
      <c r="W40" s="753">
        <f t="shared" si="50"/>
        <v>8836.4558333333334</v>
      </c>
      <c r="X40" s="753">
        <f t="shared" si="50"/>
        <v>8836.4558333333334</v>
      </c>
      <c r="Y40" s="753">
        <f t="shared" si="50"/>
        <v>8836.4558333333334</v>
      </c>
      <c r="Z40" s="753">
        <f t="shared" si="50"/>
        <v>8836.4558333333334</v>
      </c>
      <c r="AA40" s="753">
        <f t="shared" si="50"/>
        <v>8836.4558333333334</v>
      </c>
      <c r="AB40" s="753">
        <f t="shared" si="50"/>
        <v>8836.4558333333334</v>
      </c>
      <c r="AC40" s="753">
        <f t="shared" si="50"/>
        <v>8836.4558333333334</v>
      </c>
      <c r="AD40" s="753">
        <f t="shared" si="50"/>
        <v>8836.4558333333334</v>
      </c>
      <c r="AE40" s="753">
        <f t="shared" si="50"/>
        <v>8836.4558333333334</v>
      </c>
      <c r="AF40" s="753">
        <f t="shared" si="50"/>
        <v>8836.4558333333334</v>
      </c>
      <c r="AG40" s="753">
        <f t="shared" si="50"/>
        <v>9101.5495083333335</v>
      </c>
      <c r="AH40" s="753">
        <f t="shared" si="50"/>
        <v>9101.5495083333335</v>
      </c>
      <c r="AI40" s="753">
        <f t="shared" si="50"/>
        <v>9101.5495083333335</v>
      </c>
      <c r="AJ40" s="753">
        <f t="shared" si="50"/>
        <v>9101.5495083333335</v>
      </c>
      <c r="AK40" s="753">
        <f t="shared" si="50"/>
        <v>9101.5495083333335</v>
      </c>
      <c r="AL40" s="753">
        <f t="shared" si="40"/>
        <v>9101.5495083333335</v>
      </c>
      <c r="AM40" s="753">
        <f t="shared" si="41"/>
        <v>9101.5495083333335</v>
      </c>
      <c r="AN40" s="753">
        <f t="shared" si="41"/>
        <v>9101.5495083333335</v>
      </c>
      <c r="AO40" s="753">
        <f t="shared" si="41"/>
        <v>9101.5495083333335</v>
      </c>
      <c r="AP40" s="753">
        <f t="shared" si="41"/>
        <v>9101.5495083333335</v>
      </c>
      <c r="AQ40" s="753">
        <f t="shared" si="41"/>
        <v>9101.5495083333335</v>
      </c>
      <c r="AR40" s="753">
        <f t="shared" si="41"/>
        <v>9101.5495083333335</v>
      </c>
      <c r="AS40" s="753">
        <f t="shared" si="41"/>
        <v>9374.5959935833343</v>
      </c>
      <c r="AT40" s="753">
        <f t="shared" si="41"/>
        <v>9374.5959935833343</v>
      </c>
      <c r="AU40" s="753">
        <f t="shared" si="41"/>
        <v>9374.5959935833343</v>
      </c>
      <c r="AV40" s="753">
        <f t="shared" si="41"/>
        <v>9374.5959935833343</v>
      </c>
      <c r="AW40" s="753">
        <f t="shared" si="41"/>
        <v>9374.5959935833343</v>
      </c>
      <c r="AX40" s="753">
        <f t="shared" si="41"/>
        <v>9374.5959935833343</v>
      </c>
      <c r="AY40" s="753">
        <f t="shared" si="41"/>
        <v>9374.5959935833343</v>
      </c>
      <c r="AZ40" s="753">
        <f t="shared" si="41"/>
        <v>9374.5959935833343</v>
      </c>
      <c r="BA40" s="753">
        <f t="shared" si="41"/>
        <v>9374.5959935833343</v>
      </c>
      <c r="BB40" s="753">
        <f t="shared" si="41"/>
        <v>9374.5959935833343</v>
      </c>
      <c r="BC40" s="753">
        <f t="shared" si="42"/>
        <v>9374.5959935833343</v>
      </c>
      <c r="BD40" s="753">
        <f t="shared" si="42"/>
        <v>9374.5959935833343</v>
      </c>
      <c r="BE40" s="753">
        <f t="shared" si="42"/>
        <v>9655.8338733908349</v>
      </c>
      <c r="BF40" s="753">
        <f t="shared" si="42"/>
        <v>9655.8338733908349</v>
      </c>
      <c r="BG40" s="753">
        <f t="shared" si="42"/>
        <v>9655.8338733908349</v>
      </c>
      <c r="BH40" s="753">
        <f t="shared" si="42"/>
        <v>9655.8338733908349</v>
      </c>
      <c r="BI40" s="753">
        <f t="shared" si="42"/>
        <v>9655.8338733908349</v>
      </c>
      <c r="BJ40" s="753">
        <f t="shared" si="42"/>
        <v>9655.8338733908349</v>
      </c>
      <c r="BK40" s="753">
        <f t="shared" si="42"/>
        <v>9655.8338733908349</v>
      </c>
      <c r="BL40" s="753">
        <f t="shared" si="42"/>
        <v>9655.8338733908349</v>
      </c>
      <c r="BM40" s="753">
        <f t="shared" si="42"/>
        <v>9655.8338733908349</v>
      </c>
      <c r="BN40" s="753">
        <f t="shared" si="42"/>
        <v>9655.8338733908349</v>
      </c>
      <c r="BO40" s="753">
        <f t="shared" si="42"/>
        <v>9655.8338733908349</v>
      </c>
      <c r="BP40" s="753">
        <f t="shared" si="42"/>
        <v>9655.8338733908349</v>
      </c>
      <c r="BQ40" s="753">
        <f t="shared" si="42"/>
        <v>9945.5088895925601</v>
      </c>
      <c r="BR40" s="753">
        <f t="shared" si="42"/>
        <v>9945.5088895925601</v>
      </c>
      <c r="BS40" s="753">
        <f t="shared" si="43"/>
        <v>9945.5088895925601</v>
      </c>
      <c r="BT40" s="753">
        <f t="shared" si="43"/>
        <v>9945.5088895925601</v>
      </c>
      <c r="BU40" s="753">
        <f t="shared" si="43"/>
        <v>9945.5088895925601</v>
      </c>
      <c r="BV40" s="753">
        <f t="shared" si="43"/>
        <v>9945.5088895925601</v>
      </c>
      <c r="BW40" s="753">
        <f t="shared" si="43"/>
        <v>9945.5088895925601</v>
      </c>
      <c r="BX40" s="753">
        <f t="shared" si="43"/>
        <v>9945.5088895925601</v>
      </c>
      <c r="BY40" s="753">
        <f t="shared" si="43"/>
        <v>9945.5088895925601</v>
      </c>
      <c r="BZ40" s="753">
        <f t="shared" si="43"/>
        <v>9945.5088895925601</v>
      </c>
      <c r="CA40" s="753">
        <f t="shared" si="43"/>
        <v>9945.5088895925601</v>
      </c>
      <c r="CB40" s="753">
        <f t="shared" si="43"/>
        <v>9945.5088895925601</v>
      </c>
      <c r="CC40" s="753">
        <f t="shared" si="43"/>
        <v>10243.874156280337</v>
      </c>
      <c r="CD40" s="753">
        <f t="shared" si="43"/>
        <v>10243.874156280337</v>
      </c>
      <c r="CE40" s="753">
        <f t="shared" si="43"/>
        <v>10243.874156280337</v>
      </c>
      <c r="CF40" s="753">
        <f t="shared" si="43"/>
        <v>10243.874156280337</v>
      </c>
      <c r="CG40" s="753">
        <f t="shared" si="43"/>
        <v>10243.874156280337</v>
      </c>
      <c r="CH40" s="753">
        <f t="shared" si="43"/>
        <v>10243.874156280337</v>
      </c>
      <c r="CI40" s="753">
        <f t="shared" si="44"/>
        <v>10243.874156280337</v>
      </c>
      <c r="CJ40" s="753">
        <f t="shared" si="44"/>
        <v>10243.874156280337</v>
      </c>
      <c r="CK40" s="753">
        <f t="shared" si="44"/>
        <v>10243.874156280337</v>
      </c>
      <c r="CL40" s="753">
        <f t="shared" si="44"/>
        <v>10243.874156280337</v>
      </c>
      <c r="CM40" s="753">
        <f t="shared" si="44"/>
        <v>10243.874156280337</v>
      </c>
      <c r="CN40" s="753">
        <f t="shared" si="44"/>
        <v>10243.874156280337</v>
      </c>
      <c r="CO40" s="753">
        <f t="shared" si="44"/>
        <v>10551.190380968748</v>
      </c>
      <c r="CP40" s="753">
        <f t="shared" si="44"/>
        <v>10551.190380968748</v>
      </c>
      <c r="CQ40" s="753">
        <f t="shared" si="44"/>
        <v>10551.190380968748</v>
      </c>
      <c r="CR40" s="753">
        <f t="shared" si="44"/>
        <v>10551.190380968748</v>
      </c>
      <c r="CS40" s="753">
        <f t="shared" si="44"/>
        <v>10551.190380968748</v>
      </c>
      <c r="CT40" s="753">
        <f t="shared" si="44"/>
        <v>10551.190380968748</v>
      </c>
      <c r="CU40" s="753">
        <f t="shared" si="44"/>
        <v>10551.190380968748</v>
      </c>
      <c r="CV40" s="753">
        <f t="shared" si="44"/>
        <v>10551.190380968748</v>
      </c>
      <c r="CW40" s="753">
        <f t="shared" si="44"/>
        <v>10551.190380968748</v>
      </c>
      <c r="CX40" s="753">
        <f t="shared" si="44"/>
        <v>10551.190380968748</v>
      </c>
      <c r="CY40" s="753">
        <f t="shared" si="45"/>
        <v>10551.190380968748</v>
      </c>
      <c r="CZ40" s="753">
        <f t="shared" si="45"/>
        <v>10551.190380968748</v>
      </c>
      <c r="DA40" s="753">
        <f t="shared" si="45"/>
        <v>10867.72609239781</v>
      </c>
      <c r="DB40" s="753">
        <f t="shared" si="45"/>
        <v>10867.72609239781</v>
      </c>
      <c r="DC40" s="753">
        <f t="shared" si="45"/>
        <v>10867.72609239781</v>
      </c>
      <c r="DD40" s="753">
        <f t="shared" si="45"/>
        <v>10867.72609239781</v>
      </c>
      <c r="DE40" s="753">
        <f t="shared" si="45"/>
        <v>10867.72609239781</v>
      </c>
      <c r="DF40" s="753">
        <f t="shared" si="45"/>
        <v>10867.72609239781</v>
      </c>
      <c r="DG40" s="753">
        <f t="shared" si="45"/>
        <v>10867.72609239781</v>
      </c>
      <c r="DH40" s="753">
        <f t="shared" si="45"/>
        <v>10867.72609239781</v>
      </c>
      <c r="DI40" s="753">
        <f t="shared" si="45"/>
        <v>10867.72609239781</v>
      </c>
      <c r="DJ40" s="753">
        <f t="shared" si="45"/>
        <v>10867.72609239781</v>
      </c>
      <c r="DK40" s="753">
        <f t="shared" si="45"/>
        <v>10867.72609239781</v>
      </c>
      <c r="DL40" s="753">
        <f t="shared" si="45"/>
        <v>10867.72609239781</v>
      </c>
      <c r="DM40" s="753">
        <f t="shared" si="45"/>
        <v>11193.757875169746</v>
      </c>
      <c r="DN40" s="753">
        <f t="shared" si="45"/>
        <v>11193.757875169746</v>
      </c>
      <c r="DO40" s="753">
        <f t="shared" si="46"/>
        <v>11193.757875169746</v>
      </c>
      <c r="DP40" s="753">
        <f t="shared" si="46"/>
        <v>11193.757875169746</v>
      </c>
      <c r="DQ40" s="753">
        <f t="shared" si="46"/>
        <v>11193.757875169746</v>
      </c>
      <c r="DR40" s="753">
        <f t="shared" si="46"/>
        <v>11193.757875169746</v>
      </c>
      <c r="DS40" s="753">
        <f t="shared" si="46"/>
        <v>11193.757875169746</v>
      </c>
      <c r="DT40" s="753">
        <f t="shared" si="46"/>
        <v>11193.757875169746</v>
      </c>
      <c r="DU40" s="753">
        <f t="shared" si="46"/>
        <v>11193.757875169746</v>
      </c>
      <c r="DV40" s="753">
        <f t="shared" si="46"/>
        <v>11193.757875169746</v>
      </c>
      <c r="DW40" s="753">
        <f t="shared" si="46"/>
        <v>11193.757875169746</v>
      </c>
      <c r="DX40" s="753">
        <f t="shared" si="46"/>
        <v>11193.757875169746</v>
      </c>
      <c r="DY40" s="753">
        <f t="shared" si="46"/>
        <v>11529.570611424839</v>
      </c>
      <c r="DZ40" s="753">
        <f t="shared" si="46"/>
        <v>11529.570611424839</v>
      </c>
      <c r="EA40" s="753">
        <f t="shared" si="46"/>
        <v>11529.570611424839</v>
      </c>
      <c r="EB40" s="753">
        <f t="shared" si="46"/>
        <v>11529.570611424839</v>
      </c>
      <c r="EC40" s="753">
        <f t="shared" si="46"/>
        <v>11529.570611424839</v>
      </c>
      <c r="ED40" s="753">
        <f t="shared" si="46"/>
        <v>11529.570611424839</v>
      </c>
      <c r="EE40" s="753">
        <f t="shared" si="47"/>
        <v>11529.570611424839</v>
      </c>
      <c r="EF40" s="753">
        <f t="shared" si="47"/>
        <v>11529.570611424839</v>
      </c>
      <c r="EG40" s="753">
        <f t="shared" si="47"/>
        <v>11529.570611424839</v>
      </c>
      <c r="EH40" s="753">
        <f t="shared" si="47"/>
        <v>11529.570611424839</v>
      </c>
      <c r="EI40" s="753">
        <f t="shared" si="47"/>
        <v>11529.570611424839</v>
      </c>
      <c r="EJ40" s="753">
        <f t="shared" si="47"/>
        <v>11529.570611424839</v>
      </c>
      <c r="EK40" s="753">
        <f t="shared" si="47"/>
        <v>11875.457729767584</v>
      </c>
      <c r="EL40" s="753">
        <f t="shared" si="47"/>
        <v>11875.457729767584</v>
      </c>
      <c r="EM40" s="753">
        <f t="shared" si="47"/>
        <v>11875.457729767584</v>
      </c>
      <c r="EN40" s="753">
        <f t="shared" si="47"/>
        <v>11875.457729767584</v>
      </c>
      <c r="EO40" s="753">
        <f t="shared" si="47"/>
        <v>11875.457729767584</v>
      </c>
      <c r="EP40" s="753">
        <f t="shared" si="47"/>
        <v>11875.457729767584</v>
      </c>
      <c r="EQ40" s="753">
        <f t="shared" si="47"/>
        <v>11875.457729767584</v>
      </c>
      <c r="ER40" s="753">
        <f t="shared" si="47"/>
        <v>11875.457729767584</v>
      </c>
      <c r="ES40" s="753">
        <f t="shared" si="47"/>
        <v>11875.457729767584</v>
      </c>
      <c r="ET40" s="753">
        <f t="shared" si="47"/>
        <v>11875.457729767584</v>
      </c>
      <c r="EU40" s="753">
        <f t="shared" si="48"/>
        <v>11875.457729767584</v>
      </c>
      <c r="EV40" s="753">
        <f t="shared" si="48"/>
        <v>11875.457729767584</v>
      </c>
      <c r="EW40" s="150" t="s">
        <v>243</v>
      </c>
    </row>
    <row r="41" spans="2:153" x14ac:dyDescent="0.2">
      <c r="B41" s="749">
        <f t="shared" si="51"/>
        <v>8</v>
      </c>
      <c r="C41" s="750">
        <v>0.03</v>
      </c>
      <c r="D41" s="750">
        <v>0.04</v>
      </c>
      <c r="E41" s="750">
        <v>3.5000000000000003E-2</v>
      </c>
      <c r="F41" s="750">
        <v>5.0000000000000001E-3</v>
      </c>
      <c r="G41" s="750">
        <v>0.05</v>
      </c>
      <c r="H41" s="750">
        <v>5.0000000000000001E-3</v>
      </c>
      <c r="I41" s="750">
        <v>0.02</v>
      </c>
      <c r="J41" s="750">
        <v>0.02</v>
      </c>
      <c r="K41" s="160">
        <v>0.82</v>
      </c>
      <c r="S41" s="752" t="str">
        <f t="shared" si="49"/>
        <v>Property Taxes</v>
      </c>
      <c r="T41" s="753">
        <f>Financials!AL29</f>
        <v>23993.25</v>
      </c>
      <c r="U41" s="550">
        <f>INDEX('Opex Budget'!$C$30:$C$41,MATCH(YEAR('Ops Assumptions'!U$3),'Opex Budget'!$B$30:$B$41,0))/12</f>
        <v>25416.666666666668</v>
      </c>
      <c r="V41" s="550">
        <f>INDEX('Opex Budget'!$C$30:$C$41,MATCH(YEAR('Ops Assumptions'!V$3),'Opex Budget'!$B$30:$B$41,0))/12</f>
        <v>25416.666666666668</v>
      </c>
      <c r="W41" s="550">
        <f>INDEX('Opex Budget'!$C$30:$C$41,MATCH(YEAR('Ops Assumptions'!W$3),'Opex Budget'!$B$30:$B$41,0))/12</f>
        <v>25416.666666666668</v>
      </c>
      <c r="X41" s="550">
        <f>INDEX('Opex Budget'!$C$30:$C$41,MATCH(YEAR('Ops Assumptions'!X$3),'Opex Budget'!$B$30:$B$41,0))/12</f>
        <v>25416.666666666668</v>
      </c>
      <c r="Y41" s="550">
        <f>INDEX('Opex Budget'!$C$30:$C$41,MATCH(YEAR('Ops Assumptions'!Y$3),'Opex Budget'!$B$30:$B$41,0))/12</f>
        <v>25416.666666666668</v>
      </c>
      <c r="Z41" s="550">
        <f>INDEX('Opex Budget'!$C$30:$C$41,MATCH(YEAR('Ops Assumptions'!Z$3),'Opex Budget'!$B$30:$B$41,0))/12</f>
        <v>25416.666666666668</v>
      </c>
      <c r="AA41" s="550">
        <f>INDEX('Opex Budget'!$C$30:$C$41,MATCH(YEAR('Ops Assumptions'!AA$3),'Opex Budget'!$B$30:$B$41,0))/12</f>
        <v>25416.666666666668</v>
      </c>
      <c r="AB41" s="550">
        <f>INDEX('Opex Budget'!$C$30:$C$41,MATCH(YEAR('Ops Assumptions'!AB$3),'Opex Budget'!$B$30:$B$41,0))/12</f>
        <v>25416.666666666668</v>
      </c>
      <c r="AC41" s="550">
        <f>INDEX('Opex Budget'!$C$30:$C$41,MATCH(YEAR('Ops Assumptions'!AC$3),'Opex Budget'!$B$30:$B$41,0))/12</f>
        <v>25416.666666666668</v>
      </c>
      <c r="AD41" s="550">
        <f>INDEX('Opex Budget'!$C$30:$C$41,MATCH(YEAR('Ops Assumptions'!AD$3),'Opex Budget'!$B$30:$B$41,0))/12</f>
        <v>25416.666666666668</v>
      </c>
      <c r="AE41" s="550">
        <f>INDEX('Opex Budget'!$C$30:$C$41,MATCH(YEAR('Ops Assumptions'!AE$3),'Opex Budget'!$B$30:$B$41,0))/12</f>
        <v>25416.666666666668</v>
      </c>
      <c r="AF41" s="550">
        <f>INDEX('Opex Budget'!$C$30:$C$41,MATCH(YEAR('Ops Assumptions'!AF$3),'Opex Budget'!$B$30:$B$41,0))/12</f>
        <v>25416.666666666668</v>
      </c>
      <c r="AG41" s="550">
        <f>INDEX('Opex Budget'!$C$30:$C$41,MATCH(YEAR('Ops Assumptions'!AG$3),'Opex Budget'!$B$30:$B$41,0))/12</f>
        <v>34312.5</v>
      </c>
      <c r="AH41" s="550">
        <f>INDEX('Opex Budget'!$C$30:$C$41,MATCH(YEAR('Ops Assumptions'!AH$3),'Opex Budget'!$B$30:$B$41,0))/12</f>
        <v>34312.5</v>
      </c>
      <c r="AI41" s="550">
        <f>INDEX('Opex Budget'!$C$30:$C$41,MATCH(YEAR('Ops Assumptions'!AI$3),'Opex Budget'!$B$30:$B$41,0))/12</f>
        <v>34312.5</v>
      </c>
      <c r="AJ41" s="550">
        <f>INDEX('Opex Budget'!$C$30:$C$41,MATCH(YEAR('Ops Assumptions'!AJ$3),'Opex Budget'!$B$30:$B$41,0))/12</f>
        <v>34312.5</v>
      </c>
      <c r="AK41" s="550">
        <f>INDEX('Opex Budget'!$C$30:$C$41,MATCH(YEAR('Ops Assumptions'!AK$3),'Opex Budget'!$B$30:$B$41,0))/12</f>
        <v>34312.5</v>
      </c>
      <c r="AL41" s="550">
        <f>INDEX('Opex Budget'!$C$30:$C$41,MATCH(YEAR('Ops Assumptions'!AL$3),'Opex Budget'!$B$30:$B$41,0))/12</f>
        <v>34312.5</v>
      </c>
      <c r="AM41" s="550">
        <f>INDEX('Opex Budget'!$C$30:$C$41,MATCH(YEAR('Ops Assumptions'!AM$3),'Opex Budget'!$B$30:$B$41,0))/12</f>
        <v>34312.5</v>
      </c>
      <c r="AN41" s="550">
        <f>INDEX('Opex Budget'!$C$30:$C$41,MATCH(YEAR('Ops Assumptions'!AN$3),'Opex Budget'!$B$30:$B$41,0))/12</f>
        <v>34312.5</v>
      </c>
      <c r="AO41" s="550">
        <f>INDEX('Opex Budget'!$C$30:$C$41,MATCH(YEAR('Ops Assumptions'!AO$3),'Opex Budget'!$B$30:$B$41,0))/12</f>
        <v>34312.5</v>
      </c>
      <c r="AP41" s="550">
        <f>INDEX('Opex Budget'!$C$30:$C$41,MATCH(YEAR('Ops Assumptions'!AP$3),'Opex Budget'!$B$30:$B$41,0))/12</f>
        <v>34312.5</v>
      </c>
      <c r="AQ41" s="550">
        <f>INDEX('Opex Budget'!$C$30:$C$41,MATCH(YEAR('Ops Assumptions'!AQ$3),'Opex Budget'!$B$30:$B$41,0))/12</f>
        <v>34312.5</v>
      </c>
      <c r="AR41" s="550">
        <f>INDEX('Opex Budget'!$C$30:$C$41,MATCH(YEAR('Ops Assumptions'!AR$3),'Opex Budget'!$B$30:$B$41,0))/12</f>
        <v>34312.5</v>
      </c>
      <c r="AS41" s="550">
        <f>INDEX('Opex Budget'!$C$30:$C$41,MATCH(YEAR('Ops Assumptions'!AS$3),'Opex Budget'!$B$30:$B$41,0))/12</f>
        <v>34998.75</v>
      </c>
      <c r="AT41" s="550">
        <f>INDEX('Opex Budget'!$C$30:$C$41,MATCH(YEAR('Ops Assumptions'!AT$3),'Opex Budget'!$B$30:$B$41,0))/12</f>
        <v>34998.75</v>
      </c>
      <c r="AU41" s="550">
        <f>INDEX('Opex Budget'!$C$30:$C$41,MATCH(YEAR('Ops Assumptions'!AU$3),'Opex Budget'!$B$30:$B$41,0))/12</f>
        <v>34998.75</v>
      </c>
      <c r="AV41" s="550">
        <f>INDEX('Opex Budget'!$C$30:$C$41,MATCH(YEAR('Ops Assumptions'!AV$3),'Opex Budget'!$B$30:$B$41,0))/12</f>
        <v>34998.75</v>
      </c>
      <c r="AW41" s="550">
        <f>INDEX('Opex Budget'!$C$30:$C$41,MATCH(YEAR('Ops Assumptions'!AW$3),'Opex Budget'!$B$30:$B$41,0))/12</f>
        <v>34998.75</v>
      </c>
      <c r="AX41" s="550">
        <f>INDEX('Opex Budget'!$C$30:$C$41,MATCH(YEAR('Ops Assumptions'!AX$3),'Opex Budget'!$B$30:$B$41,0))/12</f>
        <v>34998.75</v>
      </c>
      <c r="AY41" s="550">
        <f>INDEX('Opex Budget'!$C$30:$C$41,MATCH(YEAR('Ops Assumptions'!AY$3),'Opex Budget'!$B$30:$B$41,0))/12</f>
        <v>34998.75</v>
      </c>
      <c r="AZ41" s="550">
        <f>INDEX('Opex Budget'!$C$30:$C$41,MATCH(YEAR('Ops Assumptions'!AZ$3),'Opex Budget'!$B$30:$B$41,0))/12</f>
        <v>34998.75</v>
      </c>
      <c r="BA41" s="550">
        <f>INDEX('Opex Budget'!$C$30:$C$41,MATCH(YEAR('Ops Assumptions'!BA$3),'Opex Budget'!$B$30:$B$41,0))/12</f>
        <v>34998.75</v>
      </c>
      <c r="BB41" s="550">
        <f>INDEX('Opex Budget'!$C$30:$C$41,MATCH(YEAR('Ops Assumptions'!BB$3),'Opex Budget'!$B$30:$B$41,0))/12</f>
        <v>34998.75</v>
      </c>
      <c r="BC41" s="550">
        <f>INDEX('Opex Budget'!$C$30:$C$41,MATCH(YEAR('Ops Assumptions'!BC$3),'Opex Budget'!$B$30:$B$41,0))/12</f>
        <v>34998.75</v>
      </c>
      <c r="BD41" s="550">
        <f>INDEX('Opex Budget'!$C$30:$C$41,MATCH(YEAR('Ops Assumptions'!BD$3),'Opex Budget'!$B$30:$B$41,0))/12</f>
        <v>34998.75</v>
      </c>
      <c r="BE41" s="550">
        <f>INDEX('Opex Budget'!$C$30:$C$41,MATCH(YEAR('Ops Assumptions'!BE$3),'Opex Budget'!$B$30:$B$41,0))/12</f>
        <v>35698.724999999999</v>
      </c>
      <c r="BF41" s="550">
        <f>INDEX('Opex Budget'!$C$30:$C$41,MATCH(YEAR('Ops Assumptions'!BF$3),'Opex Budget'!$B$30:$B$41,0))/12</f>
        <v>35698.724999999999</v>
      </c>
      <c r="BG41" s="550">
        <f>INDEX('Opex Budget'!$C$30:$C$41,MATCH(YEAR('Ops Assumptions'!BG$3),'Opex Budget'!$B$30:$B$41,0))/12</f>
        <v>35698.724999999999</v>
      </c>
      <c r="BH41" s="550">
        <f>INDEX('Opex Budget'!$C$30:$C$41,MATCH(YEAR('Ops Assumptions'!BH$3),'Opex Budget'!$B$30:$B$41,0))/12</f>
        <v>35698.724999999999</v>
      </c>
      <c r="BI41" s="550">
        <f>INDEX('Opex Budget'!$C$30:$C$41,MATCH(YEAR('Ops Assumptions'!BI$3),'Opex Budget'!$B$30:$B$41,0))/12</f>
        <v>35698.724999999999</v>
      </c>
      <c r="BJ41" s="550">
        <f>INDEX('Opex Budget'!$C$30:$C$41,MATCH(YEAR('Ops Assumptions'!BJ$3),'Opex Budget'!$B$30:$B$41,0))/12</f>
        <v>35698.724999999999</v>
      </c>
      <c r="BK41" s="550">
        <f>INDEX('Opex Budget'!$C$30:$C$41,MATCH(YEAR('Ops Assumptions'!BK$3),'Opex Budget'!$B$30:$B$41,0))/12</f>
        <v>35698.724999999999</v>
      </c>
      <c r="BL41" s="550">
        <f>INDEX('Opex Budget'!$C$30:$C$41,MATCH(YEAR('Ops Assumptions'!BL$3),'Opex Budget'!$B$30:$B$41,0))/12</f>
        <v>35698.724999999999</v>
      </c>
      <c r="BM41" s="550">
        <f>INDEX('Opex Budget'!$C$30:$C$41,MATCH(YEAR('Ops Assumptions'!BM$3),'Opex Budget'!$B$30:$B$41,0))/12</f>
        <v>35698.724999999999</v>
      </c>
      <c r="BN41" s="550">
        <f>INDEX('Opex Budget'!$C$30:$C$41,MATCH(YEAR('Ops Assumptions'!BN$3),'Opex Budget'!$B$30:$B$41,0))/12</f>
        <v>35698.724999999999</v>
      </c>
      <c r="BO41" s="550">
        <f>INDEX('Opex Budget'!$C$30:$C$41,MATCH(YEAR('Ops Assumptions'!BO$3),'Opex Budget'!$B$30:$B$41,0))/12</f>
        <v>35698.724999999999</v>
      </c>
      <c r="BP41" s="550">
        <f>INDEX('Opex Budget'!$C$30:$C$41,MATCH(YEAR('Ops Assumptions'!BP$3),'Opex Budget'!$B$30:$B$41,0))/12</f>
        <v>35698.724999999999</v>
      </c>
      <c r="BQ41" s="550">
        <f>INDEX('Opex Budget'!$C$30:$C$41,MATCH(YEAR('Ops Assumptions'!BQ$3),'Opex Budget'!$B$30:$B$41,0))/12</f>
        <v>36412.699500000002</v>
      </c>
      <c r="BR41" s="550">
        <f>INDEX('Opex Budget'!$C$30:$C$41,MATCH(YEAR('Ops Assumptions'!BR$3),'Opex Budget'!$B$30:$B$41,0))/12</f>
        <v>36412.699500000002</v>
      </c>
      <c r="BS41" s="550">
        <f>INDEX('Opex Budget'!$C$30:$C$41,MATCH(YEAR('Ops Assumptions'!BS$3),'Opex Budget'!$B$30:$B$41,0))/12</f>
        <v>36412.699500000002</v>
      </c>
      <c r="BT41" s="550">
        <f>INDEX('Opex Budget'!$C$30:$C$41,MATCH(YEAR('Ops Assumptions'!BT$3),'Opex Budget'!$B$30:$B$41,0))/12</f>
        <v>36412.699500000002</v>
      </c>
      <c r="BU41" s="550">
        <f>INDEX('Opex Budget'!$C$30:$C$41,MATCH(YEAR('Ops Assumptions'!BU$3),'Opex Budget'!$B$30:$B$41,0))/12</f>
        <v>36412.699500000002</v>
      </c>
      <c r="BV41" s="550">
        <f>INDEX('Opex Budget'!$C$30:$C$41,MATCH(YEAR('Ops Assumptions'!BV$3),'Opex Budget'!$B$30:$B$41,0))/12</f>
        <v>36412.699500000002</v>
      </c>
      <c r="BW41" s="550">
        <f>INDEX('Opex Budget'!$C$30:$C$41,MATCH(YEAR('Ops Assumptions'!BW$3),'Opex Budget'!$B$30:$B$41,0))/12</f>
        <v>36412.699500000002</v>
      </c>
      <c r="BX41" s="550">
        <f>INDEX('Opex Budget'!$C$30:$C$41,MATCH(YEAR('Ops Assumptions'!BX$3),'Opex Budget'!$B$30:$B$41,0))/12</f>
        <v>36412.699500000002</v>
      </c>
      <c r="BY41" s="550">
        <f>INDEX('Opex Budget'!$C$30:$C$41,MATCH(YEAR('Ops Assumptions'!BY$3),'Opex Budget'!$B$30:$B$41,0))/12</f>
        <v>36412.699500000002</v>
      </c>
      <c r="BZ41" s="550">
        <f>INDEX('Opex Budget'!$C$30:$C$41,MATCH(YEAR('Ops Assumptions'!BZ$3),'Opex Budget'!$B$30:$B$41,0))/12</f>
        <v>36412.699500000002</v>
      </c>
      <c r="CA41" s="550">
        <f>INDEX('Opex Budget'!$C$30:$C$41,MATCH(YEAR('Ops Assumptions'!CA$3),'Opex Budget'!$B$30:$B$41,0))/12</f>
        <v>36412.699500000002</v>
      </c>
      <c r="CB41" s="550">
        <f>INDEX('Opex Budget'!$C$30:$C$41,MATCH(YEAR('Ops Assumptions'!CB$3),'Opex Budget'!$B$30:$B$41,0))/12</f>
        <v>36412.699500000002</v>
      </c>
      <c r="CC41" s="550">
        <f>INDEX('Opex Budget'!$C$30:$C$41,MATCH(YEAR('Ops Assumptions'!CC$3),'Opex Budget'!$B$30:$B$41,0))/12</f>
        <v>37140.953490000007</v>
      </c>
      <c r="CD41" s="550">
        <f>INDEX('Opex Budget'!$C$30:$C$41,MATCH(YEAR('Ops Assumptions'!CD$3),'Opex Budget'!$B$30:$B$41,0))/12</f>
        <v>37140.953490000007</v>
      </c>
      <c r="CE41" s="550">
        <f>INDEX('Opex Budget'!$C$30:$C$41,MATCH(YEAR('Ops Assumptions'!CE$3),'Opex Budget'!$B$30:$B$41,0))/12</f>
        <v>37140.953490000007</v>
      </c>
      <c r="CF41" s="550">
        <f>INDEX('Opex Budget'!$C$30:$C$41,MATCH(YEAR('Ops Assumptions'!CF$3),'Opex Budget'!$B$30:$B$41,0))/12</f>
        <v>37140.953490000007</v>
      </c>
      <c r="CG41" s="550">
        <f>INDEX('Opex Budget'!$C$30:$C$41,MATCH(YEAR('Ops Assumptions'!CG$3),'Opex Budget'!$B$30:$B$41,0))/12</f>
        <v>37140.953490000007</v>
      </c>
      <c r="CH41" s="550">
        <f>INDEX('Opex Budget'!$C$30:$C$41,MATCH(YEAR('Ops Assumptions'!CH$3),'Opex Budget'!$B$30:$B$41,0))/12</f>
        <v>37140.953490000007</v>
      </c>
      <c r="CI41" s="550">
        <f>INDEX('Opex Budget'!$C$30:$C$41,MATCH(YEAR('Ops Assumptions'!CI$3),'Opex Budget'!$B$30:$B$41,0))/12</f>
        <v>37140.953490000007</v>
      </c>
      <c r="CJ41" s="550">
        <f>INDEX('Opex Budget'!$C$30:$C$41,MATCH(YEAR('Ops Assumptions'!CJ$3),'Opex Budget'!$B$30:$B$41,0))/12</f>
        <v>37140.953490000007</v>
      </c>
      <c r="CK41" s="550">
        <f>INDEX('Opex Budget'!$C$30:$C$41,MATCH(YEAR('Ops Assumptions'!CK$3),'Opex Budget'!$B$30:$B$41,0))/12</f>
        <v>37140.953490000007</v>
      </c>
      <c r="CL41" s="550">
        <f>INDEX('Opex Budget'!$C$30:$C$41,MATCH(YEAR('Ops Assumptions'!CL$3),'Opex Budget'!$B$30:$B$41,0))/12</f>
        <v>37140.953490000007</v>
      </c>
      <c r="CM41" s="550">
        <f>INDEX('Opex Budget'!$C$30:$C$41,MATCH(YEAR('Ops Assumptions'!CM$3),'Opex Budget'!$B$30:$B$41,0))/12</f>
        <v>37140.953490000007</v>
      </c>
      <c r="CN41" s="550">
        <f>INDEX('Opex Budget'!$C$30:$C$41,MATCH(YEAR('Ops Assumptions'!CN$3),'Opex Budget'!$B$30:$B$41,0))/12</f>
        <v>37140.953490000007</v>
      </c>
      <c r="CO41" s="550">
        <f>INDEX('Opex Budget'!$C$30:$C$41,MATCH(YEAR('Ops Assumptions'!CO$3),'Opex Budget'!$B$30:$B$41,0))/12</f>
        <v>37883.772559800003</v>
      </c>
      <c r="CP41" s="550">
        <f>INDEX('Opex Budget'!$C$30:$C$41,MATCH(YEAR('Ops Assumptions'!CP$3),'Opex Budget'!$B$30:$B$41,0))/12</f>
        <v>37883.772559800003</v>
      </c>
      <c r="CQ41" s="550">
        <f>INDEX('Opex Budget'!$C$30:$C$41,MATCH(YEAR('Ops Assumptions'!CQ$3),'Opex Budget'!$B$30:$B$41,0))/12</f>
        <v>37883.772559800003</v>
      </c>
      <c r="CR41" s="550">
        <f>INDEX('Opex Budget'!$C$30:$C$41,MATCH(YEAR('Ops Assumptions'!CR$3),'Opex Budget'!$B$30:$B$41,0))/12</f>
        <v>37883.772559800003</v>
      </c>
      <c r="CS41" s="550">
        <f>INDEX('Opex Budget'!$C$30:$C$41,MATCH(YEAR('Ops Assumptions'!CS$3),'Opex Budget'!$B$30:$B$41,0))/12</f>
        <v>37883.772559800003</v>
      </c>
      <c r="CT41" s="550">
        <f>INDEX('Opex Budget'!$C$30:$C$41,MATCH(YEAR('Ops Assumptions'!CT$3),'Opex Budget'!$B$30:$B$41,0))/12</f>
        <v>37883.772559800003</v>
      </c>
      <c r="CU41" s="550">
        <f>INDEX('Opex Budget'!$C$30:$C$41,MATCH(YEAR('Ops Assumptions'!CU$3),'Opex Budget'!$B$30:$B$41,0))/12</f>
        <v>37883.772559800003</v>
      </c>
      <c r="CV41" s="550">
        <f>INDEX('Opex Budget'!$C$30:$C$41,MATCH(YEAR('Ops Assumptions'!CV$3),'Opex Budget'!$B$30:$B$41,0))/12</f>
        <v>37883.772559800003</v>
      </c>
      <c r="CW41" s="550">
        <f>INDEX('Opex Budget'!$C$30:$C$41,MATCH(YEAR('Ops Assumptions'!CW$3),'Opex Budget'!$B$30:$B$41,0))/12</f>
        <v>37883.772559800003</v>
      </c>
      <c r="CX41" s="550">
        <f>INDEX('Opex Budget'!$C$30:$C$41,MATCH(YEAR('Ops Assumptions'!CX$3),'Opex Budget'!$B$30:$B$41,0))/12</f>
        <v>37883.772559800003</v>
      </c>
      <c r="CY41" s="550">
        <f>INDEX('Opex Budget'!$C$30:$C$41,MATCH(YEAR('Ops Assumptions'!CY$3),'Opex Budget'!$B$30:$B$41,0))/12</f>
        <v>37883.772559800003</v>
      </c>
      <c r="CZ41" s="550">
        <f>INDEX('Opex Budget'!$C$30:$C$41,MATCH(YEAR('Ops Assumptions'!CZ$3),'Opex Budget'!$B$30:$B$41,0))/12</f>
        <v>37883.772559800003</v>
      </c>
      <c r="DA41" s="550">
        <f>INDEX('Opex Budget'!$C$30:$C$41,MATCH(YEAR('Ops Assumptions'!DA$3),'Opex Budget'!$B$30:$B$41,0))/12</f>
        <v>38641.448010996006</v>
      </c>
      <c r="DB41" s="550">
        <f>INDEX('Opex Budget'!$C$30:$C$41,MATCH(YEAR('Ops Assumptions'!DB$3),'Opex Budget'!$B$30:$B$41,0))/12</f>
        <v>38641.448010996006</v>
      </c>
      <c r="DC41" s="550">
        <f>INDEX('Opex Budget'!$C$30:$C$41,MATCH(YEAR('Ops Assumptions'!DC$3),'Opex Budget'!$B$30:$B$41,0))/12</f>
        <v>38641.448010996006</v>
      </c>
      <c r="DD41" s="550">
        <f>INDEX('Opex Budget'!$C$30:$C$41,MATCH(YEAR('Ops Assumptions'!DD$3),'Opex Budget'!$B$30:$B$41,0))/12</f>
        <v>38641.448010996006</v>
      </c>
      <c r="DE41" s="550">
        <f>INDEX('Opex Budget'!$C$30:$C$41,MATCH(YEAR('Ops Assumptions'!DE$3),'Opex Budget'!$B$30:$B$41,0))/12</f>
        <v>38641.448010996006</v>
      </c>
      <c r="DF41" s="550">
        <f>INDEX('Opex Budget'!$C$30:$C$41,MATCH(YEAR('Ops Assumptions'!DF$3),'Opex Budget'!$B$30:$B$41,0))/12</f>
        <v>38641.448010996006</v>
      </c>
      <c r="DG41" s="550">
        <f>INDEX('Opex Budget'!$C$30:$C$41,MATCH(YEAR('Ops Assumptions'!DG$3),'Opex Budget'!$B$30:$B$41,0))/12</f>
        <v>38641.448010996006</v>
      </c>
      <c r="DH41" s="550">
        <f>INDEX('Opex Budget'!$C$30:$C$41,MATCH(YEAR('Ops Assumptions'!DH$3),'Opex Budget'!$B$30:$B$41,0))/12</f>
        <v>38641.448010996006</v>
      </c>
      <c r="DI41" s="550">
        <f>INDEX('Opex Budget'!$C$30:$C$41,MATCH(YEAR('Ops Assumptions'!DI$3),'Opex Budget'!$B$30:$B$41,0))/12</f>
        <v>38641.448010996006</v>
      </c>
      <c r="DJ41" s="550">
        <f>INDEX('Opex Budget'!$C$30:$C$41,MATCH(YEAR('Ops Assumptions'!DJ$3),'Opex Budget'!$B$30:$B$41,0))/12</f>
        <v>38641.448010996006</v>
      </c>
      <c r="DK41" s="550">
        <f>INDEX('Opex Budget'!$C$30:$C$41,MATCH(YEAR('Ops Assumptions'!DK$3),'Opex Budget'!$B$30:$B$41,0))/12</f>
        <v>38641.448010996006</v>
      </c>
      <c r="DL41" s="550">
        <f>INDEX('Opex Budget'!$C$30:$C$41,MATCH(YEAR('Ops Assumptions'!DL$3),'Opex Budget'!$B$30:$B$41,0))/12</f>
        <v>38641.448010996006</v>
      </c>
      <c r="DM41" s="550">
        <f>INDEX('Opex Budget'!$C$30:$C$41,MATCH(YEAR('Ops Assumptions'!DM$3),'Opex Budget'!$B$30:$B$41,0))/12</f>
        <v>39414.276971215928</v>
      </c>
      <c r="DN41" s="550">
        <f>INDEX('Opex Budget'!$C$30:$C$41,MATCH(YEAR('Ops Assumptions'!DN$3),'Opex Budget'!$B$30:$B$41,0))/12</f>
        <v>39414.276971215928</v>
      </c>
      <c r="DO41" s="550">
        <f>INDEX('Opex Budget'!$C$30:$C$41,MATCH(YEAR('Ops Assumptions'!DO$3),'Opex Budget'!$B$30:$B$41,0))/12</f>
        <v>39414.276971215928</v>
      </c>
      <c r="DP41" s="550">
        <f>INDEX('Opex Budget'!$C$30:$C$41,MATCH(YEAR('Ops Assumptions'!DP$3),'Opex Budget'!$B$30:$B$41,0))/12</f>
        <v>39414.276971215928</v>
      </c>
      <c r="DQ41" s="550">
        <f>INDEX('Opex Budget'!$C$30:$C$41,MATCH(YEAR('Ops Assumptions'!DQ$3),'Opex Budget'!$B$30:$B$41,0))/12</f>
        <v>39414.276971215928</v>
      </c>
      <c r="DR41" s="550">
        <f>INDEX('Opex Budget'!$C$30:$C$41,MATCH(YEAR('Ops Assumptions'!DR$3),'Opex Budget'!$B$30:$B$41,0))/12</f>
        <v>39414.276971215928</v>
      </c>
      <c r="DS41" s="550">
        <f>INDEX('Opex Budget'!$C$30:$C$41,MATCH(YEAR('Ops Assumptions'!DS$3),'Opex Budget'!$B$30:$B$41,0))/12</f>
        <v>39414.276971215928</v>
      </c>
      <c r="DT41" s="550">
        <f>INDEX('Opex Budget'!$C$30:$C$41,MATCH(YEAR('Ops Assumptions'!DT$3),'Opex Budget'!$B$30:$B$41,0))/12</f>
        <v>39414.276971215928</v>
      </c>
      <c r="DU41" s="550">
        <f>INDEX('Opex Budget'!$C$30:$C$41,MATCH(YEAR('Ops Assumptions'!DU$3),'Opex Budget'!$B$30:$B$41,0))/12</f>
        <v>39414.276971215928</v>
      </c>
      <c r="DV41" s="550">
        <f>INDEX('Opex Budget'!$C$30:$C$41,MATCH(YEAR('Ops Assumptions'!DV$3),'Opex Budget'!$B$30:$B$41,0))/12</f>
        <v>39414.276971215928</v>
      </c>
      <c r="DW41" s="550">
        <f>INDEX('Opex Budget'!$C$30:$C$41,MATCH(YEAR('Ops Assumptions'!DW$3),'Opex Budget'!$B$30:$B$41,0))/12</f>
        <v>39414.276971215928</v>
      </c>
      <c r="DX41" s="550">
        <f>INDEX('Opex Budget'!$C$30:$C$41,MATCH(YEAR('Ops Assumptions'!DX$3),'Opex Budget'!$B$30:$B$41,0))/12</f>
        <v>39414.276971215928</v>
      </c>
      <c r="DY41" s="550">
        <f>INDEX('Opex Budget'!$C$30:$C$41,MATCH(YEAR('Ops Assumptions'!DY$3),'Opex Budget'!$B$30:$B$41,0))/12</f>
        <v>40202.562510640251</v>
      </c>
      <c r="DZ41" s="550">
        <f>INDEX('Opex Budget'!$C$30:$C$41,MATCH(YEAR('Ops Assumptions'!DZ$3),'Opex Budget'!$B$30:$B$41,0))/12</f>
        <v>40202.562510640251</v>
      </c>
      <c r="EA41" s="550">
        <f>INDEX('Opex Budget'!$C$30:$C$41,MATCH(YEAR('Ops Assumptions'!EA$3),'Opex Budget'!$B$30:$B$41,0))/12</f>
        <v>40202.562510640251</v>
      </c>
      <c r="EB41" s="550">
        <f>INDEX('Opex Budget'!$C$30:$C$41,MATCH(YEAR('Ops Assumptions'!EB$3),'Opex Budget'!$B$30:$B$41,0))/12</f>
        <v>40202.562510640251</v>
      </c>
      <c r="EC41" s="550">
        <f>INDEX('Opex Budget'!$C$30:$C$41,MATCH(YEAR('Ops Assumptions'!EC$3),'Opex Budget'!$B$30:$B$41,0))/12</f>
        <v>40202.562510640251</v>
      </c>
      <c r="ED41" s="550">
        <f>INDEX('Opex Budget'!$C$30:$C$41,MATCH(YEAR('Ops Assumptions'!ED$3),'Opex Budget'!$B$30:$B$41,0))/12</f>
        <v>40202.562510640251</v>
      </c>
      <c r="EE41" s="550">
        <f>INDEX('Opex Budget'!$C$30:$C$41,MATCH(YEAR('Ops Assumptions'!EE$3),'Opex Budget'!$B$30:$B$41,0))/12</f>
        <v>40202.562510640251</v>
      </c>
      <c r="EF41" s="550">
        <f>INDEX('Opex Budget'!$C$30:$C$41,MATCH(YEAR('Ops Assumptions'!EF$3),'Opex Budget'!$B$30:$B$41,0))/12</f>
        <v>40202.562510640251</v>
      </c>
      <c r="EG41" s="550">
        <f>INDEX('Opex Budget'!$C$30:$C$41,MATCH(YEAR('Ops Assumptions'!EG$3),'Opex Budget'!$B$30:$B$41,0))/12</f>
        <v>40202.562510640251</v>
      </c>
      <c r="EH41" s="550">
        <f>INDEX('Opex Budget'!$C$30:$C$41,MATCH(YEAR('Ops Assumptions'!EH$3),'Opex Budget'!$B$30:$B$41,0))/12</f>
        <v>40202.562510640251</v>
      </c>
      <c r="EI41" s="550">
        <f>INDEX('Opex Budget'!$C$30:$C$41,MATCH(YEAR('Ops Assumptions'!EI$3),'Opex Budget'!$B$30:$B$41,0))/12</f>
        <v>40202.562510640251</v>
      </c>
      <c r="EJ41" s="550">
        <f>INDEX('Opex Budget'!$C$30:$C$41,MATCH(YEAR('Ops Assumptions'!EJ$3),'Opex Budget'!$B$30:$B$41,0))/12</f>
        <v>40202.562510640251</v>
      </c>
      <c r="EK41" s="550">
        <f>INDEX('Opex Budget'!$C$30:$C$41,MATCH(YEAR('Ops Assumptions'!EK$3),'Opex Budget'!$B$30:$B$41,0))/12</f>
        <v>41006.613760853055</v>
      </c>
      <c r="EL41" s="550">
        <f>INDEX('Opex Budget'!$C$30:$C$41,MATCH(YEAR('Ops Assumptions'!EL$3),'Opex Budget'!$B$30:$B$41,0))/12</f>
        <v>41006.613760853055</v>
      </c>
      <c r="EM41" s="550">
        <f>INDEX('Opex Budget'!$C$30:$C$41,MATCH(YEAR('Ops Assumptions'!EM$3),'Opex Budget'!$B$30:$B$41,0))/12</f>
        <v>41006.613760853055</v>
      </c>
      <c r="EN41" s="550">
        <f>INDEX('Opex Budget'!$C$30:$C$41,MATCH(YEAR('Ops Assumptions'!EN$3),'Opex Budget'!$B$30:$B$41,0))/12</f>
        <v>41006.613760853055</v>
      </c>
      <c r="EO41" s="550">
        <f>INDEX('Opex Budget'!$C$30:$C$41,MATCH(YEAR('Ops Assumptions'!EO$3),'Opex Budget'!$B$30:$B$41,0))/12</f>
        <v>41006.613760853055</v>
      </c>
      <c r="EP41" s="550">
        <f>INDEX('Opex Budget'!$C$30:$C$41,MATCH(YEAR('Ops Assumptions'!EP$3),'Opex Budget'!$B$30:$B$41,0))/12</f>
        <v>41006.613760853055</v>
      </c>
      <c r="EQ41" s="550">
        <f>INDEX('Opex Budget'!$C$30:$C$41,MATCH(YEAR('Ops Assumptions'!EQ$3),'Opex Budget'!$B$30:$B$41,0))/12</f>
        <v>41006.613760853055</v>
      </c>
      <c r="ER41" s="550">
        <f>INDEX('Opex Budget'!$C$30:$C$41,MATCH(YEAR('Ops Assumptions'!ER$3),'Opex Budget'!$B$30:$B$41,0))/12</f>
        <v>41006.613760853055</v>
      </c>
      <c r="ES41" s="550">
        <f>INDEX('Opex Budget'!$C$30:$C$41,MATCH(YEAR('Ops Assumptions'!ES$3),'Opex Budget'!$B$30:$B$41,0))/12</f>
        <v>41006.613760853055</v>
      </c>
      <c r="ET41" s="550">
        <f>INDEX('Opex Budget'!$C$30:$C$41,MATCH(YEAR('Ops Assumptions'!ET$3),'Opex Budget'!$B$30:$B$41,0))/12</f>
        <v>41006.613760853055</v>
      </c>
      <c r="EU41" s="550">
        <f>INDEX('Opex Budget'!$C$30:$C$41,MATCH(YEAR('Ops Assumptions'!EU$3),'Opex Budget'!$B$30:$B$41,0))/12</f>
        <v>41006.613760853055</v>
      </c>
      <c r="EV41" s="550">
        <f>INDEX('Opex Budget'!$C$30:$C$41,MATCH(YEAR('Ops Assumptions'!EV$3),'Opex Budget'!$B$30:$B$41,0))/12</f>
        <v>41006.613760853055</v>
      </c>
      <c r="EW41" s="150" t="s">
        <v>243</v>
      </c>
    </row>
    <row r="42" spans="2:153" x14ac:dyDescent="0.2">
      <c r="B42" s="749">
        <f t="shared" si="51"/>
        <v>9</v>
      </c>
      <c r="C42" s="750">
        <v>0.03</v>
      </c>
      <c r="D42" s="750">
        <v>0.04</v>
      </c>
      <c r="E42" s="750">
        <v>3.5000000000000003E-2</v>
      </c>
      <c r="F42" s="750">
        <v>5.0000000000000001E-3</v>
      </c>
      <c r="G42" s="750">
        <v>0.05</v>
      </c>
      <c r="H42" s="750">
        <v>5.0000000000000001E-3</v>
      </c>
      <c r="I42" s="750">
        <v>0.02</v>
      </c>
      <c r="J42" s="750">
        <v>0.02</v>
      </c>
      <c r="K42" s="160">
        <v>0.82</v>
      </c>
      <c r="EW42" s="150" t="s">
        <v>243</v>
      </c>
    </row>
    <row r="43" spans="2:153" x14ac:dyDescent="0.2">
      <c r="B43" s="749">
        <f t="shared" si="51"/>
        <v>10</v>
      </c>
      <c r="C43" s="750">
        <v>0.03</v>
      </c>
      <c r="D43" s="750">
        <v>0.03</v>
      </c>
      <c r="E43" s="750">
        <v>2.2499999999999999E-2</v>
      </c>
      <c r="F43" s="750">
        <v>5.0000000000000001E-3</v>
      </c>
      <c r="G43" s="750">
        <v>0.05</v>
      </c>
      <c r="H43" s="750">
        <v>5.0000000000000001E-3</v>
      </c>
      <c r="I43" s="750">
        <v>0.02</v>
      </c>
      <c r="J43" s="750">
        <v>0.02</v>
      </c>
      <c r="K43" s="160">
        <v>0.82</v>
      </c>
      <c r="N43" s="144"/>
      <c r="P43" s="761"/>
      <c r="AG43" s="699"/>
      <c r="EV43" s="699"/>
      <c r="EW43" s="150" t="s">
        <v>243</v>
      </c>
    </row>
    <row r="44" spans="2:153" x14ac:dyDescent="0.2">
      <c r="B44" s="749">
        <f t="shared" si="51"/>
        <v>11</v>
      </c>
      <c r="C44" s="750">
        <v>0.03</v>
      </c>
      <c r="D44" s="750">
        <v>0.03</v>
      </c>
      <c r="E44" s="750">
        <v>2.2499999999999999E-2</v>
      </c>
      <c r="F44" s="750">
        <v>5.0000000000000001E-3</v>
      </c>
      <c r="G44" s="750">
        <v>0.05</v>
      </c>
      <c r="H44" s="750">
        <v>5.0000000000000001E-3</v>
      </c>
      <c r="I44" s="750">
        <v>0.02</v>
      </c>
      <c r="J44" s="750">
        <v>0.02</v>
      </c>
      <c r="K44" s="160">
        <v>0.82</v>
      </c>
      <c r="T44" s="699"/>
      <c r="EW44" s="150" t="s">
        <v>243</v>
      </c>
    </row>
    <row r="45" spans="2:153" x14ac:dyDescent="0.2">
      <c r="U45" s="762"/>
      <c r="EW45" s="150" t="s">
        <v>243</v>
      </c>
    </row>
    <row r="46" spans="2:153" x14ac:dyDescent="0.2">
      <c r="U46" s="763"/>
      <c r="EW46" s="150" t="s">
        <v>243</v>
      </c>
    </row>
    <row r="47" spans="2:153" x14ac:dyDescent="0.2">
      <c r="EW47" s="150" t="s">
        <v>243</v>
      </c>
    </row>
    <row r="48" spans="2:153" x14ac:dyDescent="0.2">
      <c r="EW48" s="150" t="s">
        <v>243</v>
      </c>
    </row>
    <row r="49" spans="11:153" x14ac:dyDescent="0.2">
      <c r="K49" s="764"/>
      <c r="EW49" s="150" t="s">
        <v>243</v>
      </c>
    </row>
    <row r="50" spans="11:153" x14ac:dyDescent="0.2">
      <c r="K50" s="764"/>
      <c r="EW50" s="150" t="s">
        <v>243</v>
      </c>
    </row>
    <row r="51" spans="11:153" x14ac:dyDescent="0.2">
      <c r="K51" s="764"/>
      <c r="EW51" s="150" t="s">
        <v>243</v>
      </c>
    </row>
    <row r="52" spans="11:153" x14ac:dyDescent="0.2">
      <c r="K52" s="764"/>
      <c r="EW52" s="150" t="s">
        <v>243</v>
      </c>
    </row>
    <row r="53" spans="11:153" x14ac:dyDescent="0.2">
      <c r="K53" s="764"/>
    </row>
    <row r="54" spans="11:153" x14ac:dyDescent="0.2">
      <c r="K54" s="764"/>
      <c r="P54" s="765"/>
      <c r="Q54" s="765"/>
    </row>
    <row r="55" spans="11:153" x14ac:dyDescent="0.2"/>
    <row r="56" spans="11:153" x14ac:dyDescent="0.2"/>
    <row r="57" spans="11:153" x14ac:dyDescent="0.2"/>
    <row r="58" spans="11:153" x14ac:dyDescent="0.2"/>
    <row r="59" spans="11:153" x14ac:dyDescent="0.2"/>
    <row r="60" spans="11:153" x14ac:dyDescent="0.2"/>
    <row r="61" spans="11:153" x14ac:dyDescent="0.2"/>
    <row r="62" spans="11:153" x14ac:dyDescent="0.2"/>
    <row r="63" spans="11:153" x14ac:dyDescent="0.2"/>
    <row r="64" spans="11:153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</sheetData>
  <dataValidations count="1">
    <dataValidation type="list" allowBlank="1" showInputMessage="1" showErrorMessage="1" sqref="P38:P40" xr:uid="{B039B847-0EB6-40E0-B4BC-EE17B829879B}">
      <formula1>"Annual, Monthly"</formula1>
    </dataValidation>
  </dataValidations>
  <printOptions horizontalCentered="1" verticalCentered="1"/>
  <pageMargins left="0.7" right="0.7" top="0.75" bottom="0.75" header="0.3" footer="0.3"/>
  <pageSetup scale="10" orientation="landscape" r:id="rId1"/>
  <headerFooter>
    <oddFooter>&amp;L&amp;F&amp;C&amp;P&amp;R&amp;D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3D05-7C5F-43B2-B98D-189F37F85D1E}">
  <sheetPr codeName="Sheet4">
    <tabColor rgb="FF002641"/>
    <pageSetUpPr fitToPage="1"/>
  </sheetPr>
  <dimension ref="A1:HM144"/>
  <sheetViews>
    <sheetView showGridLines="0" zoomScale="85" zoomScaleNormal="85" zoomScaleSheetLayoutView="80" workbookViewId="0">
      <selection activeCell="B42" sqref="B42"/>
    </sheetView>
  </sheetViews>
  <sheetFormatPr defaultColWidth="8.7109375" defaultRowHeight="14.25" zeroHeight="1" outlineLevelRow="1" outlineLevelCol="1" x14ac:dyDescent="0.2"/>
  <cols>
    <col min="1" max="1" width="2.85546875" style="144" customWidth="1"/>
    <col min="2" max="2" width="34.85546875" style="144" bestFit="1" customWidth="1"/>
    <col min="3" max="3" width="9.85546875" style="144" customWidth="1"/>
    <col min="4" max="4" width="16.85546875" style="144" bestFit="1" customWidth="1"/>
    <col min="5" max="6" width="13.42578125" style="144" customWidth="1"/>
    <col min="7" max="7" width="12.42578125" style="144" customWidth="1"/>
    <col min="8" max="8" width="13.5703125" style="144" customWidth="1"/>
    <col min="9" max="9" width="14.85546875" style="144" customWidth="1"/>
    <col min="10" max="10" width="31.140625" style="144" customWidth="1"/>
    <col min="11" max="11" width="3.140625" style="144" customWidth="1" outlineLevel="1"/>
    <col min="12" max="22" width="10.42578125" style="144" customWidth="1" outlineLevel="1"/>
    <col min="23" max="23" width="2.7109375" style="144" customWidth="1"/>
    <col min="24" max="24" width="16.140625" style="144" customWidth="1" outlineLevel="1"/>
    <col min="25" max="26" width="10.7109375" style="144" customWidth="1" outlineLevel="1"/>
    <col min="27" max="27" width="12" style="144" customWidth="1" outlineLevel="1"/>
    <col min="28" max="41" width="12.42578125" style="144" customWidth="1" outlineLevel="1"/>
    <col min="42" max="43" width="10.7109375" style="144" customWidth="1" outlineLevel="1"/>
    <col min="44" max="48" width="9.42578125" style="144" customWidth="1" outlineLevel="1"/>
    <col min="49" max="49" width="9.28515625" style="144" customWidth="1" outlineLevel="1"/>
    <col min="50" max="50" width="9.140625" style="144" customWidth="1" outlineLevel="1"/>
    <col min="51" max="51" width="9" style="144" customWidth="1" outlineLevel="1"/>
    <col min="52" max="52" width="9.28515625" style="144" customWidth="1" outlineLevel="1"/>
    <col min="53" max="53" width="9.42578125" style="144" customWidth="1" outlineLevel="1"/>
    <col min="54" max="54" width="9" style="144" customWidth="1" outlineLevel="1"/>
    <col min="55" max="55" width="9.28515625" style="144" customWidth="1" outlineLevel="1"/>
    <col min="56" max="56" width="9.42578125" style="144" customWidth="1" outlineLevel="1"/>
    <col min="57" max="57" width="9.140625" style="144" customWidth="1" outlineLevel="1"/>
    <col min="58" max="58" width="9.28515625" style="144" customWidth="1" outlineLevel="1"/>
    <col min="59" max="59" width="9.140625" style="144" customWidth="1" outlineLevel="1"/>
    <col min="60" max="60" width="9" style="144" customWidth="1" outlineLevel="1"/>
    <col min="61" max="61" width="9.28515625" style="144" customWidth="1" outlineLevel="1"/>
    <col min="62" max="62" width="9.140625" style="144" customWidth="1" outlineLevel="1"/>
    <col min="63" max="63" width="9" style="144" customWidth="1" outlineLevel="1"/>
    <col min="64" max="64" width="9.28515625" style="144" customWidth="1" outlineLevel="1"/>
    <col min="65" max="65" width="9.42578125" style="144" customWidth="1" outlineLevel="1"/>
    <col min="66" max="66" width="9" style="144" customWidth="1" outlineLevel="1"/>
    <col min="67" max="67" width="9.28515625" style="144" customWidth="1" outlineLevel="1"/>
    <col min="68" max="68" width="9.42578125" style="144" customWidth="1" outlineLevel="1"/>
    <col min="69" max="69" width="9.140625" style="144" customWidth="1" outlineLevel="1"/>
    <col min="70" max="70" width="9.28515625" style="144" customWidth="1" outlineLevel="1"/>
    <col min="71" max="71" width="9.140625" style="144" customWidth="1" outlineLevel="1"/>
    <col min="72" max="72" width="9" style="144" customWidth="1" outlineLevel="1"/>
    <col min="73" max="73" width="9.28515625" style="144" customWidth="1" outlineLevel="1"/>
    <col min="74" max="74" width="9.140625" style="144" customWidth="1" outlineLevel="1"/>
    <col min="75" max="75" width="9" style="144" customWidth="1" outlineLevel="1"/>
    <col min="76" max="76" width="9.28515625" style="144" customWidth="1" outlineLevel="1"/>
    <col min="77" max="77" width="9.42578125" style="144" customWidth="1" outlineLevel="1"/>
    <col min="78" max="78" width="9" style="144" customWidth="1" outlineLevel="1"/>
    <col min="79" max="79" width="9.28515625" style="144" customWidth="1" outlineLevel="1"/>
    <col min="80" max="80" width="9.42578125" style="144" customWidth="1" outlineLevel="1"/>
    <col min="81" max="81" width="9.140625" style="144" customWidth="1" outlineLevel="1"/>
    <col min="82" max="82" width="9.28515625" style="144" customWidth="1" outlineLevel="1"/>
    <col min="83" max="83" width="9.140625" style="144" customWidth="1" outlineLevel="1"/>
    <col min="84" max="84" width="9" style="144" customWidth="1" outlineLevel="1"/>
    <col min="85" max="85" width="9.28515625" style="144" customWidth="1" outlineLevel="1"/>
    <col min="86" max="86" width="9.140625" style="144" customWidth="1" outlineLevel="1"/>
    <col min="87" max="87" width="9" style="144" customWidth="1" outlineLevel="1"/>
    <col min="88" max="88" width="9.28515625" style="144" customWidth="1" outlineLevel="1"/>
    <col min="89" max="89" width="9.42578125" style="144" customWidth="1" outlineLevel="1"/>
    <col min="90" max="90" width="9" style="144" customWidth="1" outlineLevel="1"/>
    <col min="91" max="91" width="9.28515625" style="144" customWidth="1" outlineLevel="1"/>
    <col min="92" max="92" width="9.42578125" style="144" customWidth="1" outlineLevel="1"/>
    <col min="93" max="93" width="9.140625" style="144" customWidth="1" outlineLevel="1"/>
    <col min="94" max="94" width="9.28515625" style="144" customWidth="1" outlineLevel="1"/>
    <col min="95" max="95" width="9.140625" style="144" customWidth="1" outlineLevel="1"/>
    <col min="96" max="96" width="9" style="144" customWidth="1" outlineLevel="1"/>
    <col min="97" max="97" width="9.28515625" style="144" customWidth="1" outlineLevel="1"/>
    <col min="98" max="98" width="9.140625" style="144" customWidth="1" outlineLevel="1"/>
    <col min="99" max="99" width="9" style="144" customWidth="1" outlineLevel="1"/>
    <col min="100" max="100" width="9.28515625" style="144" customWidth="1" outlineLevel="1"/>
    <col min="101" max="101" width="9.42578125" style="144" customWidth="1" outlineLevel="1"/>
    <col min="102" max="102" width="9" style="144" customWidth="1" outlineLevel="1"/>
    <col min="103" max="103" width="9.28515625" style="144" customWidth="1" outlineLevel="1"/>
    <col min="104" max="104" width="9.42578125" style="144" customWidth="1" outlineLevel="1"/>
    <col min="105" max="105" width="9.140625" style="144" customWidth="1" outlineLevel="1"/>
    <col min="106" max="106" width="9.28515625" style="144" customWidth="1" outlineLevel="1"/>
    <col min="107" max="107" width="9.140625" style="144" customWidth="1" outlineLevel="1"/>
    <col min="108" max="108" width="9" style="144" customWidth="1" outlineLevel="1"/>
    <col min="109" max="109" width="9.28515625" style="144" customWidth="1" outlineLevel="1"/>
    <col min="110" max="110" width="9.140625" style="144" customWidth="1" outlineLevel="1"/>
    <col min="111" max="111" width="9" style="144" customWidth="1" outlineLevel="1"/>
    <col min="112" max="112" width="9.28515625" style="144" customWidth="1" outlineLevel="1"/>
    <col min="113" max="113" width="9.42578125" style="144" customWidth="1" outlineLevel="1"/>
    <col min="114" max="114" width="9" style="144" customWidth="1" outlineLevel="1"/>
    <col min="115" max="115" width="9.28515625" style="144" customWidth="1" outlineLevel="1"/>
    <col min="116" max="116" width="9.42578125" style="144" customWidth="1" outlineLevel="1"/>
    <col min="117" max="117" width="9.140625" style="144" customWidth="1" outlineLevel="1"/>
    <col min="118" max="118" width="9.28515625" style="144" customWidth="1" outlineLevel="1"/>
    <col min="119" max="119" width="9.140625" style="144" customWidth="1" outlineLevel="1"/>
    <col min="120" max="120" width="9" style="144" customWidth="1" outlineLevel="1"/>
    <col min="121" max="121" width="9.28515625" style="144" customWidth="1" outlineLevel="1"/>
    <col min="122" max="122" width="9.140625" style="144" customWidth="1" outlineLevel="1"/>
    <col min="123" max="123" width="9" style="144" customWidth="1" outlineLevel="1"/>
    <col min="124" max="145" width="10.140625" style="144" customWidth="1" outlineLevel="1"/>
    <col min="146" max="146" width="10.85546875" style="144" customWidth="1" outlineLevel="1"/>
    <col min="147" max="156" width="10.140625" style="144" customWidth="1" outlineLevel="1"/>
    <col min="157" max="158" width="10.42578125" style="144" bestFit="1" customWidth="1"/>
    <col min="159" max="167" width="9.42578125" style="144" bestFit="1" customWidth="1"/>
    <col min="168" max="170" width="10.42578125" style="144" bestFit="1" customWidth="1"/>
    <col min="171" max="179" width="9.42578125" style="144" bestFit="1" customWidth="1"/>
    <col min="180" max="182" width="10.42578125" style="144" bestFit="1" customWidth="1"/>
    <col min="183" max="191" width="9.42578125" style="144" bestFit="1" customWidth="1"/>
    <col min="192" max="194" width="10.42578125" style="144" bestFit="1" customWidth="1"/>
    <col min="195" max="203" width="9.42578125" style="144" bestFit="1" customWidth="1"/>
    <col min="204" max="206" width="10.42578125" style="144" bestFit="1" customWidth="1"/>
    <col min="207" max="215" width="9.42578125" style="144" bestFit="1" customWidth="1"/>
    <col min="216" max="216" width="10.42578125" style="144" bestFit="1" customWidth="1"/>
    <col min="217" max="217" width="9.42578125" style="144" bestFit="1" customWidth="1"/>
    <col min="218" max="16384" width="8.7109375" style="144"/>
  </cols>
  <sheetData>
    <row r="1" spans="1:221" ht="12" customHeight="1" x14ac:dyDescent="0.2">
      <c r="A1" s="155"/>
      <c r="B1" s="162"/>
      <c r="C1" s="162"/>
      <c r="D1" s="158"/>
      <c r="E1" s="158"/>
      <c r="F1" s="158"/>
      <c r="G1" s="158"/>
      <c r="H1" s="158"/>
      <c r="I1" s="158"/>
      <c r="J1" s="608"/>
      <c r="K1" s="609"/>
      <c r="L1" s="609"/>
      <c r="M1" s="609"/>
      <c r="N1" s="609"/>
      <c r="O1" s="609"/>
      <c r="P1" s="609"/>
      <c r="Q1" s="609"/>
      <c r="R1" s="609"/>
      <c r="S1" s="609"/>
      <c r="T1" s="609"/>
      <c r="U1" s="609"/>
      <c r="V1" s="609"/>
      <c r="W1" s="609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  <c r="CZ1" s="158"/>
      <c r="DA1" s="158"/>
      <c r="DB1" s="158"/>
      <c r="DC1" s="158"/>
      <c r="DD1" s="158"/>
      <c r="DE1" s="158"/>
      <c r="DF1" s="158"/>
      <c r="DG1" s="158"/>
      <c r="DH1" s="158"/>
      <c r="DI1" s="158"/>
      <c r="DJ1" s="158"/>
      <c r="DK1" s="158"/>
      <c r="DL1" s="158"/>
      <c r="DM1" s="158"/>
      <c r="DN1" s="158"/>
      <c r="DO1" s="158"/>
      <c r="DP1" s="158"/>
      <c r="DQ1" s="158"/>
      <c r="DR1" s="158"/>
      <c r="DS1" s="158"/>
      <c r="DT1" s="158"/>
      <c r="DU1" s="158"/>
      <c r="DV1" s="158"/>
      <c r="DW1" s="158"/>
      <c r="DX1" s="158"/>
      <c r="DY1" s="158"/>
      <c r="DZ1" s="158"/>
      <c r="EA1" s="158"/>
      <c r="EB1" s="158"/>
      <c r="EC1" s="158"/>
      <c r="ED1" s="158"/>
      <c r="EE1" s="158"/>
      <c r="EF1" s="158"/>
      <c r="EG1" s="158"/>
      <c r="EH1" s="158"/>
      <c r="EI1" s="158"/>
      <c r="EJ1" s="158"/>
      <c r="EK1" s="158"/>
      <c r="EL1" s="158"/>
      <c r="EM1" s="158"/>
      <c r="EN1" s="158"/>
      <c r="EO1" s="158"/>
      <c r="EP1" s="158"/>
      <c r="EQ1" s="158"/>
      <c r="ER1" s="158"/>
      <c r="ES1" s="158"/>
      <c r="ET1" s="158"/>
      <c r="EU1" s="158"/>
      <c r="EV1" s="158"/>
      <c r="EW1" s="158"/>
      <c r="EX1" s="158"/>
      <c r="EY1" s="158"/>
      <c r="EZ1" s="158"/>
      <c r="FA1" s="158"/>
    </row>
    <row r="2" spans="1:221" ht="18" x14ac:dyDescent="0.25">
      <c r="A2" s="155"/>
      <c r="B2" s="610" t="s">
        <v>101</v>
      </c>
      <c r="C2" s="203"/>
      <c r="D2" s="203"/>
      <c r="E2" s="203"/>
      <c r="F2" s="203"/>
      <c r="G2" s="205"/>
      <c r="H2" s="205"/>
      <c r="I2" s="205"/>
      <c r="J2" s="611" t="str">
        <f>Name</f>
        <v>Property Name</v>
      </c>
      <c r="K2" s="612"/>
      <c r="L2" s="290" t="s">
        <v>210</v>
      </c>
      <c r="M2" s="292"/>
      <c r="N2" s="292"/>
      <c r="O2" s="292"/>
      <c r="P2" s="292"/>
      <c r="Q2" s="612"/>
      <c r="R2" s="612"/>
      <c r="S2" s="612"/>
      <c r="T2" s="612"/>
      <c r="U2" s="612"/>
      <c r="V2" s="612"/>
      <c r="W2" s="613"/>
      <c r="X2" s="290" t="s">
        <v>102</v>
      </c>
      <c r="Y2" s="292"/>
      <c r="Z2" s="292"/>
      <c r="AA2" s="292"/>
      <c r="AB2" s="292"/>
      <c r="AC2" s="292"/>
      <c r="AD2" s="292"/>
      <c r="AE2" s="292"/>
      <c r="AF2" s="292"/>
      <c r="AG2" s="292"/>
      <c r="AH2" s="292"/>
      <c r="AI2" s="292"/>
      <c r="AJ2" s="292"/>
      <c r="AK2" s="255"/>
      <c r="AL2" s="292"/>
      <c r="AM2" s="292"/>
      <c r="AN2" s="292"/>
      <c r="AO2" s="292"/>
      <c r="AP2" s="292"/>
      <c r="AQ2" s="292"/>
      <c r="AR2" s="292"/>
      <c r="AS2" s="292"/>
      <c r="AT2" s="292"/>
      <c r="AU2" s="292"/>
      <c r="AV2" s="292"/>
      <c r="AW2" s="255"/>
      <c r="AX2" s="292"/>
      <c r="AY2" s="292"/>
      <c r="AZ2" s="292"/>
      <c r="BA2" s="292"/>
      <c r="BB2" s="292"/>
      <c r="BC2" s="292"/>
      <c r="BD2" s="292"/>
      <c r="BE2" s="292"/>
      <c r="BF2" s="292"/>
      <c r="BG2" s="292"/>
      <c r="BH2" s="292"/>
      <c r="BI2" s="255"/>
      <c r="BJ2" s="292"/>
      <c r="BK2" s="292"/>
      <c r="BL2" s="292"/>
      <c r="BM2" s="292"/>
      <c r="BN2" s="292"/>
      <c r="BO2" s="292"/>
      <c r="BP2" s="292"/>
      <c r="BQ2" s="292"/>
      <c r="BR2" s="292"/>
      <c r="BS2" s="292"/>
      <c r="BT2" s="292"/>
      <c r="BU2" s="255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614"/>
      <c r="CH2" s="292"/>
      <c r="CI2" s="292"/>
      <c r="CJ2" s="292"/>
      <c r="CK2" s="292"/>
      <c r="CL2" s="292"/>
      <c r="CM2" s="292"/>
      <c r="CN2" s="292"/>
      <c r="CO2" s="292"/>
      <c r="CP2" s="292"/>
      <c r="CQ2" s="292"/>
      <c r="CR2" s="292"/>
      <c r="CS2" s="614"/>
      <c r="CT2" s="292"/>
      <c r="CU2" s="292"/>
      <c r="CV2" s="292"/>
      <c r="CW2" s="292"/>
      <c r="CX2" s="292"/>
      <c r="CY2" s="292"/>
      <c r="CZ2" s="292"/>
      <c r="DA2" s="292"/>
      <c r="DB2" s="292"/>
      <c r="DC2" s="292"/>
      <c r="DD2" s="292"/>
      <c r="DE2" s="614"/>
      <c r="DF2" s="292"/>
      <c r="DG2" s="292"/>
      <c r="DH2" s="292"/>
      <c r="DI2" s="292"/>
      <c r="DJ2" s="292"/>
      <c r="DK2" s="292"/>
      <c r="DL2" s="292"/>
      <c r="DM2" s="292"/>
      <c r="DN2" s="292"/>
      <c r="DO2" s="292"/>
      <c r="DP2" s="292"/>
      <c r="DQ2" s="614"/>
      <c r="DR2" s="292"/>
      <c r="DS2" s="292"/>
      <c r="DT2" s="292"/>
      <c r="DU2" s="292"/>
      <c r="DV2" s="292"/>
      <c r="DW2" s="292"/>
      <c r="DX2" s="292"/>
      <c r="DY2" s="292"/>
      <c r="DZ2" s="292"/>
      <c r="EA2" s="292"/>
      <c r="EB2" s="292"/>
      <c r="EC2" s="614"/>
      <c r="ED2" s="292"/>
      <c r="EE2" s="292"/>
      <c r="EF2" s="292"/>
      <c r="EG2" s="292"/>
      <c r="EH2" s="292"/>
      <c r="EI2" s="292"/>
      <c r="EJ2" s="292"/>
      <c r="EK2" s="292"/>
      <c r="EL2" s="292"/>
      <c r="EM2" s="292"/>
      <c r="EN2" s="292"/>
      <c r="EO2" s="614"/>
      <c r="EP2" s="292"/>
      <c r="EQ2" s="292"/>
      <c r="ER2" s="292"/>
      <c r="ES2" s="292"/>
      <c r="ET2" s="292"/>
      <c r="EU2" s="292"/>
      <c r="EV2" s="292"/>
      <c r="EW2" s="292"/>
      <c r="EX2" s="292"/>
      <c r="EY2" s="292"/>
      <c r="EZ2" s="292"/>
      <c r="FA2" s="295"/>
    </row>
    <row r="3" spans="1:221" ht="18" customHeight="1" x14ac:dyDescent="0.25">
      <c r="A3" s="155"/>
      <c r="B3" s="615"/>
      <c r="C3" s="207"/>
      <c r="D3" s="203"/>
      <c r="E3" s="203"/>
      <c r="F3" s="203"/>
      <c r="G3" s="205"/>
      <c r="H3" s="205"/>
      <c r="I3" s="205"/>
      <c r="J3" s="611" t="str">
        <f>Summary!P3</f>
        <v>12345 Main St New York, NY 10004</v>
      </c>
      <c r="K3" s="612"/>
      <c r="L3" s="172"/>
      <c r="M3" s="612"/>
      <c r="N3" s="612"/>
      <c r="O3" s="612"/>
      <c r="P3" s="612"/>
      <c r="Q3" s="612"/>
      <c r="R3" s="612"/>
      <c r="S3" s="612"/>
      <c r="T3" s="612"/>
      <c r="U3" s="612"/>
      <c r="V3" s="612"/>
      <c r="W3" s="252"/>
      <c r="X3" s="172">
        <v>0</v>
      </c>
      <c r="Y3" s="172">
        <f>X3+1</f>
        <v>1</v>
      </c>
      <c r="Z3" s="172">
        <f t="shared" ref="Z3:CK3" si="0">Y3+1</f>
        <v>2</v>
      </c>
      <c r="AA3" s="172">
        <f t="shared" si="0"/>
        <v>3</v>
      </c>
      <c r="AB3" s="172">
        <f t="shared" si="0"/>
        <v>4</v>
      </c>
      <c r="AC3" s="172">
        <f t="shared" si="0"/>
        <v>5</v>
      </c>
      <c r="AD3" s="172">
        <f t="shared" si="0"/>
        <v>6</v>
      </c>
      <c r="AE3" s="172">
        <f t="shared" si="0"/>
        <v>7</v>
      </c>
      <c r="AF3" s="172">
        <f t="shared" si="0"/>
        <v>8</v>
      </c>
      <c r="AG3" s="172">
        <f t="shared" si="0"/>
        <v>9</v>
      </c>
      <c r="AH3" s="172">
        <f t="shared" si="0"/>
        <v>10</v>
      </c>
      <c r="AI3" s="172">
        <f t="shared" si="0"/>
        <v>11</v>
      </c>
      <c r="AJ3" s="172">
        <f t="shared" si="0"/>
        <v>12</v>
      </c>
      <c r="AK3" s="172">
        <f t="shared" si="0"/>
        <v>13</v>
      </c>
      <c r="AL3" s="172">
        <f t="shared" si="0"/>
        <v>14</v>
      </c>
      <c r="AM3" s="172">
        <f t="shared" si="0"/>
        <v>15</v>
      </c>
      <c r="AN3" s="172">
        <f t="shared" si="0"/>
        <v>16</v>
      </c>
      <c r="AO3" s="172">
        <f t="shared" si="0"/>
        <v>17</v>
      </c>
      <c r="AP3" s="172">
        <f t="shared" si="0"/>
        <v>18</v>
      </c>
      <c r="AQ3" s="172">
        <f t="shared" si="0"/>
        <v>19</v>
      </c>
      <c r="AR3" s="172">
        <f t="shared" si="0"/>
        <v>20</v>
      </c>
      <c r="AS3" s="172">
        <f t="shared" si="0"/>
        <v>21</v>
      </c>
      <c r="AT3" s="172">
        <f t="shared" si="0"/>
        <v>22</v>
      </c>
      <c r="AU3" s="172">
        <f t="shared" si="0"/>
        <v>23</v>
      </c>
      <c r="AV3" s="172">
        <f t="shared" si="0"/>
        <v>24</v>
      </c>
      <c r="AW3" s="172">
        <f t="shared" si="0"/>
        <v>25</v>
      </c>
      <c r="AX3" s="172">
        <f t="shared" si="0"/>
        <v>26</v>
      </c>
      <c r="AY3" s="172">
        <f t="shared" si="0"/>
        <v>27</v>
      </c>
      <c r="AZ3" s="172">
        <f t="shared" si="0"/>
        <v>28</v>
      </c>
      <c r="BA3" s="172">
        <f t="shared" si="0"/>
        <v>29</v>
      </c>
      <c r="BB3" s="172">
        <f t="shared" si="0"/>
        <v>30</v>
      </c>
      <c r="BC3" s="172">
        <f t="shared" si="0"/>
        <v>31</v>
      </c>
      <c r="BD3" s="172">
        <f t="shared" si="0"/>
        <v>32</v>
      </c>
      <c r="BE3" s="172">
        <f t="shared" si="0"/>
        <v>33</v>
      </c>
      <c r="BF3" s="172">
        <f t="shared" si="0"/>
        <v>34</v>
      </c>
      <c r="BG3" s="172">
        <f t="shared" si="0"/>
        <v>35</v>
      </c>
      <c r="BH3" s="172">
        <f t="shared" si="0"/>
        <v>36</v>
      </c>
      <c r="BI3" s="172">
        <f t="shared" si="0"/>
        <v>37</v>
      </c>
      <c r="BJ3" s="172">
        <f t="shared" si="0"/>
        <v>38</v>
      </c>
      <c r="BK3" s="172">
        <f t="shared" si="0"/>
        <v>39</v>
      </c>
      <c r="BL3" s="172">
        <f t="shared" si="0"/>
        <v>40</v>
      </c>
      <c r="BM3" s="172">
        <f t="shared" si="0"/>
        <v>41</v>
      </c>
      <c r="BN3" s="172">
        <f t="shared" si="0"/>
        <v>42</v>
      </c>
      <c r="BO3" s="172">
        <f t="shared" si="0"/>
        <v>43</v>
      </c>
      <c r="BP3" s="172">
        <f t="shared" si="0"/>
        <v>44</v>
      </c>
      <c r="BQ3" s="172">
        <f t="shared" si="0"/>
        <v>45</v>
      </c>
      <c r="BR3" s="172">
        <f t="shared" si="0"/>
        <v>46</v>
      </c>
      <c r="BS3" s="172">
        <f t="shared" si="0"/>
        <v>47</v>
      </c>
      <c r="BT3" s="172">
        <f t="shared" si="0"/>
        <v>48</v>
      </c>
      <c r="BU3" s="172">
        <f t="shared" si="0"/>
        <v>49</v>
      </c>
      <c r="BV3" s="172">
        <f t="shared" si="0"/>
        <v>50</v>
      </c>
      <c r="BW3" s="172">
        <f t="shared" si="0"/>
        <v>51</v>
      </c>
      <c r="BX3" s="172">
        <f t="shared" si="0"/>
        <v>52</v>
      </c>
      <c r="BY3" s="172">
        <f t="shared" si="0"/>
        <v>53</v>
      </c>
      <c r="BZ3" s="172">
        <f t="shared" si="0"/>
        <v>54</v>
      </c>
      <c r="CA3" s="172">
        <f t="shared" si="0"/>
        <v>55</v>
      </c>
      <c r="CB3" s="172">
        <f t="shared" si="0"/>
        <v>56</v>
      </c>
      <c r="CC3" s="172">
        <f t="shared" si="0"/>
        <v>57</v>
      </c>
      <c r="CD3" s="172">
        <f t="shared" si="0"/>
        <v>58</v>
      </c>
      <c r="CE3" s="172">
        <f t="shared" si="0"/>
        <v>59</v>
      </c>
      <c r="CF3" s="172">
        <f t="shared" si="0"/>
        <v>60</v>
      </c>
      <c r="CG3" s="172">
        <f t="shared" si="0"/>
        <v>61</v>
      </c>
      <c r="CH3" s="172">
        <f t="shared" si="0"/>
        <v>62</v>
      </c>
      <c r="CI3" s="172">
        <f t="shared" si="0"/>
        <v>63</v>
      </c>
      <c r="CJ3" s="172">
        <f t="shared" si="0"/>
        <v>64</v>
      </c>
      <c r="CK3" s="172">
        <f t="shared" si="0"/>
        <v>65</v>
      </c>
      <c r="CL3" s="172">
        <f t="shared" ref="CL3:EW3" si="1">CK3+1</f>
        <v>66</v>
      </c>
      <c r="CM3" s="172">
        <f t="shared" si="1"/>
        <v>67</v>
      </c>
      <c r="CN3" s="172">
        <f t="shared" si="1"/>
        <v>68</v>
      </c>
      <c r="CO3" s="172">
        <f t="shared" si="1"/>
        <v>69</v>
      </c>
      <c r="CP3" s="172">
        <f t="shared" si="1"/>
        <v>70</v>
      </c>
      <c r="CQ3" s="172">
        <f t="shared" si="1"/>
        <v>71</v>
      </c>
      <c r="CR3" s="172">
        <f t="shared" si="1"/>
        <v>72</v>
      </c>
      <c r="CS3" s="172">
        <f t="shared" si="1"/>
        <v>73</v>
      </c>
      <c r="CT3" s="172">
        <f t="shared" si="1"/>
        <v>74</v>
      </c>
      <c r="CU3" s="172">
        <f t="shared" si="1"/>
        <v>75</v>
      </c>
      <c r="CV3" s="172">
        <f t="shared" si="1"/>
        <v>76</v>
      </c>
      <c r="CW3" s="172">
        <f t="shared" si="1"/>
        <v>77</v>
      </c>
      <c r="CX3" s="172">
        <f t="shared" si="1"/>
        <v>78</v>
      </c>
      <c r="CY3" s="172">
        <f t="shared" si="1"/>
        <v>79</v>
      </c>
      <c r="CZ3" s="172">
        <f t="shared" si="1"/>
        <v>80</v>
      </c>
      <c r="DA3" s="172">
        <f t="shared" si="1"/>
        <v>81</v>
      </c>
      <c r="DB3" s="172">
        <f t="shared" si="1"/>
        <v>82</v>
      </c>
      <c r="DC3" s="172">
        <f t="shared" si="1"/>
        <v>83</v>
      </c>
      <c r="DD3" s="172">
        <f t="shared" si="1"/>
        <v>84</v>
      </c>
      <c r="DE3" s="172">
        <f t="shared" si="1"/>
        <v>85</v>
      </c>
      <c r="DF3" s="172">
        <f t="shared" si="1"/>
        <v>86</v>
      </c>
      <c r="DG3" s="172">
        <f t="shared" si="1"/>
        <v>87</v>
      </c>
      <c r="DH3" s="172">
        <f t="shared" si="1"/>
        <v>88</v>
      </c>
      <c r="DI3" s="172">
        <f t="shared" si="1"/>
        <v>89</v>
      </c>
      <c r="DJ3" s="172">
        <f t="shared" si="1"/>
        <v>90</v>
      </c>
      <c r="DK3" s="172">
        <f t="shared" si="1"/>
        <v>91</v>
      </c>
      <c r="DL3" s="172">
        <f t="shared" si="1"/>
        <v>92</v>
      </c>
      <c r="DM3" s="172">
        <f t="shared" si="1"/>
        <v>93</v>
      </c>
      <c r="DN3" s="172">
        <f t="shared" si="1"/>
        <v>94</v>
      </c>
      <c r="DO3" s="172">
        <f t="shared" si="1"/>
        <v>95</v>
      </c>
      <c r="DP3" s="172">
        <f t="shared" si="1"/>
        <v>96</v>
      </c>
      <c r="DQ3" s="172">
        <f t="shared" si="1"/>
        <v>97</v>
      </c>
      <c r="DR3" s="172">
        <f t="shared" si="1"/>
        <v>98</v>
      </c>
      <c r="DS3" s="172">
        <f t="shared" si="1"/>
        <v>99</v>
      </c>
      <c r="DT3" s="172">
        <f t="shared" si="1"/>
        <v>100</v>
      </c>
      <c r="DU3" s="172">
        <f t="shared" si="1"/>
        <v>101</v>
      </c>
      <c r="DV3" s="172">
        <f t="shared" si="1"/>
        <v>102</v>
      </c>
      <c r="DW3" s="172">
        <f t="shared" si="1"/>
        <v>103</v>
      </c>
      <c r="DX3" s="172">
        <f t="shared" si="1"/>
        <v>104</v>
      </c>
      <c r="DY3" s="172">
        <f t="shared" si="1"/>
        <v>105</v>
      </c>
      <c r="DZ3" s="172">
        <f t="shared" si="1"/>
        <v>106</v>
      </c>
      <c r="EA3" s="172">
        <f t="shared" si="1"/>
        <v>107</v>
      </c>
      <c r="EB3" s="172">
        <f t="shared" si="1"/>
        <v>108</v>
      </c>
      <c r="EC3" s="172">
        <f t="shared" si="1"/>
        <v>109</v>
      </c>
      <c r="ED3" s="172">
        <f t="shared" si="1"/>
        <v>110</v>
      </c>
      <c r="EE3" s="172">
        <f t="shared" si="1"/>
        <v>111</v>
      </c>
      <c r="EF3" s="172">
        <f t="shared" si="1"/>
        <v>112</v>
      </c>
      <c r="EG3" s="172">
        <f t="shared" si="1"/>
        <v>113</v>
      </c>
      <c r="EH3" s="172">
        <f t="shared" si="1"/>
        <v>114</v>
      </c>
      <c r="EI3" s="172">
        <f t="shared" si="1"/>
        <v>115</v>
      </c>
      <c r="EJ3" s="172">
        <f t="shared" si="1"/>
        <v>116</v>
      </c>
      <c r="EK3" s="172">
        <f t="shared" si="1"/>
        <v>117</v>
      </c>
      <c r="EL3" s="172">
        <f t="shared" si="1"/>
        <v>118</v>
      </c>
      <c r="EM3" s="172">
        <f t="shared" si="1"/>
        <v>119</v>
      </c>
      <c r="EN3" s="172">
        <f t="shared" si="1"/>
        <v>120</v>
      </c>
      <c r="EO3" s="172">
        <f t="shared" si="1"/>
        <v>121</v>
      </c>
      <c r="EP3" s="172">
        <f t="shared" si="1"/>
        <v>122</v>
      </c>
      <c r="EQ3" s="172">
        <f t="shared" si="1"/>
        <v>123</v>
      </c>
      <c r="ER3" s="172">
        <f t="shared" si="1"/>
        <v>124</v>
      </c>
      <c r="ES3" s="172">
        <f t="shared" si="1"/>
        <v>125</v>
      </c>
      <c r="ET3" s="172">
        <f t="shared" si="1"/>
        <v>126</v>
      </c>
      <c r="EU3" s="172">
        <f t="shared" si="1"/>
        <v>127</v>
      </c>
      <c r="EV3" s="172">
        <f t="shared" si="1"/>
        <v>128</v>
      </c>
      <c r="EW3" s="172">
        <f t="shared" si="1"/>
        <v>129</v>
      </c>
      <c r="EX3" s="172">
        <f>EW3+1</f>
        <v>130</v>
      </c>
      <c r="EY3" s="172">
        <f>EX3+1</f>
        <v>131</v>
      </c>
      <c r="EZ3" s="172">
        <f>EY3+1</f>
        <v>132</v>
      </c>
      <c r="FA3" s="295"/>
    </row>
    <row r="4" spans="1:221" x14ac:dyDescent="0.2">
      <c r="A4" s="155"/>
      <c r="B4" s="209"/>
      <c r="C4" s="209"/>
      <c r="D4" s="609"/>
      <c r="E4" s="609"/>
      <c r="F4" s="609"/>
      <c r="G4" s="609"/>
      <c r="H4" s="609"/>
      <c r="I4" s="609"/>
      <c r="J4" s="616"/>
      <c r="K4" s="609"/>
      <c r="L4" s="173">
        <v>0</v>
      </c>
      <c r="M4" s="173">
        <v>1</v>
      </c>
      <c r="N4" s="173">
        <v>2</v>
      </c>
      <c r="O4" s="173">
        <v>3</v>
      </c>
      <c r="P4" s="173">
        <v>4</v>
      </c>
      <c r="Q4" s="173">
        <v>5</v>
      </c>
      <c r="R4" s="173">
        <v>6</v>
      </c>
      <c r="S4" s="173">
        <v>7</v>
      </c>
      <c r="T4" s="173">
        <v>8</v>
      </c>
      <c r="U4" s="173">
        <v>9</v>
      </c>
      <c r="V4" s="173">
        <v>10</v>
      </c>
      <c r="W4" s="609"/>
      <c r="X4" s="173">
        <v>0</v>
      </c>
      <c r="Y4" s="173">
        <f>ROUNDUP(Y3/12,0)</f>
        <v>1</v>
      </c>
      <c r="Z4" s="173">
        <f t="shared" ref="Z4:CK4" si="2">ROUNDUP(Z3/12,0)</f>
        <v>1</v>
      </c>
      <c r="AA4" s="173">
        <f t="shared" si="2"/>
        <v>1</v>
      </c>
      <c r="AB4" s="173">
        <f t="shared" si="2"/>
        <v>1</v>
      </c>
      <c r="AC4" s="173">
        <f t="shared" si="2"/>
        <v>1</v>
      </c>
      <c r="AD4" s="173">
        <f t="shared" si="2"/>
        <v>1</v>
      </c>
      <c r="AE4" s="173">
        <f t="shared" si="2"/>
        <v>1</v>
      </c>
      <c r="AF4" s="173">
        <f t="shared" si="2"/>
        <v>1</v>
      </c>
      <c r="AG4" s="173">
        <f t="shared" si="2"/>
        <v>1</v>
      </c>
      <c r="AH4" s="173">
        <f t="shared" si="2"/>
        <v>1</v>
      </c>
      <c r="AI4" s="173">
        <f t="shared" si="2"/>
        <v>1</v>
      </c>
      <c r="AJ4" s="173">
        <f t="shared" si="2"/>
        <v>1</v>
      </c>
      <c r="AK4" s="173">
        <f t="shared" si="2"/>
        <v>2</v>
      </c>
      <c r="AL4" s="173">
        <f t="shared" si="2"/>
        <v>2</v>
      </c>
      <c r="AM4" s="173">
        <f t="shared" si="2"/>
        <v>2</v>
      </c>
      <c r="AN4" s="173">
        <f t="shared" si="2"/>
        <v>2</v>
      </c>
      <c r="AO4" s="173">
        <f t="shared" si="2"/>
        <v>2</v>
      </c>
      <c r="AP4" s="173">
        <f t="shared" si="2"/>
        <v>2</v>
      </c>
      <c r="AQ4" s="173">
        <f t="shared" si="2"/>
        <v>2</v>
      </c>
      <c r="AR4" s="173">
        <f t="shared" si="2"/>
        <v>2</v>
      </c>
      <c r="AS4" s="173">
        <f t="shared" si="2"/>
        <v>2</v>
      </c>
      <c r="AT4" s="173">
        <f t="shared" si="2"/>
        <v>2</v>
      </c>
      <c r="AU4" s="173">
        <f t="shared" si="2"/>
        <v>2</v>
      </c>
      <c r="AV4" s="173">
        <f t="shared" si="2"/>
        <v>2</v>
      </c>
      <c r="AW4" s="173">
        <f t="shared" si="2"/>
        <v>3</v>
      </c>
      <c r="AX4" s="173">
        <f t="shared" si="2"/>
        <v>3</v>
      </c>
      <c r="AY4" s="173">
        <f t="shared" si="2"/>
        <v>3</v>
      </c>
      <c r="AZ4" s="173">
        <f t="shared" si="2"/>
        <v>3</v>
      </c>
      <c r="BA4" s="173">
        <f t="shared" si="2"/>
        <v>3</v>
      </c>
      <c r="BB4" s="173">
        <f t="shared" si="2"/>
        <v>3</v>
      </c>
      <c r="BC4" s="173">
        <f t="shared" si="2"/>
        <v>3</v>
      </c>
      <c r="BD4" s="173">
        <f t="shared" si="2"/>
        <v>3</v>
      </c>
      <c r="BE4" s="173">
        <f t="shared" si="2"/>
        <v>3</v>
      </c>
      <c r="BF4" s="173">
        <f t="shared" si="2"/>
        <v>3</v>
      </c>
      <c r="BG4" s="173">
        <f t="shared" si="2"/>
        <v>3</v>
      </c>
      <c r="BH4" s="173">
        <f t="shared" si="2"/>
        <v>3</v>
      </c>
      <c r="BI4" s="173">
        <f t="shared" si="2"/>
        <v>4</v>
      </c>
      <c r="BJ4" s="173">
        <f t="shared" si="2"/>
        <v>4</v>
      </c>
      <c r="BK4" s="173">
        <f t="shared" si="2"/>
        <v>4</v>
      </c>
      <c r="BL4" s="173">
        <f t="shared" si="2"/>
        <v>4</v>
      </c>
      <c r="BM4" s="173">
        <f t="shared" si="2"/>
        <v>4</v>
      </c>
      <c r="BN4" s="173">
        <f t="shared" si="2"/>
        <v>4</v>
      </c>
      <c r="BO4" s="173">
        <f t="shared" si="2"/>
        <v>4</v>
      </c>
      <c r="BP4" s="173">
        <f t="shared" si="2"/>
        <v>4</v>
      </c>
      <c r="BQ4" s="173">
        <f t="shared" si="2"/>
        <v>4</v>
      </c>
      <c r="BR4" s="173">
        <f t="shared" si="2"/>
        <v>4</v>
      </c>
      <c r="BS4" s="173">
        <f t="shared" si="2"/>
        <v>4</v>
      </c>
      <c r="BT4" s="173">
        <f t="shared" si="2"/>
        <v>4</v>
      </c>
      <c r="BU4" s="173">
        <f t="shared" si="2"/>
        <v>5</v>
      </c>
      <c r="BV4" s="173">
        <f t="shared" si="2"/>
        <v>5</v>
      </c>
      <c r="BW4" s="173">
        <f t="shared" si="2"/>
        <v>5</v>
      </c>
      <c r="BX4" s="173">
        <f t="shared" si="2"/>
        <v>5</v>
      </c>
      <c r="BY4" s="173">
        <f t="shared" si="2"/>
        <v>5</v>
      </c>
      <c r="BZ4" s="173">
        <f t="shared" si="2"/>
        <v>5</v>
      </c>
      <c r="CA4" s="173">
        <f t="shared" si="2"/>
        <v>5</v>
      </c>
      <c r="CB4" s="173">
        <f t="shared" si="2"/>
        <v>5</v>
      </c>
      <c r="CC4" s="173">
        <f t="shared" si="2"/>
        <v>5</v>
      </c>
      <c r="CD4" s="173">
        <f t="shared" si="2"/>
        <v>5</v>
      </c>
      <c r="CE4" s="173">
        <f t="shared" si="2"/>
        <v>5</v>
      </c>
      <c r="CF4" s="173">
        <f t="shared" si="2"/>
        <v>5</v>
      </c>
      <c r="CG4" s="173">
        <f t="shared" si="2"/>
        <v>6</v>
      </c>
      <c r="CH4" s="173">
        <f t="shared" si="2"/>
        <v>6</v>
      </c>
      <c r="CI4" s="173">
        <f t="shared" si="2"/>
        <v>6</v>
      </c>
      <c r="CJ4" s="173">
        <f t="shared" si="2"/>
        <v>6</v>
      </c>
      <c r="CK4" s="173">
        <f t="shared" si="2"/>
        <v>6</v>
      </c>
      <c r="CL4" s="173">
        <f t="shared" ref="CL4:EW4" si="3">ROUNDUP(CL3/12,0)</f>
        <v>6</v>
      </c>
      <c r="CM4" s="173">
        <f t="shared" si="3"/>
        <v>6</v>
      </c>
      <c r="CN4" s="173">
        <f t="shared" si="3"/>
        <v>6</v>
      </c>
      <c r="CO4" s="173">
        <f t="shared" si="3"/>
        <v>6</v>
      </c>
      <c r="CP4" s="173">
        <f t="shared" si="3"/>
        <v>6</v>
      </c>
      <c r="CQ4" s="173">
        <f t="shared" si="3"/>
        <v>6</v>
      </c>
      <c r="CR4" s="173">
        <f t="shared" si="3"/>
        <v>6</v>
      </c>
      <c r="CS4" s="173">
        <f t="shared" si="3"/>
        <v>7</v>
      </c>
      <c r="CT4" s="173">
        <f t="shared" si="3"/>
        <v>7</v>
      </c>
      <c r="CU4" s="173">
        <f t="shared" si="3"/>
        <v>7</v>
      </c>
      <c r="CV4" s="173">
        <f t="shared" si="3"/>
        <v>7</v>
      </c>
      <c r="CW4" s="173">
        <f t="shared" si="3"/>
        <v>7</v>
      </c>
      <c r="CX4" s="173">
        <f t="shared" si="3"/>
        <v>7</v>
      </c>
      <c r="CY4" s="173">
        <f t="shared" si="3"/>
        <v>7</v>
      </c>
      <c r="CZ4" s="173">
        <f t="shared" si="3"/>
        <v>7</v>
      </c>
      <c r="DA4" s="173">
        <f t="shared" si="3"/>
        <v>7</v>
      </c>
      <c r="DB4" s="173">
        <f t="shared" si="3"/>
        <v>7</v>
      </c>
      <c r="DC4" s="173">
        <f t="shared" si="3"/>
        <v>7</v>
      </c>
      <c r="DD4" s="173">
        <f t="shared" si="3"/>
        <v>7</v>
      </c>
      <c r="DE4" s="173">
        <f t="shared" si="3"/>
        <v>8</v>
      </c>
      <c r="DF4" s="173">
        <f t="shared" si="3"/>
        <v>8</v>
      </c>
      <c r="DG4" s="173">
        <f t="shared" si="3"/>
        <v>8</v>
      </c>
      <c r="DH4" s="173">
        <f t="shared" si="3"/>
        <v>8</v>
      </c>
      <c r="DI4" s="173">
        <f t="shared" si="3"/>
        <v>8</v>
      </c>
      <c r="DJ4" s="173">
        <f t="shared" si="3"/>
        <v>8</v>
      </c>
      <c r="DK4" s="173">
        <f t="shared" si="3"/>
        <v>8</v>
      </c>
      <c r="DL4" s="173">
        <f t="shared" si="3"/>
        <v>8</v>
      </c>
      <c r="DM4" s="173">
        <f t="shared" si="3"/>
        <v>8</v>
      </c>
      <c r="DN4" s="173">
        <f t="shared" si="3"/>
        <v>8</v>
      </c>
      <c r="DO4" s="173">
        <f t="shared" si="3"/>
        <v>8</v>
      </c>
      <c r="DP4" s="173">
        <f t="shared" si="3"/>
        <v>8</v>
      </c>
      <c r="DQ4" s="173">
        <f t="shared" si="3"/>
        <v>9</v>
      </c>
      <c r="DR4" s="173">
        <f t="shared" si="3"/>
        <v>9</v>
      </c>
      <c r="DS4" s="173">
        <f t="shared" si="3"/>
        <v>9</v>
      </c>
      <c r="DT4" s="173">
        <f t="shared" si="3"/>
        <v>9</v>
      </c>
      <c r="DU4" s="173">
        <f t="shared" si="3"/>
        <v>9</v>
      </c>
      <c r="DV4" s="173">
        <f t="shared" si="3"/>
        <v>9</v>
      </c>
      <c r="DW4" s="173">
        <f t="shared" si="3"/>
        <v>9</v>
      </c>
      <c r="DX4" s="173">
        <f t="shared" si="3"/>
        <v>9</v>
      </c>
      <c r="DY4" s="173">
        <f t="shared" si="3"/>
        <v>9</v>
      </c>
      <c r="DZ4" s="173">
        <f t="shared" si="3"/>
        <v>9</v>
      </c>
      <c r="EA4" s="173">
        <f t="shared" si="3"/>
        <v>9</v>
      </c>
      <c r="EB4" s="173">
        <f t="shared" si="3"/>
        <v>9</v>
      </c>
      <c r="EC4" s="173">
        <f t="shared" si="3"/>
        <v>10</v>
      </c>
      <c r="ED4" s="173">
        <f t="shared" si="3"/>
        <v>10</v>
      </c>
      <c r="EE4" s="173">
        <f t="shared" si="3"/>
        <v>10</v>
      </c>
      <c r="EF4" s="173">
        <f t="shared" si="3"/>
        <v>10</v>
      </c>
      <c r="EG4" s="173">
        <f t="shared" si="3"/>
        <v>10</v>
      </c>
      <c r="EH4" s="173">
        <f t="shared" si="3"/>
        <v>10</v>
      </c>
      <c r="EI4" s="173">
        <f t="shared" si="3"/>
        <v>10</v>
      </c>
      <c r="EJ4" s="173">
        <f t="shared" si="3"/>
        <v>10</v>
      </c>
      <c r="EK4" s="173">
        <f t="shared" si="3"/>
        <v>10</v>
      </c>
      <c r="EL4" s="173">
        <f t="shared" si="3"/>
        <v>10</v>
      </c>
      <c r="EM4" s="173">
        <f t="shared" si="3"/>
        <v>10</v>
      </c>
      <c r="EN4" s="173">
        <f t="shared" si="3"/>
        <v>10</v>
      </c>
      <c r="EO4" s="173">
        <f t="shared" si="3"/>
        <v>11</v>
      </c>
      <c r="EP4" s="173">
        <f t="shared" si="3"/>
        <v>11</v>
      </c>
      <c r="EQ4" s="173">
        <f t="shared" si="3"/>
        <v>11</v>
      </c>
      <c r="ER4" s="173">
        <f t="shared" si="3"/>
        <v>11</v>
      </c>
      <c r="ES4" s="173">
        <f t="shared" si="3"/>
        <v>11</v>
      </c>
      <c r="ET4" s="173">
        <f t="shared" si="3"/>
        <v>11</v>
      </c>
      <c r="EU4" s="173">
        <f t="shared" si="3"/>
        <v>11</v>
      </c>
      <c r="EV4" s="173">
        <f t="shared" si="3"/>
        <v>11</v>
      </c>
      <c r="EW4" s="173">
        <f t="shared" si="3"/>
        <v>11</v>
      </c>
      <c r="EX4" s="173">
        <f>ROUNDUP(EX3/12,0)</f>
        <v>11</v>
      </c>
      <c r="EY4" s="173">
        <f>ROUNDUP(EY3/12,0)</f>
        <v>11</v>
      </c>
      <c r="EZ4" s="173">
        <f>ROUNDUP(EZ3/12,0)</f>
        <v>11</v>
      </c>
      <c r="FA4" s="617"/>
    </row>
    <row r="5" spans="1:221" s="158" customFormat="1" x14ac:dyDescent="0.2">
      <c r="A5" s="155"/>
      <c r="B5" s="618" t="s">
        <v>11</v>
      </c>
      <c r="C5" s="618"/>
      <c r="D5" s="619" t="s">
        <v>103</v>
      </c>
      <c r="E5" s="619" t="s">
        <v>111</v>
      </c>
      <c r="F5" s="619" t="s">
        <v>104</v>
      </c>
      <c r="G5" s="619" t="s">
        <v>105</v>
      </c>
      <c r="H5" s="619" t="s">
        <v>106</v>
      </c>
      <c r="I5" s="619" t="s">
        <v>209</v>
      </c>
      <c r="J5" s="620" t="s">
        <v>43</v>
      </c>
      <c r="K5" s="613"/>
      <c r="L5" s="621">
        <f>EOMONTH(AnalysisStartDate,-1)</f>
        <v>44926</v>
      </c>
      <c r="M5" s="621">
        <f>EOMONTH(L5,12)</f>
        <v>45291</v>
      </c>
      <c r="N5" s="621">
        <f t="shared" ref="N5:V5" si="4">EOMONTH(M5,12)</f>
        <v>45657</v>
      </c>
      <c r="O5" s="621">
        <f t="shared" si="4"/>
        <v>46022</v>
      </c>
      <c r="P5" s="621">
        <f t="shared" si="4"/>
        <v>46387</v>
      </c>
      <c r="Q5" s="621">
        <f t="shared" si="4"/>
        <v>46752</v>
      </c>
      <c r="R5" s="621">
        <f t="shared" si="4"/>
        <v>47118</v>
      </c>
      <c r="S5" s="621">
        <f t="shared" si="4"/>
        <v>47483</v>
      </c>
      <c r="T5" s="621">
        <f t="shared" si="4"/>
        <v>47848</v>
      </c>
      <c r="U5" s="621">
        <f t="shared" si="4"/>
        <v>48213</v>
      </c>
      <c r="V5" s="621">
        <f t="shared" si="4"/>
        <v>48579</v>
      </c>
      <c r="W5" s="252"/>
      <c r="X5" s="621">
        <f>EOMONTH(AnalysisStartDate,-1)</f>
        <v>44926</v>
      </c>
      <c r="Y5" s="621">
        <f>EOMONTH(X5,1)</f>
        <v>44957</v>
      </c>
      <c r="Z5" s="621">
        <f t="shared" ref="Z5:CK5" si="5">EOMONTH(Y5,1)</f>
        <v>44985</v>
      </c>
      <c r="AA5" s="621">
        <f t="shared" si="5"/>
        <v>45016</v>
      </c>
      <c r="AB5" s="621">
        <f t="shared" si="5"/>
        <v>45046</v>
      </c>
      <c r="AC5" s="621">
        <f t="shared" si="5"/>
        <v>45077</v>
      </c>
      <c r="AD5" s="621">
        <f t="shared" si="5"/>
        <v>45107</v>
      </c>
      <c r="AE5" s="621">
        <f t="shared" si="5"/>
        <v>45138</v>
      </c>
      <c r="AF5" s="621">
        <f t="shared" si="5"/>
        <v>45169</v>
      </c>
      <c r="AG5" s="621">
        <f t="shared" si="5"/>
        <v>45199</v>
      </c>
      <c r="AH5" s="621">
        <f t="shared" si="5"/>
        <v>45230</v>
      </c>
      <c r="AI5" s="621">
        <f t="shared" si="5"/>
        <v>45260</v>
      </c>
      <c r="AJ5" s="621">
        <f t="shared" si="5"/>
        <v>45291</v>
      </c>
      <c r="AK5" s="621">
        <f t="shared" si="5"/>
        <v>45322</v>
      </c>
      <c r="AL5" s="621">
        <f t="shared" si="5"/>
        <v>45351</v>
      </c>
      <c r="AM5" s="621">
        <f t="shared" si="5"/>
        <v>45382</v>
      </c>
      <c r="AN5" s="621">
        <f t="shared" si="5"/>
        <v>45412</v>
      </c>
      <c r="AO5" s="621">
        <f t="shared" si="5"/>
        <v>45443</v>
      </c>
      <c r="AP5" s="621">
        <f t="shared" si="5"/>
        <v>45473</v>
      </c>
      <c r="AQ5" s="621">
        <f t="shared" si="5"/>
        <v>45504</v>
      </c>
      <c r="AR5" s="621">
        <f t="shared" si="5"/>
        <v>45535</v>
      </c>
      <c r="AS5" s="621">
        <f t="shared" si="5"/>
        <v>45565</v>
      </c>
      <c r="AT5" s="621">
        <f t="shared" si="5"/>
        <v>45596</v>
      </c>
      <c r="AU5" s="621">
        <f t="shared" si="5"/>
        <v>45626</v>
      </c>
      <c r="AV5" s="621">
        <f t="shared" si="5"/>
        <v>45657</v>
      </c>
      <c r="AW5" s="621">
        <f t="shared" si="5"/>
        <v>45688</v>
      </c>
      <c r="AX5" s="621">
        <f t="shared" si="5"/>
        <v>45716</v>
      </c>
      <c r="AY5" s="621">
        <f t="shared" si="5"/>
        <v>45747</v>
      </c>
      <c r="AZ5" s="621">
        <f t="shared" si="5"/>
        <v>45777</v>
      </c>
      <c r="BA5" s="621">
        <f t="shared" si="5"/>
        <v>45808</v>
      </c>
      <c r="BB5" s="621">
        <f t="shared" si="5"/>
        <v>45838</v>
      </c>
      <c r="BC5" s="621">
        <f t="shared" si="5"/>
        <v>45869</v>
      </c>
      <c r="BD5" s="621">
        <f t="shared" si="5"/>
        <v>45900</v>
      </c>
      <c r="BE5" s="621">
        <f t="shared" si="5"/>
        <v>45930</v>
      </c>
      <c r="BF5" s="621">
        <f t="shared" si="5"/>
        <v>45961</v>
      </c>
      <c r="BG5" s="621">
        <f t="shared" si="5"/>
        <v>45991</v>
      </c>
      <c r="BH5" s="621">
        <f t="shared" si="5"/>
        <v>46022</v>
      </c>
      <c r="BI5" s="621">
        <f t="shared" si="5"/>
        <v>46053</v>
      </c>
      <c r="BJ5" s="621">
        <f t="shared" si="5"/>
        <v>46081</v>
      </c>
      <c r="BK5" s="621">
        <f t="shared" si="5"/>
        <v>46112</v>
      </c>
      <c r="BL5" s="621">
        <f t="shared" si="5"/>
        <v>46142</v>
      </c>
      <c r="BM5" s="621">
        <f t="shared" si="5"/>
        <v>46173</v>
      </c>
      <c r="BN5" s="621">
        <f t="shared" si="5"/>
        <v>46203</v>
      </c>
      <c r="BO5" s="621">
        <f t="shared" si="5"/>
        <v>46234</v>
      </c>
      <c r="BP5" s="621">
        <f t="shared" si="5"/>
        <v>46265</v>
      </c>
      <c r="BQ5" s="621">
        <f t="shared" si="5"/>
        <v>46295</v>
      </c>
      <c r="BR5" s="621">
        <f t="shared" si="5"/>
        <v>46326</v>
      </c>
      <c r="BS5" s="621">
        <f t="shared" si="5"/>
        <v>46356</v>
      </c>
      <c r="BT5" s="621">
        <f t="shared" si="5"/>
        <v>46387</v>
      </c>
      <c r="BU5" s="621">
        <f t="shared" si="5"/>
        <v>46418</v>
      </c>
      <c r="BV5" s="621">
        <f t="shared" si="5"/>
        <v>46446</v>
      </c>
      <c r="BW5" s="621">
        <f t="shared" si="5"/>
        <v>46477</v>
      </c>
      <c r="BX5" s="621">
        <f t="shared" si="5"/>
        <v>46507</v>
      </c>
      <c r="BY5" s="621">
        <f t="shared" si="5"/>
        <v>46538</v>
      </c>
      <c r="BZ5" s="621">
        <f t="shared" si="5"/>
        <v>46568</v>
      </c>
      <c r="CA5" s="621">
        <f t="shared" si="5"/>
        <v>46599</v>
      </c>
      <c r="CB5" s="621">
        <f t="shared" si="5"/>
        <v>46630</v>
      </c>
      <c r="CC5" s="621">
        <f t="shared" si="5"/>
        <v>46660</v>
      </c>
      <c r="CD5" s="621">
        <f t="shared" si="5"/>
        <v>46691</v>
      </c>
      <c r="CE5" s="621">
        <f t="shared" si="5"/>
        <v>46721</v>
      </c>
      <c r="CF5" s="621">
        <f t="shared" si="5"/>
        <v>46752</v>
      </c>
      <c r="CG5" s="621">
        <f t="shared" si="5"/>
        <v>46783</v>
      </c>
      <c r="CH5" s="621">
        <f t="shared" si="5"/>
        <v>46812</v>
      </c>
      <c r="CI5" s="621">
        <f t="shared" si="5"/>
        <v>46843</v>
      </c>
      <c r="CJ5" s="621">
        <f t="shared" si="5"/>
        <v>46873</v>
      </c>
      <c r="CK5" s="621">
        <f t="shared" si="5"/>
        <v>46904</v>
      </c>
      <c r="CL5" s="621">
        <f t="shared" ref="CL5:EW5" si="6">EOMONTH(CK5,1)</f>
        <v>46934</v>
      </c>
      <c r="CM5" s="621">
        <f t="shared" si="6"/>
        <v>46965</v>
      </c>
      <c r="CN5" s="621">
        <f t="shared" si="6"/>
        <v>46996</v>
      </c>
      <c r="CO5" s="621">
        <f t="shared" si="6"/>
        <v>47026</v>
      </c>
      <c r="CP5" s="621">
        <f t="shared" si="6"/>
        <v>47057</v>
      </c>
      <c r="CQ5" s="621">
        <f t="shared" si="6"/>
        <v>47087</v>
      </c>
      <c r="CR5" s="621">
        <f t="shared" si="6"/>
        <v>47118</v>
      </c>
      <c r="CS5" s="621">
        <f t="shared" si="6"/>
        <v>47149</v>
      </c>
      <c r="CT5" s="621">
        <f t="shared" si="6"/>
        <v>47177</v>
      </c>
      <c r="CU5" s="621">
        <f t="shared" si="6"/>
        <v>47208</v>
      </c>
      <c r="CV5" s="621">
        <f t="shared" si="6"/>
        <v>47238</v>
      </c>
      <c r="CW5" s="621">
        <f t="shared" si="6"/>
        <v>47269</v>
      </c>
      <c r="CX5" s="621">
        <f t="shared" si="6"/>
        <v>47299</v>
      </c>
      <c r="CY5" s="621">
        <f t="shared" si="6"/>
        <v>47330</v>
      </c>
      <c r="CZ5" s="621">
        <f t="shared" si="6"/>
        <v>47361</v>
      </c>
      <c r="DA5" s="621">
        <f t="shared" si="6"/>
        <v>47391</v>
      </c>
      <c r="DB5" s="621">
        <f t="shared" si="6"/>
        <v>47422</v>
      </c>
      <c r="DC5" s="621">
        <f t="shared" si="6"/>
        <v>47452</v>
      </c>
      <c r="DD5" s="621">
        <f t="shared" si="6"/>
        <v>47483</v>
      </c>
      <c r="DE5" s="621">
        <f t="shared" si="6"/>
        <v>47514</v>
      </c>
      <c r="DF5" s="621">
        <f t="shared" si="6"/>
        <v>47542</v>
      </c>
      <c r="DG5" s="621">
        <f t="shared" si="6"/>
        <v>47573</v>
      </c>
      <c r="DH5" s="621">
        <f t="shared" si="6"/>
        <v>47603</v>
      </c>
      <c r="DI5" s="621">
        <f t="shared" si="6"/>
        <v>47634</v>
      </c>
      <c r="DJ5" s="621">
        <f t="shared" si="6"/>
        <v>47664</v>
      </c>
      <c r="DK5" s="621">
        <f t="shared" si="6"/>
        <v>47695</v>
      </c>
      <c r="DL5" s="621">
        <f t="shared" si="6"/>
        <v>47726</v>
      </c>
      <c r="DM5" s="621">
        <f t="shared" si="6"/>
        <v>47756</v>
      </c>
      <c r="DN5" s="621">
        <f t="shared" si="6"/>
        <v>47787</v>
      </c>
      <c r="DO5" s="621">
        <f t="shared" si="6"/>
        <v>47817</v>
      </c>
      <c r="DP5" s="621">
        <f t="shared" si="6"/>
        <v>47848</v>
      </c>
      <c r="DQ5" s="621">
        <f t="shared" si="6"/>
        <v>47879</v>
      </c>
      <c r="DR5" s="621">
        <f t="shared" si="6"/>
        <v>47907</v>
      </c>
      <c r="DS5" s="621">
        <f t="shared" si="6"/>
        <v>47938</v>
      </c>
      <c r="DT5" s="621">
        <f t="shared" si="6"/>
        <v>47968</v>
      </c>
      <c r="DU5" s="621">
        <f t="shared" si="6"/>
        <v>47999</v>
      </c>
      <c r="DV5" s="621">
        <f t="shared" si="6"/>
        <v>48029</v>
      </c>
      <c r="DW5" s="621">
        <f t="shared" si="6"/>
        <v>48060</v>
      </c>
      <c r="DX5" s="621">
        <f t="shared" si="6"/>
        <v>48091</v>
      </c>
      <c r="DY5" s="621">
        <f t="shared" si="6"/>
        <v>48121</v>
      </c>
      <c r="DZ5" s="621">
        <f t="shared" si="6"/>
        <v>48152</v>
      </c>
      <c r="EA5" s="621">
        <f t="shared" si="6"/>
        <v>48182</v>
      </c>
      <c r="EB5" s="621">
        <f t="shared" si="6"/>
        <v>48213</v>
      </c>
      <c r="EC5" s="621">
        <f t="shared" si="6"/>
        <v>48244</v>
      </c>
      <c r="ED5" s="621">
        <f t="shared" si="6"/>
        <v>48273</v>
      </c>
      <c r="EE5" s="621">
        <f t="shared" si="6"/>
        <v>48304</v>
      </c>
      <c r="EF5" s="621">
        <f t="shared" si="6"/>
        <v>48334</v>
      </c>
      <c r="EG5" s="621">
        <f t="shared" si="6"/>
        <v>48365</v>
      </c>
      <c r="EH5" s="621">
        <f t="shared" si="6"/>
        <v>48395</v>
      </c>
      <c r="EI5" s="621">
        <f t="shared" si="6"/>
        <v>48426</v>
      </c>
      <c r="EJ5" s="621">
        <f t="shared" si="6"/>
        <v>48457</v>
      </c>
      <c r="EK5" s="621">
        <f t="shared" si="6"/>
        <v>48487</v>
      </c>
      <c r="EL5" s="621">
        <f t="shared" si="6"/>
        <v>48518</v>
      </c>
      <c r="EM5" s="621">
        <f t="shared" si="6"/>
        <v>48548</v>
      </c>
      <c r="EN5" s="621">
        <f t="shared" si="6"/>
        <v>48579</v>
      </c>
      <c r="EO5" s="621">
        <f t="shared" si="6"/>
        <v>48610</v>
      </c>
      <c r="EP5" s="621">
        <f t="shared" si="6"/>
        <v>48638</v>
      </c>
      <c r="EQ5" s="621">
        <f t="shared" si="6"/>
        <v>48669</v>
      </c>
      <c r="ER5" s="621">
        <f t="shared" si="6"/>
        <v>48699</v>
      </c>
      <c r="ES5" s="621">
        <f t="shared" si="6"/>
        <v>48730</v>
      </c>
      <c r="ET5" s="621">
        <f t="shared" si="6"/>
        <v>48760</v>
      </c>
      <c r="EU5" s="621">
        <f t="shared" si="6"/>
        <v>48791</v>
      </c>
      <c r="EV5" s="621">
        <f t="shared" si="6"/>
        <v>48822</v>
      </c>
      <c r="EW5" s="621">
        <f t="shared" si="6"/>
        <v>48852</v>
      </c>
      <c r="EX5" s="621">
        <f>EOMONTH(EW5,1)</f>
        <v>48883</v>
      </c>
      <c r="EY5" s="621">
        <f>EOMONTH(EX5,1)</f>
        <v>48913</v>
      </c>
      <c r="EZ5" s="621">
        <f>EOMONTH(EY5,1)</f>
        <v>48944</v>
      </c>
      <c r="FB5" s="144"/>
      <c r="FC5" s="144"/>
      <c r="FD5" s="144"/>
      <c r="FE5" s="144"/>
      <c r="FF5" s="144"/>
      <c r="FG5" s="144"/>
      <c r="FH5" s="144"/>
      <c r="FI5" s="144"/>
      <c r="FJ5" s="144"/>
      <c r="FK5" s="144"/>
      <c r="FL5" s="144"/>
      <c r="FM5" s="144"/>
      <c r="FN5" s="144"/>
      <c r="FO5" s="144"/>
      <c r="FP5" s="144"/>
      <c r="FQ5" s="144"/>
      <c r="FR5" s="144"/>
      <c r="FS5" s="144"/>
      <c r="FT5" s="144"/>
      <c r="FU5" s="144"/>
      <c r="FV5" s="144"/>
      <c r="FW5" s="144"/>
      <c r="FX5" s="144"/>
      <c r="FY5" s="144"/>
      <c r="FZ5" s="144"/>
      <c r="GA5" s="144"/>
      <c r="GB5" s="144"/>
      <c r="GC5" s="144"/>
      <c r="GD5" s="144"/>
      <c r="GE5" s="144"/>
      <c r="GF5" s="144"/>
      <c r="GG5" s="144"/>
      <c r="GH5" s="144"/>
      <c r="GI5" s="144"/>
      <c r="GJ5" s="144"/>
      <c r="GK5" s="144"/>
      <c r="GL5" s="144"/>
      <c r="GM5" s="144"/>
      <c r="GN5" s="144"/>
      <c r="GO5" s="144"/>
      <c r="GP5" s="144"/>
      <c r="GQ5" s="144"/>
      <c r="GR5" s="144"/>
      <c r="GS5" s="144"/>
      <c r="GT5" s="144"/>
      <c r="GU5" s="144"/>
      <c r="GV5" s="144"/>
      <c r="GW5" s="144"/>
      <c r="GX5" s="144"/>
      <c r="GY5" s="144"/>
      <c r="GZ5" s="144"/>
      <c r="HA5" s="144"/>
      <c r="HB5" s="144"/>
      <c r="HC5" s="144"/>
      <c r="HD5" s="144"/>
      <c r="HE5" s="144"/>
      <c r="HF5" s="144"/>
      <c r="HG5" s="144"/>
      <c r="HH5" s="144"/>
      <c r="HI5" s="144"/>
      <c r="HJ5" s="144"/>
      <c r="HK5" s="144"/>
      <c r="HL5" s="144"/>
      <c r="HM5" s="144"/>
    </row>
    <row r="6" spans="1:221" s="629" customFormat="1" x14ac:dyDescent="0.2">
      <c r="A6" s="177"/>
      <c r="B6" s="200"/>
      <c r="C6" s="200"/>
      <c r="D6" s="622"/>
      <c r="E6" s="623"/>
      <c r="F6" s="624"/>
      <c r="G6" s="624"/>
      <c r="H6" s="625"/>
      <c r="I6" s="622"/>
      <c r="J6" s="626"/>
      <c r="K6" s="627"/>
      <c r="L6" s="628"/>
      <c r="M6" s="627"/>
      <c r="N6" s="627"/>
      <c r="O6" s="627"/>
      <c r="P6" s="627"/>
      <c r="Q6" s="627"/>
      <c r="R6" s="627"/>
      <c r="S6" s="627"/>
      <c r="T6" s="627"/>
      <c r="U6" s="627"/>
      <c r="V6" s="627"/>
      <c r="W6" s="627"/>
      <c r="X6" s="628"/>
      <c r="Y6" s="628"/>
      <c r="Z6" s="628"/>
      <c r="AA6" s="628"/>
      <c r="AB6" s="628"/>
      <c r="AC6" s="628"/>
      <c r="AD6" s="628"/>
      <c r="AE6" s="628"/>
      <c r="AF6" s="628"/>
      <c r="AG6" s="628"/>
      <c r="AH6" s="628"/>
      <c r="AI6" s="628"/>
      <c r="AJ6" s="628"/>
      <c r="AK6" s="628"/>
      <c r="AL6" s="628"/>
      <c r="AM6" s="628"/>
      <c r="AN6" s="628"/>
      <c r="AO6" s="628"/>
      <c r="AP6" s="628"/>
      <c r="AQ6" s="628"/>
      <c r="AR6" s="628"/>
      <c r="AS6" s="628"/>
      <c r="AT6" s="628"/>
      <c r="AU6" s="628"/>
      <c r="AV6" s="628"/>
      <c r="AW6" s="628"/>
      <c r="AX6" s="628"/>
      <c r="AY6" s="628"/>
      <c r="AZ6" s="628"/>
      <c r="BA6" s="628"/>
      <c r="BB6" s="628"/>
      <c r="BC6" s="628"/>
      <c r="BD6" s="628"/>
      <c r="BE6" s="628"/>
      <c r="BF6" s="628"/>
      <c r="BG6" s="628"/>
      <c r="BH6" s="628"/>
      <c r="BI6" s="628"/>
      <c r="BJ6" s="628"/>
      <c r="BK6" s="628"/>
      <c r="BL6" s="628"/>
      <c r="BM6" s="628"/>
      <c r="BN6" s="628"/>
      <c r="BO6" s="628"/>
      <c r="BP6" s="628"/>
      <c r="BQ6" s="628"/>
      <c r="BR6" s="628"/>
      <c r="BS6" s="628"/>
      <c r="BT6" s="628"/>
      <c r="BU6" s="628"/>
      <c r="BV6" s="628"/>
      <c r="BW6" s="628"/>
      <c r="BX6" s="628"/>
      <c r="BY6" s="628"/>
      <c r="BZ6" s="628"/>
      <c r="CA6" s="628"/>
      <c r="CB6" s="628"/>
      <c r="CC6" s="628"/>
      <c r="CD6" s="628"/>
      <c r="CE6" s="628"/>
      <c r="CF6" s="628"/>
      <c r="CG6" s="628"/>
      <c r="CH6" s="628"/>
      <c r="CI6" s="628"/>
      <c r="CJ6" s="628"/>
      <c r="CK6" s="628"/>
      <c r="CL6" s="628"/>
      <c r="CM6" s="628"/>
      <c r="CN6" s="628"/>
      <c r="CO6" s="628"/>
      <c r="CP6" s="628"/>
      <c r="CQ6" s="628"/>
      <c r="CR6" s="628"/>
      <c r="CS6" s="628"/>
      <c r="CT6" s="628"/>
      <c r="CU6" s="628"/>
      <c r="CV6" s="628"/>
      <c r="CW6" s="628"/>
      <c r="CX6" s="628"/>
      <c r="CY6" s="628"/>
      <c r="CZ6" s="628"/>
      <c r="DA6" s="628"/>
      <c r="DB6" s="628"/>
      <c r="DC6" s="628"/>
      <c r="DD6" s="628"/>
      <c r="DE6" s="628"/>
      <c r="DF6" s="628"/>
      <c r="DG6" s="628"/>
      <c r="DH6" s="628"/>
      <c r="DI6" s="628"/>
      <c r="DJ6" s="628"/>
      <c r="DK6" s="628"/>
      <c r="DL6" s="628"/>
      <c r="DM6" s="628"/>
      <c r="DN6" s="628"/>
      <c r="DO6" s="628"/>
      <c r="DP6" s="628"/>
      <c r="DQ6" s="628"/>
      <c r="DR6" s="628"/>
      <c r="DS6" s="628"/>
      <c r="DT6" s="628"/>
      <c r="DU6" s="628"/>
      <c r="DV6" s="628"/>
      <c r="DW6" s="628"/>
      <c r="DX6" s="628"/>
      <c r="DY6" s="628"/>
      <c r="DZ6" s="628"/>
      <c r="EA6" s="628"/>
      <c r="EB6" s="628"/>
      <c r="EC6" s="628"/>
      <c r="ED6" s="628"/>
      <c r="EE6" s="628"/>
      <c r="EF6" s="628"/>
      <c r="EG6" s="628"/>
      <c r="EH6" s="628"/>
      <c r="EI6" s="628"/>
      <c r="EJ6" s="628"/>
      <c r="EK6" s="628"/>
      <c r="EL6" s="628"/>
      <c r="EM6" s="628"/>
      <c r="EN6" s="628"/>
      <c r="EO6" s="628"/>
      <c r="EP6" s="628"/>
      <c r="EQ6" s="628"/>
      <c r="ER6" s="628"/>
      <c r="ES6" s="628"/>
      <c r="ET6" s="628"/>
      <c r="EU6" s="628"/>
      <c r="EV6" s="628"/>
      <c r="EW6" s="628"/>
      <c r="EX6" s="628"/>
      <c r="EY6" s="628"/>
      <c r="EZ6" s="628"/>
    </row>
    <row r="7" spans="1:221" s="158" customFormat="1" ht="15" x14ac:dyDescent="0.2">
      <c r="A7" s="630"/>
      <c r="B7" s="631" t="s">
        <v>630</v>
      </c>
      <c r="C7" s="255"/>
      <c r="D7" s="632"/>
      <c r="E7" s="633"/>
      <c r="F7" s="634"/>
      <c r="G7" s="634"/>
      <c r="H7" s="635"/>
      <c r="I7" s="632"/>
      <c r="J7" s="636"/>
      <c r="K7" s="637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637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AR7" s="183"/>
      <c r="AS7" s="183"/>
      <c r="AT7" s="183"/>
      <c r="AU7" s="183"/>
      <c r="AV7" s="183"/>
      <c r="AW7" s="183"/>
      <c r="AX7" s="183"/>
      <c r="AY7" s="183"/>
      <c r="AZ7" s="183"/>
      <c r="BA7" s="183"/>
      <c r="BB7" s="183"/>
      <c r="BC7" s="183"/>
      <c r="BD7" s="183"/>
      <c r="BE7" s="183"/>
      <c r="BF7" s="183"/>
      <c r="BG7" s="183"/>
      <c r="BH7" s="183"/>
      <c r="BI7" s="183"/>
      <c r="BJ7" s="183"/>
      <c r="BK7" s="183"/>
      <c r="BL7" s="183"/>
      <c r="BM7" s="183"/>
      <c r="BN7" s="183"/>
      <c r="BO7" s="183"/>
      <c r="BP7" s="183"/>
      <c r="BQ7" s="183"/>
      <c r="BR7" s="183"/>
      <c r="BS7" s="183"/>
      <c r="BT7" s="183"/>
      <c r="BU7" s="183"/>
      <c r="BV7" s="183"/>
      <c r="BW7" s="183"/>
      <c r="BX7" s="183"/>
      <c r="BY7" s="183"/>
      <c r="BZ7" s="183"/>
      <c r="CA7" s="183"/>
      <c r="CB7" s="183"/>
      <c r="CC7" s="183"/>
      <c r="CD7" s="183"/>
      <c r="CE7" s="183"/>
      <c r="CF7" s="183"/>
      <c r="CG7" s="183"/>
      <c r="CH7" s="183"/>
      <c r="CI7" s="183"/>
      <c r="CJ7" s="183"/>
      <c r="CK7" s="183"/>
      <c r="CL7" s="183"/>
      <c r="CM7" s="183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183"/>
      <c r="CY7" s="183"/>
      <c r="CZ7" s="183"/>
      <c r="DA7" s="183"/>
      <c r="DB7" s="183"/>
      <c r="DC7" s="183"/>
      <c r="DD7" s="183"/>
      <c r="DE7" s="183"/>
      <c r="DF7" s="183"/>
      <c r="DG7" s="183"/>
      <c r="DH7" s="183"/>
      <c r="DI7" s="183"/>
      <c r="DJ7" s="183"/>
      <c r="DK7" s="183"/>
      <c r="DL7" s="183"/>
      <c r="DM7" s="183"/>
      <c r="DN7" s="183"/>
      <c r="DO7" s="183"/>
      <c r="DP7" s="183"/>
      <c r="DQ7" s="183"/>
      <c r="DR7" s="183"/>
      <c r="DS7" s="183"/>
      <c r="DT7" s="183"/>
      <c r="DU7" s="183"/>
      <c r="DV7" s="183"/>
      <c r="DW7" s="183"/>
      <c r="DX7" s="183"/>
      <c r="DY7" s="183"/>
      <c r="DZ7" s="183"/>
      <c r="EA7" s="183"/>
      <c r="EB7" s="183"/>
      <c r="EC7" s="183"/>
      <c r="ED7" s="183"/>
      <c r="EE7" s="183"/>
      <c r="EF7" s="183"/>
      <c r="EG7" s="183"/>
      <c r="EH7" s="183"/>
      <c r="EI7" s="183"/>
      <c r="EJ7" s="183"/>
      <c r="EK7" s="183"/>
      <c r="EL7" s="183"/>
      <c r="EM7" s="183"/>
      <c r="EN7" s="183"/>
      <c r="EO7" s="183"/>
      <c r="EP7" s="183"/>
      <c r="EQ7" s="183"/>
      <c r="ER7" s="183"/>
      <c r="ES7" s="183"/>
      <c r="ET7" s="183"/>
      <c r="EU7" s="183"/>
      <c r="EV7" s="183"/>
      <c r="EW7" s="183"/>
      <c r="EX7" s="183"/>
      <c r="EY7" s="183"/>
      <c r="EZ7" s="183"/>
      <c r="FB7" s="144"/>
      <c r="FC7" s="144"/>
      <c r="FD7" s="144"/>
      <c r="FE7" s="144"/>
      <c r="FF7" s="144"/>
      <c r="FG7" s="144"/>
      <c r="FH7" s="144"/>
      <c r="FI7" s="144"/>
      <c r="FJ7" s="144"/>
      <c r="FK7" s="144"/>
      <c r="FL7" s="144"/>
      <c r="FM7" s="144"/>
      <c r="FN7" s="144"/>
      <c r="FO7" s="144"/>
      <c r="FP7" s="144"/>
      <c r="FQ7" s="144"/>
      <c r="FR7" s="144"/>
      <c r="FS7" s="144"/>
      <c r="FT7" s="144"/>
      <c r="FU7" s="144"/>
      <c r="FV7" s="144"/>
      <c r="FW7" s="144"/>
      <c r="FX7" s="144"/>
      <c r="FY7" s="144"/>
      <c r="FZ7" s="144"/>
      <c r="GA7" s="144"/>
      <c r="GB7" s="144"/>
      <c r="GC7" s="144"/>
      <c r="GD7" s="144"/>
      <c r="GE7" s="144"/>
      <c r="GF7" s="144"/>
      <c r="GG7" s="144"/>
      <c r="GH7" s="144"/>
      <c r="GI7" s="144"/>
      <c r="GJ7" s="144"/>
      <c r="GK7" s="144"/>
      <c r="GL7" s="144"/>
      <c r="GM7" s="144"/>
      <c r="GN7" s="144"/>
      <c r="GO7" s="144"/>
      <c r="GP7" s="144"/>
      <c r="GQ7" s="144"/>
      <c r="GR7" s="144"/>
      <c r="GS7" s="144"/>
      <c r="GT7" s="144"/>
      <c r="GU7" s="144"/>
      <c r="GV7" s="144"/>
      <c r="GW7" s="144"/>
      <c r="GX7" s="144"/>
      <c r="GY7" s="144"/>
      <c r="GZ7" s="144"/>
      <c r="HA7" s="144"/>
      <c r="HB7" s="144"/>
      <c r="HC7" s="144"/>
      <c r="HD7" s="144"/>
      <c r="HE7" s="144"/>
      <c r="HF7" s="144"/>
      <c r="HG7" s="144"/>
      <c r="HH7" s="144"/>
      <c r="HI7" s="144"/>
      <c r="HJ7" s="144"/>
      <c r="HK7" s="144"/>
    </row>
    <row r="8" spans="1:221" s="158" customFormat="1" x14ac:dyDescent="0.2">
      <c r="A8" s="180" t="str">
        <f>IF(ABS(SUM(X8:EZ8)-D8)&gt;0.01,"ERROR","")</f>
        <v/>
      </c>
      <c r="B8" s="638" t="s">
        <v>632</v>
      </c>
      <c r="C8" s="639"/>
      <c r="D8" s="443">
        <v>0</v>
      </c>
      <c r="E8" s="199">
        <f>IF(units=0,0,'Renovation Budget'!D8/units)</f>
        <v>0</v>
      </c>
      <c r="F8" s="640">
        <v>0</v>
      </c>
      <c r="G8" s="640">
        <v>0</v>
      </c>
      <c r="H8" s="641">
        <f t="shared" ref="H8:H21" si="7">IF(G8+F8=0,0,G8-F8)</f>
        <v>0</v>
      </c>
      <c r="I8" s="642" t="s">
        <v>107</v>
      </c>
      <c r="J8" s="643" t="s">
        <v>42</v>
      </c>
      <c r="K8" s="644"/>
      <c r="L8" s="183">
        <f t="shared" ref="L8:V25" si="8">SUMIF($X$4:$EZ$4,L$4,$X8:$EZ8)</f>
        <v>0</v>
      </c>
      <c r="M8" s="183">
        <f t="shared" si="8"/>
        <v>0</v>
      </c>
      <c r="N8" s="183">
        <f t="shared" si="8"/>
        <v>0</v>
      </c>
      <c r="O8" s="183">
        <f t="shared" si="8"/>
        <v>0</v>
      </c>
      <c r="P8" s="183">
        <f t="shared" si="8"/>
        <v>0</v>
      </c>
      <c r="Q8" s="183">
        <f t="shared" si="8"/>
        <v>0</v>
      </c>
      <c r="R8" s="183">
        <f t="shared" si="8"/>
        <v>0</v>
      </c>
      <c r="S8" s="183">
        <f t="shared" si="8"/>
        <v>0</v>
      </c>
      <c r="T8" s="183">
        <f t="shared" si="8"/>
        <v>0</v>
      </c>
      <c r="U8" s="183">
        <f t="shared" si="8"/>
        <v>0</v>
      </c>
      <c r="V8" s="183">
        <f t="shared" si="8"/>
        <v>0</v>
      </c>
      <c r="W8" s="644"/>
      <c r="X8" s="183">
        <f t="shared" ref="X8:X21" si="9">IF(G8+F8=0,D8,0)</f>
        <v>0</v>
      </c>
      <c r="Y8" s="183">
        <f t="shared" ref="Y8:AN21" si="10">IF(OR(Y$3&gt;=$G8,Y$3&lt;$F8),0,(_xlfn.NORM.DIST(Y$3-$F8+1,$H8/2,INDEX($E$115:$E$118,MATCH($I8,$D$115:$D$118,0)),TRUE)-_xlfn.NORM.DIST(X$3-$F8+1,$H8/2,INDEX($E$115:$E$118,MATCH($I8,$D$115:$D$118,0)),TRUE))/(1-2*_xlfn.NORM.DIST(0,$H8/2,INDEX($E$115:$E$118,MATCH($I8,$D$115:$D$118,0)),TRUE))*$D8)</f>
        <v>0</v>
      </c>
      <c r="Z8" s="183">
        <f t="shared" si="10"/>
        <v>0</v>
      </c>
      <c r="AA8" s="183">
        <f t="shared" si="10"/>
        <v>0</v>
      </c>
      <c r="AB8" s="183">
        <f t="shared" si="10"/>
        <v>0</v>
      </c>
      <c r="AC8" s="183">
        <f t="shared" si="10"/>
        <v>0</v>
      </c>
      <c r="AD8" s="183">
        <f t="shared" si="10"/>
        <v>0</v>
      </c>
      <c r="AE8" s="183">
        <f t="shared" si="10"/>
        <v>0</v>
      </c>
      <c r="AF8" s="183">
        <f t="shared" si="10"/>
        <v>0</v>
      </c>
      <c r="AG8" s="183">
        <f t="shared" si="10"/>
        <v>0</v>
      </c>
      <c r="AH8" s="183">
        <f t="shared" si="10"/>
        <v>0</v>
      </c>
      <c r="AI8" s="183">
        <f t="shared" si="10"/>
        <v>0</v>
      </c>
      <c r="AJ8" s="183">
        <f t="shared" si="10"/>
        <v>0</v>
      </c>
      <c r="AK8" s="183">
        <f t="shared" si="10"/>
        <v>0</v>
      </c>
      <c r="AL8" s="183">
        <f t="shared" si="10"/>
        <v>0</v>
      </c>
      <c r="AM8" s="183">
        <f t="shared" si="10"/>
        <v>0</v>
      </c>
      <c r="AN8" s="183">
        <f t="shared" si="10"/>
        <v>0</v>
      </c>
      <c r="AO8" s="183">
        <f t="shared" ref="AO8:CZ11" si="11">IF(OR(AO$3&gt;=$G8,AO$3&lt;$F8),0,(_xlfn.NORM.DIST(AO$3-$F8+1,$H8/2,INDEX($E$115:$E$118,MATCH($I8,$D$115:$D$118,0)),TRUE)-_xlfn.NORM.DIST(AN$3-$F8+1,$H8/2,INDEX($E$115:$E$118,MATCH($I8,$D$115:$D$118,0)),TRUE))/(1-2*_xlfn.NORM.DIST(0,$H8/2,INDEX($E$115:$E$118,MATCH($I8,$D$115:$D$118,0)),TRUE))*$D8)</f>
        <v>0</v>
      </c>
      <c r="AP8" s="183">
        <f t="shared" si="11"/>
        <v>0</v>
      </c>
      <c r="AQ8" s="183">
        <f t="shared" si="11"/>
        <v>0</v>
      </c>
      <c r="AR8" s="183">
        <f t="shared" si="11"/>
        <v>0</v>
      </c>
      <c r="AS8" s="183">
        <f t="shared" si="11"/>
        <v>0</v>
      </c>
      <c r="AT8" s="183">
        <f t="shared" si="11"/>
        <v>0</v>
      </c>
      <c r="AU8" s="183">
        <f t="shared" si="11"/>
        <v>0</v>
      </c>
      <c r="AV8" s="183">
        <f t="shared" si="11"/>
        <v>0</v>
      </c>
      <c r="AW8" s="183">
        <f t="shared" si="11"/>
        <v>0</v>
      </c>
      <c r="AX8" s="183">
        <f t="shared" si="11"/>
        <v>0</v>
      </c>
      <c r="AY8" s="183">
        <f t="shared" si="11"/>
        <v>0</v>
      </c>
      <c r="AZ8" s="183">
        <f t="shared" si="11"/>
        <v>0</v>
      </c>
      <c r="BA8" s="183">
        <f t="shared" si="11"/>
        <v>0</v>
      </c>
      <c r="BB8" s="183">
        <f t="shared" si="11"/>
        <v>0</v>
      </c>
      <c r="BC8" s="183">
        <f t="shared" si="11"/>
        <v>0</v>
      </c>
      <c r="BD8" s="183">
        <f t="shared" si="11"/>
        <v>0</v>
      </c>
      <c r="BE8" s="183">
        <f t="shared" si="11"/>
        <v>0</v>
      </c>
      <c r="BF8" s="183">
        <f t="shared" si="11"/>
        <v>0</v>
      </c>
      <c r="BG8" s="183">
        <f t="shared" si="11"/>
        <v>0</v>
      </c>
      <c r="BH8" s="183">
        <f t="shared" si="11"/>
        <v>0</v>
      </c>
      <c r="BI8" s="183">
        <f t="shared" si="11"/>
        <v>0</v>
      </c>
      <c r="BJ8" s="183">
        <f t="shared" si="11"/>
        <v>0</v>
      </c>
      <c r="BK8" s="183">
        <f t="shared" si="11"/>
        <v>0</v>
      </c>
      <c r="BL8" s="183">
        <f t="shared" si="11"/>
        <v>0</v>
      </c>
      <c r="BM8" s="183">
        <f t="shared" si="11"/>
        <v>0</v>
      </c>
      <c r="BN8" s="183">
        <f t="shared" si="11"/>
        <v>0</v>
      </c>
      <c r="BO8" s="183">
        <f t="shared" si="11"/>
        <v>0</v>
      </c>
      <c r="BP8" s="183">
        <f t="shared" si="11"/>
        <v>0</v>
      </c>
      <c r="BQ8" s="183">
        <f t="shared" si="11"/>
        <v>0</v>
      </c>
      <c r="BR8" s="183">
        <f t="shared" si="11"/>
        <v>0</v>
      </c>
      <c r="BS8" s="183">
        <f t="shared" si="11"/>
        <v>0</v>
      </c>
      <c r="BT8" s="183">
        <f t="shared" si="11"/>
        <v>0</v>
      </c>
      <c r="BU8" s="183">
        <f t="shared" si="11"/>
        <v>0</v>
      </c>
      <c r="BV8" s="183">
        <f t="shared" si="11"/>
        <v>0</v>
      </c>
      <c r="BW8" s="183">
        <f t="shared" si="11"/>
        <v>0</v>
      </c>
      <c r="BX8" s="183">
        <f t="shared" si="11"/>
        <v>0</v>
      </c>
      <c r="BY8" s="183">
        <f t="shared" si="11"/>
        <v>0</v>
      </c>
      <c r="BZ8" s="183">
        <f t="shared" si="11"/>
        <v>0</v>
      </c>
      <c r="CA8" s="183">
        <f t="shared" si="11"/>
        <v>0</v>
      </c>
      <c r="CB8" s="183">
        <f t="shared" si="11"/>
        <v>0</v>
      </c>
      <c r="CC8" s="183">
        <f t="shared" si="11"/>
        <v>0</v>
      </c>
      <c r="CD8" s="183">
        <f t="shared" si="11"/>
        <v>0</v>
      </c>
      <c r="CE8" s="183">
        <f t="shared" si="11"/>
        <v>0</v>
      </c>
      <c r="CF8" s="183">
        <f t="shared" si="11"/>
        <v>0</v>
      </c>
      <c r="CG8" s="183">
        <f t="shared" si="11"/>
        <v>0</v>
      </c>
      <c r="CH8" s="183">
        <f t="shared" si="11"/>
        <v>0</v>
      </c>
      <c r="CI8" s="183">
        <f t="shared" si="11"/>
        <v>0</v>
      </c>
      <c r="CJ8" s="183">
        <f t="shared" si="11"/>
        <v>0</v>
      </c>
      <c r="CK8" s="183">
        <f t="shared" si="11"/>
        <v>0</v>
      </c>
      <c r="CL8" s="183">
        <f t="shared" si="11"/>
        <v>0</v>
      </c>
      <c r="CM8" s="183">
        <f t="shared" si="11"/>
        <v>0</v>
      </c>
      <c r="CN8" s="183">
        <f t="shared" si="11"/>
        <v>0</v>
      </c>
      <c r="CO8" s="183">
        <f t="shared" si="11"/>
        <v>0</v>
      </c>
      <c r="CP8" s="183">
        <f t="shared" si="11"/>
        <v>0</v>
      </c>
      <c r="CQ8" s="183">
        <f t="shared" si="11"/>
        <v>0</v>
      </c>
      <c r="CR8" s="183">
        <f t="shared" si="11"/>
        <v>0</v>
      </c>
      <c r="CS8" s="183">
        <f t="shared" si="11"/>
        <v>0</v>
      </c>
      <c r="CT8" s="183">
        <f t="shared" si="11"/>
        <v>0</v>
      </c>
      <c r="CU8" s="183">
        <f t="shared" si="11"/>
        <v>0</v>
      </c>
      <c r="CV8" s="183">
        <f t="shared" si="11"/>
        <v>0</v>
      </c>
      <c r="CW8" s="183">
        <f t="shared" si="11"/>
        <v>0</v>
      </c>
      <c r="CX8" s="183">
        <f t="shared" si="11"/>
        <v>0</v>
      </c>
      <c r="CY8" s="183">
        <f t="shared" si="11"/>
        <v>0</v>
      </c>
      <c r="CZ8" s="183">
        <f t="shared" si="11"/>
        <v>0</v>
      </c>
      <c r="DA8" s="183">
        <f t="shared" ref="DA8:EZ21" si="12">IF(OR(DA$3&gt;=$G8,DA$3&lt;$F8),0,(_xlfn.NORM.DIST(DA$3-$F8+1,$H8/2,INDEX($E$115:$E$118,MATCH($I8,$D$115:$D$118,0)),TRUE)-_xlfn.NORM.DIST(CZ$3-$F8+1,$H8/2,INDEX($E$115:$E$118,MATCH($I8,$D$115:$D$118,0)),TRUE))/(1-2*_xlfn.NORM.DIST(0,$H8/2,INDEX($E$115:$E$118,MATCH($I8,$D$115:$D$118,0)),TRUE))*$D8)</f>
        <v>0</v>
      </c>
      <c r="DB8" s="183">
        <f t="shared" si="12"/>
        <v>0</v>
      </c>
      <c r="DC8" s="183">
        <f t="shared" si="12"/>
        <v>0</v>
      </c>
      <c r="DD8" s="183">
        <f t="shared" si="12"/>
        <v>0</v>
      </c>
      <c r="DE8" s="183">
        <f t="shared" si="12"/>
        <v>0</v>
      </c>
      <c r="DF8" s="183">
        <f t="shared" si="12"/>
        <v>0</v>
      </c>
      <c r="DG8" s="183">
        <f t="shared" si="12"/>
        <v>0</v>
      </c>
      <c r="DH8" s="183">
        <f t="shared" si="12"/>
        <v>0</v>
      </c>
      <c r="DI8" s="183">
        <f t="shared" si="12"/>
        <v>0</v>
      </c>
      <c r="DJ8" s="183">
        <f t="shared" si="12"/>
        <v>0</v>
      </c>
      <c r="DK8" s="183">
        <f t="shared" si="12"/>
        <v>0</v>
      </c>
      <c r="DL8" s="183">
        <f t="shared" si="12"/>
        <v>0</v>
      </c>
      <c r="DM8" s="183">
        <f t="shared" si="12"/>
        <v>0</v>
      </c>
      <c r="DN8" s="183">
        <f t="shared" si="12"/>
        <v>0</v>
      </c>
      <c r="DO8" s="183">
        <f t="shared" si="12"/>
        <v>0</v>
      </c>
      <c r="DP8" s="183">
        <f t="shared" si="12"/>
        <v>0</v>
      </c>
      <c r="DQ8" s="183">
        <f t="shared" si="12"/>
        <v>0</v>
      </c>
      <c r="DR8" s="183">
        <f t="shared" si="12"/>
        <v>0</v>
      </c>
      <c r="DS8" s="183">
        <f t="shared" si="12"/>
        <v>0</v>
      </c>
      <c r="DT8" s="183">
        <f t="shared" si="12"/>
        <v>0</v>
      </c>
      <c r="DU8" s="183">
        <f t="shared" si="12"/>
        <v>0</v>
      </c>
      <c r="DV8" s="183">
        <f t="shared" si="12"/>
        <v>0</v>
      </c>
      <c r="DW8" s="183">
        <f t="shared" si="12"/>
        <v>0</v>
      </c>
      <c r="DX8" s="183">
        <f t="shared" si="12"/>
        <v>0</v>
      </c>
      <c r="DY8" s="183">
        <f t="shared" si="12"/>
        <v>0</v>
      </c>
      <c r="DZ8" s="183">
        <f t="shared" si="12"/>
        <v>0</v>
      </c>
      <c r="EA8" s="183">
        <f t="shared" si="12"/>
        <v>0</v>
      </c>
      <c r="EB8" s="183">
        <f t="shared" si="12"/>
        <v>0</v>
      </c>
      <c r="EC8" s="183">
        <f t="shared" si="12"/>
        <v>0</v>
      </c>
      <c r="ED8" s="183">
        <f t="shared" si="12"/>
        <v>0</v>
      </c>
      <c r="EE8" s="183">
        <f t="shared" si="12"/>
        <v>0</v>
      </c>
      <c r="EF8" s="183">
        <f t="shared" si="12"/>
        <v>0</v>
      </c>
      <c r="EG8" s="183">
        <f t="shared" si="12"/>
        <v>0</v>
      </c>
      <c r="EH8" s="183">
        <f t="shared" si="12"/>
        <v>0</v>
      </c>
      <c r="EI8" s="183">
        <f t="shared" si="12"/>
        <v>0</v>
      </c>
      <c r="EJ8" s="183">
        <f t="shared" si="12"/>
        <v>0</v>
      </c>
      <c r="EK8" s="183">
        <f t="shared" si="12"/>
        <v>0</v>
      </c>
      <c r="EL8" s="183">
        <f t="shared" si="12"/>
        <v>0</v>
      </c>
      <c r="EM8" s="183">
        <f t="shared" si="12"/>
        <v>0</v>
      </c>
      <c r="EN8" s="183">
        <f t="shared" si="12"/>
        <v>0</v>
      </c>
      <c r="EO8" s="183">
        <f t="shared" si="12"/>
        <v>0</v>
      </c>
      <c r="EP8" s="183">
        <f t="shared" si="12"/>
        <v>0</v>
      </c>
      <c r="EQ8" s="183">
        <f t="shared" si="12"/>
        <v>0</v>
      </c>
      <c r="ER8" s="183">
        <f t="shared" si="12"/>
        <v>0</v>
      </c>
      <c r="ES8" s="183">
        <f t="shared" si="12"/>
        <v>0</v>
      </c>
      <c r="ET8" s="183">
        <f t="shared" si="12"/>
        <v>0</v>
      </c>
      <c r="EU8" s="183">
        <f t="shared" si="12"/>
        <v>0</v>
      </c>
      <c r="EV8" s="183">
        <f t="shared" si="12"/>
        <v>0</v>
      </c>
      <c r="EW8" s="183">
        <f t="shared" si="12"/>
        <v>0</v>
      </c>
      <c r="EX8" s="183">
        <f t="shared" si="12"/>
        <v>0</v>
      </c>
      <c r="EY8" s="183">
        <f t="shared" si="12"/>
        <v>0</v>
      </c>
      <c r="EZ8" s="183">
        <f t="shared" si="12"/>
        <v>0</v>
      </c>
      <c r="FB8" s="144"/>
      <c r="FC8" s="144"/>
      <c r="FD8" s="144"/>
      <c r="FE8" s="144"/>
      <c r="FF8" s="144"/>
      <c r="FG8" s="144"/>
      <c r="FH8" s="144"/>
      <c r="FI8" s="144"/>
      <c r="FJ8" s="144"/>
      <c r="FK8" s="144"/>
      <c r="FL8" s="144"/>
      <c r="FM8" s="144"/>
      <c r="FN8" s="144"/>
      <c r="FO8" s="144"/>
      <c r="FP8" s="144"/>
      <c r="FQ8" s="144"/>
      <c r="FR8" s="144"/>
      <c r="FS8" s="144"/>
      <c r="FT8" s="144"/>
      <c r="FU8" s="144"/>
      <c r="FV8" s="144"/>
      <c r="FW8" s="144"/>
      <c r="FX8" s="144"/>
      <c r="FY8" s="144"/>
      <c r="FZ8" s="144"/>
      <c r="GA8" s="144"/>
      <c r="GB8" s="144"/>
      <c r="GC8" s="144"/>
      <c r="GD8" s="144"/>
      <c r="GE8" s="144"/>
      <c r="GF8" s="144"/>
      <c r="GG8" s="144"/>
      <c r="GH8" s="144"/>
      <c r="GI8" s="144"/>
      <c r="GJ8" s="144"/>
      <c r="GK8" s="144"/>
      <c r="GL8" s="144"/>
      <c r="GM8" s="144"/>
      <c r="GN8" s="144"/>
      <c r="GO8" s="144"/>
      <c r="GP8" s="144"/>
      <c r="GQ8" s="144"/>
      <c r="GR8" s="144"/>
      <c r="GS8" s="144"/>
      <c r="GT8" s="144"/>
      <c r="GU8" s="144"/>
      <c r="GV8" s="144"/>
      <c r="GW8" s="144"/>
      <c r="GX8" s="144"/>
      <c r="GY8" s="144"/>
      <c r="GZ8" s="144"/>
      <c r="HA8" s="144"/>
      <c r="HB8" s="144"/>
      <c r="HC8" s="144"/>
      <c r="HD8" s="144"/>
      <c r="HE8" s="144"/>
      <c r="HF8" s="144"/>
      <c r="HG8" s="144"/>
      <c r="HH8" s="144"/>
      <c r="HI8" s="144"/>
      <c r="HJ8" s="144"/>
      <c r="HK8" s="144"/>
    </row>
    <row r="9" spans="1:221" s="158" customFormat="1" x14ac:dyDescent="0.2">
      <c r="A9" s="630"/>
      <c r="B9" s="638" t="s">
        <v>234</v>
      </c>
      <c r="C9" s="639"/>
      <c r="D9" s="443">
        <v>0</v>
      </c>
      <c r="E9" s="199">
        <f>IF(units=0,0,'Renovation Budget'!D9/units)</f>
        <v>0</v>
      </c>
      <c r="F9" s="640">
        <v>0</v>
      </c>
      <c r="G9" s="640">
        <v>0</v>
      </c>
      <c r="H9" s="641">
        <f t="shared" si="7"/>
        <v>0</v>
      </c>
      <c r="I9" s="642" t="s">
        <v>208</v>
      </c>
      <c r="J9" s="643" t="s">
        <v>42</v>
      </c>
      <c r="K9" s="644"/>
      <c r="L9" s="183">
        <f t="shared" si="8"/>
        <v>0</v>
      </c>
      <c r="M9" s="183">
        <f t="shared" si="8"/>
        <v>0</v>
      </c>
      <c r="N9" s="183">
        <f t="shared" si="8"/>
        <v>0</v>
      </c>
      <c r="O9" s="183">
        <f t="shared" si="8"/>
        <v>0</v>
      </c>
      <c r="P9" s="183">
        <f t="shared" si="8"/>
        <v>0</v>
      </c>
      <c r="Q9" s="183">
        <f t="shared" si="8"/>
        <v>0</v>
      </c>
      <c r="R9" s="183">
        <f t="shared" si="8"/>
        <v>0</v>
      </c>
      <c r="S9" s="183">
        <f t="shared" si="8"/>
        <v>0</v>
      </c>
      <c r="T9" s="183">
        <f t="shared" si="8"/>
        <v>0</v>
      </c>
      <c r="U9" s="183">
        <f t="shared" si="8"/>
        <v>0</v>
      </c>
      <c r="V9" s="183">
        <f t="shared" si="8"/>
        <v>0</v>
      </c>
      <c r="W9" s="644"/>
      <c r="X9" s="183">
        <f t="shared" si="9"/>
        <v>0</v>
      </c>
      <c r="Y9" s="183">
        <f t="shared" si="10"/>
        <v>0</v>
      </c>
      <c r="Z9" s="183">
        <f t="shared" ref="Z9:CK12" si="13">IF(OR(Z$3&gt;=$G9,Z$3&lt;$F9),0,(_xlfn.NORM.DIST(Z$3-$F9+1,$H9/2,INDEX($E$115:$E$118,MATCH($I9,$D$115:$D$118,0)),TRUE)-_xlfn.NORM.DIST(Y$3-$F9+1,$H9/2,INDEX($E$115:$E$118,MATCH($I9,$D$115:$D$118,0)),TRUE))/(1-2*_xlfn.NORM.DIST(0,$H9/2,INDEX($E$115:$E$118,MATCH($I9,$D$115:$D$118,0)),TRUE))*$D9)</f>
        <v>0</v>
      </c>
      <c r="AA9" s="183">
        <f t="shared" si="13"/>
        <v>0</v>
      </c>
      <c r="AB9" s="183">
        <f t="shared" si="13"/>
        <v>0</v>
      </c>
      <c r="AC9" s="183">
        <f t="shared" si="13"/>
        <v>0</v>
      </c>
      <c r="AD9" s="183">
        <f t="shared" si="13"/>
        <v>0</v>
      </c>
      <c r="AE9" s="183">
        <f t="shared" si="13"/>
        <v>0</v>
      </c>
      <c r="AF9" s="183">
        <f t="shared" si="13"/>
        <v>0</v>
      </c>
      <c r="AG9" s="183">
        <f t="shared" si="13"/>
        <v>0</v>
      </c>
      <c r="AH9" s="183">
        <f t="shared" si="13"/>
        <v>0</v>
      </c>
      <c r="AI9" s="183">
        <f t="shared" si="13"/>
        <v>0</v>
      </c>
      <c r="AJ9" s="183">
        <f t="shared" si="13"/>
        <v>0</v>
      </c>
      <c r="AK9" s="183">
        <f t="shared" si="13"/>
        <v>0</v>
      </c>
      <c r="AL9" s="183">
        <f t="shared" si="13"/>
        <v>0</v>
      </c>
      <c r="AM9" s="183">
        <f t="shared" si="13"/>
        <v>0</v>
      </c>
      <c r="AN9" s="183">
        <f t="shared" si="13"/>
        <v>0</v>
      </c>
      <c r="AO9" s="183">
        <f t="shared" si="13"/>
        <v>0</v>
      </c>
      <c r="AP9" s="183">
        <f t="shared" si="13"/>
        <v>0</v>
      </c>
      <c r="AQ9" s="183">
        <f t="shared" si="13"/>
        <v>0</v>
      </c>
      <c r="AR9" s="183">
        <f t="shared" si="13"/>
        <v>0</v>
      </c>
      <c r="AS9" s="183">
        <f t="shared" si="13"/>
        <v>0</v>
      </c>
      <c r="AT9" s="183">
        <f t="shared" si="13"/>
        <v>0</v>
      </c>
      <c r="AU9" s="183">
        <f t="shared" si="13"/>
        <v>0</v>
      </c>
      <c r="AV9" s="183">
        <f t="shared" si="13"/>
        <v>0</v>
      </c>
      <c r="AW9" s="183">
        <f t="shared" si="13"/>
        <v>0</v>
      </c>
      <c r="AX9" s="183">
        <f t="shared" si="13"/>
        <v>0</v>
      </c>
      <c r="AY9" s="183">
        <f t="shared" si="13"/>
        <v>0</v>
      </c>
      <c r="AZ9" s="183">
        <f t="shared" si="13"/>
        <v>0</v>
      </c>
      <c r="BA9" s="183">
        <f t="shared" si="13"/>
        <v>0</v>
      </c>
      <c r="BB9" s="183">
        <f t="shared" si="13"/>
        <v>0</v>
      </c>
      <c r="BC9" s="183">
        <f t="shared" si="13"/>
        <v>0</v>
      </c>
      <c r="BD9" s="183">
        <f t="shared" si="13"/>
        <v>0</v>
      </c>
      <c r="BE9" s="183">
        <f t="shared" si="13"/>
        <v>0</v>
      </c>
      <c r="BF9" s="183">
        <f t="shared" si="13"/>
        <v>0</v>
      </c>
      <c r="BG9" s="183">
        <f t="shared" si="13"/>
        <v>0</v>
      </c>
      <c r="BH9" s="183">
        <f t="shared" si="13"/>
        <v>0</v>
      </c>
      <c r="BI9" s="183">
        <f t="shared" si="13"/>
        <v>0</v>
      </c>
      <c r="BJ9" s="183">
        <f t="shared" si="13"/>
        <v>0</v>
      </c>
      <c r="BK9" s="183">
        <f t="shared" si="13"/>
        <v>0</v>
      </c>
      <c r="BL9" s="183">
        <f t="shared" si="13"/>
        <v>0</v>
      </c>
      <c r="BM9" s="183">
        <f t="shared" si="13"/>
        <v>0</v>
      </c>
      <c r="BN9" s="183">
        <f t="shared" si="13"/>
        <v>0</v>
      </c>
      <c r="BO9" s="183">
        <f t="shared" si="13"/>
        <v>0</v>
      </c>
      <c r="BP9" s="183">
        <f t="shared" si="13"/>
        <v>0</v>
      </c>
      <c r="BQ9" s="183">
        <f t="shared" si="13"/>
        <v>0</v>
      </c>
      <c r="BR9" s="183">
        <f t="shared" si="13"/>
        <v>0</v>
      </c>
      <c r="BS9" s="183">
        <f t="shared" si="13"/>
        <v>0</v>
      </c>
      <c r="BT9" s="183">
        <f t="shared" si="13"/>
        <v>0</v>
      </c>
      <c r="BU9" s="183">
        <f t="shared" si="13"/>
        <v>0</v>
      </c>
      <c r="BV9" s="183">
        <f t="shared" si="13"/>
        <v>0</v>
      </c>
      <c r="BW9" s="183">
        <f t="shared" si="13"/>
        <v>0</v>
      </c>
      <c r="BX9" s="183">
        <f t="shared" si="13"/>
        <v>0</v>
      </c>
      <c r="BY9" s="183">
        <f t="shared" si="13"/>
        <v>0</v>
      </c>
      <c r="BZ9" s="183">
        <f t="shared" si="13"/>
        <v>0</v>
      </c>
      <c r="CA9" s="183">
        <f t="shared" si="13"/>
        <v>0</v>
      </c>
      <c r="CB9" s="183">
        <f t="shared" si="13"/>
        <v>0</v>
      </c>
      <c r="CC9" s="183">
        <f t="shared" si="13"/>
        <v>0</v>
      </c>
      <c r="CD9" s="183">
        <f t="shared" si="13"/>
        <v>0</v>
      </c>
      <c r="CE9" s="183">
        <f t="shared" si="13"/>
        <v>0</v>
      </c>
      <c r="CF9" s="183">
        <f t="shared" si="13"/>
        <v>0</v>
      </c>
      <c r="CG9" s="183">
        <f t="shared" si="13"/>
        <v>0</v>
      </c>
      <c r="CH9" s="183">
        <f t="shared" si="13"/>
        <v>0</v>
      </c>
      <c r="CI9" s="183">
        <f t="shared" si="13"/>
        <v>0</v>
      </c>
      <c r="CJ9" s="183">
        <f t="shared" si="13"/>
        <v>0</v>
      </c>
      <c r="CK9" s="183">
        <f t="shared" si="13"/>
        <v>0</v>
      </c>
      <c r="CL9" s="183">
        <f t="shared" si="11"/>
        <v>0</v>
      </c>
      <c r="CM9" s="183">
        <f t="shared" si="11"/>
        <v>0</v>
      </c>
      <c r="CN9" s="183">
        <f t="shared" si="11"/>
        <v>0</v>
      </c>
      <c r="CO9" s="183">
        <f t="shared" si="11"/>
        <v>0</v>
      </c>
      <c r="CP9" s="183">
        <f t="shared" si="11"/>
        <v>0</v>
      </c>
      <c r="CQ9" s="183">
        <f t="shared" si="11"/>
        <v>0</v>
      </c>
      <c r="CR9" s="183">
        <f t="shared" si="11"/>
        <v>0</v>
      </c>
      <c r="CS9" s="183">
        <f t="shared" si="11"/>
        <v>0</v>
      </c>
      <c r="CT9" s="183">
        <f t="shared" si="11"/>
        <v>0</v>
      </c>
      <c r="CU9" s="183">
        <f t="shared" si="11"/>
        <v>0</v>
      </c>
      <c r="CV9" s="183">
        <f t="shared" si="11"/>
        <v>0</v>
      </c>
      <c r="CW9" s="183">
        <f t="shared" si="11"/>
        <v>0</v>
      </c>
      <c r="CX9" s="183">
        <f t="shared" si="11"/>
        <v>0</v>
      </c>
      <c r="CY9" s="183">
        <f t="shared" si="11"/>
        <v>0</v>
      </c>
      <c r="CZ9" s="183">
        <f t="shared" si="11"/>
        <v>0</v>
      </c>
      <c r="DA9" s="183">
        <f t="shared" si="12"/>
        <v>0</v>
      </c>
      <c r="DB9" s="183">
        <f t="shared" si="12"/>
        <v>0</v>
      </c>
      <c r="DC9" s="183">
        <f t="shared" si="12"/>
        <v>0</v>
      </c>
      <c r="DD9" s="183">
        <f t="shared" si="12"/>
        <v>0</v>
      </c>
      <c r="DE9" s="183">
        <f t="shared" si="12"/>
        <v>0</v>
      </c>
      <c r="DF9" s="183">
        <f t="shared" si="12"/>
        <v>0</v>
      </c>
      <c r="DG9" s="183">
        <f t="shared" si="12"/>
        <v>0</v>
      </c>
      <c r="DH9" s="183">
        <f t="shared" si="12"/>
        <v>0</v>
      </c>
      <c r="DI9" s="183">
        <f t="shared" si="12"/>
        <v>0</v>
      </c>
      <c r="DJ9" s="183">
        <f t="shared" si="12"/>
        <v>0</v>
      </c>
      <c r="DK9" s="183">
        <f t="shared" si="12"/>
        <v>0</v>
      </c>
      <c r="DL9" s="183">
        <f t="shared" si="12"/>
        <v>0</v>
      </c>
      <c r="DM9" s="183">
        <f t="shared" si="12"/>
        <v>0</v>
      </c>
      <c r="DN9" s="183">
        <f t="shared" si="12"/>
        <v>0</v>
      </c>
      <c r="DO9" s="183">
        <f t="shared" si="12"/>
        <v>0</v>
      </c>
      <c r="DP9" s="183">
        <f t="shared" si="12"/>
        <v>0</v>
      </c>
      <c r="DQ9" s="183">
        <f t="shared" si="12"/>
        <v>0</v>
      </c>
      <c r="DR9" s="183">
        <f t="shared" si="12"/>
        <v>0</v>
      </c>
      <c r="DS9" s="183">
        <f t="shared" si="12"/>
        <v>0</v>
      </c>
      <c r="DT9" s="183">
        <f t="shared" si="12"/>
        <v>0</v>
      </c>
      <c r="DU9" s="183">
        <f t="shared" si="12"/>
        <v>0</v>
      </c>
      <c r="DV9" s="183">
        <f t="shared" si="12"/>
        <v>0</v>
      </c>
      <c r="DW9" s="183">
        <f t="shared" si="12"/>
        <v>0</v>
      </c>
      <c r="DX9" s="183">
        <f t="shared" si="12"/>
        <v>0</v>
      </c>
      <c r="DY9" s="183">
        <f t="shared" si="12"/>
        <v>0</v>
      </c>
      <c r="DZ9" s="183">
        <f t="shared" si="12"/>
        <v>0</v>
      </c>
      <c r="EA9" s="183">
        <f t="shared" si="12"/>
        <v>0</v>
      </c>
      <c r="EB9" s="183">
        <f t="shared" si="12"/>
        <v>0</v>
      </c>
      <c r="EC9" s="183">
        <f t="shared" si="12"/>
        <v>0</v>
      </c>
      <c r="ED9" s="183">
        <f t="shared" si="12"/>
        <v>0</v>
      </c>
      <c r="EE9" s="183">
        <f t="shared" si="12"/>
        <v>0</v>
      </c>
      <c r="EF9" s="183">
        <f t="shared" si="12"/>
        <v>0</v>
      </c>
      <c r="EG9" s="183">
        <f t="shared" si="12"/>
        <v>0</v>
      </c>
      <c r="EH9" s="183">
        <f t="shared" si="12"/>
        <v>0</v>
      </c>
      <c r="EI9" s="183">
        <f t="shared" si="12"/>
        <v>0</v>
      </c>
      <c r="EJ9" s="183">
        <f t="shared" si="12"/>
        <v>0</v>
      </c>
      <c r="EK9" s="183">
        <f t="shared" si="12"/>
        <v>0</v>
      </c>
      <c r="EL9" s="183">
        <f t="shared" si="12"/>
        <v>0</v>
      </c>
      <c r="EM9" s="183">
        <f t="shared" si="12"/>
        <v>0</v>
      </c>
      <c r="EN9" s="183">
        <f t="shared" si="12"/>
        <v>0</v>
      </c>
      <c r="EO9" s="183">
        <f t="shared" si="12"/>
        <v>0</v>
      </c>
      <c r="EP9" s="183">
        <f t="shared" si="12"/>
        <v>0</v>
      </c>
      <c r="EQ9" s="183">
        <f t="shared" si="12"/>
        <v>0</v>
      </c>
      <c r="ER9" s="183">
        <f t="shared" si="12"/>
        <v>0</v>
      </c>
      <c r="ES9" s="183">
        <f t="shared" si="12"/>
        <v>0</v>
      </c>
      <c r="ET9" s="183">
        <f t="shared" si="12"/>
        <v>0</v>
      </c>
      <c r="EU9" s="183">
        <f t="shared" si="12"/>
        <v>0</v>
      </c>
      <c r="EV9" s="183">
        <f t="shared" si="12"/>
        <v>0</v>
      </c>
      <c r="EW9" s="183">
        <f t="shared" si="12"/>
        <v>0</v>
      </c>
      <c r="EX9" s="183">
        <f t="shared" si="12"/>
        <v>0</v>
      </c>
      <c r="EY9" s="183">
        <f t="shared" si="12"/>
        <v>0</v>
      </c>
      <c r="EZ9" s="183">
        <f t="shared" si="12"/>
        <v>0</v>
      </c>
      <c r="FB9" s="144"/>
      <c r="FC9" s="144"/>
      <c r="FD9" s="144"/>
      <c r="FE9" s="144"/>
      <c r="FF9" s="144"/>
      <c r="FG9" s="144"/>
      <c r="FH9" s="144"/>
      <c r="FI9" s="144"/>
      <c r="FJ9" s="144"/>
      <c r="FK9" s="144"/>
      <c r="FL9" s="144"/>
      <c r="FM9" s="144"/>
      <c r="FN9" s="144"/>
      <c r="FO9" s="144"/>
      <c r="FP9" s="144"/>
      <c r="FQ9" s="144"/>
      <c r="FR9" s="144"/>
      <c r="FS9" s="144"/>
      <c r="FT9" s="144"/>
      <c r="FU9" s="144"/>
      <c r="FV9" s="144"/>
      <c r="FW9" s="144"/>
      <c r="FX9" s="144"/>
      <c r="FY9" s="144"/>
      <c r="FZ9" s="144"/>
      <c r="GA9" s="144"/>
      <c r="GB9" s="144"/>
      <c r="GC9" s="144"/>
      <c r="GD9" s="144"/>
      <c r="GE9" s="144"/>
      <c r="GF9" s="144"/>
      <c r="GG9" s="144"/>
      <c r="GH9" s="144"/>
      <c r="GI9" s="144"/>
      <c r="GJ9" s="144"/>
      <c r="GK9" s="144"/>
      <c r="GL9" s="144"/>
      <c r="GM9" s="144"/>
      <c r="GN9" s="144"/>
      <c r="GO9" s="144"/>
      <c r="GP9" s="144"/>
      <c r="GQ9" s="144"/>
      <c r="GR9" s="144"/>
      <c r="GS9" s="144"/>
      <c r="GT9" s="144"/>
      <c r="GU9" s="144"/>
      <c r="GV9" s="144"/>
      <c r="GW9" s="144"/>
      <c r="GX9" s="144"/>
      <c r="GY9" s="144"/>
      <c r="GZ9" s="144"/>
      <c r="HA9" s="144"/>
      <c r="HB9" s="144"/>
      <c r="HC9" s="144"/>
      <c r="HD9" s="144"/>
      <c r="HE9" s="144"/>
      <c r="HF9" s="144"/>
      <c r="HG9" s="144"/>
      <c r="HH9" s="144"/>
      <c r="HI9" s="144"/>
      <c r="HJ9" s="144"/>
      <c r="HK9" s="144"/>
    </row>
    <row r="10" spans="1:221" s="158" customFormat="1" x14ac:dyDescent="0.2">
      <c r="A10" s="630"/>
      <c r="B10" s="638" t="s">
        <v>235</v>
      </c>
      <c r="C10" s="639"/>
      <c r="D10" s="443">
        <v>0</v>
      </c>
      <c r="E10" s="199">
        <f>IF(units=0,0,'Renovation Budget'!D10/units)</f>
        <v>0</v>
      </c>
      <c r="F10" s="640">
        <v>0</v>
      </c>
      <c r="G10" s="640">
        <v>0</v>
      </c>
      <c r="H10" s="641">
        <f t="shared" si="7"/>
        <v>0</v>
      </c>
      <c r="I10" s="642" t="s">
        <v>208</v>
      </c>
      <c r="J10" s="643" t="s">
        <v>42</v>
      </c>
      <c r="K10" s="644"/>
      <c r="L10" s="183">
        <f t="shared" si="8"/>
        <v>0</v>
      </c>
      <c r="M10" s="183">
        <f t="shared" si="8"/>
        <v>0</v>
      </c>
      <c r="N10" s="183">
        <f t="shared" si="8"/>
        <v>0</v>
      </c>
      <c r="O10" s="183">
        <f t="shared" si="8"/>
        <v>0</v>
      </c>
      <c r="P10" s="183">
        <f t="shared" si="8"/>
        <v>0</v>
      </c>
      <c r="Q10" s="183">
        <f t="shared" si="8"/>
        <v>0</v>
      </c>
      <c r="R10" s="183">
        <f t="shared" si="8"/>
        <v>0</v>
      </c>
      <c r="S10" s="183">
        <f t="shared" si="8"/>
        <v>0</v>
      </c>
      <c r="T10" s="183">
        <f t="shared" si="8"/>
        <v>0</v>
      </c>
      <c r="U10" s="183">
        <f t="shared" si="8"/>
        <v>0</v>
      </c>
      <c r="V10" s="183">
        <f t="shared" si="8"/>
        <v>0</v>
      </c>
      <c r="W10" s="644"/>
      <c r="X10" s="183">
        <f t="shared" si="9"/>
        <v>0</v>
      </c>
      <c r="Y10" s="183">
        <f t="shared" si="10"/>
        <v>0</v>
      </c>
      <c r="Z10" s="183">
        <f t="shared" si="13"/>
        <v>0</v>
      </c>
      <c r="AA10" s="183">
        <f t="shared" si="13"/>
        <v>0</v>
      </c>
      <c r="AB10" s="183">
        <f t="shared" si="13"/>
        <v>0</v>
      </c>
      <c r="AC10" s="183">
        <f t="shared" si="13"/>
        <v>0</v>
      </c>
      <c r="AD10" s="183">
        <f t="shared" si="13"/>
        <v>0</v>
      </c>
      <c r="AE10" s="183">
        <f t="shared" si="13"/>
        <v>0</v>
      </c>
      <c r="AF10" s="183">
        <f t="shared" si="13"/>
        <v>0</v>
      </c>
      <c r="AG10" s="183">
        <f t="shared" si="13"/>
        <v>0</v>
      </c>
      <c r="AH10" s="183">
        <f t="shared" si="13"/>
        <v>0</v>
      </c>
      <c r="AI10" s="183">
        <f t="shared" si="13"/>
        <v>0</v>
      </c>
      <c r="AJ10" s="183">
        <f t="shared" si="13"/>
        <v>0</v>
      </c>
      <c r="AK10" s="183">
        <f t="shared" si="13"/>
        <v>0</v>
      </c>
      <c r="AL10" s="183">
        <f t="shared" si="13"/>
        <v>0</v>
      </c>
      <c r="AM10" s="183">
        <f t="shared" si="13"/>
        <v>0</v>
      </c>
      <c r="AN10" s="183">
        <f t="shared" si="13"/>
        <v>0</v>
      </c>
      <c r="AO10" s="183">
        <f t="shared" si="13"/>
        <v>0</v>
      </c>
      <c r="AP10" s="183">
        <f t="shared" si="13"/>
        <v>0</v>
      </c>
      <c r="AQ10" s="183">
        <f t="shared" si="13"/>
        <v>0</v>
      </c>
      <c r="AR10" s="183">
        <f t="shared" si="13"/>
        <v>0</v>
      </c>
      <c r="AS10" s="183">
        <f t="shared" si="13"/>
        <v>0</v>
      </c>
      <c r="AT10" s="183">
        <f t="shared" si="13"/>
        <v>0</v>
      </c>
      <c r="AU10" s="183">
        <f t="shared" si="13"/>
        <v>0</v>
      </c>
      <c r="AV10" s="183">
        <f t="shared" si="13"/>
        <v>0</v>
      </c>
      <c r="AW10" s="183">
        <f t="shared" si="13"/>
        <v>0</v>
      </c>
      <c r="AX10" s="183">
        <f t="shared" si="13"/>
        <v>0</v>
      </c>
      <c r="AY10" s="183">
        <f t="shared" si="13"/>
        <v>0</v>
      </c>
      <c r="AZ10" s="183">
        <f t="shared" si="13"/>
        <v>0</v>
      </c>
      <c r="BA10" s="183">
        <f t="shared" si="13"/>
        <v>0</v>
      </c>
      <c r="BB10" s="183">
        <f t="shared" si="13"/>
        <v>0</v>
      </c>
      <c r="BC10" s="183">
        <f t="shared" si="13"/>
        <v>0</v>
      </c>
      <c r="BD10" s="183">
        <f t="shared" si="13"/>
        <v>0</v>
      </c>
      <c r="BE10" s="183">
        <f t="shared" si="13"/>
        <v>0</v>
      </c>
      <c r="BF10" s="183">
        <f t="shared" si="13"/>
        <v>0</v>
      </c>
      <c r="BG10" s="183">
        <f t="shared" si="13"/>
        <v>0</v>
      </c>
      <c r="BH10" s="183">
        <f t="shared" si="13"/>
        <v>0</v>
      </c>
      <c r="BI10" s="183">
        <f t="shared" si="13"/>
        <v>0</v>
      </c>
      <c r="BJ10" s="183">
        <f t="shared" si="13"/>
        <v>0</v>
      </c>
      <c r="BK10" s="183">
        <f t="shared" si="13"/>
        <v>0</v>
      </c>
      <c r="BL10" s="183">
        <f t="shared" si="13"/>
        <v>0</v>
      </c>
      <c r="BM10" s="183">
        <f t="shared" si="13"/>
        <v>0</v>
      </c>
      <c r="BN10" s="183">
        <f t="shared" si="13"/>
        <v>0</v>
      </c>
      <c r="BO10" s="183">
        <f t="shared" si="13"/>
        <v>0</v>
      </c>
      <c r="BP10" s="183">
        <f t="shared" si="13"/>
        <v>0</v>
      </c>
      <c r="BQ10" s="183">
        <f t="shared" si="13"/>
        <v>0</v>
      </c>
      <c r="BR10" s="183">
        <f t="shared" si="13"/>
        <v>0</v>
      </c>
      <c r="BS10" s="183">
        <f t="shared" si="13"/>
        <v>0</v>
      </c>
      <c r="BT10" s="183">
        <f t="shared" si="13"/>
        <v>0</v>
      </c>
      <c r="BU10" s="183">
        <f t="shared" si="13"/>
        <v>0</v>
      </c>
      <c r="BV10" s="183">
        <f t="shared" si="13"/>
        <v>0</v>
      </c>
      <c r="BW10" s="183">
        <f t="shared" si="13"/>
        <v>0</v>
      </c>
      <c r="BX10" s="183">
        <f t="shared" si="13"/>
        <v>0</v>
      </c>
      <c r="BY10" s="183">
        <f t="shared" si="13"/>
        <v>0</v>
      </c>
      <c r="BZ10" s="183">
        <f t="shared" si="13"/>
        <v>0</v>
      </c>
      <c r="CA10" s="183">
        <f t="shared" si="13"/>
        <v>0</v>
      </c>
      <c r="CB10" s="183">
        <f t="shared" si="13"/>
        <v>0</v>
      </c>
      <c r="CC10" s="183">
        <f t="shared" si="13"/>
        <v>0</v>
      </c>
      <c r="CD10" s="183">
        <f t="shared" si="13"/>
        <v>0</v>
      </c>
      <c r="CE10" s="183">
        <f t="shared" si="13"/>
        <v>0</v>
      </c>
      <c r="CF10" s="183">
        <f t="shared" si="13"/>
        <v>0</v>
      </c>
      <c r="CG10" s="183">
        <f t="shared" si="13"/>
        <v>0</v>
      </c>
      <c r="CH10" s="183">
        <f t="shared" si="13"/>
        <v>0</v>
      </c>
      <c r="CI10" s="183">
        <f t="shared" si="13"/>
        <v>0</v>
      </c>
      <c r="CJ10" s="183">
        <f t="shared" si="13"/>
        <v>0</v>
      </c>
      <c r="CK10" s="183">
        <f t="shared" si="13"/>
        <v>0</v>
      </c>
      <c r="CL10" s="183">
        <f t="shared" si="11"/>
        <v>0</v>
      </c>
      <c r="CM10" s="183">
        <f t="shared" si="11"/>
        <v>0</v>
      </c>
      <c r="CN10" s="183">
        <f t="shared" si="11"/>
        <v>0</v>
      </c>
      <c r="CO10" s="183">
        <f t="shared" si="11"/>
        <v>0</v>
      </c>
      <c r="CP10" s="183">
        <f t="shared" si="11"/>
        <v>0</v>
      </c>
      <c r="CQ10" s="183">
        <f t="shared" si="11"/>
        <v>0</v>
      </c>
      <c r="CR10" s="183">
        <f t="shared" si="11"/>
        <v>0</v>
      </c>
      <c r="CS10" s="183">
        <f t="shared" si="11"/>
        <v>0</v>
      </c>
      <c r="CT10" s="183">
        <f t="shared" si="11"/>
        <v>0</v>
      </c>
      <c r="CU10" s="183">
        <f t="shared" si="11"/>
        <v>0</v>
      </c>
      <c r="CV10" s="183">
        <f t="shared" si="11"/>
        <v>0</v>
      </c>
      <c r="CW10" s="183">
        <f t="shared" si="11"/>
        <v>0</v>
      </c>
      <c r="CX10" s="183">
        <f t="shared" si="11"/>
        <v>0</v>
      </c>
      <c r="CY10" s="183">
        <f t="shared" si="11"/>
        <v>0</v>
      </c>
      <c r="CZ10" s="183">
        <f t="shared" si="11"/>
        <v>0</v>
      </c>
      <c r="DA10" s="183">
        <f t="shared" si="12"/>
        <v>0</v>
      </c>
      <c r="DB10" s="183">
        <f t="shared" si="12"/>
        <v>0</v>
      </c>
      <c r="DC10" s="183">
        <f t="shared" si="12"/>
        <v>0</v>
      </c>
      <c r="DD10" s="183">
        <f t="shared" si="12"/>
        <v>0</v>
      </c>
      <c r="DE10" s="183">
        <f t="shared" si="12"/>
        <v>0</v>
      </c>
      <c r="DF10" s="183">
        <f t="shared" si="12"/>
        <v>0</v>
      </c>
      <c r="DG10" s="183">
        <f t="shared" si="12"/>
        <v>0</v>
      </c>
      <c r="DH10" s="183">
        <f t="shared" si="12"/>
        <v>0</v>
      </c>
      <c r="DI10" s="183">
        <f t="shared" si="12"/>
        <v>0</v>
      </c>
      <c r="DJ10" s="183">
        <f t="shared" si="12"/>
        <v>0</v>
      </c>
      <c r="DK10" s="183">
        <f t="shared" si="12"/>
        <v>0</v>
      </c>
      <c r="DL10" s="183">
        <f t="shared" si="12"/>
        <v>0</v>
      </c>
      <c r="DM10" s="183">
        <f t="shared" si="12"/>
        <v>0</v>
      </c>
      <c r="DN10" s="183">
        <f t="shared" si="12"/>
        <v>0</v>
      </c>
      <c r="DO10" s="183">
        <f t="shared" si="12"/>
        <v>0</v>
      </c>
      <c r="DP10" s="183">
        <f t="shared" si="12"/>
        <v>0</v>
      </c>
      <c r="DQ10" s="183">
        <f t="shared" si="12"/>
        <v>0</v>
      </c>
      <c r="DR10" s="183">
        <f t="shared" si="12"/>
        <v>0</v>
      </c>
      <c r="DS10" s="183">
        <f t="shared" si="12"/>
        <v>0</v>
      </c>
      <c r="DT10" s="183">
        <f t="shared" si="12"/>
        <v>0</v>
      </c>
      <c r="DU10" s="183">
        <f t="shared" si="12"/>
        <v>0</v>
      </c>
      <c r="DV10" s="183">
        <f t="shared" si="12"/>
        <v>0</v>
      </c>
      <c r="DW10" s="183">
        <f t="shared" si="12"/>
        <v>0</v>
      </c>
      <c r="DX10" s="183">
        <f t="shared" si="12"/>
        <v>0</v>
      </c>
      <c r="DY10" s="183">
        <f t="shared" si="12"/>
        <v>0</v>
      </c>
      <c r="DZ10" s="183">
        <f t="shared" si="12"/>
        <v>0</v>
      </c>
      <c r="EA10" s="183">
        <f t="shared" si="12"/>
        <v>0</v>
      </c>
      <c r="EB10" s="183">
        <f t="shared" si="12"/>
        <v>0</v>
      </c>
      <c r="EC10" s="183">
        <f t="shared" si="12"/>
        <v>0</v>
      </c>
      <c r="ED10" s="183">
        <f t="shared" si="12"/>
        <v>0</v>
      </c>
      <c r="EE10" s="183">
        <f t="shared" si="12"/>
        <v>0</v>
      </c>
      <c r="EF10" s="183">
        <f t="shared" si="12"/>
        <v>0</v>
      </c>
      <c r="EG10" s="183">
        <f t="shared" si="12"/>
        <v>0</v>
      </c>
      <c r="EH10" s="183">
        <f t="shared" si="12"/>
        <v>0</v>
      </c>
      <c r="EI10" s="183">
        <f t="shared" si="12"/>
        <v>0</v>
      </c>
      <c r="EJ10" s="183">
        <f t="shared" si="12"/>
        <v>0</v>
      </c>
      <c r="EK10" s="183">
        <f t="shared" si="12"/>
        <v>0</v>
      </c>
      <c r="EL10" s="183">
        <f t="shared" si="12"/>
        <v>0</v>
      </c>
      <c r="EM10" s="183">
        <f t="shared" si="12"/>
        <v>0</v>
      </c>
      <c r="EN10" s="183">
        <f t="shared" si="12"/>
        <v>0</v>
      </c>
      <c r="EO10" s="183">
        <f t="shared" si="12"/>
        <v>0</v>
      </c>
      <c r="EP10" s="183">
        <f t="shared" si="12"/>
        <v>0</v>
      </c>
      <c r="EQ10" s="183">
        <f t="shared" si="12"/>
        <v>0</v>
      </c>
      <c r="ER10" s="183">
        <f t="shared" si="12"/>
        <v>0</v>
      </c>
      <c r="ES10" s="183">
        <f t="shared" si="12"/>
        <v>0</v>
      </c>
      <c r="ET10" s="183">
        <f t="shared" si="12"/>
        <v>0</v>
      </c>
      <c r="EU10" s="183">
        <f t="shared" si="12"/>
        <v>0</v>
      </c>
      <c r="EV10" s="183">
        <f t="shared" si="12"/>
        <v>0</v>
      </c>
      <c r="EW10" s="183">
        <f t="shared" si="12"/>
        <v>0</v>
      </c>
      <c r="EX10" s="183">
        <f t="shared" si="12"/>
        <v>0</v>
      </c>
      <c r="EY10" s="183">
        <f t="shared" si="12"/>
        <v>0</v>
      </c>
      <c r="EZ10" s="183">
        <f t="shared" si="12"/>
        <v>0</v>
      </c>
      <c r="FA10" s="144"/>
      <c r="FB10" s="144"/>
      <c r="FC10" s="144"/>
      <c r="FD10" s="144"/>
      <c r="FE10" s="144"/>
      <c r="FF10" s="144"/>
      <c r="FG10" s="144"/>
      <c r="FH10" s="144"/>
      <c r="FI10" s="144"/>
      <c r="FJ10" s="144"/>
      <c r="FK10" s="144"/>
      <c r="FL10" s="144"/>
      <c r="FM10" s="144"/>
      <c r="FN10" s="144"/>
      <c r="FO10" s="144"/>
      <c r="FP10" s="144"/>
      <c r="FQ10" s="144"/>
      <c r="FR10" s="144"/>
      <c r="FS10" s="144"/>
      <c r="FT10" s="144"/>
      <c r="FU10" s="144"/>
      <c r="FV10" s="144"/>
      <c r="FW10" s="144"/>
      <c r="FX10" s="144"/>
      <c r="FY10" s="144"/>
      <c r="FZ10" s="144"/>
      <c r="GA10" s="144"/>
      <c r="GB10" s="144"/>
      <c r="GC10" s="144"/>
      <c r="GD10" s="144"/>
      <c r="GE10" s="144"/>
      <c r="GF10" s="144"/>
      <c r="GG10" s="144"/>
      <c r="GH10" s="144"/>
      <c r="GI10" s="144"/>
      <c r="GJ10" s="144"/>
      <c r="GK10" s="144"/>
      <c r="GL10" s="144"/>
      <c r="GM10" s="144"/>
      <c r="GN10" s="144"/>
      <c r="GO10" s="144"/>
      <c r="GP10" s="144"/>
      <c r="GQ10" s="144"/>
      <c r="GR10" s="144"/>
      <c r="GS10" s="144"/>
      <c r="GT10" s="144"/>
      <c r="GU10" s="144"/>
      <c r="GV10" s="144"/>
      <c r="GW10" s="144"/>
      <c r="GX10" s="144"/>
      <c r="GY10" s="144"/>
      <c r="GZ10" s="144"/>
      <c r="HA10" s="144"/>
      <c r="HB10" s="144"/>
      <c r="HC10" s="144"/>
      <c r="HD10" s="144"/>
      <c r="HE10" s="144"/>
      <c r="HF10" s="144"/>
      <c r="HG10" s="144"/>
      <c r="HH10" s="144"/>
      <c r="HI10" s="144"/>
      <c r="HJ10" s="144"/>
      <c r="HK10" s="144"/>
    </row>
    <row r="11" spans="1:221" s="158" customFormat="1" x14ac:dyDescent="0.2">
      <c r="A11" s="630"/>
      <c r="B11" s="638" t="s">
        <v>633</v>
      </c>
      <c r="C11" s="639"/>
      <c r="D11" s="443">
        <v>0</v>
      </c>
      <c r="E11" s="199">
        <f>IF(units=0,0,'Renovation Budget'!D11/units)</f>
        <v>0</v>
      </c>
      <c r="F11" s="640">
        <v>0</v>
      </c>
      <c r="G11" s="640">
        <v>0</v>
      </c>
      <c r="H11" s="641">
        <f t="shared" si="7"/>
        <v>0</v>
      </c>
      <c r="I11" s="642" t="s">
        <v>107</v>
      </c>
      <c r="J11" s="643" t="s">
        <v>42</v>
      </c>
      <c r="K11" s="644"/>
      <c r="L11" s="183">
        <f t="shared" si="8"/>
        <v>0</v>
      </c>
      <c r="M11" s="183">
        <f t="shared" si="8"/>
        <v>0</v>
      </c>
      <c r="N11" s="183">
        <f t="shared" si="8"/>
        <v>0</v>
      </c>
      <c r="O11" s="183">
        <f t="shared" si="8"/>
        <v>0</v>
      </c>
      <c r="P11" s="183">
        <f t="shared" si="8"/>
        <v>0</v>
      </c>
      <c r="Q11" s="183">
        <f t="shared" si="8"/>
        <v>0</v>
      </c>
      <c r="R11" s="183">
        <f t="shared" si="8"/>
        <v>0</v>
      </c>
      <c r="S11" s="183">
        <f t="shared" si="8"/>
        <v>0</v>
      </c>
      <c r="T11" s="183">
        <f t="shared" si="8"/>
        <v>0</v>
      </c>
      <c r="U11" s="183">
        <f t="shared" si="8"/>
        <v>0</v>
      </c>
      <c r="V11" s="183">
        <f t="shared" si="8"/>
        <v>0</v>
      </c>
      <c r="W11" s="644"/>
      <c r="X11" s="183">
        <f t="shared" si="9"/>
        <v>0</v>
      </c>
      <c r="Y11" s="183">
        <f t="shared" si="10"/>
        <v>0</v>
      </c>
      <c r="Z11" s="183">
        <f t="shared" si="13"/>
        <v>0</v>
      </c>
      <c r="AA11" s="183">
        <f t="shared" si="13"/>
        <v>0</v>
      </c>
      <c r="AB11" s="183">
        <f t="shared" si="13"/>
        <v>0</v>
      </c>
      <c r="AC11" s="183">
        <f t="shared" si="13"/>
        <v>0</v>
      </c>
      <c r="AD11" s="183">
        <f t="shared" si="13"/>
        <v>0</v>
      </c>
      <c r="AE11" s="183">
        <f t="shared" si="13"/>
        <v>0</v>
      </c>
      <c r="AF11" s="183">
        <f t="shared" si="13"/>
        <v>0</v>
      </c>
      <c r="AG11" s="183">
        <f t="shared" si="13"/>
        <v>0</v>
      </c>
      <c r="AH11" s="183">
        <f t="shared" si="13"/>
        <v>0</v>
      </c>
      <c r="AI11" s="183">
        <f t="shared" si="13"/>
        <v>0</v>
      </c>
      <c r="AJ11" s="183">
        <f t="shared" si="13"/>
        <v>0</v>
      </c>
      <c r="AK11" s="183">
        <f t="shared" si="13"/>
        <v>0</v>
      </c>
      <c r="AL11" s="183">
        <f t="shared" si="13"/>
        <v>0</v>
      </c>
      <c r="AM11" s="183">
        <f t="shared" si="13"/>
        <v>0</v>
      </c>
      <c r="AN11" s="183">
        <f t="shared" si="13"/>
        <v>0</v>
      </c>
      <c r="AO11" s="183">
        <f t="shared" si="13"/>
        <v>0</v>
      </c>
      <c r="AP11" s="183">
        <f t="shared" si="13"/>
        <v>0</v>
      </c>
      <c r="AQ11" s="183">
        <f t="shared" si="13"/>
        <v>0</v>
      </c>
      <c r="AR11" s="183">
        <f t="shared" si="13"/>
        <v>0</v>
      </c>
      <c r="AS11" s="183">
        <f t="shared" si="13"/>
        <v>0</v>
      </c>
      <c r="AT11" s="183">
        <f t="shared" si="13"/>
        <v>0</v>
      </c>
      <c r="AU11" s="183">
        <f t="shared" si="13"/>
        <v>0</v>
      </c>
      <c r="AV11" s="183">
        <f t="shared" si="13"/>
        <v>0</v>
      </c>
      <c r="AW11" s="183">
        <f t="shared" si="13"/>
        <v>0</v>
      </c>
      <c r="AX11" s="183">
        <f t="shared" si="13"/>
        <v>0</v>
      </c>
      <c r="AY11" s="183">
        <f t="shared" si="13"/>
        <v>0</v>
      </c>
      <c r="AZ11" s="183">
        <f t="shared" si="13"/>
        <v>0</v>
      </c>
      <c r="BA11" s="183">
        <f t="shared" si="13"/>
        <v>0</v>
      </c>
      <c r="BB11" s="183">
        <f t="shared" si="13"/>
        <v>0</v>
      </c>
      <c r="BC11" s="183">
        <f t="shared" si="13"/>
        <v>0</v>
      </c>
      <c r="BD11" s="183">
        <f t="shared" si="13"/>
        <v>0</v>
      </c>
      <c r="BE11" s="183">
        <f t="shared" si="13"/>
        <v>0</v>
      </c>
      <c r="BF11" s="183">
        <f t="shared" si="13"/>
        <v>0</v>
      </c>
      <c r="BG11" s="183">
        <f t="shared" si="13"/>
        <v>0</v>
      </c>
      <c r="BH11" s="183">
        <f t="shared" si="13"/>
        <v>0</v>
      </c>
      <c r="BI11" s="183">
        <f t="shared" si="13"/>
        <v>0</v>
      </c>
      <c r="BJ11" s="183">
        <f t="shared" si="13"/>
        <v>0</v>
      </c>
      <c r="BK11" s="183">
        <f t="shared" si="13"/>
        <v>0</v>
      </c>
      <c r="BL11" s="183">
        <f t="shared" si="13"/>
        <v>0</v>
      </c>
      <c r="BM11" s="183">
        <f t="shared" si="13"/>
        <v>0</v>
      </c>
      <c r="BN11" s="183">
        <f t="shared" si="13"/>
        <v>0</v>
      </c>
      <c r="BO11" s="183">
        <f t="shared" si="13"/>
        <v>0</v>
      </c>
      <c r="BP11" s="183">
        <f t="shared" si="13"/>
        <v>0</v>
      </c>
      <c r="BQ11" s="183">
        <f t="shared" si="13"/>
        <v>0</v>
      </c>
      <c r="BR11" s="183">
        <f t="shared" si="13"/>
        <v>0</v>
      </c>
      <c r="BS11" s="183">
        <f t="shared" si="13"/>
        <v>0</v>
      </c>
      <c r="BT11" s="183">
        <f t="shared" si="13"/>
        <v>0</v>
      </c>
      <c r="BU11" s="183">
        <f t="shared" si="13"/>
        <v>0</v>
      </c>
      <c r="BV11" s="183">
        <f t="shared" si="13"/>
        <v>0</v>
      </c>
      <c r="BW11" s="183">
        <f t="shared" si="13"/>
        <v>0</v>
      </c>
      <c r="BX11" s="183">
        <f t="shared" si="13"/>
        <v>0</v>
      </c>
      <c r="BY11" s="183">
        <f t="shared" si="13"/>
        <v>0</v>
      </c>
      <c r="BZ11" s="183">
        <f t="shared" si="13"/>
        <v>0</v>
      </c>
      <c r="CA11" s="183">
        <f t="shared" si="13"/>
        <v>0</v>
      </c>
      <c r="CB11" s="183">
        <f t="shared" si="13"/>
        <v>0</v>
      </c>
      <c r="CC11" s="183">
        <f t="shared" si="13"/>
        <v>0</v>
      </c>
      <c r="CD11" s="183">
        <f t="shared" si="13"/>
        <v>0</v>
      </c>
      <c r="CE11" s="183">
        <f t="shared" si="13"/>
        <v>0</v>
      </c>
      <c r="CF11" s="183">
        <f t="shared" si="13"/>
        <v>0</v>
      </c>
      <c r="CG11" s="183">
        <f t="shared" si="13"/>
        <v>0</v>
      </c>
      <c r="CH11" s="183">
        <f t="shared" si="13"/>
        <v>0</v>
      </c>
      <c r="CI11" s="183">
        <f t="shared" si="13"/>
        <v>0</v>
      </c>
      <c r="CJ11" s="183">
        <f t="shared" si="13"/>
        <v>0</v>
      </c>
      <c r="CK11" s="183">
        <f t="shared" si="13"/>
        <v>0</v>
      </c>
      <c r="CL11" s="183">
        <f t="shared" si="11"/>
        <v>0</v>
      </c>
      <c r="CM11" s="183">
        <f t="shared" si="11"/>
        <v>0</v>
      </c>
      <c r="CN11" s="183">
        <f t="shared" si="11"/>
        <v>0</v>
      </c>
      <c r="CO11" s="183">
        <f t="shared" si="11"/>
        <v>0</v>
      </c>
      <c r="CP11" s="183">
        <f t="shared" si="11"/>
        <v>0</v>
      </c>
      <c r="CQ11" s="183">
        <f t="shared" si="11"/>
        <v>0</v>
      </c>
      <c r="CR11" s="183">
        <f t="shared" si="11"/>
        <v>0</v>
      </c>
      <c r="CS11" s="183">
        <f t="shared" si="11"/>
        <v>0</v>
      </c>
      <c r="CT11" s="183">
        <f t="shared" si="11"/>
        <v>0</v>
      </c>
      <c r="CU11" s="183">
        <f t="shared" si="11"/>
        <v>0</v>
      </c>
      <c r="CV11" s="183">
        <f t="shared" si="11"/>
        <v>0</v>
      </c>
      <c r="CW11" s="183">
        <f t="shared" si="11"/>
        <v>0</v>
      </c>
      <c r="CX11" s="183">
        <f t="shared" si="11"/>
        <v>0</v>
      </c>
      <c r="CY11" s="183">
        <f t="shared" si="11"/>
        <v>0</v>
      </c>
      <c r="CZ11" s="183">
        <f t="shared" si="11"/>
        <v>0</v>
      </c>
      <c r="DA11" s="183">
        <f t="shared" si="12"/>
        <v>0</v>
      </c>
      <c r="DB11" s="183">
        <f t="shared" si="12"/>
        <v>0</v>
      </c>
      <c r="DC11" s="183">
        <f t="shared" si="12"/>
        <v>0</v>
      </c>
      <c r="DD11" s="183">
        <f t="shared" si="12"/>
        <v>0</v>
      </c>
      <c r="DE11" s="183">
        <f t="shared" si="12"/>
        <v>0</v>
      </c>
      <c r="DF11" s="183">
        <f t="shared" si="12"/>
        <v>0</v>
      </c>
      <c r="DG11" s="183">
        <f t="shared" si="12"/>
        <v>0</v>
      </c>
      <c r="DH11" s="183">
        <f t="shared" si="12"/>
        <v>0</v>
      </c>
      <c r="DI11" s="183">
        <f t="shared" si="12"/>
        <v>0</v>
      </c>
      <c r="DJ11" s="183">
        <f t="shared" si="12"/>
        <v>0</v>
      </c>
      <c r="DK11" s="183">
        <f t="shared" si="12"/>
        <v>0</v>
      </c>
      <c r="DL11" s="183">
        <f t="shared" si="12"/>
        <v>0</v>
      </c>
      <c r="DM11" s="183">
        <f t="shared" si="12"/>
        <v>0</v>
      </c>
      <c r="DN11" s="183">
        <f t="shared" si="12"/>
        <v>0</v>
      </c>
      <c r="DO11" s="183">
        <f t="shared" si="12"/>
        <v>0</v>
      </c>
      <c r="DP11" s="183">
        <f t="shared" si="12"/>
        <v>0</v>
      </c>
      <c r="DQ11" s="183">
        <f t="shared" si="12"/>
        <v>0</v>
      </c>
      <c r="DR11" s="183">
        <f t="shared" si="12"/>
        <v>0</v>
      </c>
      <c r="DS11" s="183">
        <f t="shared" si="12"/>
        <v>0</v>
      </c>
      <c r="DT11" s="183">
        <f t="shared" si="12"/>
        <v>0</v>
      </c>
      <c r="DU11" s="183">
        <f t="shared" si="12"/>
        <v>0</v>
      </c>
      <c r="DV11" s="183">
        <f t="shared" si="12"/>
        <v>0</v>
      </c>
      <c r="DW11" s="183">
        <f t="shared" si="12"/>
        <v>0</v>
      </c>
      <c r="DX11" s="183">
        <f t="shared" si="12"/>
        <v>0</v>
      </c>
      <c r="DY11" s="183">
        <f t="shared" si="12"/>
        <v>0</v>
      </c>
      <c r="DZ11" s="183">
        <f t="shared" si="12"/>
        <v>0</v>
      </c>
      <c r="EA11" s="183">
        <f t="shared" si="12"/>
        <v>0</v>
      </c>
      <c r="EB11" s="183">
        <f t="shared" si="12"/>
        <v>0</v>
      </c>
      <c r="EC11" s="183">
        <f t="shared" si="12"/>
        <v>0</v>
      </c>
      <c r="ED11" s="183">
        <f t="shared" si="12"/>
        <v>0</v>
      </c>
      <c r="EE11" s="183">
        <f t="shared" si="12"/>
        <v>0</v>
      </c>
      <c r="EF11" s="183">
        <f t="shared" si="12"/>
        <v>0</v>
      </c>
      <c r="EG11" s="183">
        <f t="shared" si="12"/>
        <v>0</v>
      </c>
      <c r="EH11" s="183">
        <f t="shared" si="12"/>
        <v>0</v>
      </c>
      <c r="EI11" s="183">
        <f t="shared" si="12"/>
        <v>0</v>
      </c>
      <c r="EJ11" s="183">
        <f t="shared" si="12"/>
        <v>0</v>
      </c>
      <c r="EK11" s="183">
        <f t="shared" si="12"/>
        <v>0</v>
      </c>
      <c r="EL11" s="183">
        <f t="shared" si="12"/>
        <v>0</v>
      </c>
      <c r="EM11" s="183">
        <f t="shared" si="12"/>
        <v>0</v>
      </c>
      <c r="EN11" s="183">
        <f t="shared" si="12"/>
        <v>0</v>
      </c>
      <c r="EO11" s="183">
        <f t="shared" si="12"/>
        <v>0</v>
      </c>
      <c r="EP11" s="183">
        <f t="shared" si="12"/>
        <v>0</v>
      </c>
      <c r="EQ11" s="183">
        <f t="shared" si="12"/>
        <v>0</v>
      </c>
      <c r="ER11" s="183">
        <f t="shared" si="12"/>
        <v>0</v>
      </c>
      <c r="ES11" s="183">
        <f t="shared" si="12"/>
        <v>0</v>
      </c>
      <c r="ET11" s="183">
        <f t="shared" si="12"/>
        <v>0</v>
      </c>
      <c r="EU11" s="183">
        <f t="shared" si="12"/>
        <v>0</v>
      </c>
      <c r="EV11" s="183">
        <f t="shared" si="12"/>
        <v>0</v>
      </c>
      <c r="EW11" s="183">
        <f t="shared" si="12"/>
        <v>0</v>
      </c>
      <c r="EX11" s="183">
        <f t="shared" si="12"/>
        <v>0</v>
      </c>
      <c r="EY11" s="183">
        <f t="shared" si="12"/>
        <v>0</v>
      </c>
      <c r="EZ11" s="183">
        <f t="shared" si="12"/>
        <v>0</v>
      </c>
      <c r="FA11" s="144"/>
      <c r="FB11" s="144"/>
      <c r="FC11" s="144"/>
      <c r="FD11" s="144"/>
      <c r="FE11" s="144"/>
      <c r="FF11" s="144"/>
      <c r="FG11" s="144"/>
      <c r="FH11" s="144"/>
      <c r="FI11" s="144"/>
      <c r="FJ11" s="144"/>
      <c r="FK11" s="144"/>
      <c r="FL11" s="144"/>
      <c r="FM11" s="144"/>
      <c r="FN11" s="144"/>
      <c r="FO11" s="144"/>
      <c r="FP11" s="144"/>
      <c r="FQ11" s="144"/>
      <c r="FR11" s="144"/>
      <c r="FS11" s="144"/>
      <c r="FT11" s="144"/>
      <c r="FU11" s="144"/>
      <c r="FV11" s="144"/>
      <c r="FW11" s="144"/>
      <c r="FX11" s="144"/>
      <c r="FY11" s="144"/>
      <c r="FZ11" s="144"/>
      <c r="GA11" s="144"/>
      <c r="GB11" s="144"/>
      <c r="GC11" s="144"/>
      <c r="GD11" s="144"/>
      <c r="GE11" s="144"/>
      <c r="GF11" s="144"/>
      <c r="GG11" s="144"/>
      <c r="GH11" s="144"/>
      <c r="GI11" s="144"/>
      <c r="GJ11" s="144"/>
      <c r="GK11" s="144"/>
      <c r="GL11" s="144"/>
      <c r="GM11" s="144"/>
      <c r="GN11" s="144"/>
      <c r="GO11" s="144"/>
      <c r="GP11" s="144"/>
      <c r="GQ11" s="144"/>
      <c r="GR11" s="144"/>
      <c r="GS11" s="144"/>
      <c r="GT11" s="144"/>
      <c r="GU11" s="144"/>
      <c r="GV11" s="144"/>
      <c r="GW11" s="144"/>
      <c r="GX11" s="144"/>
      <c r="GY11" s="144"/>
      <c r="GZ11" s="144"/>
      <c r="HA11" s="144"/>
      <c r="HB11" s="144"/>
      <c r="HC11" s="144"/>
      <c r="HD11" s="144"/>
      <c r="HE11" s="144"/>
      <c r="HF11" s="144"/>
      <c r="HG11" s="144"/>
      <c r="HH11" s="144"/>
      <c r="HI11" s="144"/>
      <c r="HJ11" s="144"/>
      <c r="HK11" s="144"/>
    </row>
    <row r="12" spans="1:221" s="158" customFormat="1" x14ac:dyDescent="0.2">
      <c r="A12" s="630"/>
      <c r="B12" s="638" t="s">
        <v>634</v>
      </c>
      <c r="C12" s="639"/>
      <c r="D12" s="443">
        <v>0</v>
      </c>
      <c r="E12" s="199">
        <f>IF(units=0,0,'Renovation Budget'!D12/units)</f>
        <v>0</v>
      </c>
      <c r="F12" s="640">
        <v>0</v>
      </c>
      <c r="G12" s="640">
        <v>0</v>
      </c>
      <c r="H12" s="641">
        <f t="shared" si="7"/>
        <v>0</v>
      </c>
      <c r="I12" s="642" t="s">
        <v>107</v>
      </c>
      <c r="J12" s="643" t="s">
        <v>42</v>
      </c>
      <c r="K12" s="644"/>
      <c r="L12" s="183">
        <f t="shared" si="8"/>
        <v>0</v>
      </c>
      <c r="M12" s="183">
        <f t="shared" si="8"/>
        <v>0</v>
      </c>
      <c r="N12" s="183">
        <f t="shared" si="8"/>
        <v>0</v>
      </c>
      <c r="O12" s="183">
        <f t="shared" si="8"/>
        <v>0</v>
      </c>
      <c r="P12" s="183">
        <f t="shared" si="8"/>
        <v>0</v>
      </c>
      <c r="Q12" s="183">
        <f t="shared" si="8"/>
        <v>0</v>
      </c>
      <c r="R12" s="183">
        <f t="shared" si="8"/>
        <v>0</v>
      </c>
      <c r="S12" s="183">
        <f t="shared" si="8"/>
        <v>0</v>
      </c>
      <c r="T12" s="183">
        <f t="shared" si="8"/>
        <v>0</v>
      </c>
      <c r="U12" s="183">
        <f t="shared" si="8"/>
        <v>0</v>
      </c>
      <c r="V12" s="183">
        <f t="shared" si="8"/>
        <v>0</v>
      </c>
      <c r="W12" s="644"/>
      <c r="X12" s="183">
        <f t="shared" si="9"/>
        <v>0</v>
      </c>
      <c r="Y12" s="183">
        <f t="shared" si="10"/>
        <v>0</v>
      </c>
      <c r="Z12" s="183">
        <f t="shared" si="13"/>
        <v>0</v>
      </c>
      <c r="AA12" s="183">
        <f t="shared" si="13"/>
        <v>0</v>
      </c>
      <c r="AB12" s="183">
        <f t="shared" si="13"/>
        <v>0</v>
      </c>
      <c r="AC12" s="183">
        <f t="shared" si="13"/>
        <v>0</v>
      </c>
      <c r="AD12" s="183">
        <f t="shared" si="13"/>
        <v>0</v>
      </c>
      <c r="AE12" s="183">
        <f t="shared" si="13"/>
        <v>0</v>
      </c>
      <c r="AF12" s="183">
        <f t="shared" si="13"/>
        <v>0</v>
      </c>
      <c r="AG12" s="183">
        <f t="shared" si="13"/>
        <v>0</v>
      </c>
      <c r="AH12" s="183">
        <f t="shared" si="13"/>
        <v>0</v>
      </c>
      <c r="AI12" s="183">
        <f t="shared" si="13"/>
        <v>0</v>
      </c>
      <c r="AJ12" s="183">
        <f t="shared" si="13"/>
        <v>0</v>
      </c>
      <c r="AK12" s="183">
        <f t="shared" si="13"/>
        <v>0</v>
      </c>
      <c r="AL12" s="183">
        <f t="shared" si="13"/>
        <v>0</v>
      </c>
      <c r="AM12" s="183">
        <f t="shared" si="13"/>
        <v>0</v>
      </c>
      <c r="AN12" s="183">
        <f t="shared" si="13"/>
        <v>0</v>
      </c>
      <c r="AO12" s="183">
        <f t="shared" si="13"/>
        <v>0</v>
      </c>
      <c r="AP12" s="183">
        <f t="shared" si="13"/>
        <v>0</v>
      </c>
      <c r="AQ12" s="183">
        <f t="shared" si="13"/>
        <v>0</v>
      </c>
      <c r="AR12" s="183">
        <f t="shared" si="13"/>
        <v>0</v>
      </c>
      <c r="AS12" s="183">
        <f t="shared" si="13"/>
        <v>0</v>
      </c>
      <c r="AT12" s="183">
        <f t="shared" si="13"/>
        <v>0</v>
      </c>
      <c r="AU12" s="183">
        <f t="shared" si="13"/>
        <v>0</v>
      </c>
      <c r="AV12" s="183">
        <f t="shared" si="13"/>
        <v>0</v>
      </c>
      <c r="AW12" s="183">
        <f t="shared" si="13"/>
        <v>0</v>
      </c>
      <c r="AX12" s="183">
        <f t="shared" si="13"/>
        <v>0</v>
      </c>
      <c r="AY12" s="183">
        <f t="shared" si="13"/>
        <v>0</v>
      </c>
      <c r="AZ12" s="183">
        <f t="shared" si="13"/>
        <v>0</v>
      </c>
      <c r="BA12" s="183">
        <f t="shared" si="13"/>
        <v>0</v>
      </c>
      <c r="BB12" s="183">
        <f t="shared" si="13"/>
        <v>0</v>
      </c>
      <c r="BC12" s="183">
        <f t="shared" si="13"/>
        <v>0</v>
      </c>
      <c r="BD12" s="183">
        <f t="shared" si="13"/>
        <v>0</v>
      </c>
      <c r="BE12" s="183">
        <f t="shared" si="13"/>
        <v>0</v>
      </c>
      <c r="BF12" s="183">
        <f t="shared" si="13"/>
        <v>0</v>
      </c>
      <c r="BG12" s="183">
        <f t="shared" si="13"/>
        <v>0</v>
      </c>
      <c r="BH12" s="183">
        <f t="shared" si="13"/>
        <v>0</v>
      </c>
      <c r="BI12" s="183">
        <f t="shared" si="13"/>
        <v>0</v>
      </c>
      <c r="BJ12" s="183">
        <f t="shared" si="13"/>
        <v>0</v>
      </c>
      <c r="BK12" s="183">
        <f t="shared" si="13"/>
        <v>0</v>
      </c>
      <c r="BL12" s="183">
        <f t="shared" si="13"/>
        <v>0</v>
      </c>
      <c r="BM12" s="183">
        <f t="shared" si="13"/>
        <v>0</v>
      </c>
      <c r="BN12" s="183">
        <f t="shared" si="13"/>
        <v>0</v>
      </c>
      <c r="BO12" s="183">
        <f t="shared" si="13"/>
        <v>0</v>
      </c>
      <c r="BP12" s="183">
        <f t="shared" si="13"/>
        <v>0</v>
      </c>
      <c r="BQ12" s="183">
        <f t="shared" si="13"/>
        <v>0</v>
      </c>
      <c r="BR12" s="183">
        <f t="shared" si="13"/>
        <v>0</v>
      </c>
      <c r="BS12" s="183">
        <f t="shared" si="13"/>
        <v>0</v>
      </c>
      <c r="BT12" s="183">
        <f t="shared" si="13"/>
        <v>0</v>
      </c>
      <c r="BU12" s="183">
        <f t="shared" si="13"/>
        <v>0</v>
      </c>
      <c r="BV12" s="183">
        <f t="shared" si="13"/>
        <v>0</v>
      </c>
      <c r="BW12" s="183">
        <f t="shared" si="13"/>
        <v>0</v>
      </c>
      <c r="BX12" s="183">
        <f t="shared" si="13"/>
        <v>0</v>
      </c>
      <c r="BY12" s="183">
        <f t="shared" si="13"/>
        <v>0</v>
      </c>
      <c r="BZ12" s="183">
        <f t="shared" si="13"/>
        <v>0</v>
      </c>
      <c r="CA12" s="183">
        <f t="shared" si="13"/>
        <v>0</v>
      </c>
      <c r="CB12" s="183">
        <f t="shared" si="13"/>
        <v>0</v>
      </c>
      <c r="CC12" s="183">
        <f t="shared" si="13"/>
        <v>0</v>
      </c>
      <c r="CD12" s="183">
        <f t="shared" si="13"/>
        <v>0</v>
      </c>
      <c r="CE12" s="183">
        <f t="shared" si="13"/>
        <v>0</v>
      </c>
      <c r="CF12" s="183">
        <f t="shared" si="13"/>
        <v>0</v>
      </c>
      <c r="CG12" s="183">
        <f t="shared" si="13"/>
        <v>0</v>
      </c>
      <c r="CH12" s="183">
        <f t="shared" si="13"/>
        <v>0</v>
      </c>
      <c r="CI12" s="183">
        <f t="shared" si="13"/>
        <v>0</v>
      </c>
      <c r="CJ12" s="183">
        <f t="shared" si="13"/>
        <v>0</v>
      </c>
      <c r="CK12" s="183">
        <f t="shared" ref="CK12:EV15" si="14">IF(OR(CK$3&gt;=$G12,CK$3&lt;$F12),0,(_xlfn.NORM.DIST(CK$3-$F12+1,$H12/2,INDEX($E$115:$E$118,MATCH($I12,$D$115:$D$118,0)),TRUE)-_xlfn.NORM.DIST(CJ$3-$F12+1,$H12/2,INDEX($E$115:$E$118,MATCH($I12,$D$115:$D$118,0)),TRUE))/(1-2*_xlfn.NORM.DIST(0,$H12/2,INDEX($E$115:$E$118,MATCH($I12,$D$115:$D$118,0)),TRUE))*$D12)</f>
        <v>0</v>
      </c>
      <c r="CL12" s="183">
        <f t="shared" si="14"/>
        <v>0</v>
      </c>
      <c r="CM12" s="183">
        <f t="shared" si="14"/>
        <v>0</v>
      </c>
      <c r="CN12" s="183">
        <f t="shared" si="14"/>
        <v>0</v>
      </c>
      <c r="CO12" s="183">
        <f t="shared" si="14"/>
        <v>0</v>
      </c>
      <c r="CP12" s="183">
        <f t="shared" si="14"/>
        <v>0</v>
      </c>
      <c r="CQ12" s="183">
        <f t="shared" si="14"/>
        <v>0</v>
      </c>
      <c r="CR12" s="183">
        <f t="shared" si="14"/>
        <v>0</v>
      </c>
      <c r="CS12" s="183">
        <f t="shared" si="14"/>
        <v>0</v>
      </c>
      <c r="CT12" s="183">
        <f t="shared" si="14"/>
        <v>0</v>
      </c>
      <c r="CU12" s="183">
        <f t="shared" si="14"/>
        <v>0</v>
      </c>
      <c r="CV12" s="183">
        <f t="shared" si="14"/>
        <v>0</v>
      </c>
      <c r="CW12" s="183">
        <f t="shared" si="14"/>
        <v>0</v>
      </c>
      <c r="CX12" s="183">
        <f t="shared" si="14"/>
        <v>0</v>
      </c>
      <c r="CY12" s="183">
        <f t="shared" si="14"/>
        <v>0</v>
      </c>
      <c r="CZ12" s="183">
        <f t="shared" si="14"/>
        <v>0</v>
      </c>
      <c r="DA12" s="183">
        <f t="shared" si="14"/>
        <v>0</v>
      </c>
      <c r="DB12" s="183">
        <f t="shared" si="14"/>
        <v>0</v>
      </c>
      <c r="DC12" s="183">
        <f t="shared" si="14"/>
        <v>0</v>
      </c>
      <c r="DD12" s="183">
        <f t="shared" si="14"/>
        <v>0</v>
      </c>
      <c r="DE12" s="183">
        <f t="shared" si="14"/>
        <v>0</v>
      </c>
      <c r="DF12" s="183">
        <f t="shared" si="14"/>
        <v>0</v>
      </c>
      <c r="DG12" s="183">
        <f t="shared" si="14"/>
        <v>0</v>
      </c>
      <c r="DH12" s="183">
        <f t="shared" si="14"/>
        <v>0</v>
      </c>
      <c r="DI12" s="183">
        <f t="shared" si="14"/>
        <v>0</v>
      </c>
      <c r="DJ12" s="183">
        <f t="shared" si="14"/>
        <v>0</v>
      </c>
      <c r="DK12" s="183">
        <f t="shared" si="14"/>
        <v>0</v>
      </c>
      <c r="DL12" s="183">
        <f t="shared" si="14"/>
        <v>0</v>
      </c>
      <c r="DM12" s="183">
        <f t="shared" si="14"/>
        <v>0</v>
      </c>
      <c r="DN12" s="183">
        <f t="shared" si="14"/>
        <v>0</v>
      </c>
      <c r="DO12" s="183">
        <f t="shared" si="14"/>
        <v>0</v>
      </c>
      <c r="DP12" s="183">
        <f t="shared" si="14"/>
        <v>0</v>
      </c>
      <c r="DQ12" s="183">
        <f t="shared" si="14"/>
        <v>0</v>
      </c>
      <c r="DR12" s="183">
        <f t="shared" si="14"/>
        <v>0</v>
      </c>
      <c r="DS12" s="183">
        <f t="shared" si="14"/>
        <v>0</v>
      </c>
      <c r="DT12" s="183">
        <f t="shared" si="14"/>
        <v>0</v>
      </c>
      <c r="DU12" s="183">
        <f t="shared" si="14"/>
        <v>0</v>
      </c>
      <c r="DV12" s="183">
        <f t="shared" si="14"/>
        <v>0</v>
      </c>
      <c r="DW12" s="183">
        <f t="shared" si="14"/>
        <v>0</v>
      </c>
      <c r="DX12" s="183">
        <f t="shared" si="14"/>
        <v>0</v>
      </c>
      <c r="DY12" s="183">
        <f t="shared" si="14"/>
        <v>0</v>
      </c>
      <c r="DZ12" s="183">
        <f t="shared" si="14"/>
        <v>0</v>
      </c>
      <c r="EA12" s="183">
        <f t="shared" si="14"/>
        <v>0</v>
      </c>
      <c r="EB12" s="183">
        <f t="shared" si="14"/>
        <v>0</v>
      </c>
      <c r="EC12" s="183">
        <f t="shared" si="14"/>
        <v>0</v>
      </c>
      <c r="ED12" s="183">
        <f t="shared" si="14"/>
        <v>0</v>
      </c>
      <c r="EE12" s="183">
        <f t="shared" si="14"/>
        <v>0</v>
      </c>
      <c r="EF12" s="183">
        <f t="shared" si="14"/>
        <v>0</v>
      </c>
      <c r="EG12" s="183">
        <f t="shared" si="14"/>
        <v>0</v>
      </c>
      <c r="EH12" s="183">
        <f t="shared" si="14"/>
        <v>0</v>
      </c>
      <c r="EI12" s="183">
        <f t="shared" si="14"/>
        <v>0</v>
      </c>
      <c r="EJ12" s="183">
        <f t="shared" si="14"/>
        <v>0</v>
      </c>
      <c r="EK12" s="183">
        <f t="shared" si="14"/>
        <v>0</v>
      </c>
      <c r="EL12" s="183">
        <f t="shared" si="14"/>
        <v>0</v>
      </c>
      <c r="EM12" s="183">
        <f t="shared" si="14"/>
        <v>0</v>
      </c>
      <c r="EN12" s="183">
        <f t="shared" si="14"/>
        <v>0</v>
      </c>
      <c r="EO12" s="183">
        <f t="shared" si="14"/>
        <v>0</v>
      </c>
      <c r="EP12" s="183">
        <f t="shared" si="14"/>
        <v>0</v>
      </c>
      <c r="EQ12" s="183">
        <f t="shared" si="14"/>
        <v>0</v>
      </c>
      <c r="ER12" s="183">
        <f t="shared" si="14"/>
        <v>0</v>
      </c>
      <c r="ES12" s="183">
        <f t="shared" si="14"/>
        <v>0</v>
      </c>
      <c r="ET12" s="183">
        <f t="shared" si="14"/>
        <v>0</v>
      </c>
      <c r="EU12" s="183">
        <f t="shared" si="14"/>
        <v>0</v>
      </c>
      <c r="EV12" s="183">
        <f t="shared" si="14"/>
        <v>0</v>
      </c>
      <c r="EW12" s="183">
        <f t="shared" si="12"/>
        <v>0</v>
      </c>
      <c r="EX12" s="183">
        <f t="shared" si="12"/>
        <v>0</v>
      </c>
      <c r="EY12" s="183">
        <f t="shared" si="12"/>
        <v>0</v>
      </c>
      <c r="EZ12" s="183">
        <f t="shared" si="12"/>
        <v>0</v>
      </c>
      <c r="FA12" s="144"/>
      <c r="FB12" s="144"/>
      <c r="FC12" s="144"/>
      <c r="FD12" s="144"/>
      <c r="FE12" s="144"/>
      <c r="FF12" s="144"/>
      <c r="FG12" s="144"/>
      <c r="FH12" s="144"/>
      <c r="FI12" s="144"/>
      <c r="FJ12" s="144"/>
      <c r="FK12" s="144"/>
      <c r="FL12" s="144"/>
      <c r="FM12" s="144"/>
      <c r="FN12" s="144"/>
      <c r="FO12" s="144"/>
      <c r="FP12" s="144"/>
      <c r="FQ12" s="144"/>
      <c r="FR12" s="144"/>
      <c r="FS12" s="144"/>
      <c r="FT12" s="144"/>
      <c r="FU12" s="144"/>
      <c r="FV12" s="144"/>
      <c r="FW12" s="144"/>
      <c r="FX12" s="144"/>
      <c r="FY12" s="144"/>
      <c r="FZ12" s="144"/>
      <c r="GA12" s="144"/>
      <c r="GB12" s="144"/>
      <c r="GC12" s="144"/>
      <c r="GD12" s="144"/>
      <c r="GE12" s="144"/>
      <c r="GF12" s="144"/>
      <c r="GG12" s="144"/>
      <c r="GH12" s="144"/>
      <c r="GI12" s="144"/>
      <c r="GJ12" s="144"/>
      <c r="GK12" s="144"/>
      <c r="GL12" s="144"/>
      <c r="GM12" s="144"/>
      <c r="GN12" s="144"/>
      <c r="GO12" s="144"/>
      <c r="GP12" s="144"/>
      <c r="GQ12" s="144"/>
      <c r="GR12" s="144"/>
      <c r="GS12" s="144"/>
      <c r="GT12" s="144"/>
      <c r="GU12" s="144"/>
      <c r="GV12" s="144"/>
      <c r="GW12" s="144"/>
      <c r="GX12" s="144"/>
      <c r="GY12" s="144"/>
      <c r="GZ12" s="144"/>
      <c r="HA12" s="144"/>
      <c r="HB12" s="144"/>
      <c r="HC12" s="144"/>
      <c r="HD12" s="144"/>
      <c r="HE12" s="144"/>
      <c r="HF12" s="144"/>
      <c r="HG12" s="144"/>
      <c r="HH12" s="144"/>
      <c r="HI12" s="144"/>
      <c r="HJ12" s="144"/>
      <c r="HK12" s="144"/>
    </row>
    <row r="13" spans="1:221" s="158" customFormat="1" x14ac:dyDescent="0.2">
      <c r="A13" s="630"/>
      <c r="B13" s="638" t="s">
        <v>635</v>
      </c>
      <c r="C13" s="639"/>
      <c r="D13" s="443">
        <v>0</v>
      </c>
      <c r="E13" s="199">
        <f>IF(units=0,0,'Renovation Budget'!D13/units)</f>
        <v>0</v>
      </c>
      <c r="F13" s="640">
        <v>0</v>
      </c>
      <c r="G13" s="640">
        <v>0</v>
      </c>
      <c r="H13" s="641">
        <f t="shared" si="7"/>
        <v>0</v>
      </c>
      <c r="I13" s="642" t="s">
        <v>107</v>
      </c>
      <c r="J13" s="643" t="s">
        <v>42</v>
      </c>
      <c r="K13" s="644"/>
      <c r="L13" s="183">
        <f t="shared" si="8"/>
        <v>0</v>
      </c>
      <c r="M13" s="183">
        <f t="shared" si="8"/>
        <v>0</v>
      </c>
      <c r="N13" s="183">
        <f t="shared" si="8"/>
        <v>0</v>
      </c>
      <c r="O13" s="183">
        <f t="shared" si="8"/>
        <v>0</v>
      </c>
      <c r="P13" s="183">
        <f t="shared" si="8"/>
        <v>0</v>
      </c>
      <c r="Q13" s="183">
        <f t="shared" si="8"/>
        <v>0</v>
      </c>
      <c r="R13" s="183">
        <f t="shared" si="8"/>
        <v>0</v>
      </c>
      <c r="S13" s="183">
        <f t="shared" si="8"/>
        <v>0</v>
      </c>
      <c r="T13" s="183">
        <f t="shared" si="8"/>
        <v>0</v>
      </c>
      <c r="U13" s="183">
        <f t="shared" si="8"/>
        <v>0</v>
      </c>
      <c r="V13" s="183">
        <f t="shared" si="8"/>
        <v>0</v>
      </c>
      <c r="W13" s="644"/>
      <c r="X13" s="183">
        <f t="shared" si="9"/>
        <v>0</v>
      </c>
      <c r="Y13" s="183">
        <f t="shared" si="10"/>
        <v>0</v>
      </c>
      <c r="Z13" s="183">
        <f t="shared" ref="Z13:CK16" si="15">IF(OR(Z$3&gt;=$G13,Z$3&lt;$F13),0,(_xlfn.NORM.DIST(Z$3-$F13+1,$H13/2,INDEX($E$115:$E$118,MATCH($I13,$D$115:$D$118,0)),TRUE)-_xlfn.NORM.DIST(Y$3-$F13+1,$H13/2,INDEX($E$115:$E$118,MATCH($I13,$D$115:$D$118,0)),TRUE))/(1-2*_xlfn.NORM.DIST(0,$H13/2,INDEX($E$115:$E$118,MATCH($I13,$D$115:$D$118,0)),TRUE))*$D13)</f>
        <v>0</v>
      </c>
      <c r="AA13" s="183">
        <f t="shared" si="15"/>
        <v>0</v>
      </c>
      <c r="AB13" s="183">
        <f t="shared" si="15"/>
        <v>0</v>
      </c>
      <c r="AC13" s="183">
        <f t="shared" si="15"/>
        <v>0</v>
      </c>
      <c r="AD13" s="183">
        <f t="shared" si="15"/>
        <v>0</v>
      </c>
      <c r="AE13" s="183">
        <f t="shared" si="15"/>
        <v>0</v>
      </c>
      <c r="AF13" s="183">
        <f t="shared" si="15"/>
        <v>0</v>
      </c>
      <c r="AG13" s="183">
        <f t="shared" si="15"/>
        <v>0</v>
      </c>
      <c r="AH13" s="183">
        <f t="shared" si="15"/>
        <v>0</v>
      </c>
      <c r="AI13" s="183">
        <f t="shared" si="15"/>
        <v>0</v>
      </c>
      <c r="AJ13" s="183">
        <f t="shared" si="15"/>
        <v>0</v>
      </c>
      <c r="AK13" s="183">
        <f t="shared" si="15"/>
        <v>0</v>
      </c>
      <c r="AL13" s="183">
        <f t="shared" si="15"/>
        <v>0</v>
      </c>
      <c r="AM13" s="183">
        <f t="shared" si="15"/>
        <v>0</v>
      </c>
      <c r="AN13" s="183">
        <f t="shared" si="15"/>
        <v>0</v>
      </c>
      <c r="AO13" s="183">
        <f t="shared" si="15"/>
        <v>0</v>
      </c>
      <c r="AP13" s="183">
        <f t="shared" si="15"/>
        <v>0</v>
      </c>
      <c r="AQ13" s="183">
        <f t="shared" si="15"/>
        <v>0</v>
      </c>
      <c r="AR13" s="183">
        <f t="shared" si="15"/>
        <v>0</v>
      </c>
      <c r="AS13" s="183">
        <f t="shared" si="15"/>
        <v>0</v>
      </c>
      <c r="AT13" s="183">
        <f t="shared" si="15"/>
        <v>0</v>
      </c>
      <c r="AU13" s="183">
        <f t="shared" si="15"/>
        <v>0</v>
      </c>
      <c r="AV13" s="183">
        <f t="shared" si="15"/>
        <v>0</v>
      </c>
      <c r="AW13" s="183">
        <f t="shared" si="15"/>
        <v>0</v>
      </c>
      <c r="AX13" s="183">
        <f t="shared" si="15"/>
        <v>0</v>
      </c>
      <c r="AY13" s="183">
        <f t="shared" si="15"/>
        <v>0</v>
      </c>
      <c r="AZ13" s="183">
        <f t="shared" si="15"/>
        <v>0</v>
      </c>
      <c r="BA13" s="183">
        <f t="shared" si="15"/>
        <v>0</v>
      </c>
      <c r="BB13" s="183">
        <f t="shared" si="15"/>
        <v>0</v>
      </c>
      <c r="BC13" s="183">
        <f t="shared" si="15"/>
        <v>0</v>
      </c>
      <c r="BD13" s="183">
        <f t="shared" si="15"/>
        <v>0</v>
      </c>
      <c r="BE13" s="183">
        <f t="shared" si="15"/>
        <v>0</v>
      </c>
      <c r="BF13" s="183">
        <f t="shared" si="15"/>
        <v>0</v>
      </c>
      <c r="BG13" s="183">
        <f t="shared" si="15"/>
        <v>0</v>
      </c>
      <c r="BH13" s="183">
        <f t="shared" si="15"/>
        <v>0</v>
      </c>
      <c r="BI13" s="183">
        <f t="shared" si="15"/>
        <v>0</v>
      </c>
      <c r="BJ13" s="183">
        <f t="shared" si="15"/>
        <v>0</v>
      </c>
      <c r="BK13" s="183">
        <f t="shared" si="15"/>
        <v>0</v>
      </c>
      <c r="BL13" s="183">
        <f t="shared" si="15"/>
        <v>0</v>
      </c>
      <c r="BM13" s="183">
        <f t="shared" si="15"/>
        <v>0</v>
      </c>
      <c r="BN13" s="183">
        <f t="shared" si="15"/>
        <v>0</v>
      </c>
      <c r="BO13" s="183">
        <f t="shared" si="15"/>
        <v>0</v>
      </c>
      <c r="BP13" s="183">
        <f t="shared" si="15"/>
        <v>0</v>
      </c>
      <c r="BQ13" s="183">
        <f t="shared" si="15"/>
        <v>0</v>
      </c>
      <c r="BR13" s="183">
        <f t="shared" si="15"/>
        <v>0</v>
      </c>
      <c r="BS13" s="183">
        <f t="shared" si="15"/>
        <v>0</v>
      </c>
      <c r="BT13" s="183">
        <f t="shared" si="15"/>
        <v>0</v>
      </c>
      <c r="BU13" s="183">
        <f t="shared" si="15"/>
        <v>0</v>
      </c>
      <c r="BV13" s="183">
        <f t="shared" si="15"/>
        <v>0</v>
      </c>
      <c r="BW13" s="183">
        <f t="shared" si="15"/>
        <v>0</v>
      </c>
      <c r="BX13" s="183">
        <f t="shared" si="15"/>
        <v>0</v>
      </c>
      <c r="BY13" s="183">
        <f t="shared" si="15"/>
        <v>0</v>
      </c>
      <c r="BZ13" s="183">
        <f t="shared" si="15"/>
        <v>0</v>
      </c>
      <c r="CA13" s="183">
        <f t="shared" si="15"/>
        <v>0</v>
      </c>
      <c r="CB13" s="183">
        <f t="shared" si="15"/>
        <v>0</v>
      </c>
      <c r="CC13" s="183">
        <f t="shared" si="15"/>
        <v>0</v>
      </c>
      <c r="CD13" s="183">
        <f t="shared" si="15"/>
        <v>0</v>
      </c>
      <c r="CE13" s="183">
        <f t="shared" si="15"/>
        <v>0</v>
      </c>
      <c r="CF13" s="183">
        <f t="shared" si="15"/>
        <v>0</v>
      </c>
      <c r="CG13" s="183">
        <f t="shared" si="15"/>
        <v>0</v>
      </c>
      <c r="CH13" s="183">
        <f t="shared" si="15"/>
        <v>0</v>
      </c>
      <c r="CI13" s="183">
        <f t="shared" si="15"/>
        <v>0</v>
      </c>
      <c r="CJ13" s="183">
        <f t="shared" si="15"/>
        <v>0</v>
      </c>
      <c r="CK13" s="183">
        <f t="shared" si="15"/>
        <v>0</v>
      </c>
      <c r="CL13" s="183">
        <f t="shared" si="14"/>
        <v>0</v>
      </c>
      <c r="CM13" s="183">
        <f t="shared" si="14"/>
        <v>0</v>
      </c>
      <c r="CN13" s="183">
        <f t="shared" si="14"/>
        <v>0</v>
      </c>
      <c r="CO13" s="183">
        <f t="shared" si="14"/>
        <v>0</v>
      </c>
      <c r="CP13" s="183">
        <f t="shared" si="14"/>
        <v>0</v>
      </c>
      <c r="CQ13" s="183">
        <f t="shared" si="14"/>
        <v>0</v>
      </c>
      <c r="CR13" s="183">
        <f t="shared" si="14"/>
        <v>0</v>
      </c>
      <c r="CS13" s="183">
        <f t="shared" si="14"/>
        <v>0</v>
      </c>
      <c r="CT13" s="183">
        <f t="shared" si="14"/>
        <v>0</v>
      </c>
      <c r="CU13" s="183">
        <f t="shared" si="14"/>
        <v>0</v>
      </c>
      <c r="CV13" s="183">
        <f t="shared" si="14"/>
        <v>0</v>
      </c>
      <c r="CW13" s="183">
        <f t="shared" si="14"/>
        <v>0</v>
      </c>
      <c r="CX13" s="183">
        <f t="shared" si="14"/>
        <v>0</v>
      </c>
      <c r="CY13" s="183">
        <f t="shared" si="14"/>
        <v>0</v>
      </c>
      <c r="CZ13" s="183">
        <f t="shared" si="14"/>
        <v>0</v>
      </c>
      <c r="DA13" s="183">
        <f t="shared" si="14"/>
        <v>0</v>
      </c>
      <c r="DB13" s="183">
        <f t="shared" si="14"/>
        <v>0</v>
      </c>
      <c r="DC13" s="183">
        <f t="shared" si="14"/>
        <v>0</v>
      </c>
      <c r="DD13" s="183">
        <f t="shared" si="14"/>
        <v>0</v>
      </c>
      <c r="DE13" s="183">
        <f t="shared" si="14"/>
        <v>0</v>
      </c>
      <c r="DF13" s="183">
        <f t="shared" si="14"/>
        <v>0</v>
      </c>
      <c r="DG13" s="183">
        <f t="shared" si="14"/>
        <v>0</v>
      </c>
      <c r="DH13" s="183">
        <f t="shared" si="14"/>
        <v>0</v>
      </c>
      <c r="DI13" s="183">
        <f t="shared" si="14"/>
        <v>0</v>
      </c>
      <c r="DJ13" s="183">
        <f t="shared" si="14"/>
        <v>0</v>
      </c>
      <c r="DK13" s="183">
        <f t="shared" si="14"/>
        <v>0</v>
      </c>
      <c r="DL13" s="183">
        <f t="shared" si="14"/>
        <v>0</v>
      </c>
      <c r="DM13" s="183">
        <f t="shared" si="14"/>
        <v>0</v>
      </c>
      <c r="DN13" s="183">
        <f t="shared" si="14"/>
        <v>0</v>
      </c>
      <c r="DO13" s="183">
        <f t="shared" si="14"/>
        <v>0</v>
      </c>
      <c r="DP13" s="183">
        <f t="shared" si="14"/>
        <v>0</v>
      </c>
      <c r="DQ13" s="183">
        <f t="shared" si="14"/>
        <v>0</v>
      </c>
      <c r="DR13" s="183">
        <f t="shared" si="14"/>
        <v>0</v>
      </c>
      <c r="DS13" s="183">
        <f t="shared" si="14"/>
        <v>0</v>
      </c>
      <c r="DT13" s="183">
        <f t="shared" si="14"/>
        <v>0</v>
      </c>
      <c r="DU13" s="183">
        <f t="shared" si="14"/>
        <v>0</v>
      </c>
      <c r="DV13" s="183">
        <f t="shared" si="14"/>
        <v>0</v>
      </c>
      <c r="DW13" s="183">
        <f t="shared" si="14"/>
        <v>0</v>
      </c>
      <c r="DX13" s="183">
        <f t="shared" si="14"/>
        <v>0</v>
      </c>
      <c r="DY13" s="183">
        <f t="shared" si="14"/>
        <v>0</v>
      </c>
      <c r="DZ13" s="183">
        <f t="shared" si="14"/>
        <v>0</v>
      </c>
      <c r="EA13" s="183">
        <f t="shared" si="14"/>
        <v>0</v>
      </c>
      <c r="EB13" s="183">
        <f t="shared" si="14"/>
        <v>0</v>
      </c>
      <c r="EC13" s="183">
        <f t="shared" si="14"/>
        <v>0</v>
      </c>
      <c r="ED13" s="183">
        <f t="shared" si="14"/>
        <v>0</v>
      </c>
      <c r="EE13" s="183">
        <f t="shared" si="14"/>
        <v>0</v>
      </c>
      <c r="EF13" s="183">
        <f t="shared" si="14"/>
        <v>0</v>
      </c>
      <c r="EG13" s="183">
        <f t="shared" si="14"/>
        <v>0</v>
      </c>
      <c r="EH13" s="183">
        <f t="shared" si="14"/>
        <v>0</v>
      </c>
      <c r="EI13" s="183">
        <f t="shared" si="14"/>
        <v>0</v>
      </c>
      <c r="EJ13" s="183">
        <f t="shared" si="14"/>
        <v>0</v>
      </c>
      <c r="EK13" s="183">
        <f t="shared" si="14"/>
        <v>0</v>
      </c>
      <c r="EL13" s="183">
        <f t="shared" si="14"/>
        <v>0</v>
      </c>
      <c r="EM13" s="183">
        <f t="shared" si="14"/>
        <v>0</v>
      </c>
      <c r="EN13" s="183">
        <f t="shared" si="14"/>
        <v>0</v>
      </c>
      <c r="EO13" s="183">
        <f t="shared" si="14"/>
        <v>0</v>
      </c>
      <c r="EP13" s="183">
        <f t="shared" si="14"/>
        <v>0</v>
      </c>
      <c r="EQ13" s="183">
        <f t="shared" si="14"/>
        <v>0</v>
      </c>
      <c r="ER13" s="183">
        <f t="shared" si="14"/>
        <v>0</v>
      </c>
      <c r="ES13" s="183">
        <f t="shared" si="14"/>
        <v>0</v>
      </c>
      <c r="ET13" s="183">
        <f t="shared" si="14"/>
        <v>0</v>
      </c>
      <c r="EU13" s="183">
        <f t="shared" si="14"/>
        <v>0</v>
      </c>
      <c r="EV13" s="183">
        <f t="shared" si="14"/>
        <v>0</v>
      </c>
      <c r="EW13" s="183">
        <f t="shared" si="12"/>
        <v>0</v>
      </c>
      <c r="EX13" s="183">
        <f t="shared" si="12"/>
        <v>0</v>
      </c>
      <c r="EY13" s="183">
        <f t="shared" si="12"/>
        <v>0</v>
      </c>
      <c r="EZ13" s="183">
        <f t="shared" si="12"/>
        <v>0</v>
      </c>
      <c r="FA13" s="144"/>
      <c r="FB13" s="144"/>
      <c r="FC13" s="144"/>
      <c r="FD13" s="144"/>
      <c r="FE13" s="144"/>
      <c r="FF13" s="144"/>
      <c r="FG13" s="144"/>
      <c r="FH13" s="144"/>
      <c r="FI13" s="144"/>
      <c r="FJ13" s="144"/>
      <c r="FK13" s="144"/>
      <c r="FL13" s="144"/>
      <c r="FM13" s="144"/>
      <c r="FN13" s="144"/>
      <c r="FO13" s="144"/>
      <c r="FP13" s="144"/>
      <c r="FQ13" s="144"/>
      <c r="FR13" s="144"/>
      <c r="FS13" s="144"/>
      <c r="FT13" s="144"/>
      <c r="FU13" s="144"/>
      <c r="FV13" s="144"/>
      <c r="FW13" s="144"/>
      <c r="FX13" s="144"/>
      <c r="FY13" s="144"/>
      <c r="FZ13" s="144"/>
      <c r="GA13" s="144"/>
      <c r="GB13" s="144"/>
      <c r="GC13" s="144"/>
      <c r="GD13" s="144"/>
      <c r="GE13" s="144"/>
      <c r="GF13" s="144"/>
      <c r="GG13" s="144"/>
      <c r="GH13" s="144"/>
      <c r="GI13" s="144"/>
      <c r="GJ13" s="144"/>
      <c r="GK13" s="144"/>
      <c r="GL13" s="144"/>
      <c r="GM13" s="144"/>
      <c r="GN13" s="144"/>
      <c r="GO13" s="144"/>
      <c r="GP13" s="144"/>
      <c r="GQ13" s="144"/>
      <c r="GR13" s="144"/>
      <c r="GS13" s="144"/>
      <c r="GT13" s="144"/>
      <c r="GU13" s="144"/>
      <c r="GV13" s="144"/>
      <c r="GW13" s="144"/>
      <c r="GX13" s="144"/>
      <c r="GY13" s="144"/>
      <c r="GZ13" s="144"/>
      <c r="HA13" s="144"/>
      <c r="HB13" s="144"/>
      <c r="HC13" s="144"/>
      <c r="HD13" s="144"/>
      <c r="HE13" s="144"/>
      <c r="HF13" s="144"/>
      <c r="HG13" s="144"/>
      <c r="HH13" s="144"/>
      <c r="HI13" s="144"/>
      <c r="HJ13" s="144"/>
      <c r="HK13" s="144"/>
    </row>
    <row r="14" spans="1:221" s="158" customFormat="1" x14ac:dyDescent="0.2">
      <c r="A14" s="630"/>
      <c r="B14" s="638" t="s">
        <v>636</v>
      </c>
      <c r="C14" s="639"/>
      <c r="D14" s="443">
        <v>0</v>
      </c>
      <c r="E14" s="199">
        <f>IF(units=0,0,'Renovation Budget'!D14/units)</f>
        <v>0</v>
      </c>
      <c r="F14" s="640">
        <v>0</v>
      </c>
      <c r="G14" s="640">
        <v>0</v>
      </c>
      <c r="H14" s="641">
        <f t="shared" si="7"/>
        <v>0</v>
      </c>
      <c r="I14" s="642" t="s">
        <v>107</v>
      </c>
      <c r="J14" s="643" t="s">
        <v>42</v>
      </c>
      <c r="K14" s="644"/>
      <c r="L14" s="183">
        <f t="shared" si="8"/>
        <v>0</v>
      </c>
      <c r="M14" s="183">
        <f t="shared" si="8"/>
        <v>0</v>
      </c>
      <c r="N14" s="183">
        <f t="shared" si="8"/>
        <v>0</v>
      </c>
      <c r="O14" s="183">
        <f t="shared" si="8"/>
        <v>0</v>
      </c>
      <c r="P14" s="183">
        <f t="shared" si="8"/>
        <v>0</v>
      </c>
      <c r="Q14" s="183">
        <f t="shared" si="8"/>
        <v>0</v>
      </c>
      <c r="R14" s="183">
        <f t="shared" si="8"/>
        <v>0</v>
      </c>
      <c r="S14" s="183">
        <f t="shared" si="8"/>
        <v>0</v>
      </c>
      <c r="T14" s="183">
        <f t="shared" si="8"/>
        <v>0</v>
      </c>
      <c r="U14" s="183">
        <f t="shared" si="8"/>
        <v>0</v>
      </c>
      <c r="V14" s="183">
        <f t="shared" si="8"/>
        <v>0</v>
      </c>
      <c r="W14" s="644"/>
      <c r="X14" s="183">
        <f t="shared" si="9"/>
        <v>0</v>
      </c>
      <c r="Y14" s="183">
        <f t="shared" si="10"/>
        <v>0</v>
      </c>
      <c r="Z14" s="183">
        <f t="shared" si="15"/>
        <v>0</v>
      </c>
      <c r="AA14" s="183">
        <f t="shared" si="15"/>
        <v>0</v>
      </c>
      <c r="AB14" s="183">
        <f t="shared" si="15"/>
        <v>0</v>
      </c>
      <c r="AC14" s="183">
        <f t="shared" si="15"/>
        <v>0</v>
      </c>
      <c r="AD14" s="183">
        <f t="shared" si="15"/>
        <v>0</v>
      </c>
      <c r="AE14" s="183">
        <f t="shared" si="15"/>
        <v>0</v>
      </c>
      <c r="AF14" s="183">
        <f t="shared" si="15"/>
        <v>0</v>
      </c>
      <c r="AG14" s="183">
        <f t="shared" si="15"/>
        <v>0</v>
      </c>
      <c r="AH14" s="183">
        <f t="shared" si="15"/>
        <v>0</v>
      </c>
      <c r="AI14" s="183">
        <f t="shared" si="15"/>
        <v>0</v>
      </c>
      <c r="AJ14" s="183">
        <f t="shared" si="15"/>
        <v>0</v>
      </c>
      <c r="AK14" s="183">
        <f t="shared" si="15"/>
        <v>0</v>
      </c>
      <c r="AL14" s="183">
        <f t="shared" si="15"/>
        <v>0</v>
      </c>
      <c r="AM14" s="183">
        <f t="shared" si="15"/>
        <v>0</v>
      </c>
      <c r="AN14" s="183">
        <f t="shared" si="15"/>
        <v>0</v>
      </c>
      <c r="AO14" s="183">
        <f t="shared" si="15"/>
        <v>0</v>
      </c>
      <c r="AP14" s="183">
        <f t="shared" si="15"/>
        <v>0</v>
      </c>
      <c r="AQ14" s="183">
        <f t="shared" si="15"/>
        <v>0</v>
      </c>
      <c r="AR14" s="183">
        <f t="shared" si="15"/>
        <v>0</v>
      </c>
      <c r="AS14" s="183">
        <f t="shared" si="15"/>
        <v>0</v>
      </c>
      <c r="AT14" s="183">
        <f t="shared" si="15"/>
        <v>0</v>
      </c>
      <c r="AU14" s="183">
        <f t="shared" si="15"/>
        <v>0</v>
      </c>
      <c r="AV14" s="183">
        <f t="shared" si="15"/>
        <v>0</v>
      </c>
      <c r="AW14" s="183">
        <f t="shared" si="15"/>
        <v>0</v>
      </c>
      <c r="AX14" s="183">
        <f t="shared" si="15"/>
        <v>0</v>
      </c>
      <c r="AY14" s="183">
        <f t="shared" si="15"/>
        <v>0</v>
      </c>
      <c r="AZ14" s="183">
        <f t="shared" si="15"/>
        <v>0</v>
      </c>
      <c r="BA14" s="183">
        <f t="shared" si="15"/>
        <v>0</v>
      </c>
      <c r="BB14" s="183">
        <f t="shared" si="15"/>
        <v>0</v>
      </c>
      <c r="BC14" s="183">
        <f t="shared" si="15"/>
        <v>0</v>
      </c>
      <c r="BD14" s="183">
        <f t="shared" si="15"/>
        <v>0</v>
      </c>
      <c r="BE14" s="183">
        <f t="shared" si="15"/>
        <v>0</v>
      </c>
      <c r="BF14" s="183">
        <f t="shared" si="15"/>
        <v>0</v>
      </c>
      <c r="BG14" s="183">
        <f t="shared" si="15"/>
        <v>0</v>
      </c>
      <c r="BH14" s="183">
        <f t="shared" si="15"/>
        <v>0</v>
      </c>
      <c r="BI14" s="183">
        <f t="shared" si="15"/>
        <v>0</v>
      </c>
      <c r="BJ14" s="183">
        <f t="shared" si="15"/>
        <v>0</v>
      </c>
      <c r="BK14" s="183">
        <f t="shared" si="15"/>
        <v>0</v>
      </c>
      <c r="BL14" s="183">
        <f t="shared" si="15"/>
        <v>0</v>
      </c>
      <c r="BM14" s="183">
        <f t="shared" si="15"/>
        <v>0</v>
      </c>
      <c r="BN14" s="183">
        <f t="shared" si="15"/>
        <v>0</v>
      </c>
      <c r="BO14" s="183">
        <f t="shared" si="15"/>
        <v>0</v>
      </c>
      <c r="BP14" s="183">
        <f t="shared" si="15"/>
        <v>0</v>
      </c>
      <c r="BQ14" s="183">
        <f t="shared" si="15"/>
        <v>0</v>
      </c>
      <c r="BR14" s="183">
        <f t="shared" si="15"/>
        <v>0</v>
      </c>
      <c r="BS14" s="183">
        <f t="shared" si="15"/>
        <v>0</v>
      </c>
      <c r="BT14" s="183">
        <f t="shared" si="15"/>
        <v>0</v>
      </c>
      <c r="BU14" s="183">
        <f t="shared" si="15"/>
        <v>0</v>
      </c>
      <c r="BV14" s="183">
        <f t="shared" si="15"/>
        <v>0</v>
      </c>
      <c r="BW14" s="183">
        <f t="shared" si="15"/>
        <v>0</v>
      </c>
      <c r="BX14" s="183">
        <f t="shared" si="15"/>
        <v>0</v>
      </c>
      <c r="BY14" s="183">
        <f t="shared" si="15"/>
        <v>0</v>
      </c>
      <c r="BZ14" s="183">
        <f t="shared" si="15"/>
        <v>0</v>
      </c>
      <c r="CA14" s="183">
        <f t="shared" si="15"/>
        <v>0</v>
      </c>
      <c r="CB14" s="183">
        <f t="shared" si="15"/>
        <v>0</v>
      </c>
      <c r="CC14" s="183">
        <f t="shared" si="15"/>
        <v>0</v>
      </c>
      <c r="CD14" s="183">
        <f t="shared" si="15"/>
        <v>0</v>
      </c>
      <c r="CE14" s="183">
        <f t="shared" si="15"/>
        <v>0</v>
      </c>
      <c r="CF14" s="183">
        <f t="shared" si="15"/>
        <v>0</v>
      </c>
      <c r="CG14" s="183">
        <f t="shared" si="15"/>
        <v>0</v>
      </c>
      <c r="CH14" s="183">
        <f t="shared" si="15"/>
        <v>0</v>
      </c>
      <c r="CI14" s="183">
        <f t="shared" si="15"/>
        <v>0</v>
      </c>
      <c r="CJ14" s="183">
        <f t="shared" si="15"/>
        <v>0</v>
      </c>
      <c r="CK14" s="183">
        <f t="shared" si="15"/>
        <v>0</v>
      </c>
      <c r="CL14" s="183">
        <f t="shared" si="14"/>
        <v>0</v>
      </c>
      <c r="CM14" s="183">
        <f t="shared" si="14"/>
        <v>0</v>
      </c>
      <c r="CN14" s="183">
        <f t="shared" si="14"/>
        <v>0</v>
      </c>
      <c r="CO14" s="183">
        <f t="shared" si="14"/>
        <v>0</v>
      </c>
      <c r="CP14" s="183">
        <f t="shared" si="14"/>
        <v>0</v>
      </c>
      <c r="CQ14" s="183">
        <f t="shared" si="14"/>
        <v>0</v>
      </c>
      <c r="CR14" s="183">
        <f t="shared" si="14"/>
        <v>0</v>
      </c>
      <c r="CS14" s="183">
        <f t="shared" si="14"/>
        <v>0</v>
      </c>
      <c r="CT14" s="183">
        <f t="shared" si="14"/>
        <v>0</v>
      </c>
      <c r="CU14" s="183">
        <f t="shared" si="14"/>
        <v>0</v>
      </c>
      <c r="CV14" s="183">
        <f t="shared" si="14"/>
        <v>0</v>
      </c>
      <c r="CW14" s="183">
        <f t="shared" si="14"/>
        <v>0</v>
      </c>
      <c r="CX14" s="183">
        <f t="shared" si="14"/>
        <v>0</v>
      </c>
      <c r="CY14" s="183">
        <f t="shared" si="14"/>
        <v>0</v>
      </c>
      <c r="CZ14" s="183">
        <f t="shared" si="14"/>
        <v>0</v>
      </c>
      <c r="DA14" s="183">
        <f t="shared" si="14"/>
        <v>0</v>
      </c>
      <c r="DB14" s="183">
        <f t="shared" si="14"/>
        <v>0</v>
      </c>
      <c r="DC14" s="183">
        <f t="shared" si="14"/>
        <v>0</v>
      </c>
      <c r="DD14" s="183">
        <f t="shared" si="14"/>
        <v>0</v>
      </c>
      <c r="DE14" s="183">
        <f t="shared" si="14"/>
        <v>0</v>
      </c>
      <c r="DF14" s="183">
        <f t="shared" si="14"/>
        <v>0</v>
      </c>
      <c r="DG14" s="183">
        <f t="shared" si="14"/>
        <v>0</v>
      </c>
      <c r="DH14" s="183">
        <f t="shared" si="14"/>
        <v>0</v>
      </c>
      <c r="DI14" s="183">
        <f t="shared" si="14"/>
        <v>0</v>
      </c>
      <c r="DJ14" s="183">
        <f t="shared" si="14"/>
        <v>0</v>
      </c>
      <c r="DK14" s="183">
        <f t="shared" si="14"/>
        <v>0</v>
      </c>
      <c r="DL14" s="183">
        <f t="shared" si="14"/>
        <v>0</v>
      </c>
      <c r="DM14" s="183">
        <f t="shared" si="14"/>
        <v>0</v>
      </c>
      <c r="DN14" s="183">
        <f t="shared" si="14"/>
        <v>0</v>
      </c>
      <c r="DO14" s="183">
        <f t="shared" si="14"/>
        <v>0</v>
      </c>
      <c r="DP14" s="183">
        <f t="shared" si="14"/>
        <v>0</v>
      </c>
      <c r="DQ14" s="183">
        <f t="shared" si="14"/>
        <v>0</v>
      </c>
      <c r="DR14" s="183">
        <f t="shared" si="14"/>
        <v>0</v>
      </c>
      <c r="DS14" s="183">
        <f t="shared" si="14"/>
        <v>0</v>
      </c>
      <c r="DT14" s="183">
        <f t="shared" si="14"/>
        <v>0</v>
      </c>
      <c r="DU14" s="183">
        <f t="shared" si="14"/>
        <v>0</v>
      </c>
      <c r="DV14" s="183">
        <f t="shared" si="14"/>
        <v>0</v>
      </c>
      <c r="DW14" s="183">
        <f t="shared" si="14"/>
        <v>0</v>
      </c>
      <c r="DX14" s="183">
        <f t="shared" si="14"/>
        <v>0</v>
      </c>
      <c r="DY14" s="183">
        <f t="shared" si="14"/>
        <v>0</v>
      </c>
      <c r="DZ14" s="183">
        <f t="shared" si="14"/>
        <v>0</v>
      </c>
      <c r="EA14" s="183">
        <f t="shared" si="14"/>
        <v>0</v>
      </c>
      <c r="EB14" s="183">
        <f t="shared" si="14"/>
        <v>0</v>
      </c>
      <c r="EC14" s="183">
        <f t="shared" si="14"/>
        <v>0</v>
      </c>
      <c r="ED14" s="183">
        <f t="shared" si="14"/>
        <v>0</v>
      </c>
      <c r="EE14" s="183">
        <f t="shared" si="14"/>
        <v>0</v>
      </c>
      <c r="EF14" s="183">
        <f t="shared" si="14"/>
        <v>0</v>
      </c>
      <c r="EG14" s="183">
        <f t="shared" si="14"/>
        <v>0</v>
      </c>
      <c r="EH14" s="183">
        <f t="shared" si="14"/>
        <v>0</v>
      </c>
      <c r="EI14" s="183">
        <f t="shared" si="14"/>
        <v>0</v>
      </c>
      <c r="EJ14" s="183">
        <f t="shared" si="14"/>
        <v>0</v>
      </c>
      <c r="EK14" s="183">
        <f t="shared" si="14"/>
        <v>0</v>
      </c>
      <c r="EL14" s="183">
        <f t="shared" si="14"/>
        <v>0</v>
      </c>
      <c r="EM14" s="183">
        <f t="shared" si="14"/>
        <v>0</v>
      </c>
      <c r="EN14" s="183">
        <f t="shared" si="14"/>
        <v>0</v>
      </c>
      <c r="EO14" s="183">
        <f t="shared" si="14"/>
        <v>0</v>
      </c>
      <c r="EP14" s="183">
        <f t="shared" si="14"/>
        <v>0</v>
      </c>
      <c r="EQ14" s="183">
        <f t="shared" si="14"/>
        <v>0</v>
      </c>
      <c r="ER14" s="183">
        <f t="shared" si="14"/>
        <v>0</v>
      </c>
      <c r="ES14" s="183">
        <f t="shared" si="14"/>
        <v>0</v>
      </c>
      <c r="ET14" s="183">
        <f t="shared" si="14"/>
        <v>0</v>
      </c>
      <c r="EU14" s="183">
        <f t="shared" si="14"/>
        <v>0</v>
      </c>
      <c r="EV14" s="183">
        <f t="shared" si="14"/>
        <v>0</v>
      </c>
      <c r="EW14" s="183">
        <f t="shared" si="12"/>
        <v>0</v>
      </c>
      <c r="EX14" s="183">
        <f t="shared" si="12"/>
        <v>0</v>
      </c>
      <c r="EY14" s="183">
        <f t="shared" si="12"/>
        <v>0</v>
      </c>
      <c r="EZ14" s="183">
        <f t="shared" si="12"/>
        <v>0</v>
      </c>
      <c r="FA14" s="144"/>
      <c r="FB14" s="144"/>
      <c r="FC14" s="144"/>
      <c r="FD14" s="144"/>
      <c r="FE14" s="144"/>
      <c r="FF14" s="144"/>
      <c r="FG14" s="144"/>
      <c r="FH14" s="144"/>
      <c r="FI14" s="144"/>
      <c r="FJ14" s="144"/>
      <c r="FK14" s="144"/>
      <c r="FL14" s="144"/>
      <c r="FM14" s="144"/>
      <c r="FN14" s="144"/>
      <c r="FO14" s="144"/>
      <c r="FP14" s="144"/>
      <c r="FQ14" s="144"/>
      <c r="FR14" s="144"/>
      <c r="FS14" s="144"/>
      <c r="FT14" s="144"/>
      <c r="FU14" s="144"/>
      <c r="FV14" s="144"/>
      <c r="FW14" s="144"/>
      <c r="FX14" s="144"/>
      <c r="FY14" s="144"/>
      <c r="FZ14" s="144"/>
      <c r="GA14" s="144"/>
      <c r="GB14" s="144"/>
      <c r="GC14" s="144"/>
      <c r="GD14" s="144"/>
      <c r="GE14" s="144"/>
      <c r="GF14" s="144"/>
      <c r="GG14" s="144"/>
      <c r="GH14" s="144"/>
      <c r="GI14" s="144"/>
      <c r="GJ14" s="144"/>
      <c r="GK14" s="144"/>
      <c r="GL14" s="144"/>
      <c r="GM14" s="144"/>
      <c r="GN14" s="144"/>
      <c r="GO14" s="144"/>
      <c r="GP14" s="144"/>
      <c r="GQ14" s="144"/>
      <c r="GR14" s="144"/>
      <c r="GS14" s="144"/>
      <c r="GT14" s="144"/>
      <c r="GU14" s="144"/>
      <c r="GV14" s="144"/>
      <c r="GW14" s="144"/>
      <c r="GX14" s="144"/>
      <c r="GY14" s="144"/>
      <c r="GZ14" s="144"/>
      <c r="HA14" s="144"/>
      <c r="HB14" s="144"/>
      <c r="HC14" s="144"/>
      <c r="HD14" s="144"/>
      <c r="HE14" s="144"/>
      <c r="HF14" s="144"/>
      <c r="HG14" s="144"/>
      <c r="HH14" s="144"/>
      <c r="HI14" s="144"/>
      <c r="HJ14" s="144"/>
      <c r="HK14" s="144"/>
    </row>
    <row r="15" spans="1:221" s="158" customFormat="1" x14ac:dyDescent="0.2">
      <c r="A15" s="630"/>
      <c r="B15" s="638" t="s">
        <v>637</v>
      </c>
      <c r="C15" s="639"/>
      <c r="D15" s="443">
        <v>0</v>
      </c>
      <c r="E15" s="199">
        <f>IF(units=0,0,'Renovation Budget'!D15/units)</f>
        <v>0</v>
      </c>
      <c r="F15" s="640">
        <v>0</v>
      </c>
      <c r="G15" s="640">
        <v>0</v>
      </c>
      <c r="H15" s="641">
        <f t="shared" si="7"/>
        <v>0</v>
      </c>
      <c r="I15" s="642" t="s">
        <v>107</v>
      </c>
      <c r="J15" s="643" t="s">
        <v>42</v>
      </c>
      <c r="K15" s="644"/>
      <c r="L15" s="183">
        <f t="shared" si="8"/>
        <v>0</v>
      </c>
      <c r="M15" s="183">
        <f t="shared" si="8"/>
        <v>0</v>
      </c>
      <c r="N15" s="183">
        <f t="shared" si="8"/>
        <v>0</v>
      </c>
      <c r="O15" s="183">
        <f t="shared" si="8"/>
        <v>0</v>
      </c>
      <c r="P15" s="183">
        <f t="shared" si="8"/>
        <v>0</v>
      </c>
      <c r="Q15" s="183">
        <f t="shared" si="8"/>
        <v>0</v>
      </c>
      <c r="R15" s="183">
        <f t="shared" si="8"/>
        <v>0</v>
      </c>
      <c r="S15" s="183">
        <f t="shared" si="8"/>
        <v>0</v>
      </c>
      <c r="T15" s="183">
        <f t="shared" si="8"/>
        <v>0</v>
      </c>
      <c r="U15" s="183">
        <f t="shared" si="8"/>
        <v>0</v>
      </c>
      <c r="V15" s="183">
        <f t="shared" si="8"/>
        <v>0</v>
      </c>
      <c r="W15" s="644"/>
      <c r="X15" s="183">
        <f t="shared" si="9"/>
        <v>0</v>
      </c>
      <c r="Y15" s="183">
        <f t="shared" si="10"/>
        <v>0</v>
      </c>
      <c r="Z15" s="183">
        <f t="shared" si="15"/>
        <v>0</v>
      </c>
      <c r="AA15" s="183">
        <f t="shared" si="15"/>
        <v>0</v>
      </c>
      <c r="AB15" s="183">
        <f t="shared" si="15"/>
        <v>0</v>
      </c>
      <c r="AC15" s="183">
        <f t="shared" si="15"/>
        <v>0</v>
      </c>
      <c r="AD15" s="183">
        <f t="shared" si="15"/>
        <v>0</v>
      </c>
      <c r="AE15" s="183">
        <f t="shared" si="15"/>
        <v>0</v>
      </c>
      <c r="AF15" s="183">
        <f t="shared" si="15"/>
        <v>0</v>
      </c>
      <c r="AG15" s="183">
        <f t="shared" si="15"/>
        <v>0</v>
      </c>
      <c r="AH15" s="183">
        <f t="shared" si="15"/>
        <v>0</v>
      </c>
      <c r="AI15" s="183">
        <f t="shared" si="15"/>
        <v>0</v>
      </c>
      <c r="AJ15" s="183">
        <f t="shared" si="15"/>
        <v>0</v>
      </c>
      <c r="AK15" s="183">
        <f t="shared" si="15"/>
        <v>0</v>
      </c>
      <c r="AL15" s="183">
        <f t="shared" si="15"/>
        <v>0</v>
      </c>
      <c r="AM15" s="183">
        <f t="shared" si="15"/>
        <v>0</v>
      </c>
      <c r="AN15" s="183">
        <f t="shared" si="15"/>
        <v>0</v>
      </c>
      <c r="AO15" s="183">
        <f t="shared" si="15"/>
        <v>0</v>
      </c>
      <c r="AP15" s="183">
        <f t="shared" si="15"/>
        <v>0</v>
      </c>
      <c r="AQ15" s="183">
        <f t="shared" si="15"/>
        <v>0</v>
      </c>
      <c r="AR15" s="183">
        <f t="shared" si="15"/>
        <v>0</v>
      </c>
      <c r="AS15" s="183">
        <f t="shared" si="15"/>
        <v>0</v>
      </c>
      <c r="AT15" s="183">
        <f t="shared" si="15"/>
        <v>0</v>
      </c>
      <c r="AU15" s="183">
        <f t="shared" si="15"/>
        <v>0</v>
      </c>
      <c r="AV15" s="183">
        <f t="shared" si="15"/>
        <v>0</v>
      </c>
      <c r="AW15" s="183">
        <f t="shared" si="15"/>
        <v>0</v>
      </c>
      <c r="AX15" s="183">
        <f t="shared" si="15"/>
        <v>0</v>
      </c>
      <c r="AY15" s="183">
        <f t="shared" si="15"/>
        <v>0</v>
      </c>
      <c r="AZ15" s="183">
        <f t="shared" si="15"/>
        <v>0</v>
      </c>
      <c r="BA15" s="183">
        <f t="shared" si="15"/>
        <v>0</v>
      </c>
      <c r="BB15" s="183">
        <f t="shared" si="15"/>
        <v>0</v>
      </c>
      <c r="BC15" s="183">
        <f t="shared" si="15"/>
        <v>0</v>
      </c>
      <c r="BD15" s="183">
        <f t="shared" si="15"/>
        <v>0</v>
      </c>
      <c r="BE15" s="183">
        <f t="shared" si="15"/>
        <v>0</v>
      </c>
      <c r="BF15" s="183">
        <f t="shared" si="15"/>
        <v>0</v>
      </c>
      <c r="BG15" s="183">
        <f t="shared" si="15"/>
        <v>0</v>
      </c>
      <c r="BH15" s="183">
        <f t="shared" si="15"/>
        <v>0</v>
      </c>
      <c r="BI15" s="183">
        <f t="shared" si="15"/>
        <v>0</v>
      </c>
      <c r="BJ15" s="183">
        <f t="shared" si="15"/>
        <v>0</v>
      </c>
      <c r="BK15" s="183">
        <f t="shared" si="15"/>
        <v>0</v>
      </c>
      <c r="BL15" s="183">
        <f t="shared" si="15"/>
        <v>0</v>
      </c>
      <c r="BM15" s="183">
        <f t="shared" si="15"/>
        <v>0</v>
      </c>
      <c r="BN15" s="183">
        <f t="shared" si="15"/>
        <v>0</v>
      </c>
      <c r="BO15" s="183">
        <f t="shared" si="15"/>
        <v>0</v>
      </c>
      <c r="BP15" s="183">
        <f t="shared" si="15"/>
        <v>0</v>
      </c>
      <c r="BQ15" s="183">
        <f t="shared" si="15"/>
        <v>0</v>
      </c>
      <c r="BR15" s="183">
        <f t="shared" si="15"/>
        <v>0</v>
      </c>
      <c r="BS15" s="183">
        <f t="shared" si="15"/>
        <v>0</v>
      </c>
      <c r="BT15" s="183">
        <f t="shared" si="15"/>
        <v>0</v>
      </c>
      <c r="BU15" s="183">
        <f t="shared" si="15"/>
        <v>0</v>
      </c>
      <c r="BV15" s="183">
        <f t="shared" si="15"/>
        <v>0</v>
      </c>
      <c r="BW15" s="183">
        <f t="shared" si="15"/>
        <v>0</v>
      </c>
      <c r="BX15" s="183">
        <f t="shared" si="15"/>
        <v>0</v>
      </c>
      <c r="BY15" s="183">
        <f t="shared" si="15"/>
        <v>0</v>
      </c>
      <c r="BZ15" s="183">
        <f t="shared" si="15"/>
        <v>0</v>
      </c>
      <c r="CA15" s="183">
        <f t="shared" si="15"/>
        <v>0</v>
      </c>
      <c r="CB15" s="183">
        <f t="shared" si="15"/>
        <v>0</v>
      </c>
      <c r="CC15" s="183">
        <f t="shared" si="15"/>
        <v>0</v>
      </c>
      <c r="CD15" s="183">
        <f t="shared" si="15"/>
        <v>0</v>
      </c>
      <c r="CE15" s="183">
        <f t="shared" si="15"/>
        <v>0</v>
      </c>
      <c r="CF15" s="183">
        <f t="shared" si="15"/>
        <v>0</v>
      </c>
      <c r="CG15" s="183">
        <f t="shared" si="15"/>
        <v>0</v>
      </c>
      <c r="CH15" s="183">
        <f t="shared" si="15"/>
        <v>0</v>
      </c>
      <c r="CI15" s="183">
        <f t="shared" si="15"/>
        <v>0</v>
      </c>
      <c r="CJ15" s="183">
        <f t="shared" si="15"/>
        <v>0</v>
      </c>
      <c r="CK15" s="183">
        <f t="shared" si="15"/>
        <v>0</v>
      </c>
      <c r="CL15" s="183">
        <f t="shared" si="14"/>
        <v>0</v>
      </c>
      <c r="CM15" s="183">
        <f t="shared" si="14"/>
        <v>0</v>
      </c>
      <c r="CN15" s="183">
        <f t="shared" si="14"/>
        <v>0</v>
      </c>
      <c r="CO15" s="183">
        <f t="shared" si="14"/>
        <v>0</v>
      </c>
      <c r="CP15" s="183">
        <f t="shared" si="14"/>
        <v>0</v>
      </c>
      <c r="CQ15" s="183">
        <f t="shared" si="14"/>
        <v>0</v>
      </c>
      <c r="CR15" s="183">
        <f t="shared" si="14"/>
        <v>0</v>
      </c>
      <c r="CS15" s="183">
        <f t="shared" si="14"/>
        <v>0</v>
      </c>
      <c r="CT15" s="183">
        <f t="shared" si="14"/>
        <v>0</v>
      </c>
      <c r="CU15" s="183">
        <f t="shared" si="14"/>
        <v>0</v>
      </c>
      <c r="CV15" s="183">
        <f t="shared" si="14"/>
        <v>0</v>
      </c>
      <c r="CW15" s="183">
        <f t="shared" si="14"/>
        <v>0</v>
      </c>
      <c r="CX15" s="183">
        <f t="shared" si="14"/>
        <v>0</v>
      </c>
      <c r="CY15" s="183">
        <f t="shared" si="14"/>
        <v>0</v>
      </c>
      <c r="CZ15" s="183">
        <f t="shared" si="14"/>
        <v>0</v>
      </c>
      <c r="DA15" s="183">
        <f t="shared" si="14"/>
        <v>0</v>
      </c>
      <c r="DB15" s="183">
        <f t="shared" si="14"/>
        <v>0</v>
      </c>
      <c r="DC15" s="183">
        <f t="shared" si="14"/>
        <v>0</v>
      </c>
      <c r="DD15" s="183">
        <f t="shared" si="14"/>
        <v>0</v>
      </c>
      <c r="DE15" s="183">
        <f t="shared" si="14"/>
        <v>0</v>
      </c>
      <c r="DF15" s="183">
        <f t="shared" si="14"/>
        <v>0</v>
      </c>
      <c r="DG15" s="183">
        <f t="shared" si="14"/>
        <v>0</v>
      </c>
      <c r="DH15" s="183">
        <f t="shared" si="14"/>
        <v>0</v>
      </c>
      <c r="DI15" s="183">
        <f t="shared" si="14"/>
        <v>0</v>
      </c>
      <c r="DJ15" s="183">
        <f t="shared" si="14"/>
        <v>0</v>
      </c>
      <c r="DK15" s="183">
        <f t="shared" si="14"/>
        <v>0</v>
      </c>
      <c r="DL15" s="183">
        <f t="shared" si="14"/>
        <v>0</v>
      </c>
      <c r="DM15" s="183">
        <f t="shared" si="14"/>
        <v>0</v>
      </c>
      <c r="DN15" s="183">
        <f t="shared" si="14"/>
        <v>0</v>
      </c>
      <c r="DO15" s="183">
        <f t="shared" si="14"/>
        <v>0</v>
      </c>
      <c r="DP15" s="183">
        <f t="shared" si="14"/>
        <v>0</v>
      </c>
      <c r="DQ15" s="183">
        <f t="shared" si="14"/>
        <v>0</v>
      </c>
      <c r="DR15" s="183">
        <f t="shared" si="14"/>
        <v>0</v>
      </c>
      <c r="DS15" s="183">
        <f t="shared" si="14"/>
        <v>0</v>
      </c>
      <c r="DT15" s="183">
        <f t="shared" si="14"/>
        <v>0</v>
      </c>
      <c r="DU15" s="183">
        <f t="shared" si="14"/>
        <v>0</v>
      </c>
      <c r="DV15" s="183">
        <f t="shared" si="14"/>
        <v>0</v>
      </c>
      <c r="DW15" s="183">
        <f t="shared" si="14"/>
        <v>0</v>
      </c>
      <c r="DX15" s="183">
        <f t="shared" si="14"/>
        <v>0</v>
      </c>
      <c r="DY15" s="183">
        <f t="shared" si="14"/>
        <v>0</v>
      </c>
      <c r="DZ15" s="183">
        <f t="shared" si="14"/>
        <v>0</v>
      </c>
      <c r="EA15" s="183">
        <f t="shared" si="14"/>
        <v>0</v>
      </c>
      <c r="EB15" s="183">
        <f t="shared" si="14"/>
        <v>0</v>
      </c>
      <c r="EC15" s="183">
        <f t="shared" si="14"/>
        <v>0</v>
      </c>
      <c r="ED15" s="183">
        <f t="shared" si="14"/>
        <v>0</v>
      </c>
      <c r="EE15" s="183">
        <f t="shared" si="14"/>
        <v>0</v>
      </c>
      <c r="EF15" s="183">
        <f t="shared" si="14"/>
        <v>0</v>
      </c>
      <c r="EG15" s="183">
        <f t="shared" si="14"/>
        <v>0</v>
      </c>
      <c r="EH15" s="183">
        <f t="shared" si="14"/>
        <v>0</v>
      </c>
      <c r="EI15" s="183">
        <f t="shared" si="14"/>
        <v>0</v>
      </c>
      <c r="EJ15" s="183">
        <f t="shared" si="14"/>
        <v>0</v>
      </c>
      <c r="EK15" s="183">
        <f t="shared" si="14"/>
        <v>0</v>
      </c>
      <c r="EL15" s="183">
        <f t="shared" si="14"/>
        <v>0</v>
      </c>
      <c r="EM15" s="183">
        <f t="shared" si="14"/>
        <v>0</v>
      </c>
      <c r="EN15" s="183">
        <f t="shared" si="14"/>
        <v>0</v>
      </c>
      <c r="EO15" s="183">
        <f t="shared" si="14"/>
        <v>0</v>
      </c>
      <c r="EP15" s="183">
        <f t="shared" si="14"/>
        <v>0</v>
      </c>
      <c r="EQ15" s="183">
        <f t="shared" si="14"/>
        <v>0</v>
      </c>
      <c r="ER15" s="183">
        <f t="shared" si="14"/>
        <v>0</v>
      </c>
      <c r="ES15" s="183">
        <f t="shared" si="14"/>
        <v>0</v>
      </c>
      <c r="ET15" s="183">
        <f t="shared" si="14"/>
        <v>0</v>
      </c>
      <c r="EU15" s="183">
        <f t="shared" si="14"/>
        <v>0</v>
      </c>
      <c r="EV15" s="183">
        <f t="shared" si="14"/>
        <v>0</v>
      </c>
      <c r="EW15" s="183">
        <f t="shared" si="12"/>
        <v>0</v>
      </c>
      <c r="EX15" s="183">
        <f t="shared" si="12"/>
        <v>0</v>
      </c>
      <c r="EY15" s="183">
        <f t="shared" si="12"/>
        <v>0</v>
      </c>
      <c r="EZ15" s="183">
        <f t="shared" si="12"/>
        <v>0</v>
      </c>
      <c r="FA15" s="144"/>
      <c r="FB15" s="144"/>
      <c r="FC15" s="144"/>
      <c r="FD15" s="144"/>
      <c r="FE15" s="144"/>
      <c r="FF15" s="144"/>
      <c r="FG15" s="144"/>
      <c r="FH15" s="144"/>
      <c r="FI15" s="144"/>
      <c r="FJ15" s="144"/>
      <c r="FK15" s="144"/>
      <c r="FL15" s="144"/>
      <c r="FM15" s="144"/>
      <c r="FN15" s="144"/>
      <c r="FO15" s="144"/>
      <c r="FP15" s="144"/>
      <c r="FQ15" s="144"/>
      <c r="FR15" s="144"/>
      <c r="FS15" s="144"/>
      <c r="FT15" s="144"/>
      <c r="FU15" s="144"/>
      <c r="FV15" s="144"/>
      <c r="FW15" s="144"/>
      <c r="FX15" s="144"/>
      <c r="FY15" s="144"/>
      <c r="FZ15" s="144"/>
      <c r="GA15" s="144"/>
      <c r="GB15" s="144"/>
      <c r="GC15" s="144"/>
      <c r="GD15" s="144"/>
      <c r="GE15" s="144"/>
      <c r="GF15" s="144"/>
      <c r="GG15" s="144"/>
      <c r="GH15" s="144"/>
      <c r="GI15" s="144"/>
      <c r="GJ15" s="144"/>
      <c r="GK15" s="144"/>
      <c r="GL15" s="144"/>
      <c r="GM15" s="144"/>
      <c r="GN15" s="144"/>
      <c r="GO15" s="144"/>
      <c r="GP15" s="144"/>
      <c r="GQ15" s="144"/>
      <c r="GR15" s="144"/>
      <c r="GS15" s="144"/>
      <c r="GT15" s="144"/>
      <c r="GU15" s="144"/>
      <c r="GV15" s="144"/>
      <c r="GW15" s="144"/>
      <c r="GX15" s="144"/>
      <c r="GY15" s="144"/>
      <c r="GZ15" s="144"/>
      <c r="HA15" s="144"/>
      <c r="HB15" s="144"/>
      <c r="HC15" s="144"/>
      <c r="HD15" s="144"/>
      <c r="HE15" s="144"/>
      <c r="HF15" s="144"/>
      <c r="HG15" s="144"/>
      <c r="HH15" s="144"/>
      <c r="HI15" s="144"/>
      <c r="HJ15" s="144"/>
      <c r="HK15" s="144"/>
    </row>
    <row r="16" spans="1:221" s="158" customFormat="1" x14ac:dyDescent="0.2">
      <c r="A16" s="630"/>
      <c r="B16" s="638" t="s">
        <v>638</v>
      </c>
      <c r="C16" s="639"/>
      <c r="D16" s="443">
        <v>0</v>
      </c>
      <c r="E16" s="199">
        <f>IF(units=0,0,'Renovation Budget'!D16/units)</f>
        <v>0</v>
      </c>
      <c r="F16" s="640">
        <v>0</v>
      </c>
      <c r="G16" s="640">
        <v>0</v>
      </c>
      <c r="H16" s="641">
        <f t="shared" si="7"/>
        <v>0</v>
      </c>
      <c r="I16" s="642" t="s">
        <v>107</v>
      </c>
      <c r="J16" s="643" t="s">
        <v>42</v>
      </c>
      <c r="K16" s="644"/>
      <c r="L16" s="183">
        <f t="shared" si="8"/>
        <v>0</v>
      </c>
      <c r="M16" s="183">
        <f t="shared" si="8"/>
        <v>0</v>
      </c>
      <c r="N16" s="183">
        <f t="shared" si="8"/>
        <v>0</v>
      </c>
      <c r="O16" s="183">
        <f t="shared" si="8"/>
        <v>0</v>
      </c>
      <c r="P16" s="183">
        <f t="shared" si="8"/>
        <v>0</v>
      </c>
      <c r="Q16" s="183">
        <f t="shared" si="8"/>
        <v>0</v>
      </c>
      <c r="R16" s="183">
        <f t="shared" si="8"/>
        <v>0</v>
      </c>
      <c r="S16" s="183">
        <f t="shared" si="8"/>
        <v>0</v>
      </c>
      <c r="T16" s="183">
        <f t="shared" si="8"/>
        <v>0</v>
      </c>
      <c r="U16" s="183">
        <f t="shared" si="8"/>
        <v>0</v>
      </c>
      <c r="V16" s="183">
        <f t="shared" si="8"/>
        <v>0</v>
      </c>
      <c r="W16" s="644"/>
      <c r="X16" s="183">
        <f t="shared" si="9"/>
        <v>0</v>
      </c>
      <c r="Y16" s="183">
        <f t="shared" si="10"/>
        <v>0</v>
      </c>
      <c r="Z16" s="183">
        <f t="shared" si="15"/>
        <v>0</v>
      </c>
      <c r="AA16" s="183">
        <f t="shared" si="15"/>
        <v>0</v>
      </c>
      <c r="AB16" s="183">
        <f t="shared" si="15"/>
        <v>0</v>
      </c>
      <c r="AC16" s="183">
        <f t="shared" si="15"/>
        <v>0</v>
      </c>
      <c r="AD16" s="183">
        <f t="shared" si="15"/>
        <v>0</v>
      </c>
      <c r="AE16" s="183">
        <f t="shared" si="15"/>
        <v>0</v>
      </c>
      <c r="AF16" s="183">
        <f t="shared" si="15"/>
        <v>0</v>
      </c>
      <c r="AG16" s="183">
        <f t="shared" si="15"/>
        <v>0</v>
      </c>
      <c r="AH16" s="183">
        <f t="shared" si="15"/>
        <v>0</v>
      </c>
      <c r="AI16" s="183">
        <f t="shared" si="15"/>
        <v>0</v>
      </c>
      <c r="AJ16" s="183">
        <f t="shared" si="15"/>
        <v>0</v>
      </c>
      <c r="AK16" s="183">
        <f t="shared" si="15"/>
        <v>0</v>
      </c>
      <c r="AL16" s="183">
        <f t="shared" si="15"/>
        <v>0</v>
      </c>
      <c r="AM16" s="183">
        <f t="shared" si="15"/>
        <v>0</v>
      </c>
      <c r="AN16" s="183">
        <f t="shared" si="15"/>
        <v>0</v>
      </c>
      <c r="AO16" s="183">
        <f t="shared" si="15"/>
        <v>0</v>
      </c>
      <c r="AP16" s="183">
        <f t="shared" si="15"/>
        <v>0</v>
      </c>
      <c r="AQ16" s="183">
        <f t="shared" si="15"/>
        <v>0</v>
      </c>
      <c r="AR16" s="183">
        <f t="shared" si="15"/>
        <v>0</v>
      </c>
      <c r="AS16" s="183">
        <f t="shared" si="15"/>
        <v>0</v>
      </c>
      <c r="AT16" s="183">
        <f t="shared" si="15"/>
        <v>0</v>
      </c>
      <c r="AU16" s="183">
        <f t="shared" si="15"/>
        <v>0</v>
      </c>
      <c r="AV16" s="183">
        <f t="shared" si="15"/>
        <v>0</v>
      </c>
      <c r="AW16" s="183">
        <f t="shared" si="15"/>
        <v>0</v>
      </c>
      <c r="AX16" s="183">
        <f t="shared" si="15"/>
        <v>0</v>
      </c>
      <c r="AY16" s="183">
        <f t="shared" si="15"/>
        <v>0</v>
      </c>
      <c r="AZ16" s="183">
        <f t="shared" si="15"/>
        <v>0</v>
      </c>
      <c r="BA16" s="183">
        <f t="shared" si="15"/>
        <v>0</v>
      </c>
      <c r="BB16" s="183">
        <f t="shared" si="15"/>
        <v>0</v>
      </c>
      <c r="BC16" s="183">
        <f t="shared" si="15"/>
        <v>0</v>
      </c>
      <c r="BD16" s="183">
        <f t="shared" si="15"/>
        <v>0</v>
      </c>
      <c r="BE16" s="183">
        <f t="shared" si="15"/>
        <v>0</v>
      </c>
      <c r="BF16" s="183">
        <f t="shared" si="15"/>
        <v>0</v>
      </c>
      <c r="BG16" s="183">
        <f t="shared" si="15"/>
        <v>0</v>
      </c>
      <c r="BH16" s="183">
        <f t="shared" si="15"/>
        <v>0</v>
      </c>
      <c r="BI16" s="183">
        <f t="shared" si="15"/>
        <v>0</v>
      </c>
      <c r="BJ16" s="183">
        <f t="shared" si="15"/>
        <v>0</v>
      </c>
      <c r="BK16" s="183">
        <f t="shared" si="15"/>
        <v>0</v>
      </c>
      <c r="BL16" s="183">
        <f t="shared" si="15"/>
        <v>0</v>
      </c>
      <c r="BM16" s="183">
        <f t="shared" si="15"/>
        <v>0</v>
      </c>
      <c r="BN16" s="183">
        <f t="shared" si="15"/>
        <v>0</v>
      </c>
      <c r="BO16" s="183">
        <f t="shared" si="15"/>
        <v>0</v>
      </c>
      <c r="BP16" s="183">
        <f t="shared" si="15"/>
        <v>0</v>
      </c>
      <c r="BQ16" s="183">
        <f t="shared" si="15"/>
        <v>0</v>
      </c>
      <c r="BR16" s="183">
        <f t="shared" si="15"/>
        <v>0</v>
      </c>
      <c r="BS16" s="183">
        <f t="shared" si="15"/>
        <v>0</v>
      </c>
      <c r="BT16" s="183">
        <f t="shared" si="15"/>
        <v>0</v>
      </c>
      <c r="BU16" s="183">
        <f t="shared" si="15"/>
        <v>0</v>
      </c>
      <c r="BV16" s="183">
        <f t="shared" si="15"/>
        <v>0</v>
      </c>
      <c r="BW16" s="183">
        <f t="shared" si="15"/>
        <v>0</v>
      </c>
      <c r="BX16" s="183">
        <f t="shared" si="15"/>
        <v>0</v>
      </c>
      <c r="BY16" s="183">
        <f t="shared" si="15"/>
        <v>0</v>
      </c>
      <c r="BZ16" s="183">
        <f t="shared" si="15"/>
        <v>0</v>
      </c>
      <c r="CA16" s="183">
        <f t="shared" si="15"/>
        <v>0</v>
      </c>
      <c r="CB16" s="183">
        <f t="shared" si="15"/>
        <v>0</v>
      </c>
      <c r="CC16" s="183">
        <f t="shared" si="15"/>
        <v>0</v>
      </c>
      <c r="CD16" s="183">
        <f t="shared" si="15"/>
        <v>0</v>
      </c>
      <c r="CE16" s="183">
        <f t="shared" si="15"/>
        <v>0</v>
      </c>
      <c r="CF16" s="183">
        <f t="shared" si="15"/>
        <v>0</v>
      </c>
      <c r="CG16" s="183">
        <f t="shared" si="15"/>
        <v>0</v>
      </c>
      <c r="CH16" s="183">
        <f t="shared" si="15"/>
        <v>0</v>
      </c>
      <c r="CI16" s="183">
        <f t="shared" si="15"/>
        <v>0</v>
      </c>
      <c r="CJ16" s="183">
        <f t="shared" si="15"/>
        <v>0</v>
      </c>
      <c r="CK16" s="183">
        <f t="shared" ref="CK16:EV19" si="16">IF(OR(CK$3&gt;=$G16,CK$3&lt;$F16),0,(_xlfn.NORM.DIST(CK$3-$F16+1,$H16/2,INDEX($E$115:$E$118,MATCH($I16,$D$115:$D$118,0)),TRUE)-_xlfn.NORM.DIST(CJ$3-$F16+1,$H16/2,INDEX($E$115:$E$118,MATCH($I16,$D$115:$D$118,0)),TRUE))/(1-2*_xlfn.NORM.DIST(0,$H16/2,INDEX($E$115:$E$118,MATCH($I16,$D$115:$D$118,0)),TRUE))*$D16)</f>
        <v>0</v>
      </c>
      <c r="CL16" s="183">
        <f t="shared" si="16"/>
        <v>0</v>
      </c>
      <c r="CM16" s="183">
        <f t="shared" si="16"/>
        <v>0</v>
      </c>
      <c r="CN16" s="183">
        <f t="shared" si="16"/>
        <v>0</v>
      </c>
      <c r="CO16" s="183">
        <f t="shared" si="16"/>
        <v>0</v>
      </c>
      <c r="CP16" s="183">
        <f t="shared" si="16"/>
        <v>0</v>
      </c>
      <c r="CQ16" s="183">
        <f t="shared" si="16"/>
        <v>0</v>
      </c>
      <c r="CR16" s="183">
        <f t="shared" si="16"/>
        <v>0</v>
      </c>
      <c r="CS16" s="183">
        <f t="shared" si="16"/>
        <v>0</v>
      </c>
      <c r="CT16" s="183">
        <f t="shared" si="16"/>
        <v>0</v>
      </c>
      <c r="CU16" s="183">
        <f t="shared" si="16"/>
        <v>0</v>
      </c>
      <c r="CV16" s="183">
        <f t="shared" si="16"/>
        <v>0</v>
      </c>
      <c r="CW16" s="183">
        <f t="shared" si="16"/>
        <v>0</v>
      </c>
      <c r="CX16" s="183">
        <f t="shared" si="16"/>
        <v>0</v>
      </c>
      <c r="CY16" s="183">
        <f t="shared" si="16"/>
        <v>0</v>
      </c>
      <c r="CZ16" s="183">
        <f t="shared" si="16"/>
        <v>0</v>
      </c>
      <c r="DA16" s="183">
        <f t="shared" si="16"/>
        <v>0</v>
      </c>
      <c r="DB16" s="183">
        <f t="shared" si="16"/>
        <v>0</v>
      </c>
      <c r="DC16" s="183">
        <f t="shared" si="16"/>
        <v>0</v>
      </c>
      <c r="DD16" s="183">
        <f t="shared" si="16"/>
        <v>0</v>
      </c>
      <c r="DE16" s="183">
        <f t="shared" si="16"/>
        <v>0</v>
      </c>
      <c r="DF16" s="183">
        <f t="shared" si="16"/>
        <v>0</v>
      </c>
      <c r="DG16" s="183">
        <f t="shared" si="16"/>
        <v>0</v>
      </c>
      <c r="DH16" s="183">
        <f t="shared" si="16"/>
        <v>0</v>
      </c>
      <c r="DI16" s="183">
        <f t="shared" si="16"/>
        <v>0</v>
      </c>
      <c r="DJ16" s="183">
        <f t="shared" si="16"/>
        <v>0</v>
      </c>
      <c r="DK16" s="183">
        <f t="shared" si="16"/>
        <v>0</v>
      </c>
      <c r="DL16" s="183">
        <f t="shared" si="16"/>
        <v>0</v>
      </c>
      <c r="DM16" s="183">
        <f t="shared" si="16"/>
        <v>0</v>
      </c>
      <c r="DN16" s="183">
        <f t="shared" si="16"/>
        <v>0</v>
      </c>
      <c r="DO16" s="183">
        <f t="shared" si="16"/>
        <v>0</v>
      </c>
      <c r="DP16" s="183">
        <f t="shared" si="16"/>
        <v>0</v>
      </c>
      <c r="DQ16" s="183">
        <f t="shared" si="16"/>
        <v>0</v>
      </c>
      <c r="DR16" s="183">
        <f t="shared" si="16"/>
        <v>0</v>
      </c>
      <c r="DS16" s="183">
        <f t="shared" si="16"/>
        <v>0</v>
      </c>
      <c r="DT16" s="183">
        <f t="shared" si="16"/>
        <v>0</v>
      </c>
      <c r="DU16" s="183">
        <f t="shared" si="16"/>
        <v>0</v>
      </c>
      <c r="DV16" s="183">
        <f t="shared" si="16"/>
        <v>0</v>
      </c>
      <c r="DW16" s="183">
        <f t="shared" si="16"/>
        <v>0</v>
      </c>
      <c r="DX16" s="183">
        <f t="shared" si="16"/>
        <v>0</v>
      </c>
      <c r="DY16" s="183">
        <f t="shared" si="16"/>
        <v>0</v>
      </c>
      <c r="DZ16" s="183">
        <f t="shared" si="16"/>
        <v>0</v>
      </c>
      <c r="EA16" s="183">
        <f t="shared" si="16"/>
        <v>0</v>
      </c>
      <c r="EB16" s="183">
        <f t="shared" si="16"/>
        <v>0</v>
      </c>
      <c r="EC16" s="183">
        <f t="shared" si="16"/>
        <v>0</v>
      </c>
      <c r="ED16" s="183">
        <f t="shared" si="16"/>
        <v>0</v>
      </c>
      <c r="EE16" s="183">
        <f t="shared" si="16"/>
        <v>0</v>
      </c>
      <c r="EF16" s="183">
        <f t="shared" si="16"/>
        <v>0</v>
      </c>
      <c r="EG16" s="183">
        <f t="shared" si="16"/>
        <v>0</v>
      </c>
      <c r="EH16" s="183">
        <f t="shared" si="16"/>
        <v>0</v>
      </c>
      <c r="EI16" s="183">
        <f t="shared" si="16"/>
        <v>0</v>
      </c>
      <c r="EJ16" s="183">
        <f t="shared" si="16"/>
        <v>0</v>
      </c>
      <c r="EK16" s="183">
        <f t="shared" si="16"/>
        <v>0</v>
      </c>
      <c r="EL16" s="183">
        <f t="shared" si="16"/>
        <v>0</v>
      </c>
      <c r="EM16" s="183">
        <f t="shared" si="16"/>
        <v>0</v>
      </c>
      <c r="EN16" s="183">
        <f t="shared" si="16"/>
        <v>0</v>
      </c>
      <c r="EO16" s="183">
        <f t="shared" si="16"/>
        <v>0</v>
      </c>
      <c r="EP16" s="183">
        <f t="shared" si="16"/>
        <v>0</v>
      </c>
      <c r="EQ16" s="183">
        <f t="shared" si="16"/>
        <v>0</v>
      </c>
      <c r="ER16" s="183">
        <f t="shared" si="16"/>
        <v>0</v>
      </c>
      <c r="ES16" s="183">
        <f t="shared" si="16"/>
        <v>0</v>
      </c>
      <c r="ET16" s="183">
        <f t="shared" si="16"/>
        <v>0</v>
      </c>
      <c r="EU16" s="183">
        <f t="shared" si="16"/>
        <v>0</v>
      </c>
      <c r="EV16" s="183">
        <f t="shared" si="16"/>
        <v>0</v>
      </c>
      <c r="EW16" s="183">
        <f t="shared" si="12"/>
        <v>0</v>
      </c>
      <c r="EX16" s="183">
        <f t="shared" si="12"/>
        <v>0</v>
      </c>
      <c r="EY16" s="183">
        <f t="shared" si="12"/>
        <v>0</v>
      </c>
      <c r="EZ16" s="183">
        <f t="shared" si="12"/>
        <v>0</v>
      </c>
      <c r="FA16" s="144"/>
      <c r="FB16" s="144"/>
      <c r="FC16" s="144"/>
      <c r="FD16" s="144"/>
      <c r="FE16" s="144"/>
      <c r="FF16" s="144"/>
      <c r="FG16" s="144"/>
      <c r="FH16" s="144"/>
      <c r="FI16" s="144"/>
      <c r="FJ16" s="144"/>
      <c r="FK16" s="144"/>
      <c r="FL16" s="144"/>
      <c r="FM16" s="144"/>
      <c r="FN16" s="144"/>
      <c r="FO16" s="144"/>
      <c r="FP16" s="144"/>
      <c r="FQ16" s="144"/>
      <c r="FR16" s="144"/>
      <c r="FS16" s="144"/>
      <c r="FT16" s="144"/>
      <c r="FU16" s="144"/>
      <c r="FV16" s="144"/>
      <c r="FW16" s="144"/>
      <c r="FX16" s="144"/>
      <c r="FY16" s="144"/>
      <c r="FZ16" s="144"/>
      <c r="GA16" s="144"/>
      <c r="GB16" s="144"/>
      <c r="GC16" s="144"/>
      <c r="GD16" s="144"/>
      <c r="GE16" s="144"/>
      <c r="GF16" s="144"/>
      <c r="GG16" s="144"/>
      <c r="GH16" s="144"/>
      <c r="GI16" s="144"/>
      <c r="GJ16" s="144"/>
      <c r="GK16" s="144"/>
      <c r="GL16" s="144"/>
      <c r="GM16" s="144"/>
      <c r="GN16" s="144"/>
      <c r="GO16" s="144"/>
      <c r="GP16" s="144"/>
      <c r="GQ16" s="144"/>
      <c r="GR16" s="144"/>
      <c r="GS16" s="144"/>
      <c r="GT16" s="144"/>
      <c r="GU16" s="144"/>
      <c r="GV16" s="144"/>
      <c r="GW16" s="144"/>
      <c r="GX16" s="144"/>
      <c r="GY16" s="144"/>
      <c r="GZ16" s="144"/>
      <c r="HA16" s="144"/>
      <c r="HB16" s="144"/>
      <c r="HC16" s="144"/>
      <c r="HD16" s="144"/>
      <c r="HE16" s="144"/>
      <c r="HF16" s="144"/>
      <c r="HG16" s="144"/>
      <c r="HH16" s="144"/>
      <c r="HI16" s="144"/>
      <c r="HJ16" s="144"/>
      <c r="HK16" s="144"/>
    </row>
    <row r="17" spans="1:219" s="158" customFormat="1" x14ac:dyDescent="0.2">
      <c r="A17" s="630"/>
      <c r="B17" s="638" t="s">
        <v>639</v>
      </c>
      <c r="C17" s="639"/>
      <c r="D17" s="443">
        <v>0</v>
      </c>
      <c r="E17" s="199">
        <f>IF(units=0,0,'Renovation Budget'!D17/units)</f>
        <v>0</v>
      </c>
      <c r="F17" s="640">
        <v>0</v>
      </c>
      <c r="G17" s="640">
        <v>0</v>
      </c>
      <c r="H17" s="641">
        <f t="shared" si="7"/>
        <v>0</v>
      </c>
      <c r="I17" s="642" t="s">
        <v>107</v>
      </c>
      <c r="J17" s="643" t="s">
        <v>42</v>
      </c>
      <c r="K17" s="644"/>
      <c r="L17" s="183">
        <f t="shared" si="8"/>
        <v>0</v>
      </c>
      <c r="M17" s="183">
        <f t="shared" si="8"/>
        <v>0</v>
      </c>
      <c r="N17" s="183">
        <f t="shared" si="8"/>
        <v>0</v>
      </c>
      <c r="O17" s="183">
        <f t="shared" si="8"/>
        <v>0</v>
      </c>
      <c r="P17" s="183">
        <f t="shared" si="8"/>
        <v>0</v>
      </c>
      <c r="Q17" s="183">
        <f t="shared" si="8"/>
        <v>0</v>
      </c>
      <c r="R17" s="183">
        <f t="shared" si="8"/>
        <v>0</v>
      </c>
      <c r="S17" s="183">
        <f t="shared" si="8"/>
        <v>0</v>
      </c>
      <c r="T17" s="183">
        <f t="shared" si="8"/>
        <v>0</v>
      </c>
      <c r="U17" s="183">
        <f t="shared" si="8"/>
        <v>0</v>
      </c>
      <c r="V17" s="183">
        <f t="shared" si="8"/>
        <v>0</v>
      </c>
      <c r="W17" s="644"/>
      <c r="X17" s="183">
        <f t="shared" si="9"/>
        <v>0</v>
      </c>
      <c r="Y17" s="183">
        <f t="shared" si="10"/>
        <v>0</v>
      </c>
      <c r="Z17" s="183">
        <f t="shared" ref="Z17:CK20" si="17">IF(OR(Z$3&gt;=$G17,Z$3&lt;$F17),0,(_xlfn.NORM.DIST(Z$3-$F17+1,$H17/2,INDEX($E$115:$E$118,MATCH($I17,$D$115:$D$118,0)),TRUE)-_xlfn.NORM.DIST(Y$3-$F17+1,$H17/2,INDEX($E$115:$E$118,MATCH($I17,$D$115:$D$118,0)),TRUE))/(1-2*_xlfn.NORM.DIST(0,$H17/2,INDEX($E$115:$E$118,MATCH($I17,$D$115:$D$118,0)),TRUE))*$D17)</f>
        <v>0</v>
      </c>
      <c r="AA17" s="183">
        <f t="shared" si="17"/>
        <v>0</v>
      </c>
      <c r="AB17" s="183">
        <f t="shared" si="17"/>
        <v>0</v>
      </c>
      <c r="AC17" s="183">
        <f t="shared" si="17"/>
        <v>0</v>
      </c>
      <c r="AD17" s="183">
        <f t="shared" si="17"/>
        <v>0</v>
      </c>
      <c r="AE17" s="183">
        <f t="shared" si="17"/>
        <v>0</v>
      </c>
      <c r="AF17" s="183">
        <f t="shared" si="17"/>
        <v>0</v>
      </c>
      <c r="AG17" s="183">
        <f t="shared" si="17"/>
        <v>0</v>
      </c>
      <c r="AH17" s="183">
        <f t="shared" si="17"/>
        <v>0</v>
      </c>
      <c r="AI17" s="183">
        <f t="shared" si="17"/>
        <v>0</v>
      </c>
      <c r="AJ17" s="183">
        <f t="shared" si="17"/>
        <v>0</v>
      </c>
      <c r="AK17" s="183">
        <f t="shared" si="17"/>
        <v>0</v>
      </c>
      <c r="AL17" s="183">
        <f t="shared" si="17"/>
        <v>0</v>
      </c>
      <c r="AM17" s="183">
        <f t="shared" si="17"/>
        <v>0</v>
      </c>
      <c r="AN17" s="183">
        <f t="shared" si="17"/>
        <v>0</v>
      </c>
      <c r="AO17" s="183">
        <f t="shared" si="17"/>
        <v>0</v>
      </c>
      <c r="AP17" s="183">
        <f t="shared" si="17"/>
        <v>0</v>
      </c>
      <c r="AQ17" s="183">
        <f t="shared" si="17"/>
        <v>0</v>
      </c>
      <c r="AR17" s="183">
        <f t="shared" si="17"/>
        <v>0</v>
      </c>
      <c r="AS17" s="183">
        <f t="shared" si="17"/>
        <v>0</v>
      </c>
      <c r="AT17" s="183">
        <f t="shared" si="17"/>
        <v>0</v>
      </c>
      <c r="AU17" s="183">
        <f t="shared" si="17"/>
        <v>0</v>
      </c>
      <c r="AV17" s="183">
        <f t="shared" si="17"/>
        <v>0</v>
      </c>
      <c r="AW17" s="183">
        <f t="shared" si="17"/>
        <v>0</v>
      </c>
      <c r="AX17" s="183">
        <f t="shared" si="17"/>
        <v>0</v>
      </c>
      <c r="AY17" s="183">
        <f t="shared" si="17"/>
        <v>0</v>
      </c>
      <c r="AZ17" s="183">
        <f t="shared" si="17"/>
        <v>0</v>
      </c>
      <c r="BA17" s="183">
        <f t="shared" si="17"/>
        <v>0</v>
      </c>
      <c r="BB17" s="183">
        <f t="shared" si="17"/>
        <v>0</v>
      </c>
      <c r="BC17" s="183">
        <f t="shared" si="17"/>
        <v>0</v>
      </c>
      <c r="BD17" s="183">
        <f t="shared" si="17"/>
        <v>0</v>
      </c>
      <c r="BE17" s="183">
        <f t="shared" si="17"/>
        <v>0</v>
      </c>
      <c r="BF17" s="183">
        <f t="shared" si="17"/>
        <v>0</v>
      </c>
      <c r="BG17" s="183">
        <f t="shared" si="17"/>
        <v>0</v>
      </c>
      <c r="BH17" s="183">
        <f t="shared" si="17"/>
        <v>0</v>
      </c>
      <c r="BI17" s="183">
        <f t="shared" si="17"/>
        <v>0</v>
      </c>
      <c r="BJ17" s="183">
        <f t="shared" si="17"/>
        <v>0</v>
      </c>
      <c r="BK17" s="183">
        <f t="shared" si="17"/>
        <v>0</v>
      </c>
      <c r="BL17" s="183">
        <f t="shared" si="17"/>
        <v>0</v>
      </c>
      <c r="BM17" s="183">
        <f t="shared" si="17"/>
        <v>0</v>
      </c>
      <c r="BN17" s="183">
        <f t="shared" si="17"/>
        <v>0</v>
      </c>
      <c r="BO17" s="183">
        <f t="shared" si="17"/>
        <v>0</v>
      </c>
      <c r="BP17" s="183">
        <f t="shared" si="17"/>
        <v>0</v>
      </c>
      <c r="BQ17" s="183">
        <f t="shared" si="17"/>
        <v>0</v>
      </c>
      <c r="BR17" s="183">
        <f t="shared" si="17"/>
        <v>0</v>
      </c>
      <c r="BS17" s="183">
        <f t="shared" si="17"/>
        <v>0</v>
      </c>
      <c r="BT17" s="183">
        <f t="shared" si="17"/>
        <v>0</v>
      </c>
      <c r="BU17" s="183">
        <f t="shared" si="17"/>
        <v>0</v>
      </c>
      <c r="BV17" s="183">
        <f t="shared" si="17"/>
        <v>0</v>
      </c>
      <c r="BW17" s="183">
        <f t="shared" si="17"/>
        <v>0</v>
      </c>
      <c r="BX17" s="183">
        <f t="shared" si="17"/>
        <v>0</v>
      </c>
      <c r="BY17" s="183">
        <f t="shared" si="17"/>
        <v>0</v>
      </c>
      <c r="BZ17" s="183">
        <f t="shared" si="17"/>
        <v>0</v>
      </c>
      <c r="CA17" s="183">
        <f t="shared" si="17"/>
        <v>0</v>
      </c>
      <c r="CB17" s="183">
        <f t="shared" si="17"/>
        <v>0</v>
      </c>
      <c r="CC17" s="183">
        <f t="shared" si="17"/>
        <v>0</v>
      </c>
      <c r="CD17" s="183">
        <f t="shared" si="17"/>
        <v>0</v>
      </c>
      <c r="CE17" s="183">
        <f t="shared" si="17"/>
        <v>0</v>
      </c>
      <c r="CF17" s="183">
        <f t="shared" si="17"/>
        <v>0</v>
      </c>
      <c r="CG17" s="183">
        <f t="shared" si="17"/>
        <v>0</v>
      </c>
      <c r="CH17" s="183">
        <f t="shared" si="17"/>
        <v>0</v>
      </c>
      <c r="CI17" s="183">
        <f t="shared" si="17"/>
        <v>0</v>
      </c>
      <c r="CJ17" s="183">
        <f t="shared" si="17"/>
        <v>0</v>
      </c>
      <c r="CK17" s="183">
        <f t="shared" si="17"/>
        <v>0</v>
      </c>
      <c r="CL17" s="183">
        <f t="shared" si="16"/>
        <v>0</v>
      </c>
      <c r="CM17" s="183">
        <f t="shared" si="16"/>
        <v>0</v>
      </c>
      <c r="CN17" s="183">
        <f t="shared" si="16"/>
        <v>0</v>
      </c>
      <c r="CO17" s="183">
        <f t="shared" si="16"/>
        <v>0</v>
      </c>
      <c r="CP17" s="183">
        <f t="shared" si="16"/>
        <v>0</v>
      </c>
      <c r="CQ17" s="183">
        <f t="shared" si="16"/>
        <v>0</v>
      </c>
      <c r="CR17" s="183">
        <f t="shared" si="16"/>
        <v>0</v>
      </c>
      <c r="CS17" s="183">
        <f t="shared" si="16"/>
        <v>0</v>
      </c>
      <c r="CT17" s="183">
        <f t="shared" si="16"/>
        <v>0</v>
      </c>
      <c r="CU17" s="183">
        <f t="shared" si="16"/>
        <v>0</v>
      </c>
      <c r="CV17" s="183">
        <f t="shared" si="16"/>
        <v>0</v>
      </c>
      <c r="CW17" s="183">
        <f t="shared" si="16"/>
        <v>0</v>
      </c>
      <c r="CX17" s="183">
        <f t="shared" si="16"/>
        <v>0</v>
      </c>
      <c r="CY17" s="183">
        <f t="shared" si="16"/>
        <v>0</v>
      </c>
      <c r="CZ17" s="183">
        <f t="shared" si="16"/>
        <v>0</v>
      </c>
      <c r="DA17" s="183">
        <f t="shared" si="16"/>
        <v>0</v>
      </c>
      <c r="DB17" s="183">
        <f t="shared" si="16"/>
        <v>0</v>
      </c>
      <c r="DC17" s="183">
        <f t="shared" si="16"/>
        <v>0</v>
      </c>
      <c r="DD17" s="183">
        <f t="shared" si="16"/>
        <v>0</v>
      </c>
      <c r="DE17" s="183">
        <f t="shared" si="16"/>
        <v>0</v>
      </c>
      <c r="DF17" s="183">
        <f t="shared" si="16"/>
        <v>0</v>
      </c>
      <c r="DG17" s="183">
        <f t="shared" si="16"/>
        <v>0</v>
      </c>
      <c r="DH17" s="183">
        <f t="shared" si="16"/>
        <v>0</v>
      </c>
      <c r="DI17" s="183">
        <f t="shared" si="16"/>
        <v>0</v>
      </c>
      <c r="DJ17" s="183">
        <f t="shared" si="16"/>
        <v>0</v>
      </c>
      <c r="DK17" s="183">
        <f t="shared" si="16"/>
        <v>0</v>
      </c>
      <c r="DL17" s="183">
        <f t="shared" si="16"/>
        <v>0</v>
      </c>
      <c r="DM17" s="183">
        <f t="shared" si="16"/>
        <v>0</v>
      </c>
      <c r="DN17" s="183">
        <f t="shared" si="16"/>
        <v>0</v>
      </c>
      <c r="DO17" s="183">
        <f t="shared" si="16"/>
        <v>0</v>
      </c>
      <c r="DP17" s="183">
        <f t="shared" si="16"/>
        <v>0</v>
      </c>
      <c r="DQ17" s="183">
        <f t="shared" si="16"/>
        <v>0</v>
      </c>
      <c r="DR17" s="183">
        <f t="shared" si="16"/>
        <v>0</v>
      </c>
      <c r="DS17" s="183">
        <f t="shared" si="16"/>
        <v>0</v>
      </c>
      <c r="DT17" s="183">
        <f t="shared" si="16"/>
        <v>0</v>
      </c>
      <c r="DU17" s="183">
        <f t="shared" si="16"/>
        <v>0</v>
      </c>
      <c r="DV17" s="183">
        <f t="shared" si="16"/>
        <v>0</v>
      </c>
      <c r="DW17" s="183">
        <f t="shared" si="16"/>
        <v>0</v>
      </c>
      <c r="DX17" s="183">
        <f t="shared" si="16"/>
        <v>0</v>
      </c>
      <c r="DY17" s="183">
        <f t="shared" si="16"/>
        <v>0</v>
      </c>
      <c r="DZ17" s="183">
        <f t="shared" si="16"/>
        <v>0</v>
      </c>
      <c r="EA17" s="183">
        <f t="shared" si="16"/>
        <v>0</v>
      </c>
      <c r="EB17" s="183">
        <f t="shared" si="16"/>
        <v>0</v>
      </c>
      <c r="EC17" s="183">
        <f t="shared" si="16"/>
        <v>0</v>
      </c>
      <c r="ED17" s="183">
        <f t="shared" si="16"/>
        <v>0</v>
      </c>
      <c r="EE17" s="183">
        <f t="shared" si="16"/>
        <v>0</v>
      </c>
      <c r="EF17" s="183">
        <f t="shared" si="16"/>
        <v>0</v>
      </c>
      <c r="EG17" s="183">
        <f t="shared" si="16"/>
        <v>0</v>
      </c>
      <c r="EH17" s="183">
        <f t="shared" si="16"/>
        <v>0</v>
      </c>
      <c r="EI17" s="183">
        <f t="shared" si="16"/>
        <v>0</v>
      </c>
      <c r="EJ17" s="183">
        <f t="shared" si="16"/>
        <v>0</v>
      </c>
      <c r="EK17" s="183">
        <f t="shared" si="16"/>
        <v>0</v>
      </c>
      <c r="EL17" s="183">
        <f t="shared" si="16"/>
        <v>0</v>
      </c>
      <c r="EM17" s="183">
        <f t="shared" si="16"/>
        <v>0</v>
      </c>
      <c r="EN17" s="183">
        <f t="shared" si="16"/>
        <v>0</v>
      </c>
      <c r="EO17" s="183">
        <f t="shared" si="16"/>
        <v>0</v>
      </c>
      <c r="EP17" s="183">
        <f t="shared" si="16"/>
        <v>0</v>
      </c>
      <c r="EQ17" s="183">
        <f t="shared" si="16"/>
        <v>0</v>
      </c>
      <c r="ER17" s="183">
        <f t="shared" si="16"/>
        <v>0</v>
      </c>
      <c r="ES17" s="183">
        <f t="shared" si="16"/>
        <v>0</v>
      </c>
      <c r="ET17" s="183">
        <f t="shared" si="16"/>
        <v>0</v>
      </c>
      <c r="EU17" s="183">
        <f t="shared" si="16"/>
        <v>0</v>
      </c>
      <c r="EV17" s="183">
        <f t="shared" si="16"/>
        <v>0</v>
      </c>
      <c r="EW17" s="183">
        <f t="shared" si="12"/>
        <v>0</v>
      </c>
      <c r="EX17" s="183">
        <f t="shared" si="12"/>
        <v>0</v>
      </c>
      <c r="EY17" s="183">
        <f t="shared" si="12"/>
        <v>0</v>
      </c>
      <c r="EZ17" s="183">
        <f t="shared" si="12"/>
        <v>0</v>
      </c>
      <c r="FA17" s="144"/>
      <c r="FB17" s="144"/>
      <c r="FC17" s="144"/>
      <c r="FD17" s="144"/>
      <c r="FE17" s="144"/>
      <c r="FF17" s="144"/>
      <c r="FG17" s="144"/>
      <c r="FH17" s="144"/>
      <c r="FI17" s="144"/>
      <c r="FJ17" s="144"/>
      <c r="FK17" s="144"/>
      <c r="FL17" s="144"/>
      <c r="FM17" s="144"/>
      <c r="FN17" s="144"/>
      <c r="FO17" s="144"/>
      <c r="FP17" s="144"/>
      <c r="FQ17" s="144"/>
      <c r="FR17" s="144"/>
      <c r="FS17" s="144"/>
      <c r="FT17" s="144"/>
      <c r="FU17" s="144"/>
      <c r="FV17" s="144"/>
      <c r="FW17" s="144"/>
      <c r="FX17" s="144"/>
      <c r="FY17" s="144"/>
      <c r="FZ17" s="144"/>
      <c r="GA17" s="144"/>
      <c r="GB17" s="144"/>
      <c r="GC17" s="144"/>
      <c r="GD17" s="144"/>
      <c r="GE17" s="144"/>
      <c r="GF17" s="144"/>
      <c r="GG17" s="144"/>
      <c r="GH17" s="144"/>
      <c r="GI17" s="144"/>
      <c r="GJ17" s="144"/>
      <c r="GK17" s="144"/>
      <c r="GL17" s="144"/>
      <c r="GM17" s="144"/>
      <c r="GN17" s="144"/>
      <c r="GO17" s="144"/>
      <c r="GP17" s="144"/>
      <c r="GQ17" s="144"/>
      <c r="GR17" s="144"/>
      <c r="GS17" s="144"/>
      <c r="GT17" s="144"/>
      <c r="GU17" s="144"/>
      <c r="GV17" s="144"/>
      <c r="GW17" s="144"/>
      <c r="GX17" s="144"/>
      <c r="GY17" s="144"/>
      <c r="GZ17" s="144"/>
      <c r="HA17" s="144"/>
      <c r="HB17" s="144"/>
      <c r="HC17" s="144"/>
      <c r="HD17" s="144"/>
      <c r="HE17" s="144"/>
      <c r="HF17" s="144"/>
      <c r="HG17" s="144"/>
      <c r="HH17" s="144"/>
      <c r="HI17" s="144"/>
      <c r="HJ17" s="144"/>
      <c r="HK17" s="144"/>
    </row>
    <row r="18" spans="1:219" s="158" customFormat="1" x14ac:dyDescent="0.2">
      <c r="A18" s="630"/>
      <c r="B18" s="638" t="s">
        <v>82</v>
      </c>
      <c r="C18" s="639"/>
      <c r="D18" s="443">
        <v>0</v>
      </c>
      <c r="E18" s="199">
        <f>IF(units=0,0,'Renovation Budget'!D18/units)</f>
        <v>0</v>
      </c>
      <c r="F18" s="640">
        <v>0</v>
      </c>
      <c r="G18" s="640">
        <v>0</v>
      </c>
      <c r="H18" s="641">
        <f t="shared" si="7"/>
        <v>0</v>
      </c>
      <c r="I18" s="642" t="s">
        <v>107</v>
      </c>
      <c r="J18" s="643" t="s">
        <v>42</v>
      </c>
      <c r="K18" s="644"/>
      <c r="L18" s="183">
        <f t="shared" si="8"/>
        <v>0</v>
      </c>
      <c r="M18" s="183">
        <f t="shared" si="8"/>
        <v>0</v>
      </c>
      <c r="N18" s="183">
        <f t="shared" si="8"/>
        <v>0</v>
      </c>
      <c r="O18" s="183">
        <f t="shared" si="8"/>
        <v>0</v>
      </c>
      <c r="P18" s="183">
        <f t="shared" si="8"/>
        <v>0</v>
      </c>
      <c r="Q18" s="183">
        <f t="shared" si="8"/>
        <v>0</v>
      </c>
      <c r="R18" s="183">
        <f t="shared" si="8"/>
        <v>0</v>
      </c>
      <c r="S18" s="183">
        <f t="shared" si="8"/>
        <v>0</v>
      </c>
      <c r="T18" s="183">
        <f t="shared" si="8"/>
        <v>0</v>
      </c>
      <c r="U18" s="183">
        <f t="shared" si="8"/>
        <v>0</v>
      </c>
      <c r="V18" s="183">
        <f t="shared" si="8"/>
        <v>0</v>
      </c>
      <c r="W18" s="644"/>
      <c r="X18" s="183">
        <f t="shared" si="9"/>
        <v>0</v>
      </c>
      <c r="Y18" s="183">
        <f t="shared" si="10"/>
        <v>0</v>
      </c>
      <c r="Z18" s="183">
        <f t="shared" si="17"/>
        <v>0</v>
      </c>
      <c r="AA18" s="183">
        <f t="shared" si="17"/>
        <v>0</v>
      </c>
      <c r="AB18" s="183">
        <f t="shared" si="17"/>
        <v>0</v>
      </c>
      <c r="AC18" s="183">
        <f t="shared" si="17"/>
        <v>0</v>
      </c>
      <c r="AD18" s="183">
        <f t="shared" si="17"/>
        <v>0</v>
      </c>
      <c r="AE18" s="183">
        <f t="shared" si="17"/>
        <v>0</v>
      </c>
      <c r="AF18" s="183">
        <f t="shared" si="17"/>
        <v>0</v>
      </c>
      <c r="AG18" s="183">
        <f t="shared" si="17"/>
        <v>0</v>
      </c>
      <c r="AH18" s="183">
        <f t="shared" si="17"/>
        <v>0</v>
      </c>
      <c r="AI18" s="183">
        <f t="shared" si="17"/>
        <v>0</v>
      </c>
      <c r="AJ18" s="183">
        <f t="shared" si="17"/>
        <v>0</v>
      </c>
      <c r="AK18" s="183">
        <f t="shared" si="17"/>
        <v>0</v>
      </c>
      <c r="AL18" s="183">
        <f t="shared" si="17"/>
        <v>0</v>
      </c>
      <c r="AM18" s="183">
        <f t="shared" si="17"/>
        <v>0</v>
      </c>
      <c r="AN18" s="183">
        <f t="shared" si="17"/>
        <v>0</v>
      </c>
      <c r="AO18" s="183">
        <f t="shared" si="17"/>
        <v>0</v>
      </c>
      <c r="AP18" s="183">
        <f t="shared" si="17"/>
        <v>0</v>
      </c>
      <c r="AQ18" s="183">
        <f t="shared" si="17"/>
        <v>0</v>
      </c>
      <c r="AR18" s="183">
        <f t="shared" si="17"/>
        <v>0</v>
      </c>
      <c r="AS18" s="183">
        <f t="shared" si="17"/>
        <v>0</v>
      </c>
      <c r="AT18" s="183">
        <f t="shared" si="17"/>
        <v>0</v>
      </c>
      <c r="AU18" s="183">
        <f t="shared" si="17"/>
        <v>0</v>
      </c>
      <c r="AV18" s="183">
        <f t="shared" si="17"/>
        <v>0</v>
      </c>
      <c r="AW18" s="183">
        <f t="shared" si="17"/>
        <v>0</v>
      </c>
      <c r="AX18" s="183">
        <f t="shared" si="17"/>
        <v>0</v>
      </c>
      <c r="AY18" s="183">
        <f t="shared" si="17"/>
        <v>0</v>
      </c>
      <c r="AZ18" s="183">
        <f t="shared" si="17"/>
        <v>0</v>
      </c>
      <c r="BA18" s="183">
        <f t="shared" si="17"/>
        <v>0</v>
      </c>
      <c r="BB18" s="183">
        <f t="shared" si="17"/>
        <v>0</v>
      </c>
      <c r="BC18" s="183">
        <f t="shared" si="17"/>
        <v>0</v>
      </c>
      <c r="BD18" s="183">
        <f t="shared" si="17"/>
        <v>0</v>
      </c>
      <c r="BE18" s="183">
        <f t="shared" si="17"/>
        <v>0</v>
      </c>
      <c r="BF18" s="183">
        <f t="shared" si="17"/>
        <v>0</v>
      </c>
      <c r="BG18" s="183">
        <f t="shared" si="17"/>
        <v>0</v>
      </c>
      <c r="BH18" s="183">
        <f t="shared" si="17"/>
        <v>0</v>
      </c>
      <c r="BI18" s="183">
        <f t="shared" si="17"/>
        <v>0</v>
      </c>
      <c r="BJ18" s="183">
        <f t="shared" si="17"/>
        <v>0</v>
      </c>
      <c r="BK18" s="183">
        <f t="shared" si="17"/>
        <v>0</v>
      </c>
      <c r="BL18" s="183">
        <f t="shared" si="17"/>
        <v>0</v>
      </c>
      <c r="BM18" s="183">
        <f t="shared" si="17"/>
        <v>0</v>
      </c>
      <c r="BN18" s="183">
        <f t="shared" si="17"/>
        <v>0</v>
      </c>
      <c r="BO18" s="183">
        <f t="shared" si="17"/>
        <v>0</v>
      </c>
      <c r="BP18" s="183">
        <f t="shared" si="17"/>
        <v>0</v>
      </c>
      <c r="BQ18" s="183">
        <f t="shared" si="17"/>
        <v>0</v>
      </c>
      <c r="BR18" s="183">
        <f t="shared" si="17"/>
        <v>0</v>
      </c>
      <c r="BS18" s="183">
        <f t="shared" si="17"/>
        <v>0</v>
      </c>
      <c r="BT18" s="183">
        <f t="shared" si="17"/>
        <v>0</v>
      </c>
      <c r="BU18" s="183">
        <f t="shared" si="17"/>
        <v>0</v>
      </c>
      <c r="BV18" s="183">
        <f t="shared" si="17"/>
        <v>0</v>
      </c>
      <c r="BW18" s="183">
        <f t="shared" si="17"/>
        <v>0</v>
      </c>
      <c r="BX18" s="183">
        <f t="shared" si="17"/>
        <v>0</v>
      </c>
      <c r="BY18" s="183">
        <f t="shared" si="17"/>
        <v>0</v>
      </c>
      <c r="BZ18" s="183">
        <f t="shared" si="17"/>
        <v>0</v>
      </c>
      <c r="CA18" s="183">
        <f t="shared" si="17"/>
        <v>0</v>
      </c>
      <c r="CB18" s="183">
        <f t="shared" si="17"/>
        <v>0</v>
      </c>
      <c r="CC18" s="183">
        <f t="shared" si="17"/>
        <v>0</v>
      </c>
      <c r="CD18" s="183">
        <f t="shared" si="17"/>
        <v>0</v>
      </c>
      <c r="CE18" s="183">
        <f t="shared" si="17"/>
        <v>0</v>
      </c>
      <c r="CF18" s="183">
        <f t="shared" si="17"/>
        <v>0</v>
      </c>
      <c r="CG18" s="183">
        <f t="shared" si="17"/>
        <v>0</v>
      </c>
      <c r="CH18" s="183">
        <f t="shared" si="17"/>
        <v>0</v>
      </c>
      <c r="CI18" s="183">
        <f t="shared" si="17"/>
        <v>0</v>
      </c>
      <c r="CJ18" s="183">
        <f t="shared" si="17"/>
        <v>0</v>
      </c>
      <c r="CK18" s="183">
        <f t="shared" si="17"/>
        <v>0</v>
      </c>
      <c r="CL18" s="183">
        <f t="shared" si="16"/>
        <v>0</v>
      </c>
      <c r="CM18" s="183">
        <f t="shared" si="16"/>
        <v>0</v>
      </c>
      <c r="CN18" s="183">
        <f t="shared" si="16"/>
        <v>0</v>
      </c>
      <c r="CO18" s="183">
        <f t="shared" si="16"/>
        <v>0</v>
      </c>
      <c r="CP18" s="183">
        <f t="shared" si="16"/>
        <v>0</v>
      </c>
      <c r="CQ18" s="183">
        <f t="shared" si="16"/>
        <v>0</v>
      </c>
      <c r="CR18" s="183">
        <f t="shared" si="16"/>
        <v>0</v>
      </c>
      <c r="CS18" s="183">
        <f t="shared" si="16"/>
        <v>0</v>
      </c>
      <c r="CT18" s="183">
        <f t="shared" si="16"/>
        <v>0</v>
      </c>
      <c r="CU18" s="183">
        <f t="shared" si="16"/>
        <v>0</v>
      </c>
      <c r="CV18" s="183">
        <f t="shared" si="16"/>
        <v>0</v>
      </c>
      <c r="CW18" s="183">
        <f t="shared" si="16"/>
        <v>0</v>
      </c>
      <c r="CX18" s="183">
        <f t="shared" si="16"/>
        <v>0</v>
      </c>
      <c r="CY18" s="183">
        <f t="shared" si="16"/>
        <v>0</v>
      </c>
      <c r="CZ18" s="183">
        <f t="shared" si="16"/>
        <v>0</v>
      </c>
      <c r="DA18" s="183">
        <f t="shared" si="16"/>
        <v>0</v>
      </c>
      <c r="DB18" s="183">
        <f t="shared" si="16"/>
        <v>0</v>
      </c>
      <c r="DC18" s="183">
        <f t="shared" si="16"/>
        <v>0</v>
      </c>
      <c r="DD18" s="183">
        <f t="shared" si="16"/>
        <v>0</v>
      </c>
      <c r="DE18" s="183">
        <f t="shared" si="16"/>
        <v>0</v>
      </c>
      <c r="DF18" s="183">
        <f t="shared" si="16"/>
        <v>0</v>
      </c>
      <c r="DG18" s="183">
        <f t="shared" si="16"/>
        <v>0</v>
      </c>
      <c r="DH18" s="183">
        <f t="shared" si="16"/>
        <v>0</v>
      </c>
      <c r="DI18" s="183">
        <f t="shared" si="16"/>
        <v>0</v>
      </c>
      <c r="DJ18" s="183">
        <f t="shared" si="16"/>
        <v>0</v>
      </c>
      <c r="DK18" s="183">
        <f t="shared" si="16"/>
        <v>0</v>
      </c>
      <c r="DL18" s="183">
        <f t="shared" si="16"/>
        <v>0</v>
      </c>
      <c r="DM18" s="183">
        <f t="shared" si="16"/>
        <v>0</v>
      </c>
      <c r="DN18" s="183">
        <f t="shared" si="16"/>
        <v>0</v>
      </c>
      <c r="DO18" s="183">
        <f t="shared" si="16"/>
        <v>0</v>
      </c>
      <c r="DP18" s="183">
        <f t="shared" si="16"/>
        <v>0</v>
      </c>
      <c r="DQ18" s="183">
        <f t="shared" si="16"/>
        <v>0</v>
      </c>
      <c r="DR18" s="183">
        <f t="shared" si="16"/>
        <v>0</v>
      </c>
      <c r="DS18" s="183">
        <f t="shared" si="16"/>
        <v>0</v>
      </c>
      <c r="DT18" s="183">
        <f t="shared" si="16"/>
        <v>0</v>
      </c>
      <c r="DU18" s="183">
        <f t="shared" si="16"/>
        <v>0</v>
      </c>
      <c r="DV18" s="183">
        <f t="shared" si="16"/>
        <v>0</v>
      </c>
      <c r="DW18" s="183">
        <f t="shared" si="16"/>
        <v>0</v>
      </c>
      <c r="DX18" s="183">
        <f t="shared" si="16"/>
        <v>0</v>
      </c>
      <c r="DY18" s="183">
        <f t="shared" si="16"/>
        <v>0</v>
      </c>
      <c r="DZ18" s="183">
        <f t="shared" si="16"/>
        <v>0</v>
      </c>
      <c r="EA18" s="183">
        <f t="shared" si="16"/>
        <v>0</v>
      </c>
      <c r="EB18" s="183">
        <f t="shared" si="16"/>
        <v>0</v>
      </c>
      <c r="EC18" s="183">
        <f t="shared" si="16"/>
        <v>0</v>
      </c>
      <c r="ED18" s="183">
        <f t="shared" si="16"/>
        <v>0</v>
      </c>
      <c r="EE18" s="183">
        <f t="shared" si="16"/>
        <v>0</v>
      </c>
      <c r="EF18" s="183">
        <f t="shared" si="16"/>
        <v>0</v>
      </c>
      <c r="EG18" s="183">
        <f t="shared" si="16"/>
        <v>0</v>
      </c>
      <c r="EH18" s="183">
        <f t="shared" si="16"/>
        <v>0</v>
      </c>
      <c r="EI18" s="183">
        <f t="shared" si="16"/>
        <v>0</v>
      </c>
      <c r="EJ18" s="183">
        <f t="shared" si="16"/>
        <v>0</v>
      </c>
      <c r="EK18" s="183">
        <f t="shared" si="16"/>
        <v>0</v>
      </c>
      <c r="EL18" s="183">
        <f t="shared" si="16"/>
        <v>0</v>
      </c>
      <c r="EM18" s="183">
        <f t="shared" si="16"/>
        <v>0</v>
      </c>
      <c r="EN18" s="183">
        <f t="shared" si="16"/>
        <v>0</v>
      </c>
      <c r="EO18" s="183">
        <f t="shared" si="16"/>
        <v>0</v>
      </c>
      <c r="EP18" s="183">
        <f t="shared" si="16"/>
        <v>0</v>
      </c>
      <c r="EQ18" s="183">
        <f t="shared" si="16"/>
        <v>0</v>
      </c>
      <c r="ER18" s="183">
        <f t="shared" si="16"/>
        <v>0</v>
      </c>
      <c r="ES18" s="183">
        <f t="shared" si="16"/>
        <v>0</v>
      </c>
      <c r="ET18" s="183">
        <f t="shared" si="16"/>
        <v>0</v>
      </c>
      <c r="EU18" s="183">
        <f t="shared" si="16"/>
        <v>0</v>
      </c>
      <c r="EV18" s="183">
        <f t="shared" si="16"/>
        <v>0</v>
      </c>
      <c r="EW18" s="183">
        <f t="shared" si="12"/>
        <v>0</v>
      </c>
      <c r="EX18" s="183">
        <f t="shared" si="12"/>
        <v>0</v>
      </c>
      <c r="EY18" s="183">
        <f t="shared" si="12"/>
        <v>0</v>
      </c>
      <c r="EZ18" s="183">
        <f t="shared" si="12"/>
        <v>0</v>
      </c>
      <c r="FA18" s="144"/>
      <c r="FB18" s="144"/>
      <c r="FC18" s="144"/>
      <c r="FD18" s="144"/>
      <c r="FE18" s="144"/>
      <c r="FF18" s="144"/>
      <c r="FG18" s="144"/>
      <c r="FH18" s="144"/>
      <c r="FI18" s="144"/>
      <c r="FJ18" s="144"/>
      <c r="FK18" s="144"/>
      <c r="FL18" s="144"/>
      <c r="FM18" s="144"/>
      <c r="FN18" s="144"/>
      <c r="FO18" s="144"/>
      <c r="FP18" s="144"/>
      <c r="FQ18" s="144"/>
      <c r="FR18" s="144"/>
      <c r="FS18" s="144"/>
      <c r="FT18" s="144"/>
      <c r="FU18" s="144"/>
      <c r="FV18" s="144"/>
      <c r="FW18" s="144"/>
      <c r="FX18" s="144"/>
      <c r="FY18" s="144"/>
      <c r="FZ18" s="144"/>
      <c r="GA18" s="144"/>
      <c r="GB18" s="144"/>
      <c r="GC18" s="144"/>
      <c r="GD18" s="144"/>
      <c r="GE18" s="144"/>
      <c r="GF18" s="144"/>
      <c r="GG18" s="144"/>
      <c r="GH18" s="144"/>
      <c r="GI18" s="144"/>
      <c r="GJ18" s="144"/>
      <c r="GK18" s="144"/>
      <c r="GL18" s="144"/>
      <c r="GM18" s="144"/>
      <c r="GN18" s="144"/>
      <c r="GO18" s="144"/>
      <c r="GP18" s="144"/>
      <c r="GQ18" s="144"/>
      <c r="GR18" s="144"/>
      <c r="GS18" s="144"/>
      <c r="GT18" s="144"/>
      <c r="GU18" s="144"/>
      <c r="GV18" s="144"/>
      <c r="GW18" s="144"/>
      <c r="GX18" s="144"/>
      <c r="GY18" s="144"/>
      <c r="GZ18" s="144"/>
      <c r="HA18" s="144"/>
      <c r="HB18" s="144"/>
      <c r="HC18" s="144"/>
      <c r="HD18" s="144"/>
      <c r="HE18" s="144"/>
      <c r="HF18" s="144"/>
      <c r="HG18" s="144"/>
      <c r="HH18" s="144"/>
      <c r="HI18" s="144"/>
      <c r="HJ18" s="144"/>
      <c r="HK18" s="144"/>
    </row>
    <row r="19" spans="1:219" s="158" customFormat="1" x14ac:dyDescent="0.2">
      <c r="A19" s="630"/>
      <c r="B19" s="638" t="s">
        <v>82</v>
      </c>
      <c r="C19" s="639"/>
      <c r="D19" s="443">
        <v>0</v>
      </c>
      <c r="E19" s="199">
        <f>IF(units=0,0,'Renovation Budget'!D19/units)</f>
        <v>0</v>
      </c>
      <c r="F19" s="640">
        <v>0</v>
      </c>
      <c r="G19" s="640">
        <v>0</v>
      </c>
      <c r="H19" s="641">
        <f t="shared" si="7"/>
        <v>0</v>
      </c>
      <c r="I19" s="642" t="s">
        <v>107</v>
      </c>
      <c r="J19" s="643" t="s">
        <v>42</v>
      </c>
      <c r="K19" s="644"/>
      <c r="L19" s="183">
        <f t="shared" si="8"/>
        <v>0</v>
      </c>
      <c r="M19" s="183">
        <f t="shared" si="8"/>
        <v>0</v>
      </c>
      <c r="N19" s="183">
        <f t="shared" si="8"/>
        <v>0</v>
      </c>
      <c r="O19" s="183">
        <f t="shared" si="8"/>
        <v>0</v>
      </c>
      <c r="P19" s="183">
        <f t="shared" si="8"/>
        <v>0</v>
      </c>
      <c r="Q19" s="183">
        <f t="shared" si="8"/>
        <v>0</v>
      </c>
      <c r="R19" s="183">
        <f t="shared" si="8"/>
        <v>0</v>
      </c>
      <c r="S19" s="183">
        <f t="shared" si="8"/>
        <v>0</v>
      </c>
      <c r="T19" s="183">
        <f t="shared" si="8"/>
        <v>0</v>
      </c>
      <c r="U19" s="183">
        <f t="shared" si="8"/>
        <v>0</v>
      </c>
      <c r="V19" s="183">
        <f t="shared" si="8"/>
        <v>0</v>
      </c>
      <c r="W19" s="644"/>
      <c r="X19" s="183">
        <f t="shared" si="9"/>
        <v>0</v>
      </c>
      <c r="Y19" s="183">
        <f t="shared" si="10"/>
        <v>0</v>
      </c>
      <c r="Z19" s="183">
        <f t="shared" si="17"/>
        <v>0</v>
      </c>
      <c r="AA19" s="183">
        <f t="shared" si="17"/>
        <v>0</v>
      </c>
      <c r="AB19" s="183">
        <f t="shared" si="17"/>
        <v>0</v>
      </c>
      <c r="AC19" s="183">
        <f t="shared" si="17"/>
        <v>0</v>
      </c>
      <c r="AD19" s="183">
        <f t="shared" si="17"/>
        <v>0</v>
      </c>
      <c r="AE19" s="183">
        <f t="shared" si="17"/>
        <v>0</v>
      </c>
      <c r="AF19" s="183">
        <f t="shared" si="17"/>
        <v>0</v>
      </c>
      <c r="AG19" s="183">
        <f t="shared" si="17"/>
        <v>0</v>
      </c>
      <c r="AH19" s="183">
        <f t="shared" si="17"/>
        <v>0</v>
      </c>
      <c r="AI19" s="183">
        <f t="shared" si="17"/>
        <v>0</v>
      </c>
      <c r="AJ19" s="183">
        <f t="shared" si="17"/>
        <v>0</v>
      </c>
      <c r="AK19" s="183">
        <f t="shared" si="17"/>
        <v>0</v>
      </c>
      <c r="AL19" s="183">
        <f t="shared" si="17"/>
        <v>0</v>
      </c>
      <c r="AM19" s="183">
        <f t="shared" si="17"/>
        <v>0</v>
      </c>
      <c r="AN19" s="183">
        <f t="shared" si="17"/>
        <v>0</v>
      </c>
      <c r="AO19" s="183">
        <f t="shared" si="17"/>
        <v>0</v>
      </c>
      <c r="AP19" s="183">
        <f t="shared" si="17"/>
        <v>0</v>
      </c>
      <c r="AQ19" s="183">
        <f t="shared" si="17"/>
        <v>0</v>
      </c>
      <c r="AR19" s="183">
        <f t="shared" si="17"/>
        <v>0</v>
      </c>
      <c r="AS19" s="183">
        <f t="shared" si="17"/>
        <v>0</v>
      </c>
      <c r="AT19" s="183">
        <f t="shared" si="17"/>
        <v>0</v>
      </c>
      <c r="AU19" s="183">
        <f t="shared" si="17"/>
        <v>0</v>
      </c>
      <c r="AV19" s="183">
        <f t="shared" si="17"/>
        <v>0</v>
      </c>
      <c r="AW19" s="183">
        <f t="shared" si="17"/>
        <v>0</v>
      </c>
      <c r="AX19" s="183">
        <f t="shared" si="17"/>
        <v>0</v>
      </c>
      <c r="AY19" s="183">
        <f t="shared" si="17"/>
        <v>0</v>
      </c>
      <c r="AZ19" s="183">
        <f t="shared" si="17"/>
        <v>0</v>
      </c>
      <c r="BA19" s="183">
        <f t="shared" si="17"/>
        <v>0</v>
      </c>
      <c r="BB19" s="183">
        <f t="shared" si="17"/>
        <v>0</v>
      </c>
      <c r="BC19" s="183">
        <f t="shared" si="17"/>
        <v>0</v>
      </c>
      <c r="BD19" s="183">
        <f t="shared" si="17"/>
        <v>0</v>
      </c>
      <c r="BE19" s="183">
        <f t="shared" si="17"/>
        <v>0</v>
      </c>
      <c r="BF19" s="183">
        <f t="shared" si="17"/>
        <v>0</v>
      </c>
      <c r="BG19" s="183">
        <f t="shared" si="17"/>
        <v>0</v>
      </c>
      <c r="BH19" s="183">
        <f t="shared" si="17"/>
        <v>0</v>
      </c>
      <c r="BI19" s="183">
        <f t="shared" si="17"/>
        <v>0</v>
      </c>
      <c r="BJ19" s="183">
        <f t="shared" si="17"/>
        <v>0</v>
      </c>
      <c r="BK19" s="183">
        <f t="shared" si="17"/>
        <v>0</v>
      </c>
      <c r="BL19" s="183">
        <f t="shared" si="17"/>
        <v>0</v>
      </c>
      <c r="BM19" s="183">
        <f t="shared" si="17"/>
        <v>0</v>
      </c>
      <c r="BN19" s="183">
        <f t="shared" si="17"/>
        <v>0</v>
      </c>
      <c r="BO19" s="183">
        <f t="shared" si="17"/>
        <v>0</v>
      </c>
      <c r="BP19" s="183">
        <f t="shared" si="17"/>
        <v>0</v>
      </c>
      <c r="BQ19" s="183">
        <f t="shared" si="17"/>
        <v>0</v>
      </c>
      <c r="BR19" s="183">
        <f t="shared" si="17"/>
        <v>0</v>
      </c>
      <c r="BS19" s="183">
        <f t="shared" si="17"/>
        <v>0</v>
      </c>
      <c r="BT19" s="183">
        <f t="shared" si="17"/>
        <v>0</v>
      </c>
      <c r="BU19" s="183">
        <f t="shared" si="17"/>
        <v>0</v>
      </c>
      <c r="BV19" s="183">
        <f t="shared" si="17"/>
        <v>0</v>
      </c>
      <c r="BW19" s="183">
        <f t="shared" si="17"/>
        <v>0</v>
      </c>
      <c r="BX19" s="183">
        <f t="shared" si="17"/>
        <v>0</v>
      </c>
      <c r="BY19" s="183">
        <f t="shared" si="17"/>
        <v>0</v>
      </c>
      <c r="BZ19" s="183">
        <f t="shared" si="17"/>
        <v>0</v>
      </c>
      <c r="CA19" s="183">
        <f t="shared" si="17"/>
        <v>0</v>
      </c>
      <c r="CB19" s="183">
        <f t="shared" si="17"/>
        <v>0</v>
      </c>
      <c r="CC19" s="183">
        <f t="shared" si="17"/>
        <v>0</v>
      </c>
      <c r="CD19" s="183">
        <f t="shared" si="17"/>
        <v>0</v>
      </c>
      <c r="CE19" s="183">
        <f t="shared" si="17"/>
        <v>0</v>
      </c>
      <c r="CF19" s="183">
        <f t="shared" si="17"/>
        <v>0</v>
      </c>
      <c r="CG19" s="183">
        <f t="shared" si="17"/>
        <v>0</v>
      </c>
      <c r="CH19" s="183">
        <f t="shared" si="17"/>
        <v>0</v>
      </c>
      <c r="CI19" s="183">
        <f t="shared" si="17"/>
        <v>0</v>
      </c>
      <c r="CJ19" s="183">
        <f t="shared" si="17"/>
        <v>0</v>
      </c>
      <c r="CK19" s="183">
        <f t="shared" si="17"/>
        <v>0</v>
      </c>
      <c r="CL19" s="183">
        <f t="shared" si="16"/>
        <v>0</v>
      </c>
      <c r="CM19" s="183">
        <f t="shared" si="16"/>
        <v>0</v>
      </c>
      <c r="CN19" s="183">
        <f t="shared" si="16"/>
        <v>0</v>
      </c>
      <c r="CO19" s="183">
        <f t="shared" si="16"/>
        <v>0</v>
      </c>
      <c r="CP19" s="183">
        <f t="shared" si="16"/>
        <v>0</v>
      </c>
      <c r="CQ19" s="183">
        <f t="shared" si="16"/>
        <v>0</v>
      </c>
      <c r="CR19" s="183">
        <f t="shared" si="16"/>
        <v>0</v>
      </c>
      <c r="CS19" s="183">
        <f t="shared" si="16"/>
        <v>0</v>
      </c>
      <c r="CT19" s="183">
        <f t="shared" si="16"/>
        <v>0</v>
      </c>
      <c r="CU19" s="183">
        <f t="shared" si="16"/>
        <v>0</v>
      </c>
      <c r="CV19" s="183">
        <f t="shared" si="16"/>
        <v>0</v>
      </c>
      <c r="CW19" s="183">
        <f t="shared" si="16"/>
        <v>0</v>
      </c>
      <c r="CX19" s="183">
        <f t="shared" si="16"/>
        <v>0</v>
      </c>
      <c r="CY19" s="183">
        <f t="shared" si="16"/>
        <v>0</v>
      </c>
      <c r="CZ19" s="183">
        <f t="shared" si="16"/>
        <v>0</v>
      </c>
      <c r="DA19" s="183">
        <f t="shared" si="16"/>
        <v>0</v>
      </c>
      <c r="DB19" s="183">
        <f t="shared" si="16"/>
        <v>0</v>
      </c>
      <c r="DC19" s="183">
        <f t="shared" si="16"/>
        <v>0</v>
      </c>
      <c r="DD19" s="183">
        <f t="shared" si="16"/>
        <v>0</v>
      </c>
      <c r="DE19" s="183">
        <f t="shared" si="16"/>
        <v>0</v>
      </c>
      <c r="DF19" s="183">
        <f t="shared" si="16"/>
        <v>0</v>
      </c>
      <c r="DG19" s="183">
        <f t="shared" si="16"/>
        <v>0</v>
      </c>
      <c r="DH19" s="183">
        <f t="shared" si="16"/>
        <v>0</v>
      </c>
      <c r="DI19" s="183">
        <f t="shared" si="16"/>
        <v>0</v>
      </c>
      <c r="DJ19" s="183">
        <f t="shared" si="16"/>
        <v>0</v>
      </c>
      <c r="DK19" s="183">
        <f t="shared" si="16"/>
        <v>0</v>
      </c>
      <c r="DL19" s="183">
        <f t="shared" si="16"/>
        <v>0</v>
      </c>
      <c r="DM19" s="183">
        <f t="shared" si="16"/>
        <v>0</v>
      </c>
      <c r="DN19" s="183">
        <f t="shared" si="16"/>
        <v>0</v>
      </c>
      <c r="DO19" s="183">
        <f t="shared" si="16"/>
        <v>0</v>
      </c>
      <c r="DP19" s="183">
        <f t="shared" si="16"/>
        <v>0</v>
      </c>
      <c r="DQ19" s="183">
        <f t="shared" si="16"/>
        <v>0</v>
      </c>
      <c r="DR19" s="183">
        <f t="shared" si="16"/>
        <v>0</v>
      </c>
      <c r="DS19" s="183">
        <f t="shared" si="16"/>
        <v>0</v>
      </c>
      <c r="DT19" s="183">
        <f t="shared" si="16"/>
        <v>0</v>
      </c>
      <c r="DU19" s="183">
        <f t="shared" si="16"/>
        <v>0</v>
      </c>
      <c r="DV19" s="183">
        <f t="shared" si="16"/>
        <v>0</v>
      </c>
      <c r="DW19" s="183">
        <f t="shared" si="16"/>
        <v>0</v>
      </c>
      <c r="DX19" s="183">
        <f t="shared" si="16"/>
        <v>0</v>
      </c>
      <c r="DY19" s="183">
        <f t="shared" si="16"/>
        <v>0</v>
      </c>
      <c r="DZ19" s="183">
        <f t="shared" si="16"/>
        <v>0</v>
      </c>
      <c r="EA19" s="183">
        <f t="shared" si="16"/>
        <v>0</v>
      </c>
      <c r="EB19" s="183">
        <f t="shared" si="16"/>
        <v>0</v>
      </c>
      <c r="EC19" s="183">
        <f t="shared" si="16"/>
        <v>0</v>
      </c>
      <c r="ED19" s="183">
        <f t="shared" si="16"/>
        <v>0</v>
      </c>
      <c r="EE19" s="183">
        <f t="shared" si="16"/>
        <v>0</v>
      </c>
      <c r="EF19" s="183">
        <f t="shared" si="16"/>
        <v>0</v>
      </c>
      <c r="EG19" s="183">
        <f t="shared" si="16"/>
        <v>0</v>
      </c>
      <c r="EH19" s="183">
        <f t="shared" si="16"/>
        <v>0</v>
      </c>
      <c r="EI19" s="183">
        <f t="shared" si="16"/>
        <v>0</v>
      </c>
      <c r="EJ19" s="183">
        <f t="shared" si="16"/>
        <v>0</v>
      </c>
      <c r="EK19" s="183">
        <f t="shared" si="16"/>
        <v>0</v>
      </c>
      <c r="EL19" s="183">
        <f t="shared" si="16"/>
        <v>0</v>
      </c>
      <c r="EM19" s="183">
        <f t="shared" si="16"/>
        <v>0</v>
      </c>
      <c r="EN19" s="183">
        <f t="shared" si="16"/>
        <v>0</v>
      </c>
      <c r="EO19" s="183">
        <f t="shared" si="16"/>
        <v>0</v>
      </c>
      <c r="EP19" s="183">
        <f t="shared" si="16"/>
        <v>0</v>
      </c>
      <c r="EQ19" s="183">
        <f t="shared" si="16"/>
        <v>0</v>
      </c>
      <c r="ER19" s="183">
        <f t="shared" si="16"/>
        <v>0</v>
      </c>
      <c r="ES19" s="183">
        <f t="shared" si="16"/>
        <v>0</v>
      </c>
      <c r="ET19" s="183">
        <f t="shared" si="16"/>
        <v>0</v>
      </c>
      <c r="EU19" s="183">
        <f t="shared" si="16"/>
        <v>0</v>
      </c>
      <c r="EV19" s="183">
        <f t="shared" si="16"/>
        <v>0</v>
      </c>
      <c r="EW19" s="183">
        <f t="shared" si="12"/>
        <v>0</v>
      </c>
      <c r="EX19" s="183">
        <f t="shared" si="12"/>
        <v>0</v>
      </c>
      <c r="EY19" s="183">
        <f t="shared" si="12"/>
        <v>0</v>
      </c>
      <c r="EZ19" s="183">
        <f t="shared" si="12"/>
        <v>0</v>
      </c>
      <c r="FA19" s="144"/>
      <c r="FB19" s="144"/>
      <c r="FC19" s="144"/>
      <c r="FD19" s="144"/>
      <c r="FE19" s="144"/>
      <c r="FF19" s="144"/>
      <c r="FG19" s="144"/>
      <c r="FH19" s="144"/>
      <c r="FI19" s="144"/>
      <c r="FJ19" s="144"/>
      <c r="FK19" s="144"/>
      <c r="FL19" s="144"/>
      <c r="FM19" s="144"/>
      <c r="FN19" s="144"/>
      <c r="FO19" s="144"/>
      <c r="FP19" s="144"/>
      <c r="FQ19" s="144"/>
      <c r="FR19" s="144"/>
      <c r="FS19" s="144"/>
      <c r="FT19" s="144"/>
      <c r="FU19" s="144"/>
      <c r="FV19" s="144"/>
      <c r="FW19" s="144"/>
      <c r="FX19" s="144"/>
      <c r="FY19" s="144"/>
      <c r="FZ19" s="144"/>
      <c r="GA19" s="144"/>
      <c r="GB19" s="144"/>
      <c r="GC19" s="144"/>
      <c r="GD19" s="144"/>
      <c r="GE19" s="144"/>
      <c r="GF19" s="144"/>
      <c r="GG19" s="144"/>
      <c r="GH19" s="144"/>
      <c r="GI19" s="144"/>
      <c r="GJ19" s="144"/>
      <c r="GK19" s="144"/>
      <c r="GL19" s="144"/>
      <c r="GM19" s="144"/>
      <c r="GN19" s="144"/>
      <c r="GO19" s="144"/>
      <c r="GP19" s="144"/>
      <c r="GQ19" s="144"/>
      <c r="GR19" s="144"/>
      <c r="GS19" s="144"/>
      <c r="GT19" s="144"/>
      <c r="GU19" s="144"/>
      <c r="GV19" s="144"/>
      <c r="GW19" s="144"/>
      <c r="GX19" s="144"/>
      <c r="GY19" s="144"/>
      <c r="GZ19" s="144"/>
      <c r="HA19" s="144"/>
      <c r="HB19" s="144"/>
      <c r="HC19" s="144"/>
      <c r="HD19" s="144"/>
      <c r="HE19" s="144"/>
      <c r="HF19" s="144"/>
      <c r="HG19" s="144"/>
      <c r="HH19" s="144"/>
      <c r="HI19" s="144"/>
      <c r="HJ19" s="144"/>
      <c r="HK19" s="144"/>
    </row>
    <row r="20" spans="1:219" s="158" customFormat="1" x14ac:dyDescent="0.2">
      <c r="A20" s="630"/>
      <c r="B20" s="638" t="s">
        <v>82</v>
      </c>
      <c r="C20" s="639"/>
      <c r="D20" s="443">
        <v>0</v>
      </c>
      <c r="E20" s="199">
        <f>IF(units=0,0,'Renovation Budget'!D20/units)</f>
        <v>0</v>
      </c>
      <c r="F20" s="640">
        <v>0</v>
      </c>
      <c r="G20" s="640">
        <v>0</v>
      </c>
      <c r="H20" s="641">
        <f t="shared" si="7"/>
        <v>0</v>
      </c>
      <c r="I20" s="642" t="s">
        <v>107</v>
      </c>
      <c r="J20" s="643" t="s">
        <v>42</v>
      </c>
      <c r="K20" s="644"/>
      <c r="L20" s="183">
        <f t="shared" si="8"/>
        <v>0</v>
      </c>
      <c r="M20" s="183">
        <f t="shared" si="8"/>
        <v>0</v>
      </c>
      <c r="N20" s="183">
        <f t="shared" si="8"/>
        <v>0</v>
      </c>
      <c r="O20" s="183">
        <f t="shared" si="8"/>
        <v>0</v>
      </c>
      <c r="P20" s="183">
        <f t="shared" si="8"/>
        <v>0</v>
      </c>
      <c r="Q20" s="183">
        <f t="shared" si="8"/>
        <v>0</v>
      </c>
      <c r="R20" s="183">
        <f t="shared" si="8"/>
        <v>0</v>
      </c>
      <c r="S20" s="183">
        <f t="shared" si="8"/>
        <v>0</v>
      </c>
      <c r="T20" s="183">
        <f t="shared" si="8"/>
        <v>0</v>
      </c>
      <c r="U20" s="183">
        <f t="shared" si="8"/>
        <v>0</v>
      </c>
      <c r="V20" s="183">
        <f t="shared" si="8"/>
        <v>0</v>
      </c>
      <c r="W20" s="644"/>
      <c r="X20" s="183">
        <f t="shared" si="9"/>
        <v>0</v>
      </c>
      <c r="Y20" s="183">
        <f t="shared" si="10"/>
        <v>0</v>
      </c>
      <c r="Z20" s="183">
        <f t="shared" si="17"/>
        <v>0</v>
      </c>
      <c r="AA20" s="183">
        <f t="shared" si="17"/>
        <v>0</v>
      </c>
      <c r="AB20" s="183">
        <f t="shared" si="17"/>
        <v>0</v>
      </c>
      <c r="AC20" s="183">
        <f t="shared" si="17"/>
        <v>0</v>
      </c>
      <c r="AD20" s="183">
        <f t="shared" si="17"/>
        <v>0</v>
      </c>
      <c r="AE20" s="183">
        <f t="shared" si="17"/>
        <v>0</v>
      </c>
      <c r="AF20" s="183">
        <f t="shared" si="17"/>
        <v>0</v>
      </c>
      <c r="AG20" s="183">
        <f t="shared" si="17"/>
        <v>0</v>
      </c>
      <c r="AH20" s="183">
        <f t="shared" si="17"/>
        <v>0</v>
      </c>
      <c r="AI20" s="183">
        <f t="shared" si="17"/>
        <v>0</v>
      </c>
      <c r="AJ20" s="183">
        <f t="shared" si="17"/>
        <v>0</v>
      </c>
      <c r="AK20" s="183">
        <f t="shared" si="17"/>
        <v>0</v>
      </c>
      <c r="AL20" s="183">
        <f t="shared" si="17"/>
        <v>0</v>
      </c>
      <c r="AM20" s="183">
        <f t="shared" si="17"/>
        <v>0</v>
      </c>
      <c r="AN20" s="183">
        <f t="shared" si="17"/>
        <v>0</v>
      </c>
      <c r="AO20" s="183">
        <f t="shared" si="17"/>
        <v>0</v>
      </c>
      <c r="AP20" s="183">
        <f t="shared" si="17"/>
        <v>0</v>
      </c>
      <c r="AQ20" s="183">
        <f t="shared" si="17"/>
        <v>0</v>
      </c>
      <c r="AR20" s="183">
        <f t="shared" si="17"/>
        <v>0</v>
      </c>
      <c r="AS20" s="183">
        <f t="shared" si="17"/>
        <v>0</v>
      </c>
      <c r="AT20" s="183">
        <f t="shared" si="17"/>
        <v>0</v>
      </c>
      <c r="AU20" s="183">
        <f t="shared" si="17"/>
        <v>0</v>
      </c>
      <c r="AV20" s="183">
        <f t="shared" si="17"/>
        <v>0</v>
      </c>
      <c r="AW20" s="183">
        <f t="shared" si="17"/>
        <v>0</v>
      </c>
      <c r="AX20" s="183">
        <f t="shared" si="17"/>
        <v>0</v>
      </c>
      <c r="AY20" s="183">
        <f t="shared" si="17"/>
        <v>0</v>
      </c>
      <c r="AZ20" s="183">
        <f t="shared" si="17"/>
        <v>0</v>
      </c>
      <c r="BA20" s="183">
        <f t="shared" si="17"/>
        <v>0</v>
      </c>
      <c r="BB20" s="183">
        <f t="shared" si="17"/>
        <v>0</v>
      </c>
      <c r="BC20" s="183">
        <f t="shared" si="17"/>
        <v>0</v>
      </c>
      <c r="BD20" s="183">
        <f t="shared" si="17"/>
        <v>0</v>
      </c>
      <c r="BE20" s="183">
        <f t="shared" si="17"/>
        <v>0</v>
      </c>
      <c r="BF20" s="183">
        <f t="shared" si="17"/>
        <v>0</v>
      </c>
      <c r="BG20" s="183">
        <f t="shared" si="17"/>
        <v>0</v>
      </c>
      <c r="BH20" s="183">
        <f t="shared" si="17"/>
        <v>0</v>
      </c>
      <c r="BI20" s="183">
        <f t="shared" si="17"/>
        <v>0</v>
      </c>
      <c r="BJ20" s="183">
        <f t="shared" si="17"/>
        <v>0</v>
      </c>
      <c r="BK20" s="183">
        <f t="shared" si="17"/>
        <v>0</v>
      </c>
      <c r="BL20" s="183">
        <f t="shared" si="17"/>
        <v>0</v>
      </c>
      <c r="BM20" s="183">
        <f t="shared" si="17"/>
        <v>0</v>
      </c>
      <c r="BN20" s="183">
        <f t="shared" si="17"/>
        <v>0</v>
      </c>
      <c r="BO20" s="183">
        <f t="shared" si="17"/>
        <v>0</v>
      </c>
      <c r="BP20" s="183">
        <f t="shared" si="17"/>
        <v>0</v>
      </c>
      <c r="BQ20" s="183">
        <f t="shared" si="17"/>
        <v>0</v>
      </c>
      <c r="BR20" s="183">
        <f t="shared" si="17"/>
        <v>0</v>
      </c>
      <c r="BS20" s="183">
        <f t="shared" si="17"/>
        <v>0</v>
      </c>
      <c r="BT20" s="183">
        <f t="shared" si="17"/>
        <v>0</v>
      </c>
      <c r="BU20" s="183">
        <f t="shared" si="17"/>
        <v>0</v>
      </c>
      <c r="BV20" s="183">
        <f t="shared" si="17"/>
        <v>0</v>
      </c>
      <c r="BW20" s="183">
        <f t="shared" si="17"/>
        <v>0</v>
      </c>
      <c r="BX20" s="183">
        <f t="shared" si="17"/>
        <v>0</v>
      </c>
      <c r="BY20" s="183">
        <f t="shared" si="17"/>
        <v>0</v>
      </c>
      <c r="BZ20" s="183">
        <f t="shared" si="17"/>
        <v>0</v>
      </c>
      <c r="CA20" s="183">
        <f t="shared" si="17"/>
        <v>0</v>
      </c>
      <c r="CB20" s="183">
        <f t="shared" si="17"/>
        <v>0</v>
      </c>
      <c r="CC20" s="183">
        <f t="shared" si="17"/>
        <v>0</v>
      </c>
      <c r="CD20" s="183">
        <f t="shared" si="17"/>
        <v>0</v>
      </c>
      <c r="CE20" s="183">
        <f t="shared" si="17"/>
        <v>0</v>
      </c>
      <c r="CF20" s="183">
        <f t="shared" si="17"/>
        <v>0</v>
      </c>
      <c r="CG20" s="183">
        <f t="shared" si="17"/>
        <v>0</v>
      </c>
      <c r="CH20" s="183">
        <f t="shared" si="17"/>
        <v>0</v>
      </c>
      <c r="CI20" s="183">
        <f t="shared" si="17"/>
        <v>0</v>
      </c>
      <c r="CJ20" s="183">
        <f t="shared" si="17"/>
        <v>0</v>
      </c>
      <c r="CK20" s="183">
        <f t="shared" ref="CK20:EV21" si="18">IF(OR(CK$3&gt;=$G20,CK$3&lt;$F20),0,(_xlfn.NORM.DIST(CK$3-$F20+1,$H20/2,INDEX($E$115:$E$118,MATCH($I20,$D$115:$D$118,0)),TRUE)-_xlfn.NORM.DIST(CJ$3-$F20+1,$H20/2,INDEX($E$115:$E$118,MATCH($I20,$D$115:$D$118,0)),TRUE))/(1-2*_xlfn.NORM.DIST(0,$H20/2,INDEX($E$115:$E$118,MATCH($I20,$D$115:$D$118,0)),TRUE))*$D20)</f>
        <v>0</v>
      </c>
      <c r="CL20" s="183">
        <f t="shared" si="18"/>
        <v>0</v>
      </c>
      <c r="CM20" s="183">
        <f t="shared" si="18"/>
        <v>0</v>
      </c>
      <c r="CN20" s="183">
        <f t="shared" si="18"/>
        <v>0</v>
      </c>
      <c r="CO20" s="183">
        <f t="shared" si="18"/>
        <v>0</v>
      </c>
      <c r="CP20" s="183">
        <f t="shared" si="18"/>
        <v>0</v>
      </c>
      <c r="CQ20" s="183">
        <f t="shared" si="18"/>
        <v>0</v>
      </c>
      <c r="CR20" s="183">
        <f t="shared" si="18"/>
        <v>0</v>
      </c>
      <c r="CS20" s="183">
        <f t="shared" si="18"/>
        <v>0</v>
      </c>
      <c r="CT20" s="183">
        <f t="shared" si="18"/>
        <v>0</v>
      </c>
      <c r="CU20" s="183">
        <f t="shared" si="18"/>
        <v>0</v>
      </c>
      <c r="CV20" s="183">
        <f t="shared" si="18"/>
        <v>0</v>
      </c>
      <c r="CW20" s="183">
        <f t="shared" si="18"/>
        <v>0</v>
      </c>
      <c r="CX20" s="183">
        <f t="shared" si="18"/>
        <v>0</v>
      </c>
      <c r="CY20" s="183">
        <f t="shared" si="18"/>
        <v>0</v>
      </c>
      <c r="CZ20" s="183">
        <f t="shared" si="18"/>
        <v>0</v>
      </c>
      <c r="DA20" s="183">
        <f t="shared" si="18"/>
        <v>0</v>
      </c>
      <c r="DB20" s="183">
        <f t="shared" si="18"/>
        <v>0</v>
      </c>
      <c r="DC20" s="183">
        <f t="shared" si="18"/>
        <v>0</v>
      </c>
      <c r="DD20" s="183">
        <f t="shared" si="18"/>
        <v>0</v>
      </c>
      <c r="DE20" s="183">
        <f t="shared" si="18"/>
        <v>0</v>
      </c>
      <c r="DF20" s="183">
        <f t="shared" si="18"/>
        <v>0</v>
      </c>
      <c r="DG20" s="183">
        <f t="shared" si="18"/>
        <v>0</v>
      </c>
      <c r="DH20" s="183">
        <f t="shared" si="18"/>
        <v>0</v>
      </c>
      <c r="DI20" s="183">
        <f t="shared" si="18"/>
        <v>0</v>
      </c>
      <c r="DJ20" s="183">
        <f t="shared" si="18"/>
        <v>0</v>
      </c>
      <c r="DK20" s="183">
        <f t="shared" si="18"/>
        <v>0</v>
      </c>
      <c r="DL20" s="183">
        <f t="shared" si="18"/>
        <v>0</v>
      </c>
      <c r="DM20" s="183">
        <f t="shared" si="18"/>
        <v>0</v>
      </c>
      <c r="DN20" s="183">
        <f t="shared" si="18"/>
        <v>0</v>
      </c>
      <c r="DO20" s="183">
        <f t="shared" si="18"/>
        <v>0</v>
      </c>
      <c r="DP20" s="183">
        <f t="shared" si="18"/>
        <v>0</v>
      </c>
      <c r="DQ20" s="183">
        <f t="shared" si="18"/>
        <v>0</v>
      </c>
      <c r="DR20" s="183">
        <f t="shared" si="18"/>
        <v>0</v>
      </c>
      <c r="DS20" s="183">
        <f t="shared" si="18"/>
        <v>0</v>
      </c>
      <c r="DT20" s="183">
        <f t="shared" si="18"/>
        <v>0</v>
      </c>
      <c r="DU20" s="183">
        <f t="shared" si="18"/>
        <v>0</v>
      </c>
      <c r="DV20" s="183">
        <f t="shared" si="18"/>
        <v>0</v>
      </c>
      <c r="DW20" s="183">
        <f t="shared" si="18"/>
        <v>0</v>
      </c>
      <c r="DX20" s="183">
        <f t="shared" si="18"/>
        <v>0</v>
      </c>
      <c r="DY20" s="183">
        <f t="shared" si="18"/>
        <v>0</v>
      </c>
      <c r="DZ20" s="183">
        <f t="shared" si="18"/>
        <v>0</v>
      </c>
      <c r="EA20" s="183">
        <f t="shared" si="18"/>
        <v>0</v>
      </c>
      <c r="EB20" s="183">
        <f t="shared" si="18"/>
        <v>0</v>
      </c>
      <c r="EC20" s="183">
        <f t="shared" si="18"/>
        <v>0</v>
      </c>
      <c r="ED20" s="183">
        <f t="shared" si="18"/>
        <v>0</v>
      </c>
      <c r="EE20" s="183">
        <f t="shared" si="18"/>
        <v>0</v>
      </c>
      <c r="EF20" s="183">
        <f t="shared" si="18"/>
        <v>0</v>
      </c>
      <c r="EG20" s="183">
        <f t="shared" si="18"/>
        <v>0</v>
      </c>
      <c r="EH20" s="183">
        <f t="shared" si="18"/>
        <v>0</v>
      </c>
      <c r="EI20" s="183">
        <f t="shared" si="18"/>
        <v>0</v>
      </c>
      <c r="EJ20" s="183">
        <f t="shared" si="18"/>
        <v>0</v>
      </c>
      <c r="EK20" s="183">
        <f t="shared" si="18"/>
        <v>0</v>
      </c>
      <c r="EL20" s="183">
        <f t="shared" si="18"/>
        <v>0</v>
      </c>
      <c r="EM20" s="183">
        <f t="shared" si="18"/>
        <v>0</v>
      </c>
      <c r="EN20" s="183">
        <f t="shared" si="18"/>
        <v>0</v>
      </c>
      <c r="EO20" s="183">
        <f t="shared" si="18"/>
        <v>0</v>
      </c>
      <c r="EP20" s="183">
        <f t="shared" si="18"/>
        <v>0</v>
      </c>
      <c r="EQ20" s="183">
        <f t="shared" si="18"/>
        <v>0</v>
      </c>
      <c r="ER20" s="183">
        <f t="shared" si="18"/>
        <v>0</v>
      </c>
      <c r="ES20" s="183">
        <f t="shared" si="18"/>
        <v>0</v>
      </c>
      <c r="ET20" s="183">
        <f t="shared" si="18"/>
        <v>0</v>
      </c>
      <c r="EU20" s="183">
        <f t="shared" si="18"/>
        <v>0</v>
      </c>
      <c r="EV20" s="183">
        <f t="shared" si="18"/>
        <v>0</v>
      </c>
      <c r="EW20" s="183">
        <f t="shared" si="12"/>
        <v>0</v>
      </c>
      <c r="EX20" s="183">
        <f t="shared" si="12"/>
        <v>0</v>
      </c>
      <c r="EY20" s="183">
        <f t="shared" si="12"/>
        <v>0</v>
      </c>
      <c r="EZ20" s="183">
        <f t="shared" si="12"/>
        <v>0</v>
      </c>
      <c r="FA20" s="144"/>
      <c r="FB20" s="144"/>
      <c r="FC20" s="144"/>
      <c r="FD20" s="144"/>
      <c r="FE20" s="144"/>
      <c r="FF20" s="144"/>
      <c r="FG20" s="144"/>
      <c r="FH20" s="144"/>
      <c r="FI20" s="144"/>
      <c r="FJ20" s="144"/>
      <c r="FK20" s="144"/>
      <c r="FL20" s="144"/>
      <c r="FM20" s="144"/>
      <c r="FN20" s="144"/>
      <c r="FO20" s="144"/>
      <c r="FP20" s="144"/>
      <c r="FQ20" s="144"/>
      <c r="FR20" s="144"/>
      <c r="FS20" s="144"/>
      <c r="FT20" s="144"/>
      <c r="FU20" s="144"/>
      <c r="FV20" s="144"/>
      <c r="FW20" s="144"/>
      <c r="FX20" s="144"/>
      <c r="FY20" s="144"/>
      <c r="FZ20" s="144"/>
      <c r="GA20" s="144"/>
      <c r="GB20" s="144"/>
      <c r="GC20" s="144"/>
      <c r="GD20" s="144"/>
      <c r="GE20" s="144"/>
      <c r="GF20" s="144"/>
      <c r="GG20" s="144"/>
      <c r="GH20" s="144"/>
      <c r="GI20" s="144"/>
      <c r="GJ20" s="144"/>
      <c r="GK20" s="144"/>
      <c r="GL20" s="144"/>
      <c r="GM20" s="144"/>
      <c r="GN20" s="144"/>
      <c r="GO20" s="144"/>
      <c r="GP20" s="144"/>
      <c r="GQ20" s="144"/>
      <c r="GR20" s="144"/>
      <c r="GS20" s="144"/>
      <c r="GT20" s="144"/>
      <c r="GU20" s="144"/>
      <c r="GV20" s="144"/>
      <c r="GW20" s="144"/>
      <c r="GX20" s="144"/>
      <c r="GY20" s="144"/>
      <c r="GZ20" s="144"/>
      <c r="HA20" s="144"/>
      <c r="HB20" s="144"/>
      <c r="HC20" s="144"/>
      <c r="HD20" s="144"/>
      <c r="HE20" s="144"/>
      <c r="HF20" s="144"/>
      <c r="HG20" s="144"/>
      <c r="HH20" s="144"/>
      <c r="HI20" s="144"/>
      <c r="HJ20" s="144"/>
      <c r="HK20" s="144"/>
    </row>
    <row r="21" spans="1:219" s="158" customFormat="1" x14ac:dyDescent="0.2">
      <c r="A21" s="630"/>
      <c r="B21" s="638" t="s">
        <v>82</v>
      </c>
      <c r="C21" s="639"/>
      <c r="D21" s="443">
        <v>0</v>
      </c>
      <c r="E21" s="199">
        <f>IF(units=0,0,'Renovation Budget'!D21/units)</f>
        <v>0</v>
      </c>
      <c r="F21" s="640">
        <v>0</v>
      </c>
      <c r="G21" s="640">
        <v>0</v>
      </c>
      <c r="H21" s="641">
        <f t="shared" si="7"/>
        <v>0</v>
      </c>
      <c r="I21" s="642" t="s">
        <v>107</v>
      </c>
      <c r="J21" s="643" t="s">
        <v>42</v>
      </c>
      <c r="K21" s="644"/>
      <c r="L21" s="183">
        <f t="shared" si="8"/>
        <v>0</v>
      </c>
      <c r="M21" s="183">
        <f t="shared" si="8"/>
        <v>0</v>
      </c>
      <c r="N21" s="183">
        <f t="shared" si="8"/>
        <v>0</v>
      </c>
      <c r="O21" s="183">
        <f t="shared" si="8"/>
        <v>0</v>
      </c>
      <c r="P21" s="183">
        <f t="shared" si="8"/>
        <v>0</v>
      </c>
      <c r="Q21" s="183">
        <f t="shared" si="8"/>
        <v>0</v>
      </c>
      <c r="R21" s="183">
        <f t="shared" si="8"/>
        <v>0</v>
      </c>
      <c r="S21" s="183">
        <f t="shared" ref="S21:V21" si="19">SUMIF($X$4:$EZ$4,S$4,$X21:$EZ21)</f>
        <v>0</v>
      </c>
      <c r="T21" s="183">
        <f t="shared" si="19"/>
        <v>0</v>
      </c>
      <c r="U21" s="183">
        <f t="shared" si="19"/>
        <v>0</v>
      </c>
      <c r="V21" s="183">
        <f t="shared" si="19"/>
        <v>0</v>
      </c>
      <c r="W21" s="644"/>
      <c r="X21" s="183">
        <f t="shared" si="9"/>
        <v>0</v>
      </c>
      <c r="Y21" s="183">
        <f t="shared" si="10"/>
        <v>0</v>
      </c>
      <c r="Z21" s="183">
        <f t="shared" ref="Z21:CK21" si="20">IF(OR(Z$3&gt;=$G21,Z$3&lt;$F21),0,(_xlfn.NORM.DIST(Z$3-$F21+1,$H21/2,INDEX($E$115:$E$118,MATCH($I21,$D$115:$D$118,0)),TRUE)-_xlfn.NORM.DIST(Y$3-$F21+1,$H21/2,INDEX($E$115:$E$118,MATCH($I21,$D$115:$D$118,0)),TRUE))/(1-2*_xlfn.NORM.DIST(0,$H21/2,INDEX($E$115:$E$118,MATCH($I21,$D$115:$D$118,0)),TRUE))*$D21)</f>
        <v>0</v>
      </c>
      <c r="AA21" s="183">
        <f t="shared" si="20"/>
        <v>0</v>
      </c>
      <c r="AB21" s="183">
        <f t="shared" si="20"/>
        <v>0</v>
      </c>
      <c r="AC21" s="183">
        <f t="shared" si="20"/>
        <v>0</v>
      </c>
      <c r="AD21" s="183">
        <f t="shared" si="20"/>
        <v>0</v>
      </c>
      <c r="AE21" s="183">
        <f t="shared" si="20"/>
        <v>0</v>
      </c>
      <c r="AF21" s="183">
        <f t="shared" si="20"/>
        <v>0</v>
      </c>
      <c r="AG21" s="183">
        <f t="shared" si="20"/>
        <v>0</v>
      </c>
      <c r="AH21" s="183">
        <f t="shared" si="20"/>
        <v>0</v>
      </c>
      <c r="AI21" s="183">
        <f t="shared" si="20"/>
        <v>0</v>
      </c>
      <c r="AJ21" s="183">
        <f t="shared" si="20"/>
        <v>0</v>
      </c>
      <c r="AK21" s="183">
        <f t="shared" si="20"/>
        <v>0</v>
      </c>
      <c r="AL21" s="183">
        <f t="shared" si="20"/>
        <v>0</v>
      </c>
      <c r="AM21" s="183">
        <f t="shared" si="20"/>
        <v>0</v>
      </c>
      <c r="AN21" s="183">
        <f t="shared" si="20"/>
        <v>0</v>
      </c>
      <c r="AO21" s="183">
        <f t="shared" si="20"/>
        <v>0</v>
      </c>
      <c r="AP21" s="183">
        <f t="shared" si="20"/>
        <v>0</v>
      </c>
      <c r="AQ21" s="183">
        <f t="shared" si="20"/>
        <v>0</v>
      </c>
      <c r="AR21" s="183">
        <f t="shared" si="20"/>
        <v>0</v>
      </c>
      <c r="AS21" s="183">
        <f t="shared" si="20"/>
        <v>0</v>
      </c>
      <c r="AT21" s="183">
        <f t="shared" si="20"/>
        <v>0</v>
      </c>
      <c r="AU21" s="183">
        <f t="shared" si="20"/>
        <v>0</v>
      </c>
      <c r="AV21" s="183">
        <f t="shared" si="20"/>
        <v>0</v>
      </c>
      <c r="AW21" s="183">
        <f t="shared" si="20"/>
        <v>0</v>
      </c>
      <c r="AX21" s="183">
        <f t="shared" si="20"/>
        <v>0</v>
      </c>
      <c r="AY21" s="183">
        <f t="shared" si="20"/>
        <v>0</v>
      </c>
      <c r="AZ21" s="183">
        <f t="shared" si="20"/>
        <v>0</v>
      </c>
      <c r="BA21" s="183">
        <f t="shared" si="20"/>
        <v>0</v>
      </c>
      <c r="BB21" s="183">
        <f t="shared" si="20"/>
        <v>0</v>
      </c>
      <c r="BC21" s="183">
        <f t="shared" si="20"/>
        <v>0</v>
      </c>
      <c r="BD21" s="183">
        <f t="shared" si="20"/>
        <v>0</v>
      </c>
      <c r="BE21" s="183">
        <f t="shared" si="20"/>
        <v>0</v>
      </c>
      <c r="BF21" s="183">
        <f t="shared" si="20"/>
        <v>0</v>
      </c>
      <c r="BG21" s="183">
        <f t="shared" si="20"/>
        <v>0</v>
      </c>
      <c r="BH21" s="183">
        <f t="shared" si="20"/>
        <v>0</v>
      </c>
      <c r="BI21" s="183">
        <f t="shared" si="20"/>
        <v>0</v>
      </c>
      <c r="BJ21" s="183">
        <f t="shared" si="20"/>
        <v>0</v>
      </c>
      <c r="BK21" s="183">
        <f t="shared" si="20"/>
        <v>0</v>
      </c>
      <c r="BL21" s="183">
        <f t="shared" si="20"/>
        <v>0</v>
      </c>
      <c r="BM21" s="183">
        <f t="shared" si="20"/>
        <v>0</v>
      </c>
      <c r="BN21" s="183">
        <f t="shared" si="20"/>
        <v>0</v>
      </c>
      <c r="BO21" s="183">
        <f t="shared" si="20"/>
        <v>0</v>
      </c>
      <c r="BP21" s="183">
        <f t="shared" si="20"/>
        <v>0</v>
      </c>
      <c r="BQ21" s="183">
        <f t="shared" si="20"/>
        <v>0</v>
      </c>
      <c r="BR21" s="183">
        <f t="shared" si="20"/>
        <v>0</v>
      </c>
      <c r="BS21" s="183">
        <f t="shared" si="20"/>
        <v>0</v>
      </c>
      <c r="BT21" s="183">
        <f t="shared" si="20"/>
        <v>0</v>
      </c>
      <c r="BU21" s="183">
        <f t="shared" si="20"/>
        <v>0</v>
      </c>
      <c r="BV21" s="183">
        <f t="shared" si="20"/>
        <v>0</v>
      </c>
      <c r="BW21" s="183">
        <f t="shared" si="20"/>
        <v>0</v>
      </c>
      <c r="BX21" s="183">
        <f t="shared" si="20"/>
        <v>0</v>
      </c>
      <c r="BY21" s="183">
        <f t="shared" si="20"/>
        <v>0</v>
      </c>
      <c r="BZ21" s="183">
        <f t="shared" si="20"/>
        <v>0</v>
      </c>
      <c r="CA21" s="183">
        <f t="shared" si="20"/>
        <v>0</v>
      </c>
      <c r="CB21" s="183">
        <f t="shared" si="20"/>
        <v>0</v>
      </c>
      <c r="CC21" s="183">
        <f t="shared" si="20"/>
        <v>0</v>
      </c>
      <c r="CD21" s="183">
        <f t="shared" si="20"/>
        <v>0</v>
      </c>
      <c r="CE21" s="183">
        <f t="shared" si="20"/>
        <v>0</v>
      </c>
      <c r="CF21" s="183">
        <f t="shared" si="20"/>
        <v>0</v>
      </c>
      <c r="CG21" s="183">
        <f t="shared" si="20"/>
        <v>0</v>
      </c>
      <c r="CH21" s="183">
        <f t="shared" si="20"/>
        <v>0</v>
      </c>
      <c r="CI21" s="183">
        <f t="shared" si="20"/>
        <v>0</v>
      </c>
      <c r="CJ21" s="183">
        <f t="shared" si="20"/>
        <v>0</v>
      </c>
      <c r="CK21" s="183">
        <f t="shared" si="20"/>
        <v>0</v>
      </c>
      <c r="CL21" s="183">
        <f t="shared" si="18"/>
        <v>0</v>
      </c>
      <c r="CM21" s="183">
        <f t="shared" si="18"/>
        <v>0</v>
      </c>
      <c r="CN21" s="183">
        <f t="shared" si="18"/>
        <v>0</v>
      </c>
      <c r="CO21" s="183">
        <f t="shared" si="18"/>
        <v>0</v>
      </c>
      <c r="CP21" s="183">
        <f t="shared" si="18"/>
        <v>0</v>
      </c>
      <c r="CQ21" s="183">
        <f t="shared" si="18"/>
        <v>0</v>
      </c>
      <c r="CR21" s="183">
        <f t="shared" si="18"/>
        <v>0</v>
      </c>
      <c r="CS21" s="183">
        <f t="shared" si="18"/>
        <v>0</v>
      </c>
      <c r="CT21" s="183">
        <f t="shared" si="18"/>
        <v>0</v>
      </c>
      <c r="CU21" s="183">
        <f t="shared" si="18"/>
        <v>0</v>
      </c>
      <c r="CV21" s="183">
        <f t="shared" si="18"/>
        <v>0</v>
      </c>
      <c r="CW21" s="183">
        <f t="shared" si="18"/>
        <v>0</v>
      </c>
      <c r="CX21" s="183">
        <f t="shared" si="18"/>
        <v>0</v>
      </c>
      <c r="CY21" s="183">
        <f t="shared" si="18"/>
        <v>0</v>
      </c>
      <c r="CZ21" s="183">
        <f t="shared" si="18"/>
        <v>0</v>
      </c>
      <c r="DA21" s="183">
        <f t="shared" si="18"/>
        <v>0</v>
      </c>
      <c r="DB21" s="183">
        <f t="shared" si="18"/>
        <v>0</v>
      </c>
      <c r="DC21" s="183">
        <f t="shared" si="18"/>
        <v>0</v>
      </c>
      <c r="DD21" s="183">
        <f t="shared" si="18"/>
        <v>0</v>
      </c>
      <c r="DE21" s="183">
        <f t="shared" si="18"/>
        <v>0</v>
      </c>
      <c r="DF21" s="183">
        <f t="shared" si="18"/>
        <v>0</v>
      </c>
      <c r="DG21" s="183">
        <f t="shared" si="18"/>
        <v>0</v>
      </c>
      <c r="DH21" s="183">
        <f t="shared" si="18"/>
        <v>0</v>
      </c>
      <c r="DI21" s="183">
        <f t="shared" si="18"/>
        <v>0</v>
      </c>
      <c r="DJ21" s="183">
        <f t="shared" si="18"/>
        <v>0</v>
      </c>
      <c r="DK21" s="183">
        <f t="shared" si="18"/>
        <v>0</v>
      </c>
      <c r="DL21" s="183">
        <f t="shared" si="18"/>
        <v>0</v>
      </c>
      <c r="DM21" s="183">
        <f t="shared" si="18"/>
        <v>0</v>
      </c>
      <c r="DN21" s="183">
        <f t="shared" si="18"/>
        <v>0</v>
      </c>
      <c r="DO21" s="183">
        <f t="shared" si="18"/>
        <v>0</v>
      </c>
      <c r="DP21" s="183">
        <f t="shared" si="18"/>
        <v>0</v>
      </c>
      <c r="DQ21" s="183">
        <f t="shared" si="18"/>
        <v>0</v>
      </c>
      <c r="DR21" s="183">
        <f t="shared" si="18"/>
        <v>0</v>
      </c>
      <c r="DS21" s="183">
        <f t="shared" si="18"/>
        <v>0</v>
      </c>
      <c r="DT21" s="183">
        <f t="shared" si="18"/>
        <v>0</v>
      </c>
      <c r="DU21" s="183">
        <f t="shared" si="18"/>
        <v>0</v>
      </c>
      <c r="DV21" s="183">
        <f t="shared" si="18"/>
        <v>0</v>
      </c>
      <c r="DW21" s="183">
        <f t="shared" si="18"/>
        <v>0</v>
      </c>
      <c r="DX21" s="183">
        <f t="shared" si="18"/>
        <v>0</v>
      </c>
      <c r="DY21" s="183">
        <f t="shared" si="18"/>
        <v>0</v>
      </c>
      <c r="DZ21" s="183">
        <f t="shared" si="18"/>
        <v>0</v>
      </c>
      <c r="EA21" s="183">
        <f t="shared" si="18"/>
        <v>0</v>
      </c>
      <c r="EB21" s="183">
        <f t="shared" si="18"/>
        <v>0</v>
      </c>
      <c r="EC21" s="183">
        <f t="shared" si="18"/>
        <v>0</v>
      </c>
      <c r="ED21" s="183">
        <f t="shared" si="18"/>
        <v>0</v>
      </c>
      <c r="EE21" s="183">
        <f t="shared" si="18"/>
        <v>0</v>
      </c>
      <c r="EF21" s="183">
        <f t="shared" si="18"/>
        <v>0</v>
      </c>
      <c r="EG21" s="183">
        <f t="shared" si="18"/>
        <v>0</v>
      </c>
      <c r="EH21" s="183">
        <f t="shared" si="18"/>
        <v>0</v>
      </c>
      <c r="EI21" s="183">
        <f t="shared" si="18"/>
        <v>0</v>
      </c>
      <c r="EJ21" s="183">
        <f t="shared" si="18"/>
        <v>0</v>
      </c>
      <c r="EK21" s="183">
        <f t="shared" si="18"/>
        <v>0</v>
      </c>
      <c r="EL21" s="183">
        <f t="shared" si="18"/>
        <v>0</v>
      </c>
      <c r="EM21" s="183">
        <f t="shared" si="18"/>
        <v>0</v>
      </c>
      <c r="EN21" s="183">
        <f t="shared" si="18"/>
        <v>0</v>
      </c>
      <c r="EO21" s="183">
        <f t="shared" si="18"/>
        <v>0</v>
      </c>
      <c r="EP21" s="183">
        <f t="shared" si="18"/>
        <v>0</v>
      </c>
      <c r="EQ21" s="183">
        <f t="shared" si="18"/>
        <v>0</v>
      </c>
      <c r="ER21" s="183">
        <f t="shared" si="18"/>
        <v>0</v>
      </c>
      <c r="ES21" s="183">
        <f t="shared" si="18"/>
        <v>0</v>
      </c>
      <c r="ET21" s="183">
        <f t="shared" si="18"/>
        <v>0</v>
      </c>
      <c r="EU21" s="183">
        <f t="shared" si="18"/>
        <v>0</v>
      </c>
      <c r="EV21" s="183">
        <f t="shared" si="18"/>
        <v>0</v>
      </c>
      <c r="EW21" s="183">
        <f t="shared" si="12"/>
        <v>0</v>
      </c>
      <c r="EX21" s="183">
        <f t="shared" si="12"/>
        <v>0</v>
      </c>
      <c r="EY21" s="183">
        <f t="shared" si="12"/>
        <v>0</v>
      </c>
      <c r="EZ21" s="183">
        <f t="shared" si="12"/>
        <v>0</v>
      </c>
      <c r="FA21" s="144"/>
      <c r="FB21" s="144"/>
      <c r="FC21" s="144"/>
      <c r="FD21" s="144"/>
      <c r="FE21" s="144"/>
      <c r="FF21" s="144"/>
      <c r="FG21" s="144"/>
      <c r="FH21" s="144"/>
      <c r="FI21" s="144"/>
      <c r="FJ21" s="144"/>
      <c r="FK21" s="144"/>
      <c r="FL21" s="144"/>
      <c r="FM21" s="144"/>
      <c r="FN21" s="144"/>
      <c r="FO21" s="144"/>
      <c r="FP21" s="144"/>
      <c r="FQ21" s="144"/>
      <c r="FR21" s="144"/>
      <c r="FS21" s="144"/>
      <c r="FT21" s="144"/>
      <c r="FU21" s="144"/>
      <c r="FV21" s="144"/>
      <c r="FW21" s="144"/>
      <c r="FX21" s="144"/>
      <c r="FY21" s="144"/>
      <c r="FZ21" s="144"/>
      <c r="GA21" s="144"/>
      <c r="GB21" s="144"/>
      <c r="GC21" s="144"/>
      <c r="GD21" s="144"/>
      <c r="GE21" s="144"/>
      <c r="GF21" s="144"/>
      <c r="GG21" s="144"/>
      <c r="GH21" s="144"/>
      <c r="GI21" s="144"/>
      <c r="GJ21" s="144"/>
      <c r="GK21" s="144"/>
      <c r="GL21" s="144"/>
      <c r="GM21" s="144"/>
      <c r="GN21" s="144"/>
      <c r="GO21" s="144"/>
      <c r="GP21" s="144"/>
      <c r="GQ21" s="144"/>
      <c r="GR21" s="144"/>
      <c r="GS21" s="144"/>
      <c r="GT21" s="144"/>
      <c r="GU21" s="144"/>
      <c r="GV21" s="144"/>
      <c r="GW21" s="144"/>
      <c r="GX21" s="144"/>
      <c r="GY21" s="144"/>
      <c r="GZ21" s="144"/>
      <c r="HA21" s="144"/>
      <c r="HB21" s="144"/>
      <c r="HC21" s="144"/>
      <c r="HD21" s="144"/>
      <c r="HE21" s="144"/>
      <c r="HF21" s="144"/>
      <c r="HG21" s="144"/>
      <c r="HH21" s="144"/>
      <c r="HI21" s="144"/>
      <c r="HJ21" s="144"/>
      <c r="HK21" s="144"/>
    </row>
    <row r="22" spans="1:219" s="629" customFormat="1" x14ac:dyDescent="0.2">
      <c r="A22" s="630"/>
      <c r="B22" s="218" t="s">
        <v>692</v>
      </c>
      <c r="C22" s="218"/>
      <c r="D22" s="645">
        <f>SUBTOTAL(9,D8:D21)</f>
        <v>0</v>
      </c>
      <c r="E22" s="646">
        <f>IF(units=0,0,'Renovation Budget'!D22/units)</f>
        <v>0</v>
      </c>
      <c r="F22" s="296">
        <f>MIN(F8:F21)</f>
        <v>0</v>
      </c>
      <c r="G22" s="296">
        <f>MAX(G8:G21)</f>
        <v>0</v>
      </c>
      <c r="H22" s="647">
        <f>IF(G22+F22=0,0,G22-F22)</f>
        <v>0</v>
      </c>
      <c r="I22" s="645"/>
      <c r="J22" s="648"/>
      <c r="K22" s="627"/>
      <c r="L22" s="239">
        <f>SUBTOTAL(9,L8:L21)</f>
        <v>0</v>
      </c>
      <c r="M22" s="239">
        <f t="shared" ref="M22:V22" si="21">SUBTOTAL(9,M8:M21)</f>
        <v>0</v>
      </c>
      <c r="N22" s="239">
        <f t="shared" si="21"/>
        <v>0</v>
      </c>
      <c r="O22" s="239">
        <f t="shared" si="21"/>
        <v>0</v>
      </c>
      <c r="P22" s="239">
        <f t="shared" si="21"/>
        <v>0</v>
      </c>
      <c r="Q22" s="239">
        <f t="shared" si="21"/>
        <v>0</v>
      </c>
      <c r="R22" s="239">
        <f t="shared" si="21"/>
        <v>0</v>
      </c>
      <c r="S22" s="239">
        <f t="shared" si="21"/>
        <v>0</v>
      </c>
      <c r="T22" s="239">
        <f t="shared" si="21"/>
        <v>0</v>
      </c>
      <c r="U22" s="239">
        <f t="shared" si="21"/>
        <v>0</v>
      </c>
      <c r="V22" s="239">
        <f t="shared" si="21"/>
        <v>0</v>
      </c>
      <c r="W22" s="627"/>
      <c r="X22" s="239">
        <f>SUBTOTAL(9,X8:X21)</f>
        <v>0</v>
      </c>
      <c r="Y22" s="239">
        <f t="shared" ref="Y22:CJ22" si="22">SUBTOTAL(9,Y8:Y21)</f>
        <v>0</v>
      </c>
      <c r="Z22" s="239">
        <f t="shared" si="22"/>
        <v>0</v>
      </c>
      <c r="AA22" s="239">
        <f t="shared" si="22"/>
        <v>0</v>
      </c>
      <c r="AB22" s="239">
        <f t="shared" si="22"/>
        <v>0</v>
      </c>
      <c r="AC22" s="239">
        <f t="shared" si="22"/>
        <v>0</v>
      </c>
      <c r="AD22" s="239">
        <f t="shared" si="22"/>
        <v>0</v>
      </c>
      <c r="AE22" s="239">
        <f t="shared" si="22"/>
        <v>0</v>
      </c>
      <c r="AF22" s="239">
        <f t="shared" si="22"/>
        <v>0</v>
      </c>
      <c r="AG22" s="239">
        <f t="shared" si="22"/>
        <v>0</v>
      </c>
      <c r="AH22" s="239">
        <f t="shared" si="22"/>
        <v>0</v>
      </c>
      <c r="AI22" s="239">
        <f t="shared" si="22"/>
        <v>0</v>
      </c>
      <c r="AJ22" s="239">
        <f t="shared" si="22"/>
        <v>0</v>
      </c>
      <c r="AK22" s="239">
        <f t="shared" si="22"/>
        <v>0</v>
      </c>
      <c r="AL22" s="239">
        <f t="shared" si="22"/>
        <v>0</v>
      </c>
      <c r="AM22" s="239">
        <f t="shared" si="22"/>
        <v>0</v>
      </c>
      <c r="AN22" s="239">
        <f t="shared" si="22"/>
        <v>0</v>
      </c>
      <c r="AO22" s="239">
        <f t="shared" si="22"/>
        <v>0</v>
      </c>
      <c r="AP22" s="239">
        <f t="shared" si="22"/>
        <v>0</v>
      </c>
      <c r="AQ22" s="239">
        <f t="shared" si="22"/>
        <v>0</v>
      </c>
      <c r="AR22" s="239">
        <f t="shared" si="22"/>
        <v>0</v>
      </c>
      <c r="AS22" s="239">
        <f t="shared" si="22"/>
        <v>0</v>
      </c>
      <c r="AT22" s="239">
        <f t="shared" si="22"/>
        <v>0</v>
      </c>
      <c r="AU22" s="239">
        <f t="shared" si="22"/>
        <v>0</v>
      </c>
      <c r="AV22" s="239">
        <f t="shared" si="22"/>
        <v>0</v>
      </c>
      <c r="AW22" s="239">
        <f t="shared" si="22"/>
        <v>0</v>
      </c>
      <c r="AX22" s="239">
        <f t="shared" si="22"/>
        <v>0</v>
      </c>
      <c r="AY22" s="239">
        <f t="shared" si="22"/>
        <v>0</v>
      </c>
      <c r="AZ22" s="239">
        <f t="shared" si="22"/>
        <v>0</v>
      </c>
      <c r="BA22" s="239">
        <f t="shared" si="22"/>
        <v>0</v>
      </c>
      <c r="BB22" s="239">
        <f t="shared" si="22"/>
        <v>0</v>
      </c>
      <c r="BC22" s="239">
        <f t="shared" si="22"/>
        <v>0</v>
      </c>
      <c r="BD22" s="239">
        <f t="shared" si="22"/>
        <v>0</v>
      </c>
      <c r="BE22" s="239">
        <f t="shared" si="22"/>
        <v>0</v>
      </c>
      <c r="BF22" s="239">
        <f t="shared" si="22"/>
        <v>0</v>
      </c>
      <c r="BG22" s="239">
        <f t="shared" si="22"/>
        <v>0</v>
      </c>
      <c r="BH22" s="239">
        <f t="shared" si="22"/>
        <v>0</v>
      </c>
      <c r="BI22" s="239">
        <f t="shared" si="22"/>
        <v>0</v>
      </c>
      <c r="BJ22" s="239">
        <f t="shared" si="22"/>
        <v>0</v>
      </c>
      <c r="BK22" s="239">
        <f t="shared" si="22"/>
        <v>0</v>
      </c>
      <c r="BL22" s="239">
        <f t="shared" si="22"/>
        <v>0</v>
      </c>
      <c r="BM22" s="239">
        <f t="shared" si="22"/>
        <v>0</v>
      </c>
      <c r="BN22" s="239">
        <f t="shared" si="22"/>
        <v>0</v>
      </c>
      <c r="BO22" s="239">
        <f t="shared" si="22"/>
        <v>0</v>
      </c>
      <c r="BP22" s="239">
        <f t="shared" si="22"/>
        <v>0</v>
      </c>
      <c r="BQ22" s="239">
        <f t="shared" si="22"/>
        <v>0</v>
      </c>
      <c r="BR22" s="239">
        <f t="shared" si="22"/>
        <v>0</v>
      </c>
      <c r="BS22" s="239">
        <f t="shared" si="22"/>
        <v>0</v>
      </c>
      <c r="BT22" s="239">
        <f t="shared" si="22"/>
        <v>0</v>
      </c>
      <c r="BU22" s="239">
        <f t="shared" si="22"/>
        <v>0</v>
      </c>
      <c r="BV22" s="239">
        <f t="shared" si="22"/>
        <v>0</v>
      </c>
      <c r="BW22" s="239">
        <f t="shared" si="22"/>
        <v>0</v>
      </c>
      <c r="BX22" s="239">
        <f t="shared" si="22"/>
        <v>0</v>
      </c>
      <c r="BY22" s="239">
        <f t="shared" si="22"/>
        <v>0</v>
      </c>
      <c r="BZ22" s="239">
        <f t="shared" si="22"/>
        <v>0</v>
      </c>
      <c r="CA22" s="239">
        <f t="shared" si="22"/>
        <v>0</v>
      </c>
      <c r="CB22" s="239">
        <f t="shared" si="22"/>
        <v>0</v>
      </c>
      <c r="CC22" s="239">
        <f t="shared" si="22"/>
        <v>0</v>
      </c>
      <c r="CD22" s="239">
        <f t="shared" si="22"/>
        <v>0</v>
      </c>
      <c r="CE22" s="239">
        <f t="shared" si="22"/>
        <v>0</v>
      </c>
      <c r="CF22" s="239">
        <f t="shared" si="22"/>
        <v>0</v>
      </c>
      <c r="CG22" s="239">
        <f t="shared" si="22"/>
        <v>0</v>
      </c>
      <c r="CH22" s="239">
        <f t="shared" si="22"/>
        <v>0</v>
      </c>
      <c r="CI22" s="239">
        <f t="shared" si="22"/>
        <v>0</v>
      </c>
      <c r="CJ22" s="239">
        <f t="shared" si="22"/>
        <v>0</v>
      </c>
      <c r="CK22" s="239">
        <f t="shared" ref="CK22:EV22" si="23">SUBTOTAL(9,CK8:CK21)</f>
        <v>0</v>
      </c>
      <c r="CL22" s="239">
        <f t="shared" si="23"/>
        <v>0</v>
      </c>
      <c r="CM22" s="239">
        <f t="shared" si="23"/>
        <v>0</v>
      </c>
      <c r="CN22" s="239">
        <f t="shared" si="23"/>
        <v>0</v>
      </c>
      <c r="CO22" s="239">
        <f t="shared" si="23"/>
        <v>0</v>
      </c>
      <c r="CP22" s="239">
        <f t="shared" si="23"/>
        <v>0</v>
      </c>
      <c r="CQ22" s="239">
        <f t="shared" si="23"/>
        <v>0</v>
      </c>
      <c r="CR22" s="239">
        <f t="shared" si="23"/>
        <v>0</v>
      </c>
      <c r="CS22" s="239">
        <f t="shared" si="23"/>
        <v>0</v>
      </c>
      <c r="CT22" s="239">
        <f t="shared" si="23"/>
        <v>0</v>
      </c>
      <c r="CU22" s="239">
        <f t="shared" si="23"/>
        <v>0</v>
      </c>
      <c r="CV22" s="239">
        <f t="shared" si="23"/>
        <v>0</v>
      </c>
      <c r="CW22" s="239">
        <f t="shared" si="23"/>
        <v>0</v>
      </c>
      <c r="CX22" s="239">
        <f t="shared" si="23"/>
        <v>0</v>
      </c>
      <c r="CY22" s="239">
        <f t="shared" si="23"/>
        <v>0</v>
      </c>
      <c r="CZ22" s="239">
        <f t="shared" si="23"/>
        <v>0</v>
      </c>
      <c r="DA22" s="239">
        <f t="shared" si="23"/>
        <v>0</v>
      </c>
      <c r="DB22" s="239">
        <f t="shared" si="23"/>
        <v>0</v>
      </c>
      <c r="DC22" s="239">
        <f t="shared" si="23"/>
        <v>0</v>
      </c>
      <c r="DD22" s="239">
        <f t="shared" si="23"/>
        <v>0</v>
      </c>
      <c r="DE22" s="239">
        <f t="shared" si="23"/>
        <v>0</v>
      </c>
      <c r="DF22" s="239">
        <f t="shared" si="23"/>
        <v>0</v>
      </c>
      <c r="DG22" s="239">
        <f t="shared" si="23"/>
        <v>0</v>
      </c>
      <c r="DH22" s="239">
        <f t="shared" si="23"/>
        <v>0</v>
      </c>
      <c r="DI22" s="239">
        <f t="shared" si="23"/>
        <v>0</v>
      </c>
      <c r="DJ22" s="239">
        <f t="shared" si="23"/>
        <v>0</v>
      </c>
      <c r="DK22" s="239">
        <f t="shared" si="23"/>
        <v>0</v>
      </c>
      <c r="DL22" s="239">
        <f t="shared" si="23"/>
        <v>0</v>
      </c>
      <c r="DM22" s="239">
        <f t="shared" si="23"/>
        <v>0</v>
      </c>
      <c r="DN22" s="239">
        <f t="shared" si="23"/>
        <v>0</v>
      </c>
      <c r="DO22" s="239">
        <f t="shared" si="23"/>
        <v>0</v>
      </c>
      <c r="DP22" s="239">
        <f t="shared" si="23"/>
        <v>0</v>
      </c>
      <c r="DQ22" s="239">
        <f t="shared" si="23"/>
        <v>0</v>
      </c>
      <c r="DR22" s="239">
        <f t="shared" si="23"/>
        <v>0</v>
      </c>
      <c r="DS22" s="239">
        <f t="shared" si="23"/>
        <v>0</v>
      </c>
      <c r="DT22" s="239">
        <f t="shared" si="23"/>
        <v>0</v>
      </c>
      <c r="DU22" s="239">
        <f t="shared" si="23"/>
        <v>0</v>
      </c>
      <c r="DV22" s="239">
        <f t="shared" si="23"/>
        <v>0</v>
      </c>
      <c r="DW22" s="239">
        <f t="shared" si="23"/>
        <v>0</v>
      </c>
      <c r="DX22" s="239">
        <f t="shared" si="23"/>
        <v>0</v>
      </c>
      <c r="DY22" s="239">
        <f t="shared" si="23"/>
        <v>0</v>
      </c>
      <c r="DZ22" s="239">
        <f t="shared" si="23"/>
        <v>0</v>
      </c>
      <c r="EA22" s="239">
        <f t="shared" si="23"/>
        <v>0</v>
      </c>
      <c r="EB22" s="239">
        <f t="shared" si="23"/>
        <v>0</v>
      </c>
      <c r="EC22" s="239">
        <f t="shared" si="23"/>
        <v>0</v>
      </c>
      <c r="ED22" s="239">
        <f t="shared" si="23"/>
        <v>0</v>
      </c>
      <c r="EE22" s="239">
        <f t="shared" si="23"/>
        <v>0</v>
      </c>
      <c r="EF22" s="239">
        <f t="shared" si="23"/>
        <v>0</v>
      </c>
      <c r="EG22" s="239">
        <f t="shared" si="23"/>
        <v>0</v>
      </c>
      <c r="EH22" s="239">
        <f t="shared" si="23"/>
        <v>0</v>
      </c>
      <c r="EI22" s="239">
        <f t="shared" si="23"/>
        <v>0</v>
      </c>
      <c r="EJ22" s="239">
        <f t="shared" si="23"/>
        <v>0</v>
      </c>
      <c r="EK22" s="239">
        <f t="shared" si="23"/>
        <v>0</v>
      </c>
      <c r="EL22" s="239">
        <f t="shared" si="23"/>
        <v>0</v>
      </c>
      <c r="EM22" s="239">
        <f t="shared" si="23"/>
        <v>0</v>
      </c>
      <c r="EN22" s="239">
        <f t="shared" si="23"/>
        <v>0</v>
      </c>
      <c r="EO22" s="239">
        <f t="shared" si="23"/>
        <v>0</v>
      </c>
      <c r="EP22" s="239">
        <f t="shared" si="23"/>
        <v>0</v>
      </c>
      <c r="EQ22" s="239">
        <f t="shared" si="23"/>
        <v>0</v>
      </c>
      <c r="ER22" s="239">
        <f t="shared" si="23"/>
        <v>0</v>
      </c>
      <c r="ES22" s="239">
        <f t="shared" si="23"/>
        <v>0</v>
      </c>
      <c r="ET22" s="239">
        <f t="shared" si="23"/>
        <v>0</v>
      </c>
      <c r="EU22" s="239">
        <f t="shared" si="23"/>
        <v>0</v>
      </c>
      <c r="EV22" s="239">
        <f t="shared" si="23"/>
        <v>0</v>
      </c>
      <c r="EW22" s="239">
        <f t="shared" ref="EW22:EZ22" si="24">SUBTOTAL(9,EW8:EW21)</f>
        <v>0</v>
      </c>
      <c r="EX22" s="239">
        <f t="shared" si="24"/>
        <v>0</v>
      </c>
      <c r="EY22" s="239">
        <f t="shared" si="24"/>
        <v>0</v>
      </c>
      <c r="EZ22" s="239">
        <f t="shared" si="24"/>
        <v>0</v>
      </c>
    </row>
    <row r="23" spans="1:219" s="629" customFormat="1" x14ac:dyDescent="0.2">
      <c r="A23" s="177"/>
      <c r="B23" s="200"/>
      <c r="C23" s="200"/>
      <c r="D23" s="622"/>
      <c r="E23" s="623"/>
      <c r="F23" s="624"/>
      <c r="G23" s="624"/>
      <c r="H23" s="625"/>
      <c r="I23" s="622"/>
      <c r="J23" s="626"/>
      <c r="K23" s="627"/>
      <c r="L23" s="628"/>
      <c r="M23" s="628"/>
      <c r="N23" s="628"/>
      <c r="O23" s="628"/>
      <c r="P23" s="628"/>
      <c r="Q23" s="628"/>
      <c r="R23" s="628"/>
      <c r="S23" s="628"/>
      <c r="T23" s="628"/>
      <c r="U23" s="628"/>
      <c r="V23" s="628"/>
      <c r="W23" s="627"/>
      <c r="X23" s="628"/>
      <c r="Y23" s="628"/>
      <c r="Z23" s="628"/>
      <c r="AA23" s="628"/>
      <c r="AB23" s="628"/>
      <c r="AC23" s="628"/>
      <c r="AD23" s="628"/>
      <c r="AE23" s="628"/>
      <c r="AF23" s="628"/>
      <c r="AG23" s="628"/>
      <c r="AH23" s="628"/>
      <c r="AI23" s="628"/>
      <c r="AJ23" s="628"/>
      <c r="AK23" s="628"/>
      <c r="AL23" s="628"/>
      <c r="AM23" s="628"/>
      <c r="AN23" s="628"/>
      <c r="AO23" s="628"/>
      <c r="AP23" s="628"/>
      <c r="AQ23" s="628"/>
      <c r="AR23" s="628"/>
      <c r="AS23" s="628"/>
      <c r="AT23" s="628"/>
      <c r="AU23" s="628"/>
      <c r="AV23" s="628"/>
      <c r="AW23" s="628"/>
      <c r="AX23" s="628"/>
      <c r="AY23" s="628"/>
      <c r="AZ23" s="628"/>
      <c r="BA23" s="628"/>
      <c r="BB23" s="628"/>
      <c r="BC23" s="628"/>
      <c r="BD23" s="628"/>
      <c r="BE23" s="628"/>
      <c r="BF23" s="628"/>
      <c r="BG23" s="628"/>
      <c r="BH23" s="628"/>
      <c r="BI23" s="628"/>
      <c r="BJ23" s="628"/>
      <c r="BK23" s="628"/>
      <c r="BL23" s="628"/>
      <c r="BM23" s="628"/>
      <c r="BN23" s="628"/>
      <c r="BO23" s="628"/>
      <c r="BP23" s="628"/>
      <c r="BQ23" s="628"/>
      <c r="BR23" s="628"/>
      <c r="BS23" s="628"/>
      <c r="BT23" s="628"/>
      <c r="BU23" s="628"/>
      <c r="BV23" s="628"/>
      <c r="BW23" s="628"/>
      <c r="BX23" s="628"/>
      <c r="BY23" s="628"/>
      <c r="BZ23" s="628"/>
      <c r="CA23" s="628"/>
      <c r="CB23" s="628"/>
      <c r="CC23" s="628"/>
      <c r="CD23" s="628"/>
      <c r="CE23" s="628"/>
      <c r="CF23" s="628"/>
      <c r="CG23" s="628"/>
      <c r="CH23" s="628"/>
      <c r="CI23" s="628"/>
      <c r="CJ23" s="628"/>
      <c r="CK23" s="628"/>
      <c r="CL23" s="628"/>
      <c r="CM23" s="628"/>
      <c r="CN23" s="628"/>
      <c r="CO23" s="628"/>
      <c r="CP23" s="628"/>
      <c r="CQ23" s="628"/>
      <c r="CR23" s="628"/>
      <c r="CS23" s="628"/>
      <c r="CT23" s="628"/>
      <c r="CU23" s="628"/>
      <c r="CV23" s="628"/>
      <c r="CW23" s="628"/>
      <c r="CX23" s="628"/>
      <c r="CY23" s="628"/>
      <c r="CZ23" s="628"/>
      <c r="DA23" s="628"/>
      <c r="DB23" s="628"/>
      <c r="DC23" s="628"/>
      <c r="DD23" s="628"/>
      <c r="DE23" s="628"/>
      <c r="DF23" s="628"/>
      <c r="DG23" s="628"/>
      <c r="DH23" s="628"/>
      <c r="DI23" s="628"/>
      <c r="DJ23" s="628"/>
      <c r="DK23" s="628"/>
      <c r="DL23" s="628"/>
      <c r="DM23" s="628"/>
      <c r="DN23" s="628"/>
      <c r="DO23" s="628"/>
      <c r="DP23" s="628"/>
      <c r="DQ23" s="628"/>
      <c r="DR23" s="628"/>
      <c r="DS23" s="628"/>
      <c r="DT23" s="628"/>
      <c r="DU23" s="628"/>
      <c r="DV23" s="628"/>
      <c r="DW23" s="628"/>
      <c r="DX23" s="628"/>
      <c r="DY23" s="628"/>
      <c r="DZ23" s="628"/>
      <c r="EA23" s="628"/>
      <c r="EB23" s="628"/>
      <c r="EC23" s="628"/>
      <c r="ED23" s="628"/>
      <c r="EE23" s="628"/>
      <c r="EF23" s="628"/>
      <c r="EG23" s="628"/>
      <c r="EH23" s="628"/>
      <c r="EI23" s="628"/>
      <c r="EJ23" s="628"/>
      <c r="EK23" s="628"/>
      <c r="EL23" s="628"/>
      <c r="EM23" s="628"/>
      <c r="EN23" s="628"/>
      <c r="EO23" s="628"/>
      <c r="EP23" s="628"/>
      <c r="EQ23" s="628"/>
      <c r="ER23" s="628"/>
      <c r="ES23" s="628"/>
      <c r="ET23" s="628"/>
      <c r="EU23" s="628"/>
      <c r="EV23" s="628"/>
      <c r="EW23" s="628"/>
      <c r="EX23" s="628"/>
      <c r="EY23" s="628"/>
      <c r="EZ23" s="628"/>
    </row>
    <row r="24" spans="1:219" s="158" customFormat="1" ht="15" x14ac:dyDescent="0.2">
      <c r="A24" s="630"/>
      <c r="B24" s="631" t="s">
        <v>640</v>
      </c>
      <c r="C24" s="255"/>
      <c r="D24" s="632"/>
      <c r="E24" s="633"/>
      <c r="F24" s="634"/>
      <c r="G24" s="634"/>
      <c r="H24" s="635"/>
      <c r="I24" s="632"/>
      <c r="J24" s="636"/>
      <c r="K24" s="637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637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3"/>
      <c r="BN24" s="183"/>
      <c r="BO24" s="183"/>
      <c r="BP24" s="183"/>
      <c r="BQ24" s="183"/>
      <c r="BR24" s="183"/>
      <c r="BS24" s="183"/>
      <c r="BT24" s="183"/>
      <c r="BU24" s="183"/>
      <c r="BV24" s="183"/>
      <c r="BW24" s="183"/>
      <c r="BX24" s="183"/>
      <c r="BY24" s="183"/>
      <c r="BZ24" s="183"/>
      <c r="CA24" s="183"/>
      <c r="CB24" s="183"/>
      <c r="CC24" s="183"/>
      <c r="CD24" s="183"/>
      <c r="CE24" s="183"/>
      <c r="CF24" s="183"/>
      <c r="CG24" s="183"/>
      <c r="CH24" s="183"/>
      <c r="CI24" s="183"/>
      <c r="CJ24" s="183"/>
      <c r="CK24" s="183"/>
      <c r="CL24" s="183"/>
      <c r="CM24" s="183"/>
      <c r="CN24" s="183"/>
      <c r="CO24" s="183"/>
      <c r="CP24" s="183"/>
      <c r="CQ24" s="183"/>
      <c r="CR24" s="183"/>
      <c r="CS24" s="183"/>
      <c r="CT24" s="183"/>
      <c r="CU24" s="183"/>
      <c r="CV24" s="183"/>
      <c r="CW24" s="183"/>
      <c r="CX24" s="183"/>
      <c r="CY24" s="183"/>
      <c r="CZ24" s="183"/>
      <c r="DA24" s="183"/>
      <c r="DB24" s="183"/>
      <c r="DC24" s="183"/>
      <c r="DD24" s="183"/>
      <c r="DE24" s="183"/>
      <c r="DF24" s="183"/>
      <c r="DG24" s="183"/>
      <c r="DH24" s="183"/>
      <c r="DI24" s="183"/>
      <c r="DJ24" s="183"/>
      <c r="DK24" s="183"/>
      <c r="DL24" s="183"/>
      <c r="DM24" s="183"/>
      <c r="DN24" s="183"/>
      <c r="DO24" s="183"/>
      <c r="DP24" s="183"/>
      <c r="DQ24" s="183"/>
      <c r="DR24" s="183"/>
      <c r="DS24" s="183"/>
      <c r="DT24" s="183"/>
      <c r="DU24" s="183"/>
      <c r="DV24" s="183"/>
      <c r="DW24" s="183"/>
      <c r="DX24" s="183"/>
      <c r="DY24" s="183"/>
      <c r="DZ24" s="183"/>
      <c r="EA24" s="183"/>
      <c r="EB24" s="183"/>
      <c r="EC24" s="183"/>
      <c r="ED24" s="183"/>
      <c r="EE24" s="183"/>
      <c r="EF24" s="183"/>
      <c r="EG24" s="183"/>
      <c r="EH24" s="183"/>
      <c r="EI24" s="183"/>
      <c r="EJ24" s="183"/>
      <c r="EK24" s="183"/>
      <c r="EL24" s="183"/>
      <c r="EM24" s="183"/>
      <c r="EN24" s="183"/>
      <c r="EO24" s="183"/>
      <c r="EP24" s="183"/>
      <c r="EQ24" s="183"/>
      <c r="ER24" s="183"/>
      <c r="ES24" s="183"/>
      <c r="ET24" s="183"/>
      <c r="EU24" s="183"/>
      <c r="EV24" s="183"/>
      <c r="EW24" s="183"/>
      <c r="EX24" s="183"/>
      <c r="EY24" s="183"/>
      <c r="EZ24" s="183"/>
      <c r="FB24" s="144"/>
      <c r="FC24" s="144"/>
      <c r="FD24" s="144"/>
      <c r="FE24" s="144"/>
      <c r="FF24" s="144"/>
      <c r="FG24" s="144"/>
      <c r="FH24" s="144"/>
      <c r="FI24" s="144"/>
      <c r="FJ24" s="144"/>
      <c r="FK24" s="144"/>
      <c r="FL24" s="144"/>
      <c r="FM24" s="144"/>
      <c r="FN24" s="144"/>
      <c r="FO24" s="144"/>
      <c r="FP24" s="144"/>
      <c r="FQ24" s="144"/>
      <c r="FR24" s="144"/>
      <c r="FS24" s="144"/>
      <c r="FT24" s="144"/>
      <c r="FU24" s="144"/>
      <c r="FV24" s="144"/>
      <c r="FW24" s="144"/>
      <c r="FX24" s="144"/>
      <c r="FY24" s="144"/>
      <c r="FZ24" s="144"/>
      <c r="GA24" s="144"/>
      <c r="GB24" s="144"/>
      <c r="GC24" s="144"/>
      <c r="GD24" s="144"/>
      <c r="GE24" s="144"/>
      <c r="GF24" s="144"/>
      <c r="GG24" s="144"/>
      <c r="GH24" s="144"/>
      <c r="GI24" s="144"/>
      <c r="GJ24" s="144"/>
      <c r="GK24" s="144"/>
      <c r="GL24" s="144"/>
      <c r="GM24" s="144"/>
      <c r="GN24" s="144"/>
      <c r="GO24" s="144"/>
      <c r="GP24" s="144"/>
      <c r="GQ24" s="144"/>
      <c r="GR24" s="144"/>
      <c r="GS24" s="144"/>
      <c r="GT24" s="144"/>
      <c r="GU24" s="144"/>
      <c r="GV24" s="144"/>
      <c r="GW24" s="144"/>
      <c r="GX24" s="144"/>
      <c r="GY24" s="144"/>
      <c r="GZ24" s="144"/>
      <c r="HA24" s="144"/>
      <c r="HB24" s="144"/>
      <c r="HC24" s="144"/>
      <c r="HD24" s="144"/>
      <c r="HE24" s="144"/>
      <c r="HF24" s="144"/>
      <c r="HG24" s="144"/>
      <c r="HH24" s="144"/>
      <c r="HI24" s="144"/>
      <c r="HJ24" s="144"/>
      <c r="HK24" s="144"/>
    </row>
    <row r="25" spans="1:219" s="158" customFormat="1" x14ac:dyDescent="0.2">
      <c r="A25" s="630"/>
      <c r="B25" s="638" t="s">
        <v>641</v>
      </c>
      <c r="C25" s="162"/>
      <c r="D25" s="443">
        <v>0</v>
      </c>
      <c r="E25" s="199">
        <f>IF(units=0,0,'Renovation Budget'!D25/units)</f>
        <v>0</v>
      </c>
      <c r="F25" s="640">
        <v>1</v>
      </c>
      <c r="G25" s="640">
        <v>6</v>
      </c>
      <c r="H25" s="641">
        <f t="shared" ref="H25:H39" si="25">IF(G25+F25=0,0,G25-F25)</f>
        <v>5</v>
      </c>
      <c r="I25" s="642" t="s">
        <v>107</v>
      </c>
      <c r="J25" s="643" t="s">
        <v>42</v>
      </c>
      <c r="K25" s="644"/>
      <c r="L25" s="183">
        <f t="shared" si="8"/>
        <v>0</v>
      </c>
      <c r="M25" s="183">
        <f t="shared" si="8"/>
        <v>0</v>
      </c>
      <c r="N25" s="183">
        <f t="shared" si="8"/>
        <v>0</v>
      </c>
      <c r="O25" s="183">
        <f t="shared" si="8"/>
        <v>0</v>
      </c>
      <c r="P25" s="183">
        <f t="shared" si="8"/>
        <v>0</v>
      </c>
      <c r="Q25" s="183">
        <f t="shared" si="8"/>
        <v>0</v>
      </c>
      <c r="R25" s="183">
        <f t="shared" si="8"/>
        <v>0</v>
      </c>
      <c r="S25" s="183">
        <f t="shared" si="8"/>
        <v>0</v>
      </c>
      <c r="T25" s="183">
        <f t="shared" si="8"/>
        <v>0</v>
      </c>
      <c r="U25" s="183">
        <f t="shared" si="8"/>
        <v>0</v>
      </c>
      <c r="V25" s="183">
        <f t="shared" si="8"/>
        <v>0</v>
      </c>
      <c r="W25" s="644"/>
      <c r="X25" s="183">
        <f t="shared" ref="X25:X38" si="26">IF(G25+F25=0,D25,0)</f>
        <v>0</v>
      </c>
      <c r="Y25" s="183">
        <f t="shared" ref="Y25:AN37" si="27">IF(OR(Y$3&gt;=$G25,Y$3&lt;$F25),0,(_xlfn.NORM.DIST(Y$3-$F25+1,$H25/2,INDEX($E$115:$E$118,MATCH($I25,$D$115:$D$118,0)),TRUE)-_xlfn.NORM.DIST(X$3-$F25+1,$H25/2,INDEX($E$115:$E$118,MATCH($I25,$D$115:$D$118,0)),TRUE))/(1-2*_xlfn.NORM.DIST(0,$H25/2,INDEX($E$115:$E$118,MATCH($I25,$D$115:$D$118,0)),TRUE))*$D25)</f>
        <v>0</v>
      </c>
      <c r="Z25" s="183">
        <f t="shared" si="27"/>
        <v>0</v>
      </c>
      <c r="AA25" s="183">
        <f t="shared" si="27"/>
        <v>0</v>
      </c>
      <c r="AB25" s="183">
        <f t="shared" si="27"/>
        <v>0</v>
      </c>
      <c r="AC25" s="183">
        <f t="shared" si="27"/>
        <v>0</v>
      </c>
      <c r="AD25" s="183">
        <f t="shared" si="27"/>
        <v>0</v>
      </c>
      <c r="AE25" s="183">
        <f t="shared" si="27"/>
        <v>0</v>
      </c>
      <c r="AF25" s="183">
        <f t="shared" si="27"/>
        <v>0</v>
      </c>
      <c r="AG25" s="183">
        <f t="shared" si="27"/>
        <v>0</v>
      </c>
      <c r="AH25" s="183">
        <f t="shared" si="27"/>
        <v>0</v>
      </c>
      <c r="AI25" s="183">
        <f t="shared" si="27"/>
        <v>0</v>
      </c>
      <c r="AJ25" s="183">
        <f t="shared" si="27"/>
        <v>0</v>
      </c>
      <c r="AK25" s="183">
        <f t="shared" si="27"/>
        <v>0</v>
      </c>
      <c r="AL25" s="183">
        <f t="shared" si="27"/>
        <v>0</v>
      </c>
      <c r="AM25" s="183">
        <f t="shared" si="27"/>
        <v>0</v>
      </c>
      <c r="AN25" s="183">
        <f t="shared" si="27"/>
        <v>0</v>
      </c>
      <c r="AO25" s="183">
        <f t="shared" ref="AO25:CZ28" si="28">IF(OR(AO$3&gt;=$G25,AO$3&lt;$F25),0,(_xlfn.NORM.DIST(AO$3-$F25+1,$H25/2,INDEX($E$115:$E$118,MATCH($I25,$D$115:$D$118,0)),TRUE)-_xlfn.NORM.DIST(AN$3-$F25+1,$H25/2,INDEX($E$115:$E$118,MATCH($I25,$D$115:$D$118,0)),TRUE))/(1-2*_xlfn.NORM.DIST(0,$H25/2,INDEX($E$115:$E$118,MATCH($I25,$D$115:$D$118,0)),TRUE))*$D25)</f>
        <v>0</v>
      </c>
      <c r="AP25" s="183">
        <f t="shared" si="28"/>
        <v>0</v>
      </c>
      <c r="AQ25" s="183">
        <f t="shared" si="28"/>
        <v>0</v>
      </c>
      <c r="AR25" s="183">
        <f t="shared" si="28"/>
        <v>0</v>
      </c>
      <c r="AS25" s="183">
        <f t="shared" si="28"/>
        <v>0</v>
      </c>
      <c r="AT25" s="183">
        <f t="shared" si="28"/>
        <v>0</v>
      </c>
      <c r="AU25" s="183">
        <f t="shared" si="28"/>
        <v>0</v>
      </c>
      <c r="AV25" s="183">
        <f t="shared" si="28"/>
        <v>0</v>
      </c>
      <c r="AW25" s="183">
        <f t="shared" si="28"/>
        <v>0</v>
      </c>
      <c r="AX25" s="183">
        <f t="shared" si="28"/>
        <v>0</v>
      </c>
      <c r="AY25" s="183">
        <f t="shared" si="28"/>
        <v>0</v>
      </c>
      <c r="AZ25" s="183">
        <f t="shared" si="28"/>
        <v>0</v>
      </c>
      <c r="BA25" s="183">
        <f t="shared" si="28"/>
        <v>0</v>
      </c>
      <c r="BB25" s="183">
        <f t="shared" si="28"/>
        <v>0</v>
      </c>
      <c r="BC25" s="183">
        <f t="shared" si="28"/>
        <v>0</v>
      </c>
      <c r="BD25" s="183">
        <f t="shared" si="28"/>
        <v>0</v>
      </c>
      <c r="BE25" s="183">
        <f t="shared" si="28"/>
        <v>0</v>
      </c>
      <c r="BF25" s="183">
        <f t="shared" si="28"/>
        <v>0</v>
      </c>
      <c r="BG25" s="183">
        <f t="shared" si="28"/>
        <v>0</v>
      </c>
      <c r="BH25" s="183">
        <f t="shared" si="28"/>
        <v>0</v>
      </c>
      <c r="BI25" s="183">
        <f t="shared" si="28"/>
        <v>0</v>
      </c>
      <c r="BJ25" s="183">
        <f t="shared" si="28"/>
        <v>0</v>
      </c>
      <c r="BK25" s="183">
        <f t="shared" si="28"/>
        <v>0</v>
      </c>
      <c r="BL25" s="183">
        <f t="shared" si="28"/>
        <v>0</v>
      </c>
      <c r="BM25" s="183">
        <f t="shared" si="28"/>
        <v>0</v>
      </c>
      <c r="BN25" s="183">
        <f t="shared" si="28"/>
        <v>0</v>
      </c>
      <c r="BO25" s="183">
        <f t="shared" si="28"/>
        <v>0</v>
      </c>
      <c r="BP25" s="183">
        <f t="shared" si="28"/>
        <v>0</v>
      </c>
      <c r="BQ25" s="183">
        <f t="shared" si="28"/>
        <v>0</v>
      </c>
      <c r="BR25" s="183">
        <f t="shared" si="28"/>
        <v>0</v>
      </c>
      <c r="BS25" s="183">
        <f t="shared" si="28"/>
        <v>0</v>
      </c>
      <c r="BT25" s="183">
        <f t="shared" si="28"/>
        <v>0</v>
      </c>
      <c r="BU25" s="183">
        <f t="shared" si="28"/>
        <v>0</v>
      </c>
      <c r="BV25" s="183">
        <f t="shared" si="28"/>
        <v>0</v>
      </c>
      <c r="BW25" s="183">
        <f t="shared" si="28"/>
        <v>0</v>
      </c>
      <c r="BX25" s="183">
        <f t="shared" si="28"/>
        <v>0</v>
      </c>
      <c r="BY25" s="183">
        <f t="shared" si="28"/>
        <v>0</v>
      </c>
      <c r="BZ25" s="183">
        <f t="shared" si="28"/>
        <v>0</v>
      </c>
      <c r="CA25" s="183">
        <f t="shared" si="28"/>
        <v>0</v>
      </c>
      <c r="CB25" s="183">
        <f t="shared" si="28"/>
        <v>0</v>
      </c>
      <c r="CC25" s="183">
        <f t="shared" si="28"/>
        <v>0</v>
      </c>
      <c r="CD25" s="183">
        <f t="shared" si="28"/>
        <v>0</v>
      </c>
      <c r="CE25" s="183">
        <f t="shared" si="28"/>
        <v>0</v>
      </c>
      <c r="CF25" s="183">
        <f t="shared" si="28"/>
        <v>0</v>
      </c>
      <c r="CG25" s="183">
        <f t="shared" si="28"/>
        <v>0</v>
      </c>
      <c r="CH25" s="183">
        <f t="shared" si="28"/>
        <v>0</v>
      </c>
      <c r="CI25" s="183">
        <f t="shared" si="28"/>
        <v>0</v>
      </c>
      <c r="CJ25" s="183">
        <f t="shared" si="28"/>
        <v>0</v>
      </c>
      <c r="CK25" s="183">
        <f t="shared" si="28"/>
        <v>0</v>
      </c>
      <c r="CL25" s="183">
        <f t="shared" si="28"/>
        <v>0</v>
      </c>
      <c r="CM25" s="183">
        <f t="shared" si="28"/>
        <v>0</v>
      </c>
      <c r="CN25" s="183">
        <f t="shared" si="28"/>
        <v>0</v>
      </c>
      <c r="CO25" s="183">
        <f t="shared" si="28"/>
        <v>0</v>
      </c>
      <c r="CP25" s="183">
        <f t="shared" si="28"/>
        <v>0</v>
      </c>
      <c r="CQ25" s="183">
        <f t="shared" si="28"/>
        <v>0</v>
      </c>
      <c r="CR25" s="183">
        <f t="shared" si="28"/>
        <v>0</v>
      </c>
      <c r="CS25" s="183">
        <f t="shared" si="28"/>
        <v>0</v>
      </c>
      <c r="CT25" s="183">
        <f t="shared" si="28"/>
        <v>0</v>
      </c>
      <c r="CU25" s="183">
        <f t="shared" si="28"/>
        <v>0</v>
      </c>
      <c r="CV25" s="183">
        <f t="shared" si="28"/>
        <v>0</v>
      </c>
      <c r="CW25" s="183">
        <f t="shared" si="28"/>
        <v>0</v>
      </c>
      <c r="CX25" s="183">
        <f t="shared" si="28"/>
        <v>0</v>
      </c>
      <c r="CY25" s="183">
        <f t="shared" si="28"/>
        <v>0</v>
      </c>
      <c r="CZ25" s="183">
        <f t="shared" si="28"/>
        <v>0</v>
      </c>
      <c r="DA25" s="183">
        <f t="shared" ref="DA25:EZ37" si="29">IF(OR(DA$3&gt;=$G25,DA$3&lt;$F25),0,(_xlfn.NORM.DIST(DA$3-$F25+1,$H25/2,INDEX($E$115:$E$118,MATCH($I25,$D$115:$D$118,0)),TRUE)-_xlfn.NORM.DIST(CZ$3-$F25+1,$H25/2,INDEX($E$115:$E$118,MATCH($I25,$D$115:$D$118,0)),TRUE))/(1-2*_xlfn.NORM.DIST(0,$H25/2,INDEX($E$115:$E$118,MATCH($I25,$D$115:$D$118,0)),TRUE))*$D25)</f>
        <v>0</v>
      </c>
      <c r="DB25" s="183">
        <f t="shared" si="29"/>
        <v>0</v>
      </c>
      <c r="DC25" s="183">
        <f t="shared" si="29"/>
        <v>0</v>
      </c>
      <c r="DD25" s="183">
        <f t="shared" si="29"/>
        <v>0</v>
      </c>
      <c r="DE25" s="183">
        <f t="shared" si="29"/>
        <v>0</v>
      </c>
      <c r="DF25" s="183">
        <f t="shared" si="29"/>
        <v>0</v>
      </c>
      <c r="DG25" s="183">
        <f t="shared" si="29"/>
        <v>0</v>
      </c>
      <c r="DH25" s="183">
        <f t="shared" si="29"/>
        <v>0</v>
      </c>
      <c r="DI25" s="183">
        <f t="shared" si="29"/>
        <v>0</v>
      </c>
      <c r="DJ25" s="183">
        <f t="shared" si="29"/>
        <v>0</v>
      </c>
      <c r="DK25" s="183">
        <f t="shared" si="29"/>
        <v>0</v>
      </c>
      <c r="DL25" s="183">
        <f t="shared" si="29"/>
        <v>0</v>
      </c>
      <c r="DM25" s="183">
        <f t="shared" si="29"/>
        <v>0</v>
      </c>
      <c r="DN25" s="183">
        <f t="shared" si="29"/>
        <v>0</v>
      </c>
      <c r="DO25" s="183">
        <f t="shared" si="29"/>
        <v>0</v>
      </c>
      <c r="DP25" s="183">
        <f t="shared" si="29"/>
        <v>0</v>
      </c>
      <c r="DQ25" s="183">
        <f t="shared" si="29"/>
        <v>0</v>
      </c>
      <c r="DR25" s="183">
        <f t="shared" si="29"/>
        <v>0</v>
      </c>
      <c r="DS25" s="183">
        <f t="shared" si="29"/>
        <v>0</v>
      </c>
      <c r="DT25" s="183">
        <f t="shared" si="29"/>
        <v>0</v>
      </c>
      <c r="DU25" s="183">
        <f t="shared" si="29"/>
        <v>0</v>
      </c>
      <c r="DV25" s="183">
        <f t="shared" si="29"/>
        <v>0</v>
      </c>
      <c r="DW25" s="183">
        <f t="shared" si="29"/>
        <v>0</v>
      </c>
      <c r="DX25" s="183">
        <f t="shared" si="29"/>
        <v>0</v>
      </c>
      <c r="DY25" s="183">
        <f t="shared" si="29"/>
        <v>0</v>
      </c>
      <c r="DZ25" s="183">
        <f t="shared" si="29"/>
        <v>0</v>
      </c>
      <c r="EA25" s="183">
        <f t="shared" si="29"/>
        <v>0</v>
      </c>
      <c r="EB25" s="183">
        <f t="shared" si="29"/>
        <v>0</v>
      </c>
      <c r="EC25" s="183">
        <f t="shared" si="29"/>
        <v>0</v>
      </c>
      <c r="ED25" s="183">
        <f t="shared" si="29"/>
        <v>0</v>
      </c>
      <c r="EE25" s="183">
        <f t="shared" si="29"/>
        <v>0</v>
      </c>
      <c r="EF25" s="183">
        <f t="shared" si="29"/>
        <v>0</v>
      </c>
      <c r="EG25" s="183">
        <f t="shared" si="29"/>
        <v>0</v>
      </c>
      <c r="EH25" s="183">
        <f t="shared" si="29"/>
        <v>0</v>
      </c>
      <c r="EI25" s="183">
        <f t="shared" si="29"/>
        <v>0</v>
      </c>
      <c r="EJ25" s="183">
        <f t="shared" si="29"/>
        <v>0</v>
      </c>
      <c r="EK25" s="183">
        <f t="shared" si="29"/>
        <v>0</v>
      </c>
      <c r="EL25" s="183">
        <f t="shared" si="29"/>
        <v>0</v>
      </c>
      <c r="EM25" s="183">
        <f t="shared" si="29"/>
        <v>0</v>
      </c>
      <c r="EN25" s="183">
        <f t="shared" si="29"/>
        <v>0</v>
      </c>
      <c r="EO25" s="183">
        <f t="shared" si="29"/>
        <v>0</v>
      </c>
      <c r="EP25" s="183">
        <f t="shared" si="29"/>
        <v>0</v>
      </c>
      <c r="EQ25" s="183">
        <f t="shared" si="29"/>
        <v>0</v>
      </c>
      <c r="ER25" s="183">
        <f t="shared" si="29"/>
        <v>0</v>
      </c>
      <c r="ES25" s="183">
        <f t="shared" si="29"/>
        <v>0</v>
      </c>
      <c r="ET25" s="183">
        <f t="shared" si="29"/>
        <v>0</v>
      </c>
      <c r="EU25" s="183">
        <f t="shared" si="29"/>
        <v>0</v>
      </c>
      <c r="EV25" s="183">
        <f t="shared" si="29"/>
        <v>0</v>
      </c>
      <c r="EW25" s="183">
        <f t="shared" si="29"/>
        <v>0</v>
      </c>
      <c r="EX25" s="183">
        <f t="shared" si="29"/>
        <v>0</v>
      </c>
      <c r="EY25" s="183">
        <f t="shared" si="29"/>
        <v>0</v>
      </c>
      <c r="EZ25" s="183">
        <f t="shared" si="29"/>
        <v>0</v>
      </c>
      <c r="FB25" s="144"/>
      <c r="FC25" s="144"/>
      <c r="FD25" s="144"/>
      <c r="FE25" s="144"/>
      <c r="FF25" s="144"/>
      <c r="FG25" s="144"/>
      <c r="FH25" s="144"/>
      <c r="FI25" s="144"/>
      <c r="FJ25" s="144"/>
      <c r="FK25" s="144"/>
      <c r="FL25" s="144"/>
      <c r="FM25" s="144"/>
      <c r="FN25" s="144"/>
      <c r="FO25" s="144"/>
      <c r="FP25" s="144"/>
      <c r="FQ25" s="144"/>
      <c r="FR25" s="144"/>
      <c r="FS25" s="144"/>
      <c r="FT25" s="144"/>
      <c r="FU25" s="144"/>
      <c r="FV25" s="144"/>
      <c r="FW25" s="144"/>
      <c r="FX25" s="144"/>
      <c r="FY25" s="144"/>
      <c r="FZ25" s="144"/>
      <c r="GA25" s="144"/>
      <c r="GB25" s="144"/>
      <c r="GC25" s="144"/>
      <c r="GD25" s="144"/>
      <c r="GE25" s="144"/>
      <c r="GF25" s="144"/>
      <c r="GG25" s="144"/>
      <c r="GH25" s="144"/>
      <c r="GI25" s="144"/>
      <c r="GJ25" s="144"/>
      <c r="GK25" s="144"/>
      <c r="GL25" s="144"/>
      <c r="GM25" s="144"/>
      <c r="GN25" s="144"/>
      <c r="GO25" s="144"/>
      <c r="GP25" s="144"/>
      <c r="GQ25" s="144"/>
      <c r="GR25" s="144"/>
      <c r="GS25" s="144"/>
      <c r="GT25" s="144"/>
      <c r="GU25" s="144"/>
      <c r="GV25" s="144"/>
      <c r="GW25" s="144"/>
      <c r="GX25" s="144"/>
      <c r="GY25" s="144"/>
      <c r="GZ25" s="144"/>
      <c r="HA25" s="144"/>
      <c r="HB25" s="144"/>
      <c r="HC25" s="144"/>
      <c r="HD25" s="144"/>
      <c r="HE25" s="144"/>
      <c r="HF25" s="144"/>
      <c r="HG25" s="144"/>
      <c r="HH25" s="144"/>
      <c r="HI25" s="144"/>
      <c r="HJ25" s="144"/>
      <c r="HK25" s="144"/>
    </row>
    <row r="26" spans="1:219" s="158" customFormat="1" x14ac:dyDescent="0.2">
      <c r="A26" s="630"/>
      <c r="B26" s="638" t="s">
        <v>642</v>
      </c>
      <c r="C26" s="639"/>
      <c r="D26" s="443">
        <v>0</v>
      </c>
      <c r="E26" s="199">
        <f>IF(units=0,0,'Renovation Budget'!D26/units)</f>
        <v>0</v>
      </c>
      <c r="F26" s="640">
        <v>0</v>
      </c>
      <c r="G26" s="640">
        <v>0</v>
      </c>
      <c r="H26" s="641">
        <f t="shared" si="25"/>
        <v>0</v>
      </c>
      <c r="I26" s="642" t="s">
        <v>107</v>
      </c>
      <c r="J26" s="643" t="s">
        <v>42</v>
      </c>
      <c r="K26" s="644"/>
      <c r="L26" s="183">
        <f t="shared" ref="L26:V38" si="30">SUMIF($X$4:$EZ$4,L$4,$X26:$EZ26)</f>
        <v>0</v>
      </c>
      <c r="M26" s="183">
        <f t="shared" si="30"/>
        <v>0</v>
      </c>
      <c r="N26" s="183">
        <f t="shared" si="30"/>
        <v>0</v>
      </c>
      <c r="O26" s="183">
        <f t="shared" si="30"/>
        <v>0</v>
      </c>
      <c r="P26" s="183">
        <f t="shared" si="30"/>
        <v>0</v>
      </c>
      <c r="Q26" s="183">
        <f t="shared" si="30"/>
        <v>0</v>
      </c>
      <c r="R26" s="183">
        <f t="shared" si="30"/>
        <v>0</v>
      </c>
      <c r="S26" s="183">
        <f t="shared" si="30"/>
        <v>0</v>
      </c>
      <c r="T26" s="183">
        <f t="shared" si="30"/>
        <v>0</v>
      </c>
      <c r="U26" s="183">
        <f t="shared" si="30"/>
        <v>0</v>
      </c>
      <c r="V26" s="183">
        <f t="shared" si="30"/>
        <v>0</v>
      </c>
      <c r="W26" s="644"/>
      <c r="X26" s="183">
        <f t="shared" si="26"/>
        <v>0</v>
      </c>
      <c r="Y26" s="183">
        <f t="shared" si="27"/>
        <v>0</v>
      </c>
      <c r="Z26" s="183">
        <f t="shared" ref="Z26:CK29" si="31">IF(OR(Z$3&gt;=$G26,Z$3&lt;$F26),0,(_xlfn.NORM.DIST(Z$3-$F26+1,$H26/2,INDEX($E$115:$E$118,MATCH($I26,$D$115:$D$118,0)),TRUE)-_xlfn.NORM.DIST(Y$3-$F26+1,$H26/2,INDEX($E$115:$E$118,MATCH($I26,$D$115:$D$118,0)),TRUE))/(1-2*_xlfn.NORM.DIST(0,$H26/2,INDEX($E$115:$E$118,MATCH($I26,$D$115:$D$118,0)),TRUE))*$D26)</f>
        <v>0</v>
      </c>
      <c r="AA26" s="183">
        <f t="shared" si="31"/>
        <v>0</v>
      </c>
      <c r="AB26" s="183">
        <f t="shared" si="31"/>
        <v>0</v>
      </c>
      <c r="AC26" s="183">
        <f t="shared" si="31"/>
        <v>0</v>
      </c>
      <c r="AD26" s="183">
        <f t="shared" si="31"/>
        <v>0</v>
      </c>
      <c r="AE26" s="183">
        <f t="shared" si="31"/>
        <v>0</v>
      </c>
      <c r="AF26" s="183">
        <f t="shared" si="31"/>
        <v>0</v>
      </c>
      <c r="AG26" s="183">
        <f t="shared" si="31"/>
        <v>0</v>
      </c>
      <c r="AH26" s="183">
        <f t="shared" si="31"/>
        <v>0</v>
      </c>
      <c r="AI26" s="183">
        <f t="shared" si="31"/>
        <v>0</v>
      </c>
      <c r="AJ26" s="183">
        <f t="shared" si="31"/>
        <v>0</v>
      </c>
      <c r="AK26" s="183">
        <f t="shared" si="31"/>
        <v>0</v>
      </c>
      <c r="AL26" s="183">
        <f t="shared" si="31"/>
        <v>0</v>
      </c>
      <c r="AM26" s="183">
        <f t="shared" si="31"/>
        <v>0</v>
      </c>
      <c r="AN26" s="183">
        <f t="shared" si="31"/>
        <v>0</v>
      </c>
      <c r="AO26" s="183">
        <f t="shared" si="31"/>
        <v>0</v>
      </c>
      <c r="AP26" s="183">
        <f t="shared" si="31"/>
        <v>0</v>
      </c>
      <c r="AQ26" s="183">
        <f t="shared" si="31"/>
        <v>0</v>
      </c>
      <c r="AR26" s="183">
        <f t="shared" si="31"/>
        <v>0</v>
      </c>
      <c r="AS26" s="183">
        <f t="shared" si="31"/>
        <v>0</v>
      </c>
      <c r="AT26" s="183">
        <f t="shared" si="31"/>
        <v>0</v>
      </c>
      <c r="AU26" s="183">
        <f t="shared" si="31"/>
        <v>0</v>
      </c>
      <c r="AV26" s="183">
        <f t="shared" si="31"/>
        <v>0</v>
      </c>
      <c r="AW26" s="183">
        <f t="shared" si="31"/>
        <v>0</v>
      </c>
      <c r="AX26" s="183">
        <f t="shared" si="31"/>
        <v>0</v>
      </c>
      <c r="AY26" s="183">
        <f t="shared" si="31"/>
        <v>0</v>
      </c>
      <c r="AZ26" s="183">
        <f t="shared" si="31"/>
        <v>0</v>
      </c>
      <c r="BA26" s="183">
        <f t="shared" si="31"/>
        <v>0</v>
      </c>
      <c r="BB26" s="183">
        <f t="shared" si="31"/>
        <v>0</v>
      </c>
      <c r="BC26" s="183">
        <f t="shared" si="31"/>
        <v>0</v>
      </c>
      <c r="BD26" s="183">
        <f t="shared" si="31"/>
        <v>0</v>
      </c>
      <c r="BE26" s="183">
        <f t="shared" si="31"/>
        <v>0</v>
      </c>
      <c r="BF26" s="183">
        <f t="shared" si="31"/>
        <v>0</v>
      </c>
      <c r="BG26" s="183">
        <f t="shared" si="31"/>
        <v>0</v>
      </c>
      <c r="BH26" s="183">
        <f t="shared" si="31"/>
        <v>0</v>
      </c>
      <c r="BI26" s="183">
        <f t="shared" si="31"/>
        <v>0</v>
      </c>
      <c r="BJ26" s="183">
        <f t="shared" si="31"/>
        <v>0</v>
      </c>
      <c r="BK26" s="183">
        <f t="shared" si="31"/>
        <v>0</v>
      </c>
      <c r="BL26" s="183">
        <f t="shared" si="31"/>
        <v>0</v>
      </c>
      <c r="BM26" s="183">
        <f t="shared" si="31"/>
        <v>0</v>
      </c>
      <c r="BN26" s="183">
        <f t="shared" si="31"/>
        <v>0</v>
      </c>
      <c r="BO26" s="183">
        <f t="shared" si="31"/>
        <v>0</v>
      </c>
      <c r="BP26" s="183">
        <f t="shared" si="31"/>
        <v>0</v>
      </c>
      <c r="BQ26" s="183">
        <f t="shared" si="31"/>
        <v>0</v>
      </c>
      <c r="BR26" s="183">
        <f t="shared" si="31"/>
        <v>0</v>
      </c>
      <c r="BS26" s="183">
        <f t="shared" si="31"/>
        <v>0</v>
      </c>
      <c r="BT26" s="183">
        <f t="shared" si="31"/>
        <v>0</v>
      </c>
      <c r="BU26" s="183">
        <f t="shared" si="31"/>
        <v>0</v>
      </c>
      <c r="BV26" s="183">
        <f t="shared" si="31"/>
        <v>0</v>
      </c>
      <c r="BW26" s="183">
        <f t="shared" si="31"/>
        <v>0</v>
      </c>
      <c r="BX26" s="183">
        <f t="shared" si="31"/>
        <v>0</v>
      </c>
      <c r="BY26" s="183">
        <f t="shared" si="31"/>
        <v>0</v>
      </c>
      <c r="BZ26" s="183">
        <f t="shared" si="31"/>
        <v>0</v>
      </c>
      <c r="CA26" s="183">
        <f t="shared" si="31"/>
        <v>0</v>
      </c>
      <c r="CB26" s="183">
        <f t="shared" si="31"/>
        <v>0</v>
      </c>
      <c r="CC26" s="183">
        <f t="shared" si="31"/>
        <v>0</v>
      </c>
      <c r="CD26" s="183">
        <f t="shared" si="31"/>
        <v>0</v>
      </c>
      <c r="CE26" s="183">
        <f t="shared" si="31"/>
        <v>0</v>
      </c>
      <c r="CF26" s="183">
        <f t="shared" si="31"/>
        <v>0</v>
      </c>
      <c r="CG26" s="183">
        <f t="shared" si="31"/>
        <v>0</v>
      </c>
      <c r="CH26" s="183">
        <f t="shared" si="31"/>
        <v>0</v>
      </c>
      <c r="CI26" s="183">
        <f t="shared" si="31"/>
        <v>0</v>
      </c>
      <c r="CJ26" s="183">
        <f t="shared" si="31"/>
        <v>0</v>
      </c>
      <c r="CK26" s="183">
        <f t="shared" si="31"/>
        <v>0</v>
      </c>
      <c r="CL26" s="183">
        <f t="shared" si="28"/>
        <v>0</v>
      </c>
      <c r="CM26" s="183">
        <f t="shared" si="28"/>
        <v>0</v>
      </c>
      <c r="CN26" s="183">
        <f t="shared" si="28"/>
        <v>0</v>
      </c>
      <c r="CO26" s="183">
        <f t="shared" si="28"/>
        <v>0</v>
      </c>
      <c r="CP26" s="183">
        <f t="shared" si="28"/>
        <v>0</v>
      </c>
      <c r="CQ26" s="183">
        <f t="shared" si="28"/>
        <v>0</v>
      </c>
      <c r="CR26" s="183">
        <f t="shared" si="28"/>
        <v>0</v>
      </c>
      <c r="CS26" s="183">
        <f t="shared" si="28"/>
        <v>0</v>
      </c>
      <c r="CT26" s="183">
        <f t="shared" si="28"/>
        <v>0</v>
      </c>
      <c r="CU26" s="183">
        <f t="shared" si="28"/>
        <v>0</v>
      </c>
      <c r="CV26" s="183">
        <f t="shared" si="28"/>
        <v>0</v>
      </c>
      <c r="CW26" s="183">
        <f t="shared" si="28"/>
        <v>0</v>
      </c>
      <c r="CX26" s="183">
        <f t="shared" si="28"/>
        <v>0</v>
      </c>
      <c r="CY26" s="183">
        <f t="shared" si="28"/>
        <v>0</v>
      </c>
      <c r="CZ26" s="183">
        <f t="shared" si="28"/>
        <v>0</v>
      </c>
      <c r="DA26" s="183">
        <f t="shared" si="29"/>
        <v>0</v>
      </c>
      <c r="DB26" s="183">
        <f t="shared" si="29"/>
        <v>0</v>
      </c>
      <c r="DC26" s="183">
        <f t="shared" si="29"/>
        <v>0</v>
      </c>
      <c r="DD26" s="183">
        <f t="shared" si="29"/>
        <v>0</v>
      </c>
      <c r="DE26" s="183">
        <f t="shared" si="29"/>
        <v>0</v>
      </c>
      <c r="DF26" s="183">
        <f t="shared" si="29"/>
        <v>0</v>
      </c>
      <c r="DG26" s="183">
        <f t="shared" si="29"/>
        <v>0</v>
      </c>
      <c r="DH26" s="183">
        <f t="shared" si="29"/>
        <v>0</v>
      </c>
      <c r="DI26" s="183">
        <f t="shared" si="29"/>
        <v>0</v>
      </c>
      <c r="DJ26" s="183">
        <f t="shared" si="29"/>
        <v>0</v>
      </c>
      <c r="DK26" s="183">
        <f t="shared" si="29"/>
        <v>0</v>
      </c>
      <c r="DL26" s="183">
        <f t="shared" si="29"/>
        <v>0</v>
      </c>
      <c r="DM26" s="183">
        <f t="shared" si="29"/>
        <v>0</v>
      </c>
      <c r="DN26" s="183">
        <f t="shared" si="29"/>
        <v>0</v>
      </c>
      <c r="DO26" s="183">
        <f t="shared" si="29"/>
        <v>0</v>
      </c>
      <c r="DP26" s="183">
        <f t="shared" si="29"/>
        <v>0</v>
      </c>
      <c r="DQ26" s="183">
        <f t="shared" si="29"/>
        <v>0</v>
      </c>
      <c r="DR26" s="183">
        <f t="shared" si="29"/>
        <v>0</v>
      </c>
      <c r="DS26" s="183">
        <f t="shared" si="29"/>
        <v>0</v>
      </c>
      <c r="DT26" s="183">
        <f t="shared" si="29"/>
        <v>0</v>
      </c>
      <c r="DU26" s="183">
        <f t="shared" si="29"/>
        <v>0</v>
      </c>
      <c r="DV26" s="183">
        <f t="shared" si="29"/>
        <v>0</v>
      </c>
      <c r="DW26" s="183">
        <f t="shared" si="29"/>
        <v>0</v>
      </c>
      <c r="DX26" s="183">
        <f t="shared" si="29"/>
        <v>0</v>
      </c>
      <c r="DY26" s="183">
        <f t="shared" si="29"/>
        <v>0</v>
      </c>
      <c r="DZ26" s="183">
        <f t="shared" si="29"/>
        <v>0</v>
      </c>
      <c r="EA26" s="183">
        <f t="shared" si="29"/>
        <v>0</v>
      </c>
      <c r="EB26" s="183">
        <f t="shared" si="29"/>
        <v>0</v>
      </c>
      <c r="EC26" s="183">
        <f t="shared" si="29"/>
        <v>0</v>
      </c>
      <c r="ED26" s="183">
        <f t="shared" si="29"/>
        <v>0</v>
      </c>
      <c r="EE26" s="183">
        <f t="shared" si="29"/>
        <v>0</v>
      </c>
      <c r="EF26" s="183">
        <f t="shared" si="29"/>
        <v>0</v>
      </c>
      <c r="EG26" s="183">
        <f t="shared" si="29"/>
        <v>0</v>
      </c>
      <c r="EH26" s="183">
        <f t="shared" si="29"/>
        <v>0</v>
      </c>
      <c r="EI26" s="183">
        <f t="shared" si="29"/>
        <v>0</v>
      </c>
      <c r="EJ26" s="183">
        <f t="shared" si="29"/>
        <v>0</v>
      </c>
      <c r="EK26" s="183">
        <f t="shared" si="29"/>
        <v>0</v>
      </c>
      <c r="EL26" s="183">
        <f t="shared" si="29"/>
        <v>0</v>
      </c>
      <c r="EM26" s="183">
        <f t="shared" si="29"/>
        <v>0</v>
      </c>
      <c r="EN26" s="183">
        <f t="shared" si="29"/>
        <v>0</v>
      </c>
      <c r="EO26" s="183">
        <f t="shared" si="29"/>
        <v>0</v>
      </c>
      <c r="EP26" s="183">
        <f t="shared" si="29"/>
        <v>0</v>
      </c>
      <c r="EQ26" s="183">
        <f t="shared" si="29"/>
        <v>0</v>
      </c>
      <c r="ER26" s="183">
        <f t="shared" si="29"/>
        <v>0</v>
      </c>
      <c r="ES26" s="183">
        <f t="shared" si="29"/>
        <v>0</v>
      </c>
      <c r="ET26" s="183">
        <f t="shared" si="29"/>
        <v>0</v>
      </c>
      <c r="EU26" s="183">
        <f t="shared" si="29"/>
        <v>0</v>
      </c>
      <c r="EV26" s="183">
        <f t="shared" si="29"/>
        <v>0</v>
      </c>
      <c r="EW26" s="183">
        <f t="shared" si="29"/>
        <v>0</v>
      </c>
      <c r="EX26" s="183">
        <f t="shared" si="29"/>
        <v>0</v>
      </c>
      <c r="EY26" s="183">
        <f t="shared" si="29"/>
        <v>0</v>
      </c>
      <c r="EZ26" s="183">
        <f t="shared" si="29"/>
        <v>0</v>
      </c>
      <c r="FB26" s="144"/>
      <c r="FC26" s="144"/>
      <c r="FD26" s="144"/>
      <c r="FE26" s="144"/>
      <c r="FF26" s="144"/>
      <c r="FG26" s="144"/>
      <c r="FH26" s="144"/>
      <c r="FI26" s="144"/>
      <c r="FJ26" s="144"/>
      <c r="FK26" s="144"/>
      <c r="FL26" s="144"/>
      <c r="FM26" s="144"/>
      <c r="FN26" s="144"/>
      <c r="FO26" s="144"/>
      <c r="FP26" s="144"/>
      <c r="FQ26" s="144"/>
      <c r="FR26" s="144"/>
      <c r="FS26" s="144"/>
      <c r="FT26" s="144"/>
      <c r="FU26" s="144"/>
      <c r="FV26" s="144"/>
      <c r="FW26" s="144"/>
      <c r="FX26" s="144"/>
      <c r="FY26" s="144"/>
      <c r="FZ26" s="144"/>
      <c r="GA26" s="144"/>
      <c r="GB26" s="144"/>
      <c r="GC26" s="144"/>
      <c r="GD26" s="144"/>
      <c r="GE26" s="144"/>
      <c r="GF26" s="144"/>
      <c r="GG26" s="144"/>
      <c r="GH26" s="144"/>
      <c r="GI26" s="144"/>
      <c r="GJ26" s="144"/>
      <c r="GK26" s="144"/>
      <c r="GL26" s="144"/>
      <c r="GM26" s="144"/>
      <c r="GN26" s="144"/>
      <c r="GO26" s="144"/>
      <c r="GP26" s="144"/>
      <c r="GQ26" s="144"/>
      <c r="GR26" s="144"/>
      <c r="GS26" s="144"/>
      <c r="GT26" s="144"/>
      <c r="GU26" s="144"/>
      <c r="GV26" s="144"/>
      <c r="GW26" s="144"/>
      <c r="GX26" s="144"/>
      <c r="GY26" s="144"/>
      <c r="GZ26" s="144"/>
      <c r="HA26" s="144"/>
      <c r="HB26" s="144"/>
      <c r="HC26" s="144"/>
      <c r="HD26" s="144"/>
      <c r="HE26" s="144"/>
      <c r="HF26" s="144"/>
      <c r="HG26" s="144"/>
      <c r="HH26" s="144"/>
      <c r="HI26" s="144"/>
      <c r="HJ26" s="144"/>
      <c r="HK26" s="144"/>
    </row>
    <row r="27" spans="1:219" s="158" customFormat="1" x14ac:dyDescent="0.2">
      <c r="A27" s="630"/>
      <c r="B27" s="638" t="s">
        <v>643</v>
      </c>
      <c r="C27" s="639"/>
      <c r="D27" s="443">
        <v>0</v>
      </c>
      <c r="E27" s="199">
        <f>IF(units=0,0,'Renovation Budget'!D27/units)</f>
        <v>0</v>
      </c>
      <c r="F27" s="640">
        <v>0</v>
      </c>
      <c r="G27" s="640">
        <v>0</v>
      </c>
      <c r="H27" s="641">
        <f t="shared" si="25"/>
        <v>0</v>
      </c>
      <c r="I27" s="642" t="s">
        <v>107</v>
      </c>
      <c r="J27" s="643" t="s">
        <v>42</v>
      </c>
      <c r="K27" s="644"/>
      <c r="L27" s="183">
        <f t="shared" si="30"/>
        <v>0</v>
      </c>
      <c r="M27" s="183">
        <f t="shared" si="30"/>
        <v>0</v>
      </c>
      <c r="N27" s="183">
        <f t="shared" si="30"/>
        <v>0</v>
      </c>
      <c r="O27" s="183">
        <f t="shared" si="30"/>
        <v>0</v>
      </c>
      <c r="P27" s="183">
        <f t="shared" si="30"/>
        <v>0</v>
      </c>
      <c r="Q27" s="183">
        <f t="shared" si="30"/>
        <v>0</v>
      </c>
      <c r="R27" s="183">
        <f t="shared" si="30"/>
        <v>0</v>
      </c>
      <c r="S27" s="183">
        <f t="shared" si="30"/>
        <v>0</v>
      </c>
      <c r="T27" s="183">
        <f t="shared" si="30"/>
        <v>0</v>
      </c>
      <c r="U27" s="183">
        <f t="shared" si="30"/>
        <v>0</v>
      </c>
      <c r="V27" s="183">
        <f t="shared" si="30"/>
        <v>0</v>
      </c>
      <c r="W27" s="644"/>
      <c r="X27" s="183">
        <f t="shared" si="26"/>
        <v>0</v>
      </c>
      <c r="Y27" s="183">
        <f t="shared" si="27"/>
        <v>0</v>
      </c>
      <c r="Z27" s="183">
        <f t="shared" si="31"/>
        <v>0</v>
      </c>
      <c r="AA27" s="183">
        <f t="shared" si="31"/>
        <v>0</v>
      </c>
      <c r="AB27" s="183">
        <f t="shared" si="31"/>
        <v>0</v>
      </c>
      <c r="AC27" s="183">
        <f t="shared" si="31"/>
        <v>0</v>
      </c>
      <c r="AD27" s="183">
        <f t="shared" si="31"/>
        <v>0</v>
      </c>
      <c r="AE27" s="183">
        <f t="shared" si="31"/>
        <v>0</v>
      </c>
      <c r="AF27" s="183">
        <f t="shared" si="31"/>
        <v>0</v>
      </c>
      <c r="AG27" s="183">
        <f t="shared" si="31"/>
        <v>0</v>
      </c>
      <c r="AH27" s="183">
        <f t="shared" si="31"/>
        <v>0</v>
      </c>
      <c r="AI27" s="183">
        <f t="shared" si="31"/>
        <v>0</v>
      </c>
      <c r="AJ27" s="183">
        <f t="shared" si="31"/>
        <v>0</v>
      </c>
      <c r="AK27" s="183">
        <f t="shared" si="31"/>
        <v>0</v>
      </c>
      <c r="AL27" s="183">
        <f t="shared" si="31"/>
        <v>0</v>
      </c>
      <c r="AM27" s="183">
        <f t="shared" si="31"/>
        <v>0</v>
      </c>
      <c r="AN27" s="183">
        <f t="shared" si="31"/>
        <v>0</v>
      </c>
      <c r="AO27" s="183">
        <f t="shared" si="31"/>
        <v>0</v>
      </c>
      <c r="AP27" s="183">
        <f t="shared" si="31"/>
        <v>0</v>
      </c>
      <c r="AQ27" s="183">
        <f t="shared" si="31"/>
        <v>0</v>
      </c>
      <c r="AR27" s="183">
        <f t="shared" si="31"/>
        <v>0</v>
      </c>
      <c r="AS27" s="183">
        <f t="shared" si="31"/>
        <v>0</v>
      </c>
      <c r="AT27" s="183">
        <f t="shared" si="31"/>
        <v>0</v>
      </c>
      <c r="AU27" s="183">
        <f t="shared" si="31"/>
        <v>0</v>
      </c>
      <c r="AV27" s="183">
        <f t="shared" si="31"/>
        <v>0</v>
      </c>
      <c r="AW27" s="183">
        <f t="shared" si="31"/>
        <v>0</v>
      </c>
      <c r="AX27" s="183">
        <f t="shared" si="31"/>
        <v>0</v>
      </c>
      <c r="AY27" s="183">
        <f t="shared" si="31"/>
        <v>0</v>
      </c>
      <c r="AZ27" s="183">
        <f t="shared" si="31"/>
        <v>0</v>
      </c>
      <c r="BA27" s="183">
        <f t="shared" si="31"/>
        <v>0</v>
      </c>
      <c r="BB27" s="183">
        <f t="shared" si="31"/>
        <v>0</v>
      </c>
      <c r="BC27" s="183">
        <f t="shared" si="31"/>
        <v>0</v>
      </c>
      <c r="BD27" s="183">
        <f t="shared" si="31"/>
        <v>0</v>
      </c>
      <c r="BE27" s="183">
        <f t="shared" si="31"/>
        <v>0</v>
      </c>
      <c r="BF27" s="183">
        <f t="shared" si="31"/>
        <v>0</v>
      </c>
      <c r="BG27" s="183">
        <f t="shared" si="31"/>
        <v>0</v>
      </c>
      <c r="BH27" s="183">
        <f t="shared" si="31"/>
        <v>0</v>
      </c>
      <c r="BI27" s="183">
        <f t="shared" si="31"/>
        <v>0</v>
      </c>
      <c r="BJ27" s="183">
        <f t="shared" si="31"/>
        <v>0</v>
      </c>
      <c r="BK27" s="183">
        <f t="shared" si="31"/>
        <v>0</v>
      </c>
      <c r="BL27" s="183">
        <f t="shared" si="31"/>
        <v>0</v>
      </c>
      <c r="BM27" s="183">
        <f t="shared" si="31"/>
        <v>0</v>
      </c>
      <c r="BN27" s="183">
        <f t="shared" si="31"/>
        <v>0</v>
      </c>
      <c r="BO27" s="183">
        <f t="shared" si="31"/>
        <v>0</v>
      </c>
      <c r="BP27" s="183">
        <f t="shared" si="31"/>
        <v>0</v>
      </c>
      <c r="BQ27" s="183">
        <f t="shared" si="31"/>
        <v>0</v>
      </c>
      <c r="BR27" s="183">
        <f t="shared" si="31"/>
        <v>0</v>
      </c>
      <c r="BS27" s="183">
        <f t="shared" si="31"/>
        <v>0</v>
      </c>
      <c r="BT27" s="183">
        <f t="shared" si="31"/>
        <v>0</v>
      </c>
      <c r="BU27" s="183">
        <f t="shared" si="31"/>
        <v>0</v>
      </c>
      <c r="BV27" s="183">
        <f t="shared" si="31"/>
        <v>0</v>
      </c>
      <c r="BW27" s="183">
        <f t="shared" si="31"/>
        <v>0</v>
      </c>
      <c r="BX27" s="183">
        <f t="shared" si="31"/>
        <v>0</v>
      </c>
      <c r="BY27" s="183">
        <f t="shared" si="31"/>
        <v>0</v>
      </c>
      <c r="BZ27" s="183">
        <f t="shared" si="31"/>
        <v>0</v>
      </c>
      <c r="CA27" s="183">
        <f t="shared" si="31"/>
        <v>0</v>
      </c>
      <c r="CB27" s="183">
        <f t="shared" si="31"/>
        <v>0</v>
      </c>
      <c r="CC27" s="183">
        <f t="shared" si="31"/>
        <v>0</v>
      </c>
      <c r="CD27" s="183">
        <f t="shared" si="31"/>
        <v>0</v>
      </c>
      <c r="CE27" s="183">
        <f t="shared" si="31"/>
        <v>0</v>
      </c>
      <c r="CF27" s="183">
        <f t="shared" si="31"/>
        <v>0</v>
      </c>
      <c r="CG27" s="183">
        <f t="shared" si="31"/>
        <v>0</v>
      </c>
      <c r="CH27" s="183">
        <f t="shared" si="31"/>
        <v>0</v>
      </c>
      <c r="CI27" s="183">
        <f t="shared" si="31"/>
        <v>0</v>
      </c>
      <c r="CJ27" s="183">
        <f t="shared" si="31"/>
        <v>0</v>
      </c>
      <c r="CK27" s="183">
        <f t="shared" si="31"/>
        <v>0</v>
      </c>
      <c r="CL27" s="183">
        <f t="shared" si="28"/>
        <v>0</v>
      </c>
      <c r="CM27" s="183">
        <f t="shared" si="28"/>
        <v>0</v>
      </c>
      <c r="CN27" s="183">
        <f t="shared" si="28"/>
        <v>0</v>
      </c>
      <c r="CO27" s="183">
        <f t="shared" si="28"/>
        <v>0</v>
      </c>
      <c r="CP27" s="183">
        <f t="shared" si="28"/>
        <v>0</v>
      </c>
      <c r="CQ27" s="183">
        <f t="shared" si="28"/>
        <v>0</v>
      </c>
      <c r="CR27" s="183">
        <f t="shared" si="28"/>
        <v>0</v>
      </c>
      <c r="CS27" s="183">
        <f t="shared" si="28"/>
        <v>0</v>
      </c>
      <c r="CT27" s="183">
        <f t="shared" si="28"/>
        <v>0</v>
      </c>
      <c r="CU27" s="183">
        <f t="shared" si="28"/>
        <v>0</v>
      </c>
      <c r="CV27" s="183">
        <f t="shared" si="28"/>
        <v>0</v>
      </c>
      <c r="CW27" s="183">
        <f t="shared" si="28"/>
        <v>0</v>
      </c>
      <c r="CX27" s="183">
        <f t="shared" si="28"/>
        <v>0</v>
      </c>
      <c r="CY27" s="183">
        <f t="shared" si="28"/>
        <v>0</v>
      </c>
      <c r="CZ27" s="183">
        <f t="shared" si="28"/>
        <v>0</v>
      </c>
      <c r="DA27" s="183">
        <f t="shared" si="29"/>
        <v>0</v>
      </c>
      <c r="DB27" s="183">
        <f t="shared" si="29"/>
        <v>0</v>
      </c>
      <c r="DC27" s="183">
        <f t="shared" si="29"/>
        <v>0</v>
      </c>
      <c r="DD27" s="183">
        <f t="shared" si="29"/>
        <v>0</v>
      </c>
      <c r="DE27" s="183">
        <f t="shared" si="29"/>
        <v>0</v>
      </c>
      <c r="DF27" s="183">
        <f t="shared" si="29"/>
        <v>0</v>
      </c>
      <c r="DG27" s="183">
        <f t="shared" si="29"/>
        <v>0</v>
      </c>
      <c r="DH27" s="183">
        <f t="shared" si="29"/>
        <v>0</v>
      </c>
      <c r="DI27" s="183">
        <f t="shared" si="29"/>
        <v>0</v>
      </c>
      <c r="DJ27" s="183">
        <f t="shared" si="29"/>
        <v>0</v>
      </c>
      <c r="DK27" s="183">
        <f t="shared" si="29"/>
        <v>0</v>
      </c>
      <c r="DL27" s="183">
        <f t="shared" si="29"/>
        <v>0</v>
      </c>
      <c r="DM27" s="183">
        <f t="shared" si="29"/>
        <v>0</v>
      </c>
      <c r="DN27" s="183">
        <f t="shared" si="29"/>
        <v>0</v>
      </c>
      <c r="DO27" s="183">
        <f t="shared" si="29"/>
        <v>0</v>
      </c>
      <c r="DP27" s="183">
        <f t="shared" si="29"/>
        <v>0</v>
      </c>
      <c r="DQ27" s="183">
        <f t="shared" si="29"/>
        <v>0</v>
      </c>
      <c r="DR27" s="183">
        <f t="shared" si="29"/>
        <v>0</v>
      </c>
      <c r="DS27" s="183">
        <f t="shared" si="29"/>
        <v>0</v>
      </c>
      <c r="DT27" s="183">
        <f t="shared" si="29"/>
        <v>0</v>
      </c>
      <c r="DU27" s="183">
        <f t="shared" si="29"/>
        <v>0</v>
      </c>
      <c r="DV27" s="183">
        <f t="shared" si="29"/>
        <v>0</v>
      </c>
      <c r="DW27" s="183">
        <f t="shared" si="29"/>
        <v>0</v>
      </c>
      <c r="DX27" s="183">
        <f t="shared" si="29"/>
        <v>0</v>
      </c>
      <c r="DY27" s="183">
        <f t="shared" si="29"/>
        <v>0</v>
      </c>
      <c r="DZ27" s="183">
        <f t="shared" si="29"/>
        <v>0</v>
      </c>
      <c r="EA27" s="183">
        <f t="shared" si="29"/>
        <v>0</v>
      </c>
      <c r="EB27" s="183">
        <f t="shared" si="29"/>
        <v>0</v>
      </c>
      <c r="EC27" s="183">
        <f t="shared" si="29"/>
        <v>0</v>
      </c>
      <c r="ED27" s="183">
        <f t="shared" si="29"/>
        <v>0</v>
      </c>
      <c r="EE27" s="183">
        <f t="shared" si="29"/>
        <v>0</v>
      </c>
      <c r="EF27" s="183">
        <f t="shared" si="29"/>
        <v>0</v>
      </c>
      <c r="EG27" s="183">
        <f t="shared" si="29"/>
        <v>0</v>
      </c>
      <c r="EH27" s="183">
        <f t="shared" si="29"/>
        <v>0</v>
      </c>
      <c r="EI27" s="183">
        <f t="shared" si="29"/>
        <v>0</v>
      </c>
      <c r="EJ27" s="183">
        <f t="shared" si="29"/>
        <v>0</v>
      </c>
      <c r="EK27" s="183">
        <f t="shared" si="29"/>
        <v>0</v>
      </c>
      <c r="EL27" s="183">
        <f t="shared" si="29"/>
        <v>0</v>
      </c>
      <c r="EM27" s="183">
        <f t="shared" si="29"/>
        <v>0</v>
      </c>
      <c r="EN27" s="183">
        <f t="shared" si="29"/>
        <v>0</v>
      </c>
      <c r="EO27" s="183">
        <f t="shared" si="29"/>
        <v>0</v>
      </c>
      <c r="EP27" s="183">
        <f t="shared" si="29"/>
        <v>0</v>
      </c>
      <c r="EQ27" s="183">
        <f t="shared" si="29"/>
        <v>0</v>
      </c>
      <c r="ER27" s="183">
        <f t="shared" si="29"/>
        <v>0</v>
      </c>
      <c r="ES27" s="183">
        <f t="shared" si="29"/>
        <v>0</v>
      </c>
      <c r="ET27" s="183">
        <f t="shared" si="29"/>
        <v>0</v>
      </c>
      <c r="EU27" s="183">
        <f t="shared" si="29"/>
        <v>0</v>
      </c>
      <c r="EV27" s="183">
        <f t="shared" si="29"/>
        <v>0</v>
      </c>
      <c r="EW27" s="183">
        <f t="shared" si="29"/>
        <v>0</v>
      </c>
      <c r="EX27" s="183">
        <f t="shared" si="29"/>
        <v>0</v>
      </c>
      <c r="EY27" s="183">
        <f t="shared" si="29"/>
        <v>0</v>
      </c>
      <c r="EZ27" s="183">
        <f t="shared" si="29"/>
        <v>0</v>
      </c>
      <c r="FA27" s="144"/>
      <c r="FB27" s="144"/>
      <c r="FC27" s="144"/>
      <c r="FD27" s="144"/>
      <c r="FE27" s="144"/>
      <c r="FF27" s="144"/>
      <c r="FG27" s="144"/>
      <c r="FH27" s="144"/>
      <c r="FI27" s="144"/>
      <c r="FJ27" s="144"/>
      <c r="FK27" s="144"/>
      <c r="FL27" s="144"/>
      <c r="FM27" s="144"/>
      <c r="FN27" s="144"/>
      <c r="FO27" s="144"/>
      <c r="FP27" s="144"/>
      <c r="FQ27" s="144"/>
      <c r="FR27" s="144"/>
      <c r="FS27" s="144"/>
      <c r="FT27" s="144"/>
      <c r="FU27" s="144"/>
      <c r="FV27" s="144"/>
      <c r="FW27" s="144"/>
      <c r="FX27" s="144"/>
      <c r="FY27" s="144"/>
      <c r="FZ27" s="144"/>
      <c r="GA27" s="144"/>
      <c r="GB27" s="144"/>
      <c r="GC27" s="144"/>
      <c r="GD27" s="144"/>
      <c r="GE27" s="144"/>
      <c r="GF27" s="144"/>
      <c r="GG27" s="144"/>
      <c r="GH27" s="144"/>
      <c r="GI27" s="144"/>
      <c r="GJ27" s="144"/>
      <c r="GK27" s="144"/>
      <c r="GL27" s="144"/>
      <c r="GM27" s="144"/>
      <c r="GN27" s="144"/>
      <c r="GO27" s="144"/>
      <c r="GP27" s="144"/>
      <c r="GQ27" s="144"/>
      <c r="GR27" s="144"/>
      <c r="GS27" s="144"/>
      <c r="GT27" s="144"/>
      <c r="GU27" s="144"/>
      <c r="GV27" s="144"/>
      <c r="GW27" s="144"/>
      <c r="GX27" s="144"/>
      <c r="GY27" s="144"/>
      <c r="GZ27" s="144"/>
      <c r="HA27" s="144"/>
      <c r="HB27" s="144"/>
      <c r="HC27" s="144"/>
      <c r="HD27" s="144"/>
      <c r="HE27" s="144"/>
      <c r="HF27" s="144"/>
      <c r="HG27" s="144"/>
      <c r="HH27" s="144"/>
      <c r="HI27" s="144"/>
      <c r="HJ27" s="144"/>
      <c r="HK27" s="144"/>
    </row>
    <row r="28" spans="1:219" s="158" customFormat="1" x14ac:dyDescent="0.2">
      <c r="A28" s="630"/>
      <c r="B28" s="638" t="s">
        <v>644</v>
      </c>
      <c r="C28" s="639"/>
      <c r="D28" s="443">
        <v>0</v>
      </c>
      <c r="E28" s="199">
        <f>IF(units=0,0,'Renovation Budget'!D28/units)</f>
        <v>0</v>
      </c>
      <c r="F28" s="640">
        <v>0</v>
      </c>
      <c r="G28" s="640">
        <v>0</v>
      </c>
      <c r="H28" s="641">
        <f t="shared" si="25"/>
        <v>0</v>
      </c>
      <c r="I28" s="642" t="s">
        <v>107</v>
      </c>
      <c r="J28" s="643" t="s">
        <v>42</v>
      </c>
      <c r="K28" s="644"/>
      <c r="L28" s="183">
        <f t="shared" si="30"/>
        <v>0</v>
      </c>
      <c r="M28" s="183">
        <f t="shared" si="30"/>
        <v>0</v>
      </c>
      <c r="N28" s="183">
        <f t="shared" si="30"/>
        <v>0</v>
      </c>
      <c r="O28" s="183">
        <f t="shared" si="30"/>
        <v>0</v>
      </c>
      <c r="P28" s="183">
        <f t="shared" si="30"/>
        <v>0</v>
      </c>
      <c r="Q28" s="183">
        <f t="shared" si="30"/>
        <v>0</v>
      </c>
      <c r="R28" s="183">
        <f t="shared" si="30"/>
        <v>0</v>
      </c>
      <c r="S28" s="183">
        <f t="shared" si="30"/>
        <v>0</v>
      </c>
      <c r="T28" s="183">
        <f t="shared" si="30"/>
        <v>0</v>
      </c>
      <c r="U28" s="183">
        <f t="shared" si="30"/>
        <v>0</v>
      </c>
      <c r="V28" s="183">
        <f t="shared" si="30"/>
        <v>0</v>
      </c>
      <c r="W28" s="644"/>
      <c r="X28" s="183">
        <f t="shared" si="26"/>
        <v>0</v>
      </c>
      <c r="Y28" s="183">
        <f t="shared" si="27"/>
        <v>0</v>
      </c>
      <c r="Z28" s="183">
        <f t="shared" si="31"/>
        <v>0</v>
      </c>
      <c r="AA28" s="183">
        <f t="shared" si="31"/>
        <v>0</v>
      </c>
      <c r="AB28" s="183">
        <f t="shared" si="31"/>
        <v>0</v>
      </c>
      <c r="AC28" s="183">
        <f t="shared" si="31"/>
        <v>0</v>
      </c>
      <c r="AD28" s="183">
        <f t="shared" si="31"/>
        <v>0</v>
      </c>
      <c r="AE28" s="183">
        <f t="shared" si="31"/>
        <v>0</v>
      </c>
      <c r="AF28" s="183">
        <f t="shared" si="31"/>
        <v>0</v>
      </c>
      <c r="AG28" s="183">
        <f t="shared" si="31"/>
        <v>0</v>
      </c>
      <c r="AH28" s="183">
        <f t="shared" si="31"/>
        <v>0</v>
      </c>
      <c r="AI28" s="183">
        <f t="shared" si="31"/>
        <v>0</v>
      </c>
      <c r="AJ28" s="183">
        <f t="shared" si="31"/>
        <v>0</v>
      </c>
      <c r="AK28" s="183">
        <f t="shared" si="31"/>
        <v>0</v>
      </c>
      <c r="AL28" s="183">
        <f t="shared" si="31"/>
        <v>0</v>
      </c>
      <c r="AM28" s="183">
        <f t="shared" si="31"/>
        <v>0</v>
      </c>
      <c r="AN28" s="183">
        <f t="shared" si="31"/>
        <v>0</v>
      </c>
      <c r="AO28" s="183">
        <f t="shared" si="31"/>
        <v>0</v>
      </c>
      <c r="AP28" s="183">
        <f t="shared" si="31"/>
        <v>0</v>
      </c>
      <c r="AQ28" s="183">
        <f t="shared" si="31"/>
        <v>0</v>
      </c>
      <c r="AR28" s="183">
        <f t="shared" si="31"/>
        <v>0</v>
      </c>
      <c r="AS28" s="183">
        <f t="shared" si="31"/>
        <v>0</v>
      </c>
      <c r="AT28" s="183">
        <f t="shared" si="31"/>
        <v>0</v>
      </c>
      <c r="AU28" s="183">
        <f t="shared" si="31"/>
        <v>0</v>
      </c>
      <c r="AV28" s="183">
        <f t="shared" si="31"/>
        <v>0</v>
      </c>
      <c r="AW28" s="183">
        <f t="shared" si="31"/>
        <v>0</v>
      </c>
      <c r="AX28" s="183">
        <f t="shared" si="31"/>
        <v>0</v>
      </c>
      <c r="AY28" s="183">
        <f t="shared" si="31"/>
        <v>0</v>
      </c>
      <c r="AZ28" s="183">
        <f t="shared" si="31"/>
        <v>0</v>
      </c>
      <c r="BA28" s="183">
        <f t="shared" si="31"/>
        <v>0</v>
      </c>
      <c r="BB28" s="183">
        <f t="shared" si="31"/>
        <v>0</v>
      </c>
      <c r="BC28" s="183">
        <f t="shared" si="31"/>
        <v>0</v>
      </c>
      <c r="BD28" s="183">
        <f t="shared" si="31"/>
        <v>0</v>
      </c>
      <c r="BE28" s="183">
        <f t="shared" si="31"/>
        <v>0</v>
      </c>
      <c r="BF28" s="183">
        <f t="shared" si="31"/>
        <v>0</v>
      </c>
      <c r="BG28" s="183">
        <f t="shared" si="31"/>
        <v>0</v>
      </c>
      <c r="BH28" s="183">
        <f t="shared" si="31"/>
        <v>0</v>
      </c>
      <c r="BI28" s="183">
        <f t="shared" si="31"/>
        <v>0</v>
      </c>
      <c r="BJ28" s="183">
        <f t="shared" si="31"/>
        <v>0</v>
      </c>
      <c r="BK28" s="183">
        <f t="shared" si="31"/>
        <v>0</v>
      </c>
      <c r="BL28" s="183">
        <f t="shared" si="31"/>
        <v>0</v>
      </c>
      <c r="BM28" s="183">
        <f t="shared" si="31"/>
        <v>0</v>
      </c>
      <c r="BN28" s="183">
        <f t="shared" si="31"/>
        <v>0</v>
      </c>
      <c r="BO28" s="183">
        <f t="shared" si="31"/>
        <v>0</v>
      </c>
      <c r="BP28" s="183">
        <f t="shared" si="31"/>
        <v>0</v>
      </c>
      <c r="BQ28" s="183">
        <f t="shared" si="31"/>
        <v>0</v>
      </c>
      <c r="BR28" s="183">
        <f t="shared" si="31"/>
        <v>0</v>
      </c>
      <c r="BS28" s="183">
        <f t="shared" si="31"/>
        <v>0</v>
      </c>
      <c r="BT28" s="183">
        <f t="shared" si="31"/>
        <v>0</v>
      </c>
      <c r="BU28" s="183">
        <f t="shared" si="31"/>
        <v>0</v>
      </c>
      <c r="BV28" s="183">
        <f t="shared" si="31"/>
        <v>0</v>
      </c>
      <c r="BW28" s="183">
        <f t="shared" si="31"/>
        <v>0</v>
      </c>
      <c r="BX28" s="183">
        <f t="shared" si="31"/>
        <v>0</v>
      </c>
      <c r="BY28" s="183">
        <f t="shared" si="31"/>
        <v>0</v>
      </c>
      <c r="BZ28" s="183">
        <f t="shared" si="31"/>
        <v>0</v>
      </c>
      <c r="CA28" s="183">
        <f t="shared" si="31"/>
        <v>0</v>
      </c>
      <c r="CB28" s="183">
        <f t="shared" si="31"/>
        <v>0</v>
      </c>
      <c r="CC28" s="183">
        <f t="shared" si="31"/>
        <v>0</v>
      </c>
      <c r="CD28" s="183">
        <f t="shared" si="31"/>
        <v>0</v>
      </c>
      <c r="CE28" s="183">
        <f t="shared" si="31"/>
        <v>0</v>
      </c>
      <c r="CF28" s="183">
        <f t="shared" si="31"/>
        <v>0</v>
      </c>
      <c r="CG28" s="183">
        <f t="shared" si="31"/>
        <v>0</v>
      </c>
      <c r="CH28" s="183">
        <f t="shared" si="31"/>
        <v>0</v>
      </c>
      <c r="CI28" s="183">
        <f t="shared" si="31"/>
        <v>0</v>
      </c>
      <c r="CJ28" s="183">
        <f t="shared" si="31"/>
        <v>0</v>
      </c>
      <c r="CK28" s="183">
        <f t="shared" si="31"/>
        <v>0</v>
      </c>
      <c r="CL28" s="183">
        <f t="shared" si="28"/>
        <v>0</v>
      </c>
      <c r="CM28" s="183">
        <f t="shared" si="28"/>
        <v>0</v>
      </c>
      <c r="CN28" s="183">
        <f t="shared" si="28"/>
        <v>0</v>
      </c>
      <c r="CO28" s="183">
        <f t="shared" si="28"/>
        <v>0</v>
      </c>
      <c r="CP28" s="183">
        <f t="shared" si="28"/>
        <v>0</v>
      </c>
      <c r="CQ28" s="183">
        <f t="shared" si="28"/>
        <v>0</v>
      </c>
      <c r="CR28" s="183">
        <f t="shared" si="28"/>
        <v>0</v>
      </c>
      <c r="CS28" s="183">
        <f t="shared" si="28"/>
        <v>0</v>
      </c>
      <c r="CT28" s="183">
        <f t="shared" si="28"/>
        <v>0</v>
      </c>
      <c r="CU28" s="183">
        <f t="shared" si="28"/>
        <v>0</v>
      </c>
      <c r="CV28" s="183">
        <f t="shared" si="28"/>
        <v>0</v>
      </c>
      <c r="CW28" s="183">
        <f t="shared" si="28"/>
        <v>0</v>
      </c>
      <c r="CX28" s="183">
        <f t="shared" si="28"/>
        <v>0</v>
      </c>
      <c r="CY28" s="183">
        <f t="shared" si="28"/>
        <v>0</v>
      </c>
      <c r="CZ28" s="183">
        <f t="shared" si="28"/>
        <v>0</v>
      </c>
      <c r="DA28" s="183">
        <f t="shared" si="29"/>
        <v>0</v>
      </c>
      <c r="DB28" s="183">
        <f t="shared" si="29"/>
        <v>0</v>
      </c>
      <c r="DC28" s="183">
        <f t="shared" si="29"/>
        <v>0</v>
      </c>
      <c r="DD28" s="183">
        <f t="shared" si="29"/>
        <v>0</v>
      </c>
      <c r="DE28" s="183">
        <f t="shared" si="29"/>
        <v>0</v>
      </c>
      <c r="DF28" s="183">
        <f t="shared" si="29"/>
        <v>0</v>
      </c>
      <c r="DG28" s="183">
        <f t="shared" si="29"/>
        <v>0</v>
      </c>
      <c r="DH28" s="183">
        <f t="shared" si="29"/>
        <v>0</v>
      </c>
      <c r="DI28" s="183">
        <f t="shared" si="29"/>
        <v>0</v>
      </c>
      <c r="DJ28" s="183">
        <f t="shared" si="29"/>
        <v>0</v>
      </c>
      <c r="DK28" s="183">
        <f t="shared" si="29"/>
        <v>0</v>
      </c>
      <c r="DL28" s="183">
        <f t="shared" si="29"/>
        <v>0</v>
      </c>
      <c r="DM28" s="183">
        <f t="shared" si="29"/>
        <v>0</v>
      </c>
      <c r="DN28" s="183">
        <f t="shared" si="29"/>
        <v>0</v>
      </c>
      <c r="DO28" s="183">
        <f t="shared" si="29"/>
        <v>0</v>
      </c>
      <c r="DP28" s="183">
        <f t="shared" si="29"/>
        <v>0</v>
      </c>
      <c r="DQ28" s="183">
        <f t="shared" si="29"/>
        <v>0</v>
      </c>
      <c r="DR28" s="183">
        <f t="shared" si="29"/>
        <v>0</v>
      </c>
      <c r="DS28" s="183">
        <f t="shared" si="29"/>
        <v>0</v>
      </c>
      <c r="DT28" s="183">
        <f t="shared" si="29"/>
        <v>0</v>
      </c>
      <c r="DU28" s="183">
        <f t="shared" si="29"/>
        <v>0</v>
      </c>
      <c r="DV28" s="183">
        <f t="shared" si="29"/>
        <v>0</v>
      </c>
      <c r="DW28" s="183">
        <f t="shared" si="29"/>
        <v>0</v>
      </c>
      <c r="DX28" s="183">
        <f t="shared" si="29"/>
        <v>0</v>
      </c>
      <c r="DY28" s="183">
        <f t="shared" si="29"/>
        <v>0</v>
      </c>
      <c r="DZ28" s="183">
        <f t="shared" si="29"/>
        <v>0</v>
      </c>
      <c r="EA28" s="183">
        <f t="shared" si="29"/>
        <v>0</v>
      </c>
      <c r="EB28" s="183">
        <f t="shared" si="29"/>
        <v>0</v>
      </c>
      <c r="EC28" s="183">
        <f t="shared" si="29"/>
        <v>0</v>
      </c>
      <c r="ED28" s="183">
        <f t="shared" si="29"/>
        <v>0</v>
      </c>
      <c r="EE28" s="183">
        <f t="shared" si="29"/>
        <v>0</v>
      </c>
      <c r="EF28" s="183">
        <f t="shared" si="29"/>
        <v>0</v>
      </c>
      <c r="EG28" s="183">
        <f t="shared" si="29"/>
        <v>0</v>
      </c>
      <c r="EH28" s="183">
        <f t="shared" si="29"/>
        <v>0</v>
      </c>
      <c r="EI28" s="183">
        <f t="shared" si="29"/>
        <v>0</v>
      </c>
      <c r="EJ28" s="183">
        <f t="shared" si="29"/>
        <v>0</v>
      </c>
      <c r="EK28" s="183">
        <f t="shared" si="29"/>
        <v>0</v>
      </c>
      <c r="EL28" s="183">
        <f t="shared" si="29"/>
        <v>0</v>
      </c>
      <c r="EM28" s="183">
        <f t="shared" si="29"/>
        <v>0</v>
      </c>
      <c r="EN28" s="183">
        <f t="shared" si="29"/>
        <v>0</v>
      </c>
      <c r="EO28" s="183">
        <f t="shared" si="29"/>
        <v>0</v>
      </c>
      <c r="EP28" s="183">
        <f t="shared" si="29"/>
        <v>0</v>
      </c>
      <c r="EQ28" s="183">
        <f t="shared" si="29"/>
        <v>0</v>
      </c>
      <c r="ER28" s="183">
        <f t="shared" si="29"/>
        <v>0</v>
      </c>
      <c r="ES28" s="183">
        <f t="shared" si="29"/>
        <v>0</v>
      </c>
      <c r="ET28" s="183">
        <f t="shared" si="29"/>
        <v>0</v>
      </c>
      <c r="EU28" s="183">
        <f t="shared" si="29"/>
        <v>0</v>
      </c>
      <c r="EV28" s="183">
        <f t="shared" si="29"/>
        <v>0</v>
      </c>
      <c r="EW28" s="183">
        <f t="shared" si="29"/>
        <v>0</v>
      </c>
      <c r="EX28" s="183">
        <f t="shared" si="29"/>
        <v>0</v>
      </c>
      <c r="EY28" s="183">
        <f t="shared" si="29"/>
        <v>0</v>
      </c>
      <c r="EZ28" s="183">
        <f t="shared" si="29"/>
        <v>0</v>
      </c>
      <c r="FA28" s="144"/>
      <c r="FB28" s="144"/>
      <c r="FC28" s="144"/>
      <c r="FD28" s="144"/>
      <c r="FE28" s="144"/>
      <c r="FF28" s="144"/>
      <c r="FG28" s="144"/>
      <c r="FH28" s="144"/>
      <c r="FI28" s="144"/>
      <c r="FJ28" s="144"/>
      <c r="FK28" s="144"/>
      <c r="FL28" s="144"/>
      <c r="FM28" s="144"/>
      <c r="FN28" s="144"/>
      <c r="FO28" s="144"/>
      <c r="FP28" s="144"/>
      <c r="FQ28" s="144"/>
      <c r="FR28" s="144"/>
      <c r="FS28" s="144"/>
      <c r="FT28" s="144"/>
      <c r="FU28" s="144"/>
      <c r="FV28" s="144"/>
      <c r="FW28" s="144"/>
      <c r="FX28" s="144"/>
      <c r="FY28" s="144"/>
      <c r="FZ28" s="144"/>
      <c r="GA28" s="144"/>
      <c r="GB28" s="144"/>
      <c r="GC28" s="144"/>
      <c r="GD28" s="144"/>
      <c r="GE28" s="144"/>
      <c r="GF28" s="144"/>
      <c r="GG28" s="144"/>
      <c r="GH28" s="144"/>
      <c r="GI28" s="144"/>
      <c r="GJ28" s="144"/>
      <c r="GK28" s="144"/>
      <c r="GL28" s="144"/>
      <c r="GM28" s="144"/>
      <c r="GN28" s="144"/>
      <c r="GO28" s="144"/>
      <c r="GP28" s="144"/>
      <c r="GQ28" s="144"/>
      <c r="GR28" s="144"/>
      <c r="GS28" s="144"/>
      <c r="GT28" s="144"/>
      <c r="GU28" s="144"/>
      <c r="GV28" s="144"/>
      <c r="GW28" s="144"/>
      <c r="GX28" s="144"/>
      <c r="GY28" s="144"/>
      <c r="GZ28" s="144"/>
      <c r="HA28" s="144"/>
      <c r="HB28" s="144"/>
      <c r="HC28" s="144"/>
      <c r="HD28" s="144"/>
      <c r="HE28" s="144"/>
      <c r="HF28" s="144"/>
      <c r="HG28" s="144"/>
      <c r="HH28" s="144"/>
      <c r="HI28" s="144"/>
      <c r="HJ28" s="144"/>
      <c r="HK28" s="144"/>
    </row>
    <row r="29" spans="1:219" s="158" customFormat="1" x14ac:dyDescent="0.2">
      <c r="A29" s="630"/>
      <c r="B29" s="638" t="s">
        <v>645</v>
      </c>
      <c r="C29" s="639"/>
      <c r="D29" s="443">
        <v>0</v>
      </c>
      <c r="E29" s="199">
        <f>IF(units=0,0,'Renovation Budget'!D29/units)</f>
        <v>0</v>
      </c>
      <c r="F29" s="640">
        <v>0</v>
      </c>
      <c r="G29" s="640">
        <v>0</v>
      </c>
      <c r="H29" s="641">
        <f t="shared" si="25"/>
        <v>0</v>
      </c>
      <c r="I29" s="642" t="s">
        <v>107</v>
      </c>
      <c r="J29" s="643" t="s">
        <v>42</v>
      </c>
      <c r="K29" s="644"/>
      <c r="L29" s="183">
        <f t="shared" si="30"/>
        <v>0</v>
      </c>
      <c r="M29" s="183">
        <f t="shared" si="30"/>
        <v>0</v>
      </c>
      <c r="N29" s="183">
        <f t="shared" si="30"/>
        <v>0</v>
      </c>
      <c r="O29" s="183">
        <f t="shared" si="30"/>
        <v>0</v>
      </c>
      <c r="P29" s="183">
        <f t="shared" si="30"/>
        <v>0</v>
      </c>
      <c r="Q29" s="183">
        <f t="shared" si="30"/>
        <v>0</v>
      </c>
      <c r="R29" s="183">
        <f t="shared" si="30"/>
        <v>0</v>
      </c>
      <c r="S29" s="183">
        <f t="shared" si="30"/>
        <v>0</v>
      </c>
      <c r="T29" s="183">
        <f t="shared" si="30"/>
        <v>0</v>
      </c>
      <c r="U29" s="183">
        <f t="shared" si="30"/>
        <v>0</v>
      </c>
      <c r="V29" s="183">
        <f t="shared" si="30"/>
        <v>0</v>
      </c>
      <c r="W29" s="644"/>
      <c r="X29" s="183">
        <f t="shared" si="26"/>
        <v>0</v>
      </c>
      <c r="Y29" s="183">
        <f t="shared" si="27"/>
        <v>0</v>
      </c>
      <c r="Z29" s="183">
        <f t="shared" si="31"/>
        <v>0</v>
      </c>
      <c r="AA29" s="183">
        <f t="shared" si="31"/>
        <v>0</v>
      </c>
      <c r="AB29" s="183">
        <f t="shared" si="31"/>
        <v>0</v>
      </c>
      <c r="AC29" s="183">
        <f t="shared" si="31"/>
        <v>0</v>
      </c>
      <c r="AD29" s="183">
        <f t="shared" si="31"/>
        <v>0</v>
      </c>
      <c r="AE29" s="183">
        <f t="shared" si="31"/>
        <v>0</v>
      </c>
      <c r="AF29" s="183">
        <f t="shared" si="31"/>
        <v>0</v>
      </c>
      <c r="AG29" s="183">
        <f t="shared" si="31"/>
        <v>0</v>
      </c>
      <c r="AH29" s="183">
        <f t="shared" si="31"/>
        <v>0</v>
      </c>
      <c r="AI29" s="183">
        <f t="shared" si="31"/>
        <v>0</v>
      </c>
      <c r="AJ29" s="183">
        <f t="shared" si="31"/>
        <v>0</v>
      </c>
      <c r="AK29" s="183">
        <f t="shared" si="31"/>
        <v>0</v>
      </c>
      <c r="AL29" s="183">
        <f t="shared" si="31"/>
        <v>0</v>
      </c>
      <c r="AM29" s="183">
        <f t="shared" si="31"/>
        <v>0</v>
      </c>
      <c r="AN29" s="183">
        <f t="shared" si="31"/>
        <v>0</v>
      </c>
      <c r="AO29" s="183">
        <f t="shared" si="31"/>
        <v>0</v>
      </c>
      <c r="AP29" s="183">
        <f t="shared" si="31"/>
        <v>0</v>
      </c>
      <c r="AQ29" s="183">
        <f t="shared" si="31"/>
        <v>0</v>
      </c>
      <c r="AR29" s="183">
        <f t="shared" si="31"/>
        <v>0</v>
      </c>
      <c r="AS29" s="183">
        <f t="shared" si="31"/>
        <v>0</v>
      </c>
      <c r="AT29" s="183">
        <f t="shared" si="31"/>
        <v>0</v>
      </c>
      <c r="AU29" s="183">
        <f t="shared" si="31"/>
        <v>0</v>
      </c>
      <c r="AV29" s="183">
        <f t="shared" si="31"/>
        <v>0</v>
      </c>
      <c r="AW29" s="183">
        <f t="shared" si="31"/>
        <v>0</v>
      </c>
      <c r="AX29" s="183">
        <f t="shared" si="31"/>
        <v>0</v>
      </c>
      <c r="AY29" s="183">
        <f t="shared" si="31"/>
        <v>0</v>
      </c>
      <c r="AZ29" s="183">
        <f t="shared" si="31"/>
        <v>0</v>
      </c>
      <c r="BA29" s="183">
        <f t="shared" si="31"/>
        <v>0</v>
      </c>
      <c r="BB29" s="183">
        <f t="shared" si="31"/>
        <v>0</v>
      </c>
      <c r="BC29" s="183">
        <f t="shared" si="31"/>
        <v>0</v>
      </c>
      <c r="BD29" s="183">
        <f t="shared" si="31"/>
        <v>0</v>
      </c>
      <c r="BE29" s="183">
        <f t="shared" si="31"/>
        <v>0</v>
      </c>
      <c r="BF29" s="183">
        <f t="shared" si="31"/>
        <v>0</v>
      </c>
      <c r="BG29" s="183">
        <f t="shared" si="31"/>
        <v>0</v>
      </c>
      <c r="BH29" s="183">
        <f t="shared" si="31"/>
        <v>0</v>
      </c>
      <c r="BI29" s="183">
        <f t="shared" si="31"/>
        <v>0</v>
      </c>
      <c r="BJ29" s="183">
        <f t="shared" si="31"/>
        <v>0</v>
      </c>
      <c r="BK29" s="183">
        <f t="shared" si="31"/>
        <v>0</v>
      </c>
      <c r="BL29" s="183">
        <f t="shared" si="31"/>
        <v>0</v>
      </c>
      <c r="BM29" s="183">
        <f t="shared" si="31"/>
        <v>0</v>
      </c>
      <c r="BN29" s="183">
        <f t="shared" si="31"/>
        <v>0</v>
      </c>
      <c r="BO29" s="183">
        <f t="shared" si="31"/>
        <v>0</v>
      </c>
      <c r="BP29" s="183">
        <f t="shared" si="31"/>
        <v>0</v>
      </c>
      <c r="BQ29" s="183">
        <f t="shared" si="31"/>
        <v>0</v>
      </c>
      <c r="BR29" s="183">
        <f t="shared" si="31"/>
        <v>0</v>
      </c>
      <c r="BS29" s="183">
        <f t="shared" si="31"/>
        <v>0</v>
      </c>
      <c r="BT29" s="183">
        <f t="shared" si="31"/>
        <v>0</v>
      </c>
      <c r="BU29" s="183">
        <f t="shared" si="31"/>
        <v>0</v>
      </c>
      <c r="BV29" s="183">
        <f t="shared" si="31"/>
        <v>0</v>
      </c>
      <c r="BW29" s="183">
        <f t="shared" si="31"/>
        <v>0</v>
      </c>
      <c r="BX29" s="183">
        <f t="shared" si="31"/>
        <v>0</v>
      </c>
      <c r="BY29" s="183">
        <f t="shared" si="31"/>
        <v>0</v>
      </c>
      <c r="BZ29" s="183">
        <f t="shared" si="31"/>
        <v>0</v>
      </c>
      <c r="CA29" s="183">
        <f t="shared" si="31"/>
        <v>0</v>
      </c>
      <c r="CB29" s="183">
        <f t="shared" si="31"/>
        <v>0</v>
      </c>
      <c r="CC29" s="183">
        <f t="shared" si="31"/>
        <v>0</v>
      </c>
      <c r="CD29" s="183">
        <f t="shared" si="31"/>
        <v>0</v>
      </c>
      <c r="CE29" s="183">
        <f t="shared" si="31"/>
        <v>0</v>
      </c>
      <c r="CF29" s="183">
        <f t="shared" si="31"/>
        <v>0</v>
      </c>
      <c r="CG29" s="183">
        <f t="shared" si="31"/>
        <v>0</v>
      </c>
      <c r="CH29" s="183">
        <f t="shared" si="31"/>
        <v>0</v>
      </c>
      <c r="CI29" s="183">
        <f t="shared" si="31"/>
        <v>0</v>
      </c>
      <c r="CJ29" s="183">
        <f t="shared" si="31"/>
        <v>0</v>
      </c>
      <c r="CK29" s="183">
        <f t="shared" ref="CK29:EV32" si="32">IF(OR(CK$3&gt;=$G29,CK$3&lt;$F29),0,(_xlfn.NORM.DIST(CK$3-$F29+1,$H29/2,INDEX($E$115:$E$118,MATCH($I29,$D$115:$D$118,0)),TRUE)-_xlfn.NORM.DIST(CJ$3-$F29+1,$H29/2,INDEX($E$115:$E$118,MATCH($I29,$D$115:$D$118,0)),TRUE))/(1-2*_xlfn.NORM.DIST(0,$H29/2,INDEX($E$115:$E$118,MATCH($I29,$D$115:$D$118,0)),TRUE))*$D29)</f>
        <v>0</v>
      </c>
      <c r="CL29" s="183">
        <f t="shared" si="32"/>
        <v>0</v>
      </c>
      <c r="CM29" s="183">
        <f t="shared" si="32"/>
        <v>0</v>
      </c>
      <c r="CN29" s="183">
        <f t="shared" si="32"/>
        <v>0</v>
      </c>
      <c r="CO29" s="183">
        <f t="shared" si="32"/>
        <v>0</v>
      </c>
      <c r="CP29" s="183">
        <f t="shared" si="32"/>
        <v>0</v>
      </c>
      <c r="CQ29" s="183">
        <f t="shared" si="32"/>
        <v>0</v>
      </c>
      <c r="CR29" s="183">
        <f t="shared" si="32"/>
        <v>0</v>
      </c>
      <c r="CS29" s="183">
        <f t="shared" si="32"/>
        <v>0</v>
      </c>
      <c r="CT29" s="183">
        <f t="shared" si="32"/>
        <v>0</v>
      </c>
      <c r="CU29" s="183">
        <f t="shared" si="32"/>
        <v>0</v>
      </c>
      <c r="CV29" s="183">
        <f t="shared" si="32"/>
        <v>0</v>
      </c>
      <c r="CW29" s="183">
        <f t="shared" si="32"/>
        <v>0</v>
      </c>
      <c r="CX29" s="183">
        <f t="shared" si="32"/>
        <v>0</v>
      </c>
      <c r="CY29" s="183">
        <f t="shared" si="32"/>
        <v>0</v>
      </c>
      <c r="CZ29" s="183">
        <f t="shared" si="32"/>
        <v>0</v>
      </c>
      <c r="DA29" s="183">
        <f t="shared" si="32"/>
        <v>0</v>
      </c>
      <c r="DB29" s="183">
        <f t="shared" si="32"/>
        <v>0</v>
      </c>
      <c r="DC29" s="183">
        <f t="shared" si="32"/>
        <v>0</v>
      </c>
      <c r="DD29" s="183">
        <f t="shared" si="32"/>
        <v>0</v>
      </c>
      <c r="DE29" s="183">
        <f t="shared" si="32"/>
        <v>0</v>
      </c>
      <c r="DF29" s="183">
        <f t="shared" si="32"/>
        <v>0</v>
      </c>
      <c r="DG29" s="183">
        <f t="shared" si="32"/>
        <v>0</v>
      </c>
      <c r="DH29" s="183">
        <f t="shared" si="32"/>
        <v>0</v>
      </c>
      <c r="DI29" s="183">
        <f t="shared" si="32"/>
        <v>0</v>
      </c>
      <c r="DJ29" s="183">
        <f t="shared" si="32"/>
        <v>0</v>
      </c>
      <c r="DK29" s="183">
        <f t="shared" si="32"/>
        <v>0</v>
      </c>
      <c r="DL29" s="183">
        <f t="shared" si="32"/>
        <v>0</v>
      </c>
      <c r="DM29" s="183">
        <f t="shared" si="32"/>
        <v>0</v>
      </c>
      <c r="DN29" s="183">
        <f t="shared" si="32"/>
        <v>0</v>
      </c>
      <c r="DO29" s="183">
        <f t="shared" si="32"/>
        <v>0</v>
      </c>
      <c r="DP29" s="183">
        <f t="shared" si="32"/>
        <v>0</v>
      </c>
      <c r="DQ29" s="183">
        <f t="shared" si="32"/>
        <v>0</v>
      </c>
      <c r="DR29" s="183">
        <f t="shared" si="32"/>
        <v>0</v>
      </c>
      <c r="DS29" s="183">
        <f t="shared" si="32"/>
        <v>0</v>
      </c>
      <c r="DT29" s="183">
        <f t="shared" si="32"/>
        <v>0</v>
      </c>
      <c r="DU29" s="183">
        <f t="shared" si="32"/>
        <v>0</v>
      </c>
      <c r="DV29" s="183">
        <f t="shared" si="32"/>
        <v>0</v>
      </c>
      <c r="DW29" s="183">
        <f t="shared" si="32"/>
        <v>0</v>
      </c>
      <c r="DX29" s="183">
        <f t="shared" si="32"/>
        <v>0</v>
      </c>
      <c r="DY29" s="183">
        <f t="shared" si="32"/>
        <v>0</v>
      </c>
      <c r="DZ29" s="183">
        <f t="shared" si="32"/>
        <v>0</v>
      </c>
      <c r="EA29" s="183">
        <f t="shared" si="32"/>
        <v>0</v>
      </c>
      <c r="EB29" s="183">
        <f t="shared" si="32"/>
        <v>0</v>
      </c>
      <c r="EC29" s="183">
        <f t="shared" si="32"/>
        <v>0</v>
      </c>
      <c r="ED29" s="183">
        <f t="shared" si="32"/>
        <v>0</v>
      </c>
      <c r="EE29" s="183">
        <f t="shared" si="32"/>
        <v>0</v>
      </c>
      <c r="EF29" s="183">
        <f t="shared" si="32"/>
        <v>0</v>
      </c>
      <c r="EG29" s="183">
        <f t="shared" si="32"/>
        <v>0</v>
      </c>
      <c r="EH29" s="183">
        <f t="shared" si="32"/>
        <v>0</v>
      </c>
      <c r="EI29" s="183">
        <f t="shared" si="32"/>
        <v>0</v>
      </c>
      <c r="EJ29" s="183">
        <f t="shared" si="32"/>
        <v>0</v>
      </c>
      <c r="EK29" s="183">
        <f t="shared" si="32"/>
        <v>0</v>
      </c>
      <c r="EL29" s="183">
        <f t="shared" si="32"/>
        <v>0</v>
      </c>
      <c r="EM29" s="183">
        <f t="shared" si="32"/>
        <v>0</v>
      </c>
      <c r="EN29" s="183">
        <f t="shared" si="32"/>
        <v>0</v>
      </c>
      <c r="EO29" s="183">
        <f t="shared" si="32"/>
        <v>0</v>
      </c>
      <c r="EP29" s="183">
        <f t="shared" si="32"/>
        <v>0</v>
      </c>
      <c r="EQ29" s="183">
        <f t="shared" si="32"/>
        <v>0</v>
      </c>
      <c r="ER29" s="183">
        <f t="shared" si="32"/>
        <v>0</v>
      </c>
      <c r="ES29" s="183">
        <f t="shared" si="32"/>
        <v>0</v>
      </c>
      <c r="ET29" s="183">
        <f t="shared" si="32"/>
        <v>0</v>
      </c>
      <c r="EU29" s="183">
        <f t="shared" si="32"/>
        <v>0</v>
      </c>
      <c r="EV29" s="183">
        <f t="shared" si="32"/>
        <v>0</v>
      </c>
      <c r="EW29" s="183">
        <f t="shared" si="29"/>
        <v>0</v>
      </c>
      <c r="EX29" s="183">
        <f t="shared" si="29"/>
        <v>0</v>
      </c>
      <c r="EY29" s="183">
        <f t="shared" si="29"/>
        <v>0</v>
      </c>
      <c r="EZ29" s="183">
        <f t="shared" si="29"/>
        <v>0</v>
      </c>
      <c r="FA29" s="144"/>
      <c r="FB29" s="144"/>
      <c r="FC29" s="144"/>
      <c r="FD29" s="144"/>
      <c r="FE29" s="144"/>
      <c r="FF29" s="144"/>
      <c r="FG29" s="144"/>
      <c r="FH29" s="144"/>
      <c r="FI29" s="144"/>
      <c r="FJ29" s="144"/>
      <c r="FK29" s="144"/>
      <c r="FL29" s="144"/>
      <c r="FM29" s="144"/>
      <c r="FN29" s="144"/>
      <c r="FO29" s="144"/>
      <c r="FP29" s="144"/>
      <c r="FQ29" s="144"/>
      <c r="FR29" s="144"/>
      <c r="FS29" s="144"/>
      <c r="FT29" s="144"/>
      <c r="FU29" s="144"/>
      <c r="FV29" s="144"/>
      <c r="FW29" s="144"/>
      <c r="FX29" s="144"/>
      <c r="FY29" s="144"/>
      <c r="FZ29" s="144"/>
      <c r="GA29" s="144"/>
      <c r="GB29" s="144"/>
      <c r="GC29" s="144"/>
      <c r="GD29" s="144"/>
      <c r="GE29" s="144"/>
      <c r="GF29" s="144"/>
      <c r="GG29" s="144"/>
      <c r="GH29" s="144"/>
      <c r="GI29" s="144"/>
      <c r="GJ29" s="144"/>
      <c r="GK29" s="144"/>
      <c r="GL29" s="144"/>
      <c r="GM29" s="144"/>
      <c r="GN29" s="144"/>
      <c r="GO29" s="144"/>
      <c r="GP29" s="144"/>
      <c r="GQ29" s="144"/>
      <c r="GR29" s="144"/>
      <c r="GS29" s="144"/>
      <c r="GT29" s="144"/>
      <c r="GU29" s="144"/>
      <c r="GV29" s="144"/>
      <c r="GW29" s="144"/>
      <c r="GX29" s="144"/>
      <c r="GY29" s="144"/>
      <c r="GZ29" s="144"/>
      <c r="HA29" s="144"/>
      <c r="HB29" s="144"/>
      <c r="HC29" s="144"/>
      <c r="HD29" s="144"/>
      <c r="HE29" s="144"/>
      <c r="HF29" s="144"/>
      <c r="HG29" s="144"/>
      <c r="HH29" s="144"/>
      <c r="HI29" s="144"/>
      <c r="HJ29" s="144"/>
      <c r="HK29" s="144"/>
    </row>
    <row r="30" spans="1:219" s="158" customFormat="1" x14ac:dyDescent="0.2">
      <c r="A30" s="630"/>
      <c r="B30" s="638" t="s">
        <v>646</v>
      </c>
      <c r="C30" s="639"/>
      <c r="D30" s="443">
        <v>0</v>
      </c>
      <c r="E30" s="199">
        <f>IF(units=0,0,'Renovation Budget'!D30/units)</f>
        <v>0</v>
      </c>
      <c r="F30" s="640">
        <v>0</v>
      </c>
      <c r="G30" s="640">
        <v>0</v>
      </c>
      <c r="H30" s="641">
        <f t="shared" si="25"/>
        <v>0</v>
      </c>
      <c r="I30" s="642" t="s">
        <v>107</v>
      </c>
      <c r="J30" s="643" t="s">
        <v>42</v>
      </c>
      <c r="K30" s="644"/>
      <c r="L30" s="183">
        <f t="shared" si="30"/>
        <v>0</v>
      </c>
      <c r="M30" s="183">
        <f t="shared" si="30"/>
        <v>0</v>
      </c>
      <c r="N30" s="183">
        <f t="shared" si="30"/>
        <v>0</v>
      </c>
      <c r="O30" s="183">
        <f t="shared" si="30"/>
        <v>0</v>
      </c>
      <c r="P30" s="183">
        <f t="shared" si="30"/>
        <v>0</v>
      </c>
      <c r="Q30" s="183">
        <f t="shared" si="30"/>
        <v>0</v>
      </c>
      <c r="R30" s="183">
        <f t="shared" si="30"/>
        <v>0</v>
      </c>
      <c r="S30" s="183">
        <f t="shared" si="30"/>
        <v>0</v>
      </c>
      <c r="T30" s="183">
        <f t="shared" si="30"/>
        <v>0</v>
      </c>
      <c r="U30" s="183">
        <f t="shared" si="30"/>
        <v>0</v>
      </c>
      <c r="V30" s="183">
        <f t="shared" si="30"/>
        <v>0</v>
      </c>
      <c r="W30" s="644"/>
      <c r="X30" s="183">
        <f t="shared" si="26"/>
        <v>0</v>
      </c>
      <c r="Y30" s="183">
        <f t="shared" si="27"/>
        <v>0</v>
      </c>
      <c r="Z30" s="183">
        <f t="shared" ref="Z30:CK33" si="33">IF(OR(Z$3&gt;=$G30,Z$3&lt;$F30),0,(_xlfn.NORM.DIST(Z$3-$F30+1,$H30/2,INDEX($E$115:$E$118,MATCH($I30,$D$115:$D$118,0)),TRUE)-_xlfn.NORM.DIST(Y$3-$F30+1,$H30/2,INDEX($E$115:$E$118,MATCH($I30,$D$115:$D$118,0)),TRUE))/(1-2*_xlfn.NORM.DIST(0,$H30/2,INDEX($E$115:$E$118,MATCH($I30,$D$115:$D$118,0)),TRUE))*$D30)</f>
        <v>0</v>
      </c>
      <c r="AA30" s="183">
        <f t="shared" si="33"/>
        <v>0</v>
      </c>
      <c r="AB30" s="183">
        <f t="shared" si="33"/>
        <v>0</v>
      </c>
      <c r="AC30" s="183">
        <f t="shared" si="33"/>
        <v>0</v>
      </c>
      <c r="AD30" s="183">
        <f t="shared" si="33"/>
        <v>0</v>
      </c>
      <c r="AE30" s="183">
        <f t="shared" si="33"/>
        <v>0</v>
      </c>
      <c r="AF30" s="183">
        <f t="shared" si="33"/>
        <v>0</v>
      </c>
      <c r="AG30" s="183">
        <f t="shared" si="33"/>
        <v>0</v>
      </c>
      <c r="AH30" s="183">
        <f t="shared" si="33"/>
        <v>0</v>
      </c>
      <c r="AI30" s="183">
        <f t="shared" si="33"/>
        <v>0</v>
      </c>
      <c r="AJ30" s="183">
        <f t="shared" si="33"/>
        <v>0</v>
      </c>
      <c r="AK30" s="183">
        <f t="shared" si="33"/>
        <v>0</v>
      </c>
      <c r="AL30" s="183">
        <f t="shared" si="33"/>
        <v>0</v>
      </c>
      <c r="AM30" s="183">
        <f t="shared" si="33"/>
        <v>0</v>
      </c>
      <c r="AN30" s="183">
        <f t="shared" si="33"/>
        <v>0</v>
      </c>
      <c r="AO30" s="183">
        <f t="shared" si="33"/>
        <v>0</v>
      </c>
      <c r="AP30" s="183">
        <f t="shared" si="33"/>
        <v>0</v>
      </c>
      <c r="AQ30" s="183">
        <f t="shared" si="33"/>
        <v>0</v>
      </c>
      <c r="AR30" s="183">
        <f t="shared" si="33"/>
        <v>0</v>
      </c>
      <c r="AS30" s="183">
        <f t="shared" si="33"/>
        <v>0</v>
      </c>
      <c r="AT30" s="183">
        <f t="shared" si="33"/>
        <v>0</v>
      </c>
      <c r="AU30" s="183">
        <f t="shared" si="33"/>
        <v>0</v>
      </c>
      <c r="AV30" s="183">
        <f t="shared" si="33"/>
        <v>0</v>
      </c>
      <c r="AW30" s="183">
        <f t="shared" si="33"/>
        <v>0</v>
      </c>
      <c r="AX30" s="183">
        <f t="shared" si="33"/>
        <v>0</v>
      </c>
      <c r="AY30" s="183">
        <f t="shared" si="33"/>
        <v>0</v>
      </c>
      <c r="AZ30" s="183">
        <f t="shared" si="33"/>
        <v>0</v>
      </c>
      <c r="BA30" s="183">
        <f t="shared" si="33"/>
        <v>0</v>
      </c>
      <c r="BB30" s="183">
        <f t="shared" si="33"/>
        <v>0</v>
      </c>
      <c r="BC30" s="183">
        <f t="shared" si="33"/>
        <v>0</v>
      </c>
      <c r="BD30" s="183">
        <f t="shared" si="33"/>
        <v>0</v>
      </c>
      <c r="BE30" s="183">
        <f t="shared" si="33"/>
        <v>0</v>
      </c>
      <c r="BF30" s="183">
        <f t="shared" si="33"/>
        <v>0</v>
      </c>
      <c r="BG30" s="183">
        <f t="shared" si="33"/>
        <v>0</v>
      </c>
      <c r="BH30" s="183">
        <f t="shared" si="33"/>
        <v>0</v>
      </c>
      <c r="BI30" s="183">
        <f t="shared" si="33"/>
        <v>0</v>
      </c>
      <c r="BJ30" s="183">
        <f t="shared" si="33"/>
        <v>0</v>
      </c>
      <c r="BK30" s="183">
        <f t="shared" si="33"/>
        <v>0</v>
      </c>
      <c r="BL30" s="183">
        <f t="shared" si="33"/>
        <v>0</v>
      </c>
      <c r="BM30" s="183">
        <f t="shared" si="33"/>
        <v>0</v>
      </c>
      <c r="BN30" s="183">
        <f t="shared" si="33"/>
        <v>0</v>
      </c>
      <c r="BO30" s="183">
        <f t="shared" si="33"/>
        <v>0</v>
      </c>
      <c r="BP30" s="183">
        <f t="shared" si="33"/>
        <v>0</v>
      </c>
      <c r="BQ30" s="183">
        <f t="shared" si="33"/>
        <v>0</v>
      </c>
      <c r="BR30" s="183">
        <f t="shared" si="33"/>
        <v>0</v>
      </c>
      <c r="BS30" s="183">
        <f t="shared" si="33"/>
        <v>0</v>
      </c>
      <c r="BT30" s="183">
        <f t="shared" si="33"/>
        <v>0</v>
      </c>
      <c r="BU30" s="183">
        <f t="shared" si="33"/>
        <v>0</v>
      </c>
      <c r="BV30" s="183">
        <f t="shared" si="33"/>
        <v>0</v>
      </c>
      <c r="BW30" s="183">
        <f t="shared" si="33"/>
        <v>0</v>
      </c>
      <c r="BX30" s="183">
        <f t="shared" si="33"/>
        <v>0</v>
      </c>
      <c r="BY30" s="183">
        <f t="shared" si="33"/>
        <v>0</v>
      </c>
      <c r="BZ30" s="183">
        <f t="shared" si="33"/>
        <v>0</v>
      </c>
      <c r="CA30" s="183">
        <f t="shared" si="33"/>
        <v>0</v>
      </c>
      <c r="CB30" s="183">
        <f t="shared" si="33"/>
        <v>0</v>
      </c>
      <c r="CC30" s="183">
        <f t="shared" si="33"/>
        <v>0</v>
      </c>
      <c r="CD30" s="183">
        <f t="shared" si="33"/>
        <v>0</v>
      </c>
      <c r="CE30" s="183">
        <f t="shared" si="33"/>
        <v>0</v>
      </c>
      <c r="CF30" s="183">
        <f t="shared" si="33"/>
        <v>0</v>
      </c>
      <c r="CG30" s="183">
        <f t="shared" si="33"/>
        <v>0</v>
      </c>
      <c r="CH30" s="183">
        <f t="shared" si="33"/>
        <v>0</v>
      </c>
      <c r="CI30" s="183">
        <f t="shared" si="33"/>
        <v>0</v>
      </c>
      <c r="CJ30" s="183">
        <f t="shared" si="33"/>
        <v>0</v>
      </c>
      <c r="CK30" s="183">
        <f t="shared" si="33"/>
        <v>0</v>
      </c>
      <c r="CL30" s="183">
        <f t="shared" si="32"/>
        <v>0</v>
      </c>
      <c r="CM30" s="183">
        <f t="shared" si="32"/>
        <v>0</v>
      </c>
      <c r="CN30" s="183">
        <f t="shared" si="32"/>
        <v>0</v>
      </c>
      <c r="CO30" s="183">
        <f t="shared" si="32"/>
        <v>0</v>
      </c>
      <c r="CP30" s="183">
        <f t="shared" si="32"/>
        <v>0</v>
      </c>
      <c r="CQ30" s="183">
        <f t="shared" si="32"/>
        <v>0</v>
      </c>
      <c r="CR30" s="183">
        <f t="shared" si="32"/>
        <v>0</v>
      </c>
      <c r="CS30" s="183">
        <f t="shared" si="32"/>
        <v>0</v>
      </c>
      <c r="CT30" s="183">
        <f t="shared" si="32"/>
        <v>0</v>
      </c>
      <c r="CU30" s="183">
        <f t="shared" si="32"/>
        <v>0</v>
      </c>
      <c r="CV30" s="183">
        <f t="shared" si="32"/>
        <v>0</v>
      </c>
      <c r="CW30" s="183">
        <f t="shared" si="32"/>
        <v>0</v>
      </c>
      <c r="CX30" s="183">
        <f t="shared" si="32"/>
        <v>0</v>
      </c>
      <c r="CY30" s="183">
        <f t="shared" si="32"/>
        <v>0</v>
      </c>
      <c r="CZ30" s="183">
        <f t="shared" si="32"/>
        <v>0</v>
      </c>
      <c r="DA30" s="183">
        <f t="shared" si="32"/>
        <v>0</v>
      </c>
      <c r="DB30" s="183">
        <f t="shared" si="32"/>
        <v>0</v>
      </c>
      <c r="DC30" s="183">
        <f t="shared" si="32"/>
        <v>0</v>
      </c>
      <c r="DD30" s="183">
        <f t="shared" si="32"/>
        <v>0</v>
      </c>
      <c r="DE30" s="183">
        <f t="shared" si="32"/>
        <v>0</v>
      </c>
      <c r="DF30" s="183">
        <f t="shared" si="32"/>
        <v>0</v>
      </c>
      <c r="DG30" s="183">
        <f t="shared" si="32"/>
        <v>0</v>
      </c>
      <c r="DH30" s="183">
        <f t="shared" si="32"/>
        <v>0</v>
      </c>
      <c r="DI30" s="183">
        <f t="shared" si="32"/>
        <v>0</v>
      </c>
      <c r="DJ30" s="183">
        <f t="shared" si="32"/>
        <v>0</v>
      </c>
      <c r="DK30" s="183">
        <f t="shared" si="32"/>
        <v>0</v>
      </c>
      <c r="DL30" s="183">
        <f t="shared" si="32"/>
        <v>0</v>
      </c>
      <c r="DM30" s="183">
        <f t="shared" si="32"/>
        <v>0</v>
      </c>
      <c r="DN30" s="183">
        <f t="shared" si="32"/>
        <v>0</v>
      </c>
      <c r="DO30" s="183">
        <f t="shared" si="32"/>
        <v>0</v>
      </c>
      <c r="DP30" s="183">
        <f t="shared" si="32"/>
        <v>0</v>
      </c>
      <c r="DQ30" s="183">
        <f t="shared" si="32"/>
        <v>0</v>
      </c>
      <c r="DR30" s="183">
        <f t="shared" si="32"/>
        <v>0</v>
      </c>
      <c r="DS30" s="183">
        <f t="shared" si="32"/>
        <v>0</v>
      </c>
      <c r="DT30" s="183">
        <f t="shared" si="32"/>
        <v>0</v>
      </c>
      <c r="DU30" s="183">
        <f t="shared" si="32"/>
        <v>0</v>
      </c>
      <c r="DV30" s="183">
        <f t="shared" si="32"/>
        <v>0</v>
      </c>
      <c r="DW30" s="183">
        <f t="shared" si="32"/>
        <v>0</v>
      </c>
      <c r="DX30" s="183">
        <f t="shared" si="32"/>
        <v>0</v>
      </c>
      <c r="DY30" s="183">
        <f t="shared" si="32"/>
        <v>0</v>
      </c>
      <c r="DZ30" s="183">
        <f t="shared" si="32"/>
        <v>0</v>
      </c>
      <c r="EA30" s="183">
        <f t="shared" si="32"/>
        <v>0</v>
      </c>
      <c r="EB30" s="183">
        <f t="shared" si="32"/>
        <v>0</v>
      </c>
      <c r="EC30" s="183">
        <f t="shared" si="32"/>
        <v>0</v>
      </c>
      <c r="ED30" s="183">
        <f t="shared" si="32"/>
        <v>0</v>
      </c>
      <c r="EE30" s="183">
        <f t="shared" si="32"/>
        <v>0</v>
      </c>
      <c r="EF30" s="183">
        <f t="shared" si="32"/>
        <v>0</v>
      </c>
      <c r="EG30" s="183">
        <f t="shared" si="32"/>
        <v>0</v>
      </c>
      <c r="EH30" s="183">
        <f t="shared" si="32"/>
        <v>0</v>
      </c>
      <c r="EI30" s="183">
        <f t="shared" si="32"/>
        <v>0</v>
      </c>
      <c r="EJ30" s="183">
        <f t="shared" si="32"/>
        <v>0</v>
      </c>
      <c r="EK30" s="183">
        <f t="shared" si="32"/>
        <v>0</v>
      </c>
      <c r="EL30" s="183">
        <f t="shared" si="32"/>
        <v>0</v>
      </c>
      <c r="EM30" s="183">
        <f t="shared" si="32"/>
        <v>0</v>
      </c>
      <c r="EN30" s="183">
        <f t="shared" si="32"/>
        <v>0</v>
      </c>
      <c r="EO30" s="183">
        <f t="shared" si="32"/>
        <v>0</v>
      </c>
      <c r="EP30" s="183">
        <f t="shared" si="32"/>
        <v>0</v>
      </c>
      <c r="EQ30" s="183">
        <f t="shared" si="32"/>
        <v>0</v>
      </c>
      <c r="ER30" s="183">
        <f t="shared" si="32"/>
        <v>0</v>
      </c>
      <c r="ES30" s="183">
        <f t="shared" si="32"/>
        <v>0</v>
      </c>
      <c r="ET30" s="183">
        <f t="shared" si="32"/>
        <v>0</v>
      </c>
      <c r="EU30" s="183">
        <f t="shared" si="32"/>
        <v>0</v>
      </c>
      <c r="EV30" s="183">
        <f t="shared" si="32"/>
        <v>0</v>
      </c>
      <c r="EW30" s="183">
        <f t="shared" si="29"/>
        <v>0</v>
      </c>
      <c r="EX30" s="183">
        <f t="shared" si="29"/>
        <v>0</v>
      </c>
      <c r="EY30" s="183">
        <f t="shared" si="29"/>
        <v>0</v>
      </c>
      <c r="EZ30" s="183">
        <f t="shared" si="29"/>
        <v>0</v>
      </c>
      <c r="FA30" s="144"/>
      <c r="FB30" s="144"/>
      <c r="FC30" s="144"/>
      <c r="FD30" s="144"/>
      <c r="FE30" s="144"/>
      <c r="FF30" s="144"/>
      <c r="FG30" s="144"/>
      <c r="FH30" s="144"/>
      <c r="FI30" s="144"/>
      <c r="FJ30" s="144"/>
      <c r="FK30" s="144"/>
      <c r="FL30" s="144"/>
      <c r="FM30" s="144"/>
      <c r="FN30" s="144"/>
      <c r="FO30" s="144"/>
      <c r="FP30" s="144"/>
      <c r="FQ30" s="144"/>
      <c r="FR30" s="144"/>
      <c r="FS30" s="144"/>
      <c r="FT30" s="144"/>
      <c r="FU30" s="144"/>
      <c r="FV30" s="144"/>
      <c r="FW30" s="144"/>
      <c r="FX30" s="144"/>
      <c r="FY30" s="144"/>
      <c r="FZ30" s="144"/>
      <c r="GA30" s="144"/>
      <c r="GB30" s="144"/>
      <c r="GC30" s="144"/>
      <c r="GD30" s="144"/>
      <c r="GE30" s="144"/>
      <c r="GF30" s="144"/>
      <c r="GG30" s="144"/>
      <c r="GH30" s="144"/>
      <c r="GI30" s="144"/>
      <c r="GJ30" s="144"/>
      <c r="GK30" s="144"/>
      <c r="GL30" s="144"/>
      <c r="GM30" s="144"/>
      <c r="GN30" s="144"/>
      <c r="GO30" s="144"/>
      <c r="GP30" s="144"/>
      <c r="GQ30" s="144"/>
      <c r="GR30" s="144"/>
      <c r="GS30" s="144"/>
      <c r="GT30" s="144"/>
      <c r="GU30" s="144"/>
      <c r="GV30" s="144"/>
      <c r="GW30" s="144"/>
      <c r="GX30" s="144"/>
      <c r="GY30" s="144"/>
      <c r="GZ30" s="144"/>
      <c r="HA30" s="144"/>
      <c r="HB30" s="144"/>
      <c r="HC30" s="144"/>
      <c r="HD30" s="144"/>
      <c r="HE30" s="144"/>
      <c r="HF30" s="144"/>
      <c r="HG30" s="144"/>
      <c r="HH30" s="144"/>
      <c r="HI30" s="144"/>
      <c r="HJ30" s="144"/>
      <c r="HK30" s="144"/>
    </row>
    <row r="31" spans="1:219" s="158" customFormat="1" x14ac:dyDescent="0.2">
      <c r="A31" s="630"/>
      <c r="B31" s="638" t="s">
        <v>647</v>
      </c>
      <c r="C31" s="639"/>
      <c r="D31" s="443">
        <v>0</v>
      </c>
      <c r="E31" s="199">
        <f>IF(units=0,0,'Renovation Budget'!D31/units)</f>
        <v>0</v>
      </c>
      <c r="F31" s="640">
        <v>0</v>
      </c>
      <c r="G31" s="640">
        <v>0</v>
      </c>
      <c r="H31" s="641">
        <f t="shared" si="25"/>
        <v>0</v>
      </c>
      <c r="I31" s="642" t="s">
        <v>107</v>
      </c>
      <c r="J31" s="643" t="s">
        <v>42</v>
      </c>
      <c r="K31" s="644"/>
      <c r="L31" s="183">
        <f t="shared" si="30"/>
        <v>0</v>
      </c>
      <c r="M31" s="183">
        <f t="shared" si="30"/>
        <v>0</v>
      </c>
      <c r="N31" s="183">
        <f t="shared" si="30"/>
        <v>0</v>
      </c>
      <c r="O31" s="183">
        <f t="shared" si="30"/>
        <v>0</v>
      </c>
      <c r="P31" s="183">
        <f t="shared" si="30"/>
        <v>0</v>
      </c>
      <c r="Q31" s="183">
        <f t="shared" si="30"/>
        <v>0</v>
      </c>
      <c r="R31" s="183">
        <f t="shared" si="30"/>
        <v>0</v>
      </c>
      <c r="S31" s="183">
        <f t="shared" si="30"/>
        <v>0</v>
      </c>
      <c r="T31" s="183">
        <f t="shared" si="30"/>
        <v>0</v>
      </c>
      <c r="U31" s="183">
        <f t="shared" si="30"/>
        <v>0</v>
      </c>
      <c r="V31" s="183">
        <f t="shared" si="30"/>
        <v>0</v>
      </c>
      <c r="W31" s="644"/>
      <c r="X31" s="183">
        <f t="shared" si="26"/>
        <v>0</v>
      </c>
      <c r="Y31" s="183">
        <f t="shared" si="27"/>
        <v>0</v>
      </c>
      <c r="Z31" s="183">
        <f t="shared" si="33"/>
        <v>0</v>
      </c>
      <c r="AA31" s="183">
        <f t="shared" si="33"/>
        <v>0</v>
      </c>
      <c r="AB31" s="183">
        <f t="shared" si="33"/>
        <v>0</v>
      </c>
      <c r="AC31" s="183">
        <f t="shared" si="33"/>
        <v>0</v>
      </c>
      <c r="AD31" s="183">
        <f t="shared" si="33"/>
        <v>0</v>
      </c>
      <c r="AE31" s="183">
        <f t="shared" si="33"/>
        <v>0</v>
      </c>
      <c r="AF31" s="183">
        <f t="shared" si="33"/>
        <v>0</v>
      </c>
      <c r="AG31" s="183">
        <f t="shared" si="33"/>
        <v>0</v>
      </c>
      <c r="AH31" s="183">
        <f t="shared" si="33"/>
        <v>0</v>
      </c>
      <c r="AI31" s="183">
        <f t="shared" si="33"/>
        <v>0</v>
      </c>
      <c r="AJ31" s="183">
        <f t="shared" si="33"/>
        <v>0</v>
      </c>
      <c r="AK31" s="183">
        <f t="shared" si="33"/>
        <v>0</v>
      </c>
      <c r="AL31" s="183">
        <f t="shared" si="33"/>
        <v>0</v>
      </c>
      <c r="AM31" s="183">
        <f t="shared" si="33"/>
        <v>0</v>
      </c>
      <c r="AN31" s="183">
        <f t="shared" si="33"/>
        <v>0</v>
      </c>
      <c r="AO31" s="183">
        <f t="shared" si="33"/>
        <v>0</v>
      </c>
      <c r="AP31" s="183">
        <f t="shared" si="33"/>
        <v>0</v>
      </c>
      <c r="AQ31" s="183">
        <f t="shared" si="33"/>
        <v>0</v>
      </c>
      <c r="AR31" s="183">
        <f t="shared" si="33"/>
        <v>0</v>
      </c>
      <c r="AS31" s="183">
        <f t="shared" si="33"/>
        <v>0</v>
      </c>
      <c r="AT31" s="183">
        <f t="shared" si="33"/>
        <v>0</v>
      </c>
      <c r="AU31" s="183">
        <f t="shared" si="33"/>
        <v>0</v>
      </c>
      <c r="AV31" s="183">
        <f t="shared" si="33"/>
        <v>0</v>
      </c>
      <c r="AW31" s="183">
        <f t="shared" si="33"/>
        <v>0</v>
      </c>
      <c r="AX31" s="183">
        <f t="shared" si="33"/>
        <v>0</v>
      </c>
      <c r="AY31" s="183">
        <f t="shared" si="33"/>
        <v>0</v>
      </c>
      <c r="AZ31" s="183">
        <f t="shared" si="33"/>
        <v>0</v>
      </c>
      <c r="BA31" s="183">
        <f t="shared" si="33"/>
        <v>0</v>
      </c>
      <c r="BB31" s="183">
        <f t="shared" si="33"/>
        <v>0</v>
      </c>
      <c r="BC31" s="183">
        <f t="shared" si="33"/>
        <v>0</v>
      </c>
      <c r="BD31" s="183">
        <f t="shared" si="33"/>
        <v>0</v>
      </c>
      <c r="BE31" s="183">
        <f t="shared" si="33"/>
        <v>0</v>
      </c>
      <c r="BF31" s="183">
        <f t="shared" si="33"/>
        <v>0</v>
      </c>
      <c r="BG31" s="183">
        <f t="shared" si="33"/>
        <v>0</v>
      </c>
      <c r="BH31" s="183">
        <f t="shared" si="33"/>
        <v>0</v>
      </c>
      <c r="BI31" s="183">
        <f t="shared" si="33"/>
        <v>0</v>
      </c>
      <c r="BJ31" s="183">
        <f t="shared" si="33"/>
        <v>0</v>
      </c>
      <c r="BK31" s="183">
        <f t="shared" si="33"/>
        <v>0</v>
      </c>
      <c r="BL31" s="183">
        <f t="shared" si="33"/>
        <v>0</v>
      </c>
      <c r="BM31" s="183">
        <f t="shared" si="33"/>
        <v>0</v>
      </c>
      <c r="BN31" s="183">
        <f t="shared" si="33"/>
        <v>0</v>
      </c>
      <c r="BO31" s="183">
        <f t="shared" si="33"/>
        <v>0</v>
      </c>
      <c r="BP31" s="183">
        <f t="shared" si="33"/>
        <v>0</v>
      </c>
      <c r="BQ31" s="183">
        <f t="shared" si="33"/>
        <v>0</v>
      </c>
      <c r="BR31" s="183">
        <f t="shared" si="33"/>
        <v>0</v>
      </c>
      <c r="BS31" s="183">
        <f t="shared" si="33"/>
        <v>0</v>
      </c>
      <c r="BT31" s="183">
        <f t="shared" si="33"/>
        <v>0</v>
      </c>
      <c r="BU31" s="183">
        <f t="shared" si="33"/>
        <v>0</v>
      </c>
      <c r="BV31" s="183">
        <f t="shared" si="33"/>
        <v>0</v>
      </c>
      <c r="BW31" s="183">
        <f t="shared" si="33"/>
        <v>0</v>
      </c>
      <c r="BX31" s="183">
        <f t="shared" si="33"/>
        <v>0</v>
      </c>
      <c r="BY31" s="183">
        <f t="shared" si="33"/>
        <v>0</v>
      </c>
      <c r="BZ31" s="183">
        <f t="shared" si="33"/>
        <v>0</v>
      </c>
      <c r="CA31" s="183">
        <f t="shared" si="33"/>
        <v>0</v>
      </c>
      <c r="CB31" s="183">
        <f t="shared" si="33"/>
        <v>0</v>
      </c>
      <c r="CC31" s="183">
        <f t="shared" si="33"/>
        <v>0</v>
      </c>
      <c r="CD31" s="183">
        <f t="shared" si="33"/>
        <v>0</v>
      </c>
      <c r="CE31" s="183">
        <f t="shared" si="33"/>
        <v>0</v>
      </c>
      <c r="CF31" s="183">
        <f t="shared" si="33"/>
        <v>0</v>
      </c>
      <c r="CG31" s="183">
        <f t="shared" si="33"/>
        <v>0</v>
      </c>
      <c r="CH31" s="183">
        <f t="shared" si="33"/>
        <v>0</v>
      </c>
      <c r="CI31" s="183">
        <f t="shared" si="33"/>
        <v>0</v>
      </c>
      <c r="CJ31" s="183">
        <f t="shared" si="33"/>
        <v>0</v>
      </c>
      <c r="CK31" s="183">
        <f t="shared" si="33"/>
        <v>0</v>
      </c>
      <c r="CL31" s="183">
        <f t="shared" si="32"/>
        <v>0</v>
      </c>
      <c r="CM31" s="183">
        <f t="shared" si="32"/>
        <v>0</v>
      </c>
      <c r="CN31" s="183">
        <f t="shared" si="32"/>
        <v>0</v>
      </c>
      <c r="CO31" s="183">
        <f t="shared" si="32"/>
        <v>0</v>
      </c>
      <c r="CP31" s="183">
        <f t="shared" si="32"/>
        <v>0</v>
      </c>
      <c r="CQ31" s="183">
        <f t="shared" si="32"/>
        <v>0</v>
      </c>
      <c r="CR31" s="183">
        <f t="shared" si="32"/>
        <v>0</v>
      </c>
      <c r="CS31" s="183">
        <f t="shared" si="32"/>
        <v>0</v>
      </c>
      <c r="CT31" s="183">
        <f t="shared" si="32"/>
        <v>0</v>
      </c>
      <c r="CU31" s="183">
        <f t="shared" si="32"/>
        <v>0</v>
      </c>
      <c r="CV31" s="183">
        <f t="shared" si="32"/>
        <v>0</v>
      </c>
      <c r="CW31" s="183">
        <f t="shared" si="32"/>
        <v>0</v>
      </c>
      <c r="CX31" s="183">
        <f t="shared" si="32"/>
        <v>0</v>
      </c>
      <c r="CY31" s="183">
        <f t="shared" si="32"/>
        <v>0</v>
      </c>
      <c r="CZ31" s="183">
        <f t="shared" si="32"/>
        <v>0</v>
      </c>
      <c r="DA31" s="183">
        <f t="shared" si="32"/>
        <v>0</v>
      </c>
      <c r="DB31" s="183">
        <f t="shared" si="32"/>
        <v>0</v>
      </c>
      <c r="DC31" s="183">
        <f t="shared" si="32"/>
        <v>0</v>
      </c>
      <c r="DD31" s="183">
        <f t="shared" si="32"/>
        <v>0</v>
      </c>
      <c r="DE31" s="183">
        <f t="shared" si="32"/>
        <v>0</v>
      </c>
      <c r="DF31" s="183">
        <f t="shared" si="32"/>
        <v>0</v>
      </c>
      <c r="DG31" s="183">
        <f t="shared" si="32"/>
        <v>0</v>
      </c>
      <c r="DH31" s="183">
        <f t="shared" si="32"/>
        <v>0</v>
      </c>
      <c r="DI31" s="183">
        <f t="shared" si="32"/>
        <v>0</v>
      </c>
      <c r="DJ31" s="183">
        <f t="shared" si="32"/>
        <v>0</v>
      </c>
      <c r="DK31" s="183">
        <f t="shared" si="32"/>
        <v>0</v>
      </c>
      <c r="DL31" s="183">
        <f t="shared" si="32"/>
        <v>0</v>
      </c>
      <c r="DM31" s="183">
        <f t="shared" si="32"/>
        <v>0</v>
      </c>
      <c r="DN31" s="183">
        <f t="shared" si="32"/>
        <v>0</v>
      </c>
      <c r="DO31" s="183">
        <f t="shared" si="32"/>
        <v>0</v>
      </c>
      <c r="DP31" s="183">
        <f t="shared" si="32"/>
        <v>0</v>
      </c>
      <c r="DQ31" s="183">
        <f t="shared" si="32"/>
        <v>0</v>
      </c>
      <c r="DR31" s="183">
        <f t="shared" si="32"/>
        <v>0</v>
      </c>
      <c r="DS31" s="183">
        <f t="shared" si="32"/>
        <v>0</v>
      </c>
      <c r="DT31" s="183">
        <f t="shared" si="32"/>
        <v>0</v>
      </c>
      <c r="DU31" s="183">
        <f t="shared" si="32"/>
        <v>0</v>
      </c>
      <c r="DV31" s="183">
        <f t="shared" si="32"/>
        <v>0</v>
      </c>
      <c r="DW31" s="183">
        <f t="shared" si="32"/>
        <v>0</v>
      </c>
      <c r="DX31" s="183">
        <f t="shared" si="32"/>
        <v>0</v>
      </c>
      <c r="DY31" s="183">
        <f t="shared" si="32"/>
        <v>0</v>
      </c>
      <c r="DZ31" s="183">
        <f t="shared" si="32"/>
        <v>0</v>
      </c>
      <c r="EA31" s="183">
        <f t="shared" si="32"/>
        <v>0</v>
      </c>
      <c r="EB31" s="183">
        <f t="shared" si="32"/>
        <v>0</v>
      </c>
      <c r="EC31" s="183">
        <f t="shared" si="32"/>
        <v>0</v>
      </c>
      <c r="ED31" s="183">
        <f t="shared" si="32"/>
        <v>0</v>
      </c>
      <c r="EE31" s="183">
        <f t="shared" si="32"/>
        <v>0</v>
      </c>
      <c r="EF31" s="183">
        <f t="shared" si="32"/>
        <v>0</v>
      </c>
      <c r="EG31" s="183">
        <f t="shared" si="32"/>
        <v>0</v>
      </c>
      <c r="EH31" s="183">
        <f t="shared" si="32"/>
        <v>0</v>
      </c>
      <c r="EI31" s="183">
        <f t="shared" si="32"/>
        <v>0</v>
      </c>
      <c r="EJ31" s="183">
        <f t="shared" si="32"/>
        <v>0</v>
      </c>
      <c r="EK31" s="183">
        <f t="shared" si="32"/>
        <v>0</v>
      </c>
      <c r="EL31" s="183">
        <f t="shared" si="32"/>
        <v>0</v>
      </c>
      <c r="EM31" s="183">
        <f t="shared" si="32"/>
        <v>0</v>
      </c>
      <c r="EN31" s="183">
        <f t="shared" si="32"/>
        <v>0</v>
      </c>
      <c r="EO31" s="183">
        <f t="shared" si="32"/>
        <v>0</v>
      </c>
      <c r="EP31" s="183">
        <f t="shared" si="32"/>
        <v>0</v>
      </c>
      <c r="EQ31" s="183">
        <f t="shared" si="32"/>
        <v>0</v>
      </c>
      <c r="ER31" s="183">
        <f t="shared" si="32"/>
        <v>0</v>
      </c>
      <c r="ES31" s="183">
        <f t="shared" si="32"/>
        <v>0</v>
      </c>
      <c r="ET31" s="183">
        <f t="shared" si="32"/>
        <v>0</v>
      </c>
      <c r="EU31" s="183">
        <f t="shared" si="32"/>
        <v>0</v>
      </c>
      <c r="EV31" s="183">
        <f t="shared" si="32"/>
        <v>0</v>
      </c>
      <c r="EW31" s="183">
        <f t="shared" si="29"/>
        <v>0</v>
      </c>
      <c r="EX31" s="183">
        <f t="shared" si="29"/>
        <v>0</v>
      </c>
      <c r="EY31" s="183">
        <f t="shared" si="29"/>
        <v>0</v>
      </c>
      <c r="EZ31" s="183">
        <f t="shared" si="29"/>
        <v>0</v>
      </c>
      <c r="FA31" s="144"/>
      <c r="FB31" s="144"/>
      <c r="FC31" s="144"/>
      <c r="FD31" s="144"/>
      <c r="FE31" s="144"/>
      <c r="FF31" s="144"/>
      <c r="FG31" s="144"/>
      <c r="FH31" s="144"/>
      <c r="FI31" s="144"/>
      <c r="FJ31" s="144"/>
      <c r="FK31" s="144"/>
      <c r="FL31" s="144"/>
      <c r="FM31" s="144"/>
      <c r="FN31" s="144"/>
      <c r="FO31" s="144"/>
      <c r="FP31" s="144"/>
      <c r="FQ31" s="144"/>
      <c r="FR31" s="144"/>
      <c r="FS31" s="144"/>
      <c r="FT31" s="144"/>
      <c r="FU31" s="144"/>
      <c r="FV31" s="144"/>
      <c r="FW31" s="144"/>
      <c r="FX31" s="144"/>
      <c r="FY31" s="144"/>
      <c r="FZ31" s="144"/>
      <c r="GA31" s="144"/>
      <c r="GB31" s="144"/>
      <c r="GC31" s="144"/>
      <c r="GD31" s="144"/>
      <c r="GE31" s="144"/>
      <c r="GF31" s="144"/>
      <c r="GG31" s="144"/>
      <c r="GH31" s="144"/>
      <c r="GI31" s="144"/>
      <c r="GJ31" s="144"/>
      <c r="GK31" s="144"/>
      <c r="GL31" s="144"/>
      <c r="GM31" s="144"/>
      <c r="GN31" s="144"/>
      <c r="GO31" s="144"/>
      <c r="GP31" s="144"/>
      <c r="GQ31" s="144"/>
      <c r="GR31" s="144"/>
      <c r="GS31" s="144"/>
      <c r="GT31" s="144"/>
      <c r="GU31" s="144"/>
      <c r="GV31" s="144"/>
      <c r="GW31" s="144"/>
      <c r="GX31" s="144"/>
      <c r="GY31" s="144"/>
      <c r="GZ31" s="144"/>
      <c r="HA31" s="144"/>
      <c r="HB31" s="144"/>
      <c r="HC31" s="144"/>
      <c r="HD31" s="144"/>
      <c r="HE31" s="144"/>
      <c r="HF31" s="144"/>
      <c r="HG31" s="144"/>
      <c r="HH31" s="144"/>
      <c r="HI31" s="144"/>
      <c r="HJ31" s="144"/>
      <c r="HK31" s="144"/>
    </row>
    <row r="32" spans="1:219" s="158" customFormat="1" x14ac:dyDescent="0.2">
      <c r="A32" s="630"/>
      <c r="B32" s="638" t="s">
        <v>233</v>
      </c>
      <c r="C32" s="639"/>
      <c r="D32" s="443">
        <v>0</v>
      </c>
      <c r="E32" s="199">
        <f>IF(units=0,0,'Renovation Budget'!D32/units)</f>
        <v>0</v>
      </c>
      <c r="F32" s="640">
        <v>0</v>
      </c>
      <c r="G32" s="640">
        <v>0</v>
      </c>
      <c r="H32" s="641">
        <f t="shared" si="25"/>
        <v>0</v>
      </c>
      <c r="I32" s="642" t="s">
        <v>107</v>
      </c>
      <c r="J32" s="643" t="s">
        <v>42</v>
      </c>
      <c r="K32" s="644"/>
      <c r="L32" s="183">
        <f t="shared" si="30"/>
        <v>0</v>
      </c>
      <c r="M32" s="183">
        <f t="shared" si="30"/>
        <v>0</v>
      </c>
      <c r="N32" s="183">
        <f t="shared" si="30"/>
        <v>0</v>
      </c>
      <c r="O32" s="183">
        <f t="shared" si="30"/>
        <v>0</v>
      </c>
      <c r="P32" s="183">
        <f t="shared" si="30"/>
        <v>0</v>
      </c>
      <c r="Q32" s="183">
        <f t="shared" si="30"/>
        <v>0</v>
      </c>
      <c r="R32" s="183">
        <f t="shared" si="30"/>
        <v>0</v>
      </c>
      <c r="S32" s="183">
        <f t="shared" si="30"/>
        <v>0</v>
      </c>
      <c r="T32" s="183">
        <f t="shared" si="30"/>
        <v>0</v>
      </c>
      <c r="U32" s="183">
        <f t="shared" si="30"/>
        <v>0</v>
      </c>
      <c r="V32" s="183">
        <f t="shared" si="30"/>
        <v>0</v>
      </c>
      <c r="W32" s="644"/>
      <c r="X32" s="183">
        <f t="shared" si="26"/>
        <v>0</v>
      </c>
      <c r="Y32" s="183">
        <f t="shared" si="27"/>
        <v>0</v>
      </c>
      <c r="Z32" s="183">
        <f t="shared" si="33"/>
        <v>0</v>
      </c>
      <c r="AA32" s="183">
        <f t="shared" si="33"/>
        <v>0</v>
      </c>
      <c r="AB32" s="183">
        <f t="shared" si="33"/>
        <v>0</v>
      </c>
      <c r="AC32" s="183">
        <f t="shared" si="33"/>
        <v>0</v>
      </c>
      <c r="AD32" s="183">
        <f t="shared" si="33"/>
        <v>0</v>
      </c>
      <c r="AE32" s="183">
        <f t="shared" si="33"/>
        <v>0</v>
      </c>
      <c r="AF32" s="183">
        <f t="shared" si="33"/>
        <v>0</v>
      </c>
      <c r="AG32" s="183">
        <f t="shared" si="33"/>
        <v>0</v>
      </c>
      <c r="AH32" s="183">
        <f t="shared" si="33"/>
        <v>0</v>
      </c>
      <c r="AI32" s="183">
        <f t="shared" si="33"/>
        <v>0</v>
      </c>
      <c r="AJ32" s="183">
        <f t="shared" si="33"/>
        <v>0</v>
      </c>
      <c r="AK32" s="183">
        <f t="shared" si="33"/>
        <v>0</v>
      </c>
      <c r="AL32" s="183">
        <f t="shared" si="33"/>
        <v>0</v>
      </c>
      <c r="AM32" s="183">
        <f t="shared" si="33"/>
        <v>0</v>
      </c>
      <c r="AN32" s="183">
        <f t="shared" si="33"/>
        <v>0</v>
      </c>
      <c r="AO32" s="183">
        <f t="shared" si="33"/>
        <v>0</v>
      </c>
      <c r="AP32" s="183">
        <f t="shared" si="33"/>
        <v>0</v>
      </c>
      <c r="AQ32" s="183">
        <f t="shared" si="33"/>
        <v>0</v>
      </c>
      <c r="AR32" s="183">
        <f t="shared" si="33"/>
        <v>0</v>
      </c>
      <c r="AS32" s="183">
        <f t="shared" si="33"/>
        <v>0</v>
      </c>
      <c r="AT32" s="183">
        <f t="shared" si="33"/>
        <v>0</v>
      </c>
      <c r="AU32" s="183">
        <f t="shared" si="33"/>
        <v>0</v>
      </c>
      <c r="AV32" s="183">
        <f t="shared" si="33"/>
        <v>0</v>
      </c>
      <c r="AW32" s="183">
        <f t="shared" si="33"/>
        <v>0</v>
      </c>
      <c r="AX32" s="183">
        <f t="shared" si="33"/>
        <v>0</v>
      </c>
      <c r="AY32" s="183">
        <f t="shared" si="33"/>
        <v>0</v>
      </c>
      <c r="AZ32" s="183">
        <f t="shared" si="33"/>
        <v>0</v>
      </c>
      <c r="BA32" s="183">
        <f t="shared" si="33"/>
        <v>0</v>
      </c>
      <c r="BB32" s="183">
        <f t="shared" si="33"/>
        <v>0</v>
      </c>
      <c r="BC32" s="183">
        <f t="shared" si="33"/>
        <v>0</v>
      </c>
      <c r="BD32" s="183">
        <f t="shared" si="33"/>
        <v>0</v>
      </c>
      <c r="BE32" s="183">
        <f t="shared" si="33"/>
        <v>0</v>
      </c>
      <c r="BF32" s="183">
        <f t="shared" si="33"/>
        <v>0</v>
      </c>
      <c r="BG32" s="183">
        <f t="shared" si="33"/>
        <v>0</v>
      </c>
      <c r="BH32" s="183">
        <f t="shared" si="33"/>
        <v>0</v>
      </c>
      <c r="BI32" s="183">
        <f t="shared" si="33"/>
        <v>0</v>
      </c>
      <c r="BJ32" s="183">
        <f t="shared" si="33"/>
        <v>0</v>
      </c>
      <c r="BK32" s="183">
        <f t="shared" si="33"/>
        <v>0</v>
      </c>
      <c r="BL32" s="183">
        <f t="shared" si="33"/>
        <v>0</v>
      </c>
      <c r="BM32" s="183">
        <f t="shared" si="33"/>
        <v>0</v>
      </c>
      <c r="BN32" s="183">
        <f t="shared" si="33"/>
        <v>0</v>
      </c>
      <c r="BO32" s="183">
        <f t="shared" si="33"/>
        <v>0</v>
      </c>
      <c r="BP32" s="183">
        <f t="shared" si="33"/>
        <v>0</v>
      </c>
      <c r="BQ32" s="183">
        <f t="shared" si="33"/>
        <v>0</v>
      </c>
      <c r="BR32" s="183">
        <f t="shared" si="33"/>
        <v>0</v>
      </c>
      <c r="BS32" s="183">
        <f t="shared" si="33"/>
        <v>0</v>
      </c>
      <c r="BT32" s="183">
        <f t="shared" si="33"/>
        <v>0</v>
      </c>
      <c r="BU32" s="183">
        <f t="shared" si="33"/>
        <v>0</v>
      </c>
      <c r="BV32" s="183">
        <f t="shared" si="33"/>
        <v>0</v>
      </c>
      <c r="BW32" s="183">
        <f t="shared" si="33"/>
        <v>0</v>
      </c>
      <c r="BX32" s="183">
        <f t="shared" si="33"/>
        <v>0</v>
      </c>
      <c r="BY32" s="183">
        <f t="shared" si="33"/>
        <v>0</v>
      </c>
      <c r="BZ32" s="183">
        <f t="shared" si="33"/>
        <v>0</v>
      </c>
      <c r="CA32" s="183">
        <f t="shared" si="33"/>
        <v>0</v>
      </c>
      <c r="CB32" s="183">
        <f t="shared" si="33"/>
        <v>0</v>
      </c>
      <c r="CC32" s="183">
        <f t="shared" si="33"/>
        <v>0</v>
      </c>
      <c r="CD32" s="183">
        <f t="shared" si="33"/>
        <v>0</v>
      </c>
      <c r="CE32" s="183">
        <f t="shared" si="33"/>
        <v>0</v>
      </c>
      <c r="CF32" s="183">
        <f t="shared" si="33"/>
        <v>0</v>
      </c>
      <c r="CG32" s="183">
        <f t="shared" si="33"/>
        <v>0</v>
      </c>
      <c r="CH32" s="183">
        <f t="shared" si="33"/>
        <v>0</v>
      </c>
      <c r="CI32" s="183">
        <f t="shared" si="33"/>
        <v>0</v>
      </c>
      <c r="CJ32" s="183">
        <f t="shared" si="33"/>
        <v>0</v>
      </c>
      <c r="CK32" s="183">
        <f t="shared" si="33"/>
        <v>0</v>
      </c>
      <c r="CL32" s="183">
        <f t="shared" si="32"/>
        <v>0</v>
      </c>
      <c r="CM32" s="183">
        <f t="shared" si="32"/>
        <v>0</v>
      </c>
      <c r="CN32" s="183">
        <f t="shared" si="32"/>
        <v>0</v>
      </c>
      <c r="CO32" s="183">
        <f t="shared" si="32"/>
        <v>0</v>
      </c>
      <c r="CP32" s="183">
        <f t="shared" si="32"/>
        <v>0</v>
      </c>
      <c r="CQ32" s="183">
        <f t="shared" si="32"/>
        <v>0</v>
      </c>
      <c r="CR32" s="183">
        <f t="shared" si="32"/>
        <v>0</v>
      </c>
      <c r="CS32" s="183">
        <f t="shared" si="32"/>
        <v>0</v>
      </c>
      <c r="CT32" s="183">
        <f t="shared" si="32"/>
        <v>0</v>
      </c>
      <c r="CU32" s="183">
        <f t="shared" si="32"/>
        <v>0</v>
      </c>
      <c r="CV32" s="183">
        <f t="shared" si="32"/>
        <v>0</v>
      </c>
      <c r="CW32" s="183">
        <f t="shared" si="32"/>
        <v>0</v>
      </c>
      <c r="CX32" s="183">
        <f t="shared" si="32"/>
        <v>0</v>
      </c>
      <c r="CY32" s="183">
        <f t="shared" si="32"/>
        <v>0</v>
      </c>
      <c r="CZ32" s="183">
        <f t="shared" si="32"/>
        <v>0</v>
      </c>
      <c r="DA32" s="183">
        <f t="shared" si="32"/>
        <v>0</v>
      </c>
      <c r="DB32" s="183">
        <f t="shared" si="32"/>
        <v>0</v>
      </c>
      <c r="DC32" s="183">
        <f t="shared" si="32"/>
        <v>0</v>
      </c>
      <c r="DD32" s="183">
        <f t="shared" si="32"/>
        <v>0</v>
      </c>
      <c r="DE32" s="183">
        <f t="shared" si="32"/>
        <v>0</v>
      </c>
      <c r="DF32" s="183">
        <f t="shared" si="32"/>
        <v>0</v>
      </c>
      <c r="DG32" s="183">
        <f t="shared" si="32"/>
        <v>0</v>
      </c>
      <c r="DH32" s="183">
        <f t="shared" si="32"/>
        <v>0</v>
      </c>
      <c r="DI32" s="183">
        <f t="shared" si="32"/>
        <v>0</v>
      </c>
      <c r="DJ32" s="183">
        <f t="shared" si="32"/>
        <v>0</v>
      </c>
      <c r="DK32" s="183">
        <f t="shared" si="32"/>
        <v>0</v>
      </c>
      <c r="DL32" s="183">
        <f t="shared" si="32"/>
        <v>0</v>
      </c>
      <c r="DM32" s="183">
        <f t="shared" si="32"/>
        <v>0</v>
      </c>
      <c r="DN32" s="183">
        <f t="shared" si="32"/>
        <v>0</v>
      </c>
      <c r="DO32" s="183">
        <f t="shared" si="32"/>
        <v>0</v>
      </c>
      <c r="DP32" s="183">
        <f t="shared" si="32"/>
        <v>0</v>
      </c>
      <c r="DQ32" s="183">
        <f t="shared" si="32"/>
        <v>0</v>
      </c>
      <c r="DR32" s="183">
        <f t="shared" si="32"/>
        <v>0</v>
      </c>
      <c r="DS32" s="183">
        <f t="shared" si="32"/>
        <v>0</v>
      </c>
      <c r="DT32" s="183">
        <f t="shared" si="32"/>
        <v>0</v>
      </c>
      <c r="DU32" s="183">
        <f t="shared" si="32"/>
        <v>0</v>
      </c>
      <c r="DV32" s="183">
        <f t="shared" si="32"/>
        <v>0</v>
      </c>
      <c r="DW32" s="183">
        <f t="shared" si="32"/>
        <v>0</v>
      </c>
      <c r="DX32" s="183">
        <f t="shared" si="32"/>
        <v>0</v>
      </c>
      <c r="DY32" s="183">
        <f t="shared" si="32"/>
        <v>0</v>
      </c>
      <c r="DZ32" s="183">
        <f t="shared" si="32"/>
        <v>0</v>
      </c>
      <c r="EA32" s="183">
        <f t="shared" si="32"/>
        <v>0</v>
      </c>
      <c r="EB32" s="183">
        <f t="shared" si="32"/>
        <v>0</v>
      </c>
      <c r="EC32" s="183">
        <f t="shared" si="32"/>
        <v>0</v>
      </c>
      <c r="ED32" s="183">
        <f t="shared" si="32"/>
        <v>0</v>
      </c>
      <c r="EE32" s="183">
        <f t="shared" si="32"/>
        <v>0</v>
      </c>
      <c r="EF32" s="183">
        <f t="shared" si="32"/>
        <v>0</v>
      </c>
      <c r="EG32" s="183">
        <f t="shared" si="32"/>
        <v>0</v>
      </c>
      <c r="EH32" s="183">
        <f t="shared" si="32"/>
        <v>0</v>
      </c>
      <c r="EI32" s="183">
        <f t="shared" si="32"/>
        <v>0</v>
      </c>
      <c r="EJ32" s="183">
        <f t="shared" si="32"/>
        <v>0</v>
      </c>
      <c r="EK32" s="183">
        <f t="shared" si="32"/>
        <v>0</v>
      </c>
      <c r="EL32" s="183">
        <f t="shared" si="32"/>
        <v>0</v>
      </c>
      <c r="EM32" s="183">
        <f t="shared" si="32"/>
        <v>0</v>
      </c>
      <c r="EN32" s="183">
        <f t="shared" si="32"/>
        <v>0</v>
      </c>
      <c r="EO32" s="183">
        <f t="shared" si="32"/>
        <v>0</v>
      </c>
      <c r="EP32" s="183">
        <f t="shared" si="32"/>
        <v>0</v>
      </c>
      <c r="EQ32" s="183">
        <f t="shared" si="32"/>
        <v>0</v>
      </c>
      <c r="ER32" s="183">
        <f t="shared" si="32"/>
        <v>0</v>
      </c>
      <c r="ES32" s="183">
        <f t="shared" si="32"/>
        <v>0</v>
      </c>
      <c r="ET32" s="183">
        <f t="shared" si="32"/>
        <v>0</v>
      </c>
      <c r="EU32" s="183">
        <f t="shared" si="32"/>
        <v>0</v>
      </c>
      <c r="EV32" s="183">
        <f t="shared" si="32"/>
        <v>0</v>
      </c>
      <c r="EW32" s="183">
        <f t="shared" si="29"/>
        <v>0</v>
      </c>
      <c r="EX32" s="183">
        <f t="shared" si="29"/>
        <v>0</v>
      </c>
      <c r="EY32" s="183">
        <f t="shared" si="29"/>
        <v>0</v>
      </c>
      <c r="EZ32" s="183">
        <f t="shared" si="29"/>
        <v>0</v>
      </c>
      <c r="FA32" s="144"/>
      <c r="FB32" s="144"/>
      <c r="FC32" s="144"/>
      <c r="FD32" s="144"/>
      <c r="FE32" s="144"/>
      <c r="FF32" s="144"/>
      <c r="FG32" s="144"/>
      <c r="FH32" s="144"/>
      <c r="FI32" s="144"/>
      <c r="FJ32" s="144"/>
      <c r="FK32" s="144"/>
      <c r="FL32" s="144"/>
      <c r="FM32" s="144"/>
      <c r="FN32" s="144"/>
      <c r="FO32" s="144"/>
      <c r="FP32" s="144"/>
      <c r="FQ32" s="144"/>
      <c r="FR32" s="144"/>
      <c r="FS32" s="144"/>
      <c r="FT32" s="144"/>
      <c r="FU32" s="144"/>
      <c r="FV32" s="144"/>
      <c r="FW32" s="144"/>
      <c r="FX32" s="144"/>
      <c r="FY32" s="144"/>
      <c r="FZ32" s="144"/>
      <c r="GA32" s="144"/>
      <c r="GB32" s="144"/>
      <c r="GC32" s="144"/>
      <c r="GD32" s="144"/>
      <c r="GE32" s="144"/>
      <c r="GF32" s="144"/>
      <c r="GG32" s="144"/>
      <c r="GH32" s="144"/>
      <c r="GI32" s="144"/>
      <c r="GJ32" s="144"/>
      <c r="GK32" s="144"/>
      <c r="GL32" s="144"/>
      <c r="GM32" s="144"/>
      <c r="GN32" s="144"/>
      <c r="GO32" s="144"/>
      <c r="GP32" s="144"/>
      <c r="GQ32" s="144"/>
      <c r="GR32" s="144"/>
      <c r="GS32" s="144"/>
      <c r="GT32" s="144"/>
      <c r="GU32" s="144"/>
      <c r="GV32" s="144"/>
      <c r="GW32" s="144"/>
      <c r="GX32" s="144"/>
      <c r="GY32" s="144"/>
      <c r="GZ32" s="144"/>
      <c r="HA32" s="144"/>
      <c r="HB32" s="144"/>
      <c r="HC32" s="144"/>
      <c r="HD32" s="144"/>
      <c r="HE32" s="144"/>
      <c r="HF32" s="144"/>
      <c r="HG32" s="144"/>
      <c r="HH32" s="144"/>
      <c r="HI32" s="144"/>
      <c r="HJ32" s="144"/>
      <c r="HK32" s="144"/>
    </row>
    <row r="33" spans="1:219" s="158" customFormat="1" x14ac:dyDescent="0.2">
      <c r="A33" s="630"/>
      <c r="B33" s="639" t="s">
        <v>82</v>
      </c>
      <c r="C33" s="639"/>
      <c r="D33" s="443">
        <v>0</v>
      </c>
      <c r="E33" s="199">
        <f>IF(units=0,0,'Renovation Budget'!D33/units)</f>
        <v>0</v>
      </c>
      <c r="F33" s="640">
        <v>0</v>
      </c>
      <c r="G33" s="640">
        <v>0</v>
      </c>
      <c r="H33" s="641">
        <f t="shared" si="25"/>
        <v>0</v>
      </c>
      <c r="I33" s="642" t="s">
        <v>107</v>
      </c>
      <c r="J33" s="643" t="s">
        <v>42</v>
      </c>
      <c r="K33" s="644"/>
      <c r="L33" s="183">
        <f t="shared" si="30"/>
        <v>0</v>
      </c>
      <c r="M33" s="183">
        <f t="shared" si="30"/>
        <v>0</v>
      </c>
      <c r="N33" s="183">
        <f t="shared" si="30"/>
        <v>0</v>
      </c>
      <c r="O33" s="183">
        <f t="shared" si="30"/>
        <v>0</v>
      </c>
      <c r="P33" s="183">
        <f t="shared" si="30"/>
        <v>0</v>
      </c>
      <c r="Q33" s="183">
        <f t="shared" si="30"/>
        <v>0</v>
      </c>
      <c r="R33" s="183">
        <f t="shared" si="30"/>
        <v>0</v>
      </c>
      <c r="S33" s="183">
        <f t="shared" si="30"/>
        <v>0</v>
      </c>
      <c r="T33" s="183">
        <f t="shared" si="30"/>
        <v>0</v>
      </c>
      <c r="U33" s="183">
        <f t="shared" si="30"/>
        <v>0</v>
      </c>
      <c r="V33" s="183">
        <f t="shared" si="30"/>
        <v>0</v>
      </c>
      <c r="W33" s="644"/>
      <c r="X33" s="183">
        <f t="shared" si="26"/>
        <v>0</v>
      </c>
      <c r="Y33" s="183">
        <f t="shared" si="27"/>
        <v>0</v>
      </c>
      <c r="Z33" s="183">
        <f t="shared" si="33"/>
        <v>0</v>
      </c>
      <c r="AA33" s="183">
        <f t="shared" si="33"/>
        <v>0</v>
      </c>
      <c r="AB33" s="183">
        <f t="shared" si="33"/>
        <v>0</v>
      </c>
      <c r="AC33" s="183">
        <f t="shared" si="33"/>
        <v>0</v>
      </c>
      <c r="AD33" s="183">
        <f t="shared" si="33"/>
        <v>0</v>
      </c>
      <c r="AE33" s="183">
        <f t="shared" si="33"/>
        <v>0</v>
      </c>
      <c r="AF33" s="183">
        <f t="shared" si="33"/>
        <v>0</v>
      </c>
      <c r="AG33" s="183">
        <f t="shared" si="33"/>
        <v>0</v>
      </c>
      <c r="AH33" s="183">
        <f t="shared" si="33"/>
        <v>0</v>
      </c>
      <c r="AI33" s="183">
        <f t="shared" si="33"/>
        <v>0</v>
      </c>
      <c r="AJ33" s="183">
        <f t="shared" si="33"/>
        <v>0</v>
      </c>
      <c r="AK33" s="183">
        <f t="shared" si="33"/>
        <v>0</v>
      </c>
      <c r="AL33" s="183">
        <f t="shared" si="33"/>
        <v>0</v>
      </c>
      <c r="AM33" s="183">
        <f t="shared" si="33"/>
        <v>0</v>
      </c>
      <c r="AN33" s="183">
        <f t="shared" si="33"/>
        <v>0</v>
      </c>
      <c r="AO33" s="183">
        <f t="shared" si="33"/>
        <v>0</v>
      </c>
      <c r="AP33" s="183">
        <f t="shared" si="33"/>
        <v>0</v>
      </c>
      <c r="AQ33" s="183">
        <f t="shared" si="33"/>
        <v>0</v>
      </c>
      <c r="AR33" s="183">
        <f t="shared" si="33"/>
        <v>0</v>
      </c>
      <c r="AS33" s="183">
        <f t="shared" si="33"/>
        <v>0</v>
      </c>
      <c r="AT33" s="183">
        <f t="shared" si="33"/>
        <v>0</v>
      </c>
      <c r="AU33" s="183">
        <f t="shared" si="33"/>
        <v>0</v>
      </c>
      <c r="AV33" s="183">
        <f t="shared" si="33"/>
        <v>0</v>
      </c>
      <c r="AW33" s="183">
        <f t="shared" si="33"/>
        <v>0</v>
      </c>
      <c r="AX33" s="183">
        <f t="shared" si="33"/>
        <v>0</v>
      </c>
      <c r="AY33" s="183">
        <f t="shared" si="33"/>
        <v>0</v>
      </c>
      <c r="AZ33" s="183">
        <f t="shared" si="33"/>
        <v>0</v>
      </c>
      <c r="BA33" s="183">
        <f t="shared" si="33"/>
        <v>0</v>
      </c>
      <c r="BB33" s="183">
        <f t="shared" si="33"/>
        <v>0</v>
      </c>
      <c r="BC33" s="183">
        <f t="shared" si="33"/>
        <v>0</v>
      </c>
      <c r="BD33" s="183">
        <f t="shared" si="33"/>
        <v>0</v>
      </c>
      <c r="BE33" s="183">
        <f t="shared" si="33"/>
        <v>0</v>
      </c>
      <c r="BF33" s="183">
        <f t="shared" si="33"/>
        <v>0</v>
      </c>
      <c r="BG33" s="183">
        <f t="shared" si="33"/>
        <v>0</v>
      </c>
      <c r="BH33" s="183">
        <f t="shared" si="33"/>
        <v>0</v>
      </c>
      <c r="BI33" s="183">
        <f t="shared" si="33"/>
        <v>0</v>
      </c>
      <c r="BJ33" s="183">
        <f t="shared" si="33"/>
        <v>0</v>
      </c>
      <c r="BK33" s="183">
        <f t="shared" si="33"/>
        <v>0</v>
      </c>
      <c r="BL33" s="183">
        <f t="shared" si="33"/>
        <v>0</v>
      </c>
      <c r="BM33" s="183">
        <f t="shared" si="33"/>
        <v>0</v>
      </c>
      <c r="BN33" s="183">
        <f t="shared" si="33"/>
        <v>0</v>
      </c>
      <c r="BO33" s="183">
        <f t="shared" si="33"/>
        <v>0</v>
      </c>
      <c r="BP33" s="183">
        <f t="shared" si="33"/>
        <v>0</v>
      </c>
      <c r="BQ33" s="183">
        <f t="shared" si="33"/>
        <v>0</v>
      </c>
      <c r="BR33" s="183">
        <f t="shared" si="33"/>
        <v>0</v>
      </c>
      <c r="BS33" s="183">
        <f t="shared" si="33"/>
        <v>0</v>
      </c>
      <c r="BT33" s="183">
        <f t="shared" si="33"/>
        <v>0</v>
      </c>
      <c r="BU33" s="183">
        <f t="shared" si="33"/>
        <v>0</v>
      </c>
      <c r="BV33" s="183">
        <f t="shared" si="33"/>
        <v>0</v>
      </c>
      <c r="BW33" s="183">
        <f t="shared" si="33"/>
        <v>0</v>
      </c>
      <c r="BX33" s="183">
        <f t="shared" si="33"/>
        <v>0</v>
      </c>
      <c r="BY33" s="183">
        <f t="shared" si="33"/>
        <v>0</v>
      </c>
      <c r="BZ33" s="183">
        <f t="shared" si="33"/>
        <v>0</v>
      </c>
      <c r="CA33" s="183">
        <f t="shared" si="33"/>
        <v>0</v>
      </c>
      <c r="CB33" s="183">
        <f t="shared" si="33"/>
        <v>0</v>
      </c>
      <c r="CC33" s="183">
        <f t="shared" si="33"/>
        <v>0</v>
      </c>
      <c r="CD33" s="183">
        <f t="shared" si="33"/>
        <v>0</v>
      </c>
      <c r="CE33" s="183">
        <f t="shared" si="33"/>
        <v>0</v>
      </c>
      <c r="CF33" s="183">
        <f t="shared" si="33"/>
        <v>0</v>
      </c>
      <c r="CG33" s="183">
        <f t="shared" si="33"/>
        <v>0</v>
      </c>
      <c r="CH33" s="183">
        <f t="shared" si="33"/>
        <v>0</v>
      </c>
      <c r="CI33" s="183">
        <f t="shared" si="33"/>
        <v>0</v>
      </c>
      <c r="CJ33" s="183">
        <f t="shared" si="33"/>
        <v>0</v>
      </c>
      <c r="CK33" s="183">
        <f t="shared" ref="CK33:EV36" si="34">IF(OR(CK$3&gt;=$G33,CK$3&lt;$F33),0,(_xlfn.NORM.DIST(CK$3-$F33+1,$H33/2,INDEX($E$115:$E$118,MATCH($I33,$D$115:$D$118,0)),TRUE)-_xlfn.NORM.DIST(CJ$3-$F33+1,$H33/2,INDEX($E$115:$E$118,MATCH($I33,$D$115:$D$118,0)),TRUE))/(1-2*_xlfn.NORM.DIST(0,$H33/2,INDEX($E$115:$E$118,MATCH($I33,$D$115:$D$118,0)),TRUE))*$D33)</f>
        <v>0</v>
      </c>
      <c r="CL33" s="183">
        <f t="shared" si="34"/>
        <v>0</v>
      </c>
      <c r="CM33" s="183">
        <f t="shared" si="34"/>
        <v>0</v>
      </c>
      <c r="CN33" s="183">
        <f t="shared" si="34"/>
        <v>0</v>
      </c>
      <c r="CO33" s="183">
        <f t="shared" si="34"/>
        <v>0</v>
      </c>
      <c r="CP33" s="183">
        <f t="shared" si="34"/>
        <v>0</v>
      </c>
      <c r="CQ33" s="183">
        <f t="shared" si="34"/>
        <v>0</v>
      </c>
      <c r="CR33" s="183">
        <f t="shared" si="34"/>
        <v>0</v>
      </c>
      <c r="CS33" s="183">
        <f t="shared" si="34"/>
        <v>0</v>
      </c>
      <c r="CT33" s="183">
        <f t="shared" si="34"/>
        <v>0</v>
      </c>
      <c r="CU33" s="183">
        <f t="shared" si="34"/>
        <v>0</v>
      </c>
      <c r="CV33" s="183">
        <f t="shared" si="34"/>
        <v>0</v>
      </c>
      <c r="CW33" s="183">
        <f t="shared" si="34"/>
        <v>0</v>
      </c>
      <c r="CX33" s="183">
        <f t="shared" si="34"/>
        <v>0</v>
      </c>
      <c r="CY33" s="183">
        <f t="shared" si="34"/>
        <v>0</v>
      </c>
      <c r="CZ33" s="183">
        <f t="shared" si="34"/>
        <v>0</v>
      </c>
      <c r="DA33" s="183">
        <f t="shared" si="34"/>
        <v>0</v>
      </c>
      <c r="DB33" s="183">
        <f t="shared" si="34"/>
        <v>0</v>
      </c>
      <c r="DC33" s="183">
        <f t="shared" si="34"/>
        <v>0</v>
      </c>
      <c r="DD33" s="183">
        <f t="shared" si="34"/>
        <v>0</v>
      </c>
      <c r="DE33" s="183">
        <f t="shared" si="34"/>
        <v>0</v>
      </c>
      <c r="DF33" s="183">
        <f t="shared" si="34"/>
        <v>0</v>
      </c>
      <c r="DG33" s="183">
        <f t="shared" si="34"/>
        <v>0</v>
      </c>
      <c r="DH33" s="183">
        <f t="shared" si="34"/>
        <v>0</v>
      </c>
      <c r="DI33" s="183">
        <f t="shared" si="34"/>
        <v>0</v>
      </c>
      <c r="DJ33" s="183">
        <f t="shared" si="34"/>
        <v>0</v>
      </c>
      <c r="DK33" s="183">
        <f t="shared" si="34"/>
        <v>0</v>
      </c>
      <c r="DL33" s="183">
        <f t="shared" si="34"/>
        <v>0</v>
      </c>
      <c r="DM33" s="183">
        <f t="shared" si="34"/>
        <v>0</v>
      </c>
      <c r="DN33" s="183">
        <f t="shared" si="34"/>
        <v>0</v>
      </c>
      <c r="DO33" s="183">
        <f t="shared" si="34"/>
        <v>0</v>
      </c>
      <c r="DP33" s="183">
        <f t="shared" si="34"/>
        <v>0</v>
      </c>
      <c r="DQ33" s="183">
        <f t="shared" si="34"/>
        <v>0</v>
      </c>
      <c r="DR33" s="183">
        <f t="shared" si="34"/>
        <v>0</v>
      </c>
      <c r="DS33" s="183">
        <f t="shared" si="34"/>
        <v>0</v>
      </c>
      <c r="DT33" s="183">
        <f t="shared" si="34"/>
        <v>0</v>
      </c>
      <c r="DU33" s="183">
        <f t="shared" si="34"/>
        <v>0</v>
      </c>
      <c r="DV33" s="183">
        <f t="shared" si="34"/>
        <v>0</v>
      </c>
      <c r="DW33" s="183">
        <f t="shared" si="34"/>
        <v>0</v>
      </c>
      <c r="DX33" s="183">
        <f t="shared" si="34"/>
        <v>0</v>
      </c>
      <c r="DY33" s="183">
        <f t="shared" si="34"/>
        <v>0</v>
      </c>
      <c r="DZ33" s="183">
        <f t="shared" si="34"/>
        <v>0</v>
      </c>
      <c r="EA33" s="183">
        <f t="shared" si="34"/>
        <v>0</v>
      </c>
      <c r="EB33" s="183">
        <f t="shared" si="34"/>
        <v>0</v>
      </c>
      <c r="EC33" s="183">
        <f t="shared" si="34"/>
        <v>0</v>
      </c>
      <c r="ED33" s="183">
        <f t="shared" si="34"/>
        <v>0</v>
      </c>
      <c r="EE33" s="183">
        <f t="shared" si="34"/>
        <v>0</v>
      </c>
      <c r="EF33" s="183">
        <f t="shared" si="34"/>
        <v>0</v>
      </c>
      <c r="EG33" s="183">
        <f t="shared" si="34"/>
        <v>0</v>
      </c>
      <c r="EH33" s="183">
        <f t="shared" si="34"/>
        <v>0</v>
      </c>
      <c r="EI33" s="183">
        <f t="shared" si="34"/>
        <v>0</v>
      </c>
      <c r="EJ33" s="183">
        <f t="shared" si="34"/>
        <v>0</v>
      </c>
      <c r="EK33" s="183">
        <f t="shared" si="34"/>
        <v>0</v>
      </c>
      <c r="EL33" s="183">
        <f t="shared" si="34"/>
        <v>0</v>
      </c>
      <c r="EM33" s="183">
        <f t="shared" si="34"/>
        <v>0</v>
      </c>
      <c r="EN33" s="183">
        <f t="shared" si="34"/>
        <v>0</v>
      </c>
      <c r="EO33" s="183">
        <f t="shared" si="34"/>
        <v>0</v>
      </c>
      <c r="EP33" s="183">
        <f t="shared" si="34"/>
        <v>0</v>
      </c>
      <c r="EQ33" s="183">
        <f t="shared" si="34"/>
        <v>0</v>
      </c>
      <c r="ER33" s="183">
        <f t="shared" si="34"/>
        <v>0</v>
      </c>
      <c r="ES33" s="183">
        <f t="shared" si="34"/>
        <v>0</v>
      </c>
      <c r="ET33" s="183">
        <f t="shared" si="34"/>
        <v>0</v>
      </c>
      <c r="EU33" s="183">
        <f t="shared" si="34"/>
        <v>0</v>
      </c>
      <c r="EV33" s="183">
        <f t="shared" si="34"/>
        <v>0</v>
      </c>
      <c r="EW33" s="183">
        <f t="shared" si="29"/>
        <v>0</v>
      </c>
      <c r="EX33" s="183">
        <f t="shared" si="29"/>
        <v>0</v>
      </c>
      <c r="EY33" s="183">
        <f t="shared" si="29"/>
        <v>0</v>
      </c>
      <c r="EZ33" s="183">
        <f t="shared" si="29"/>
        <v>0</v>
      </c>
      <c r="FA33" s="144"/>
      <c r="FB33" s="144"/>
      <c r="FC33" s="144"/>
      <c r="FD33" s="144"/>
      <c r="FE33" s="144"/>
      <c r="FF33" s="144"/>
      <c r="FG33" s="144"/>
      <c r="FH33" s="144"/>
      <c r="FI33" s="144"/>
      <c r="FJ33" s="144"/>
      <c r="FK33" s="144"/>
      <c r="FL33" s="144"/>
      <c r="FM33" s="144"/>
      <c r="FN33" s="144"/>
      <c r="FO33" s="144"/>
      <c r="FP33" s="144"/>
      <c r="FQ33" s="144"/>
      <c r="FR33" s="144"/>
      <c r="FS33" s="144"/>
      <c r="FT33" s="144"/>
      <c r="FU33" s="144"/>
      <c r="FV33" s="144"/>
      <c r="FW33" s="144"/>
      <c r="FX33" s="144"/>
      <c r="FY33" s="144"/>
      <c r="FZ33" s="144"/>
      <c r="GA33" s="144"/>
      <c r="GB33" s="144"/>
      <c r="GC33" s="144"/>
      <c r="GD33" s="144"/>
      <c r="GE33" s="144"/>
      <c r="GF33" s="144"/>
      <c r="GG33" s="144"/>
      <c r="GH33" s="144"/>
      <c r="GI33" s="144"/>
      <c r="GJ33" s="144"/>
      <c r="GK33" s="144"/>
      <c r="GL33" s="144"/>
      <c r="GM33" s="144"/>
      <c r="GN33" s="144"/>
      <c r="GO33" s="144"/>
      <c r="GP33" s="144"/>
      <c r="GQ33" s="144"/>
      <c r="GR33" s="144"/>
      <c r="GS33" s="144"/>
      <c r="GT33" s="144"/>
      <c r="GU33" s="144"/>
      <c r="GV33" s="144"/>
      <c r="GW33" s="144"/>
      <c r="GX33" s="144"/>
      <c r="GY33" s="144"/>
      <c r="GZ33" s="144"/>
      <c r="HA33" s="144"/>
      <c r="HB33" s="144"/>
      <c r="HC33" s="144"/>
      <c r="HD33" s="144"/>
      <c r="HE33" s="144"/>
      <c r="HF33" s="144"/>
      <c r="HG33" s="144"/>
      <c r="HH33" s="144"/>
      <c r="HI33" s="144"/>
      <c r="HJ33" s="144"/>
      <c r="HK33" s="144"/>
    </row>
    <row r="34" spans="1:219" s="158" customFormat="1" x14ac:dyDescent="0.2">
      <c r="A34" s="630"/>
      <c r="B34" s="639" t="s">
        <v>82</v>
      </c>
      <c r="C34" s="639"/>
      <c r="D34" s="443">
        <v>0</v>
      </c>
      <c r="E34" s="199">
        <f>IF(units=0,0,'Renovation Budget'!D34/units)</f>
        <v>0</v>
      </c>
      <c r="F34" s="640">
        <v>0</v>
      </c>
      <c r="G34" s="640">
        <v>0</v>
      </c>
      <c r="H34" s="641">
        <f t="shared" si="25"/>
        <v>0</v>
      </c>
      <c r="I34" s="642" t="s">
        <v>107</v>
      </c>
      <c r="J34" s="643" t="s">
        <v>42</v>
      </c>
      <c r="K34" s="644"/>
      <c r="L34" s="183">
        <f t="shared" si="30"/>
        <v>0</v>
      </c>
      <c r="M34" s="183">
        <f t="shared" si="30"/>
        <v>0</v>
      </c>
      <c r="N34" s="183">
        <f t="shared" si="30"/>
        <v>0</v>
      </c>
      <c r="O34" s="183">
        <f t="shared" si="30"/>
        <v>0</v>
      </c>
      <c r="P34" s="183">
        <f t="shared" si="30"/>
        <v>0</v>
      </c>
      <c r="Q34" s="183">
        <f t="shared" si="30"/>
        <v>0</v>
      </c>
      <c r="R34" s="183">
        <f t="shared" si="30"/>
        <v>0</v>
      </c>
      <c r="S34" s="183">
        <f t="shared" si="30"/>
        <v>0</v>
      </c>
      <c r="T34" s="183">
        <f t="shared" si="30"/>
        <v>0</v>
      </c>
      <c r="U34" s="183">
        <f t="shared" si="30"/>
        <v>0</v>
      </c>
      <c r="V34" s="183">
        <f t="shared" si="30"/>
        <v>0</v>
      </c>
      <c r="W34" s="644"/>
      <c r="X34" s="183">
        <f t="shared" si="26"/>
        <v>0</v>
      </c>
      <c r="Y34" s="183">
        <f t="shared" si="27"/>
        <v>0</v>
      </c>
      <c r="Z34" s="183">
        <f t="shared" ref="Z34:CK37" si="35">IF(OR(Z$3&gt;=$G34,Z$3&lt;$F34),0,(_xlfn.NORM.DIST(Z$3-$F34+1,$H34/2,INDEX($E$115:$E$118,MATCH($I34,$D$115:$D$118,0)),TRUE)-_xlfn.NORM.DIST(Y$3-$F34+1,$H34/2,INDEX($E$115:$E$118,MATCH($I34,$D$115:$D$118,0)),TRUE))/(1-2*_xlfn.NORM.DIST(0,$H34/2,INDEX($E$115:$E$118,MATCH($I34,$D$115:$D$118,0)),TRUE))*$D34)</f>
        <v>0</v>
      </c>
      <c r="AA34" s="183">
        <f t="shared" si="35"/>
        <v>0</v>
      </c>
      <c r="AB34" s="183">
        <f t="shared" si="35"/>
        <v>0</v>
      </c>
      <c r="AC34" s="183">
        <f t="shared" si="35"/>
        <v>0</v>
      </c>
      <c r="AD34" s="183">
        <f t="shared" si="35"/>
        <v>0</v>
      </c>
      <c r="AE34" s="183">
        <f t="shared" si="35"/>
        <v>0</v>
      </c>
      <c r="AF34" s="183">
        <f t="shared" si="35"/>
        <v>0</v>
      </c>
      <c r="AG34" s="183">
        <f t="shared" si="35"/>
        <v>0</v>
      </c>
      <c r="AH34" s="183">
        <f t="shared" si="35"/>
        <v>0</v>
      </c>
      <c r="AI34" s="183">
        <f t="shared" si="35"/>
        <v>0</v>
      </c>
      <c r="AJ34" s="183">
        <f t="shared" si="35"/>
        <v>0</v>
      </c>
      <c r="AK34" s="183">
        <f t="shared" si="35"/>
        <v>0</v>
      </c>
      <c r="AL34" s="183">
        <f t="shared" si="35"/>
        <v>0</v>
      </c>
      <c r="AM34" s="183">
        <f t="shared" si="35"/>
        <v>0</v>
      </c>
      <c r="AN34" s="183">
        <f t="shared" si="35"/>
        <v>0</v>
      </c>
      <c r="AO34" s="183">
        <f t="shared" si="35"/>
        <v>0</v>
      </c>
      <c r="AP34" s="183">
        <f t="shared" si="35"/>
        <v>0</v>
      </c>
      <c r="AQ34" s="183">
        <f t="shared" si="35"/>
        <v>0</v>
      </c>
      <c r="AR34" s="183">
        <f t="shared" si="35"/>
        <v>0</v>
      </c>
      <c r="AS34" s="183">
        <f t="shared" si="35"/>
        <v>0</v>
      </c>
      <c r="AT34" s="183">
        <f t="shared" si="35"/>
        <v>0</v>
      </c>
      <c r="AU34" s="183">
        <f t="shared" si="35"/>
        <v>0</v>
      </c>
      <c r="AV34" s="183">
        <f t="shared" si="35"/>
        <v>0</v>
      </c>
      <c r="AW34" s="183">
        <f t="shared" si="35"/>
        <v>0</v>
      </c>
      <c r="AX34" s="183">
        <f t="shared" si="35"/>
        <v>0</v>
      </c>
      <c r="AY34" s="183">
        <f t="shared" si="35"/>
        <v>0</v>
      </c>
      <c r="AZ34" s="183">
        <f t="shared" si="35"/>
        <v>0</v>
      </c>
      <c r="BA34" s="183">
        <f t="shared" si="35"/>
        <v>0</v>
      </c>
      <c r="BB34" s="183">
        <f t="shared" si="35"/>
        <v>0</v>
      </c>
      <c r="BC34" s="183">
        <f t="shared" si="35"/>
        <v>0</v>
      </c>
      <c r="BD34" s="183">
        <f t="shared" si="35"/>
        <v>0</v>
      </c>
      <c r="BE34" s="183">
        <f t="shared" si="35"/>
        <v>0</v>
      </c>
      <c r="BF34" s="183">
        <f t="shared" si="35"/>
        <v>0</v>
      </c>
      <c r="BG34" s="183">
        <f t="shared" si="35"/>
        <v>0</v>
      </c>
      <c r="BH34" s="183">
        <f t="shared" si="35"/>
        <v>0</v>
      </c>
      <c r="BI34" s="183">
        <f t="shared" si="35"/>
        <v>0</v>
      </c>
      <c r="BJ34" s="183">
        <f t="shared" si="35"/>
        <v>0</v>
      </c>
      <c r="BK34" s="183">
        <f t="shared" si="35"/>
        <v>0</v>
      </c>
      <c r="BL34" s="183">
        <f t="shared" si="35"/>
        <v>0</v>
      </c>
      <c r="BM34" s="183">
        <f t="shared" si="35"/>
        <v>0</v>
      </c>
      <c r="BN34" s="183">
        <f t="shared" si="35"/>
        <v>0</v>
      </c>
      <c r="BO34" s="183">
        <f t="shared" si="35"/>
        <v>0</v>
      </c>
      <c r="BP34" s="183">
        <f t="shared" si="35"/>
        <v>0</v>
      </c>
      <c r="BQ34" s="183">
        <f t="shared" si="35"/>
        <v>0</v>
      </c>
      <c r="BR34" s="183">
        <f t="shared" si="35"/>
        <v>0</v>
      </c>
      <c r="BS34" s="183">
        <f t="shared" si="35"/>
        <v>0</v>
      </c>
      <c r="BT34" s="183">
        <f t="shared" si="35"/>
        <v>0</v>
      </c>
      <c r="BU34" s="183">
        <f t="shared" si="35"/>
        <v>0</v>
      </c>
      <c r="BV34" s="183">
        <f t="shared" si="35"/>
        <v>0</v>
      </c>
      <c r="BW34" s="183">
        <f t="shared" si="35"/>
        <v>0</v>
      </c>
      <c r="BX34" s="183">
        <f t="shared" si="35"/>
        <v>0</v>
      </c>
      <c r="BY34" s="183">
        <f t="shared" si="35"/>
        <v>0</v>
      </c>
      <c r="BZ34" s="183">
        <f t="shared" si="35"/>
        <v>0</v>
      </c>
      <c r="CA34" s="183">
        <f t="shared" si="35"/>
        <v>0</v>
      </c>
      <c r="CB34" s="183">
        <f t="shared" si="35"/>
        <v>0</v>
      </c>
      <c r="CC34" s="183">
        <f t="shared" si="35"/>
        <v>0</v>
      </c>
      <c r="CD34" s="183">
        <f t="shared" si="35"/>
        <v>0</v>
      </c>
      <c r="CE34" s="183">
        <f t="shared" si="35"/>
        <v>0</v>
      </c>
      <c r="CF34" s="183">
        <f t="shared" si="35"/>
        <v>0</v>
      </c>
      <c r="CG34" s="183">
        <f t="shared" si="35"/>
        <v>0</v>
      </c>
      <c r="CH34" s="183">
        <f t="shared" si="35"/>
        <v>0</v>
      </c>
      <c r="CI34" s="183">
        <f t="shared" si="35"/>
        <v>0</v>
      </c>
      <c r="CJ34" s="183">
        <f t="shared" si="35"/>
        <v>0</v>
      </c>
      <c r="CK34" s="183">
        <f t="shared" si="35"/>
        <v>0</v>
      </c>
      <c r="CL34" s="183">
        <f t="shared" si="34"/>
        <v>0</v>
      </c>
      <c r="CM34" s="183">
        <f t="shared" si="34"/>
        <v>0</v>
      </c>
      <c r="CN34" s="183">
        <f t="shared" si="34"/>
        <v>0</v>
      </c>
      <c r="CO34" s="183">
        <f t="shared" si="34"/>
        <v>0</v>
      </c>
      <c r="CP34" s="183">
        <f t="shared" si="34"/>
        <v>0</v>
      </c>
      <c r="CQ34" s="183">
        <f t="shared" si="34"/>
        <v>0</v>
      </c>
      <c r="CR34" s="183">
        <f t="shared" si="34"/>
        <v>0</v>
      </c>
      <c r="CS34" s="183">
        <f t="shared" si="34"/>
        <v>0</v>
      </c>
      <c r="CT34" s="183">
        <f t="shared" si="34"/>
        <v>0</v>
      </c>
      <c r="CU34" s="183">
        <f t="shared" si="34"/>
        <v>0</v>
      </c>
      <c r="CV34" s="183">
        <f t="shared" si="34"/>
        <v>0</v>
      </c>
      <c r="CW34" s="183">
        <f t="shared" si="34"/>
        <v>0</v>
      </c>
      <c r="CX34" s="183">
        <f t="shared" si="34"/>
        <v>0</v>
      </c>
      <c r="CY34" s="183">
        <f t="shared" si="34"/>
        <v>0</v>
      </c>
      <c r="CZ34" s="183">
        <f t="shared" si="34"/>
        <v>0</v>
      </c>
      <c r="DA34" s="183">
        <f t="shared" si="34"/>
        <v>0</v>
      </c>
      <c r="DB34" s="183">
        <f t="shared" si="34"/>
        <v>0</v>
      </c>
      <c r="DC34" s="183">
        <f t="shared" si="34"/>
        <v>0</v>
      </c>
      <c r="DD34" s="183">
        <f t="shared" si="34"/>
        <v>0</v>
      </c>
      <c r="DE34" s="183">
        <f t="shared" si="34"/>
        <v>0</v>
      </c>
      <c r="DF34" s="183">
        <f t="shared" si="34"/>
        <v>0</v>
      </c>
      <c r="DG34" s="183">
        <f t="shared" si="34"/>
        <v>0</v>
      </c>
      <c r="DH34" s="183">
        <f t="shared" si="34"/>
        <v>0</v>
      </c>
      <c r="DI34" s="183">
        <f t="shared" si="34"/>
        <v>0</v>
      </c>
      <c r="DJ34" s="183">
        <f t="shared" si="34"/>
        <v>0</v>
      </c>
      <c r="DK34" s="183">
        <f t="shared" si="34"/>
        <v>0</v>
      </c>
      <c r="DL34" s="183">
        <f t="shared" si="34"/>
        <v>0</v>
      </c>
      <c r="DM34" s="183">
        <f t="shared" si="34"/>
        <v>0</v>
      </c>
      <c r="DN34" s="183">
        <f t="shared" si="34"/>
        <v>0</v>
      </c>
      <c r="DO34" s="183">
        <f t="shared" si="34"/>
        <v>0</v>
      </c>
      <c r="DP34" s="183">
        <f t="shared" si="34"/>
        <v>0</v>
      </c>
      <c r="DQ34" s="183">
        <f t="shared" si="34"/>
        <v>0</v>
      </c>
      <c r="DR34" s="183">
        <f t="shared" si="34"/>
        <v>0</v>
      </c>
      <c r="DS34" s="183">
        <f t="shared" si="34"/>
        <v>0</v>
      </c>
      <c r="DT34" s="183">
        <f t="shared" si="34"/>
        <v>0</v>
      </c>
      <c r="DU34" s="183">
        <f t="shared" si="34"/>
        <v>0</v>
      </c>
      <c r="DV34" s="183">
        <f t="shared" si="34"/>
        <v>0</v>
      </c>
      <c r="DW34" s="183">
        <f t="shared" si="34"/>
        <v>0</v>
      </c>
      <c r="DX34" s="183">
        <f t="shared" si="34"/>
        <v>0</v>
      </c>
      <c r="DY34" s="183">
        <f t="shared" si="34"/>
        <v>0</v>
      </c>
      <c r="DZ34" s="183">
        <f t="shared" si="34"/>
        <v>0</v>
      </c>
      <c r="EA34" s="183">
        <f t="shared" si="34"/>
        <v>0</v>
      </c>
      <c r="EB34" s="183">
        <f t="shared" si="34"/>
        <v>0</v>
      </c>
      <c r="EC34" s="183">
        <f t="shared" si="34"/>
        <v>0</v>
      </c>
      <c r="ED34" s="183">
        <f t="shared" si="34"/>
        <v>0</v>
      </c>
      <c r="EE34" s="183">
        <f t="shared" si="34"/>
        <v>0</v>
      </c>
      <c r="EF34" s="183">
        <f t="shared" si="34"/>
        <v>0</v>
      </c>
      <c r="EG34" s="183">
        <f t="shared" si="34"/>
        <v>0</v>
      </c>
      <c r="EH34" s="183">
        <f t="shared" si="34"/>
        <v>0</v>
      </c>
      <c r="EI34" s="183">
        <f t="shared" si="34"/>
        <v>0</v>
      </c>
      <c r="EJ34" s="183">
        <f t="shared" si="34"/>
        <v>0</v>
      </c>
      <c r="EK34" s="183">
        <f t="shared" si="34"/>
        <v>0</v>
      </c>
      <c r="EL34" s="183">
        <f t="shared" si="34"/>
        <v>0</v>
      </c>
      <c r="EM34" s="183">
        <f t="shared" si="34"/>
        <v>0</v>
      </c>
      <c r="EN34" s="183">
        <f t="shared" si="34"/>
        <v>0</v>
      </c>
      <c r="EO34" s="183">
        <f t="shared" si="34"/>
        <v>0</v>
      </c>
      <c r="EP34" s="183">
        <f t="shared" si="34"/>
        <v>0</v>
      </c>
      <c r="EQ34" s="183">
        <f t="shared" si="34"/>
        <v>0</v>
      </c>
      <c r="ER34" s="183">
        <f t="shared" si="34"/>
        <v>0</v>
      </c>
      <c r="ES34" s="183">
        <f t="shared" si="34"/>
        <v>0</v>
      </c>
      <c r="ET34" s="183">
        <f t="shared" si="34"/>
        <v>0</v>
      </c>
      <c r="EU34" s="183">
        <f t="shared" si="34"/>
        <v>0</v>
      </c>
      <c r="EV34" s="183">
        <f t="shared" si="34"/>
        <v>0</v>
      </c>
      <c r="EW34" s="183">
        <f t="shared" si="29"/>
        <v>0</v>
      </c>
      <c r="EX34" s="183">
        <f t="shared" si="29"/>
        <v>0</v>
      </c>
      <c r="EY34" s="183">
        <f t="shared" si="29"/>
        <v>0</v>
      </c>
      <c r="EZ34" s="183">
        <f t="shared" si="29"/>
        <v>0</v>
      </c>
      <c r="FA34" s="144"/>
      <c r="FB34" s="144"/>
      <c r="FC34" s="144"/>
      <c r="FD34" s="144"/>
      <c r="FE34" s="144"/>
      <c r="FF34" s="144"/>
      <c r="FG34" s="144"/>
      <c r="FH34" s="144"/>
      <c r="FI34" s="144"/>
      <c r="FJ34" s="144"/>
      <c r="FK34" s="144"/>
      <c r="FL34" s="144"/>
      <c r="FM34" s="144"/>
      <c r="FN34" s="144"/>
      <c r="FO34" s="144"/>
      <c r="FP34" s="144"/>
      <c r="FQ34" s="144"/>
      <c r="FR34" s="144"/>
      <c r="FS34" s="144"/>
      <c r="FT34" s="144"/>
      <c r="FU34" s="144"/>
      <c r="FV34" s="144"/>
      <c r="FW34" s="144"/>
      <c r="FX34" s="144"/>
      <c r="FY34" s="144"/>
      <c r="FZ34" s="144"/>
      <c r="GA34" s="144"/>
      <c r="GB34" s="144"/>
      <c r="GC34" s="144"/>
      <c r="GD34" s="144"/>
      <c r="GE34" s="144"/>
      <c r="GF34" s="144"/>
      <c r="GG34" s="144"/>
      <c r="GH34" s="144"/>
      <c r="GI34" s="144"/>
      <c r="GJ34" s="144"/>
      <c r="GK34" s="144"/>
      <c r="GL34" s="144"/>
      <c r="GM34" s="144"/>
      <c r="GN34" s="144"/>
      <c r="GO34" s="144"/>
      <c r="GP34" s="144"/>
      <c r="GQ34" s="144"/>
      <c r="GR34" s="144"/>
      <c r="GS34" s="144"/>
      <c r="GT34" s="144"/>
      <c r="GU34" s="144"/>
      <c r="GV34" s="144"/>
      <c r="GW34" s="144"/>
      <c r="GX34" s="144"/>
      <c r="GY34" s="144"/>
      <c r="GZ34" s="144"/>
      <c r="HA34" s="144"/>
      <c r="HB34" s="144"/>
      <c r="HC34" s="144"/>
      <c r="HD34" s="144"/>
      <c r="HE34" s="144"/>
      <c r="HF34" s="144"/>
      <c r="HG34" s="144"/>
      <c r="HH34" s="144"/>
      <c r="HI34" s="144"/>
      <c r="HJ34" s="144"/>
      <c r="HK34" s="144"/>
    </row>
    <row r="35" spans="1:219" s="158" customFormat="1" x14ac:dyDescent="0.2">
      <c r="A35" s="630"/>
      <c r="B35" s="639" t="s">
        <v>82</v>
      </c>
      <c r="C35" s="639"/>
      <c r="D35" s="443">
        <v>0</v>
      </c>
      <c r="E35" s="199">
        <f>IF(units=0,0,'Renovation Budget'!D35/units)</f>
        <v>0</v>
      </c>
      <c r="F35" s="640">
        <v>0</v>
      </c>
      <c r="G35" s="640">
        <v>0</v>
      </c>
      <c r="H35" s="641">
        <f t="shared" si="25"/>
        <v>0</v>
      </c>
      <c r="I35" s="642" t="s">
        <v>107</v>
      </c>
      <c r="J35" s="643" t="s">
        <v>42</v>
      </c>
      <c r="K35" s="644"/>
      <c r="L35" s="183">
        <f t="shared" si="30"/>
        <v>0</v>
      </c>
      <c r="M35" s="183">
        <f t="shared" si="30"/>
        <v>0</v>
      </c>
      <c r="N35" s="183">
        <f t="shared" si="30"/>
        <v>0</v>
      </c>
      <c r="O35" s="183">
        <f t="shared" si="30"/>
        <v>0</v>
      </c>
      <c r="P35" s="183">
        <f t="shared" si="30"/>
        <v>0</v>
      </c>
      <c r="Q35" s="183">
        <f t="shared" si="30"/>
        <v>0</v>
      </c>
      <c r="R35" s="183">
        <f t="shared" si="30"/>
        <v>0</v>
      </c>
      <c r="S35" s="183">
        <f t="shared" si="30"/>
        <v>0</v>
      </c>
      <c r="T35" s="183">
        <f t="shared" si="30"/>
        <v>0</v>
      </c>
      <c r="U35" s="183">
        <f t="shared" si="30"/>
        <v>0</v>
      </c>
      <c r="V35" s="183">
        <f t="shared" si="30"/>
        <v>0</v>
      </c>
      <c r="W35" s="644"/>
      <c r="X35" s="183">
        <f t="shared" si="26"/>
        <v>0</v>
      </c>
      <c r="Y35" s="183">
        <f t="shared" si="27"/>
        <v>0</v>
      </c>
      <c r="Z35" s="183">
        <f t="shared" si="35"/>
        <v>0</v>
      </c>
      <c r="AA35" s="183">
        <f t="shared" si="35"/>
        <v>0</v>
      </c>
      <c r="AB35" s="183">
        <f t="shared" si="35"/>
        <v>0</v>
      </c>
      <c r="AC35" s="183">
        <f t="shared" si="35"/>
        <v>0</v>
      </c>
      <c r="AD35" s="183">
        <f t="shared" si="35"/>
        <v>0</v>
      </c>
      <c r="AE35" s="183">
        <f t="shared" si="35"/>
        <v>0</v>
      </c>
      <c r="AF35" s="183">
        <f t="shared" si="35"/>
        <v>0</v>
      </c>
      <c r="AG35" s="183">
        <f t="shared" si="35"/>
        <v>0</v>
      </c>
      <c r="AH35" s="183">
        <f t="shared" si="35"/>
        <v>0</v>
      </c>
      <c r="AI35" s="183">
        <f t="shared" si="35"/>
        <v>0</v>
      </c>
      <c r="AJ35" s="183">
        <f t="shared" si="35"/>
        <v>0</v>
      </c>
      <c r="AK35" s="183">
        <f t="shared" si="35"/>
        <v>0</v>
      </c>
      <c r="AL35" s="183">
        <f t="shared" si="35"/>
        <v>0</v>
      </c>
      <c r="AM35" s="183">
        <f t="shared" si="35"/>
        <v>0</v>
      </c>
      <c r="AN35" s="183">
        <f t="shared" si="35"/>
        <v>0</v>
      </c>
      <c r="AO35" s="183">
        <f t="shared" si="35"/>
        <v>0</v>
      </c>
      <c r="AP35" s="183">
        <f t="shared" si="35"/>
        <v>0</v>
      </c>
      <c r="AQ35" s="183">
        <f t="shared" si="35"/>
        <v>0</v>
      </c>
      <c r="AR35" s="183">
        <f t="shared" si="35"/>
        <v>0</v>
      </c>
      <c r="AS35" s="183">
        <f t="shared" si="35"/>
        <v>0</v>
      </c>
      <c r="AT35" s="183">
        <f t="shared" si="35"/>
        <v>0</v>
      </c>
      <c r="AU35" s="183">
        <f t="shared" si="35"/>
        <v>0</v>
      </c>
      <c r="AV35" s="183">
        <f t="shared" si="35"/>
        <v>0</v>
      </c>
      <c r="AW35" s="183">
        <f t="shared" si="35"/>
        <v>0</v>
      </c>
      <c r="AX35" s="183">
        <f t="shared" si="35"/>
        <v>0</v>
      </c>
      <c r="AY35" s="183">
        <f t="shared" si="35"/>
        <v>0</v>
      </c>
      <c r="AZ35" s="183">
        <f t="shared" si="35"/>
        <v>0</v>
      </c>
      <c r="BA35" s="183">
        <f t="shared" si="35"/>
        <v>0</v>
      </c>
      <c r="BB35" s="183">
        <f t="shared" si="35"/>
        <v>0</v>
      </c>
      <c r="BC35" s="183">
        <f t="shared" si="35"/>
        <v>0</v>
      </c>
      <c r="BD35" s="183">
        <f t="shared" si="35"/>
        <v>0</v>
      </c>
      <c r="BE35" s="183">
        <f t="shared" si="35"/>
        <v>0</v>
      </c>
      <c r="BF35" s="183">
        <f t="shared" si="35"/>
        <v>0</v>
      </c>
      <c r="BG35" s="183">
        <f t="shared" si="35"/>
        <v>0</v>
      </c>
      <c r="BH35" s="183">
        <f t="shared" si="35"/>
        <v>0</v>
      </c>
      <c r="BI35" s="183">
        <f t="shared" si="35"/>
        <v>0</v>
      </c>
      <c r="BJ35" s="183">
        <f t="shared" si="35"/>
        <v>0</v>
      </c>
      <c r="BK35" s="183">
        <f t="shared" si="35"/>
        <v>0</v>
      </c>
      <c r="BL35" s="183">
        <f t="shared" si="35"/>
        <v>0</v>
      </c>
      <c r="BM35" s="183">
        <f t="shared" si="35"/>
        <v>0</v>
      </c>
      <c r="BN35" s="183">
        <f t="shared" si="35"/>
        <v>0</v>
      </c>
      <c r="BO35" s="183">
        <f t="shared" si="35"/>
        <v>0</v>
      </c>
      <c r="BP35" s="183">
        <f t="shared" si="35"/>
        <v>0</v>
      </c>
      <c r="BQ35" s="183">
        <f t="shared" si="35"/>
        <v>0</v>
      </c>
      <c r="BR35" s="183">
        <f t="shared" si="35"/>
        <v>0</v>
      </c>
      <c r="BS35" s="183">
        <f t="shared" si="35"/>
        <v>0</v>
      </c>
      <c r="BT35" s="183">
        <f t="shared" si="35"/>
        <v>0</v>
      </c>
      <c r="BU35" s="183">
        <f t="shared" si="35"/>
        <v>0</v>
      </c>
      <c r="BV35" s="183">
        <f t="shared" si="35"/>
        <v>0</v>
      </c>
      <c r="BW35" s="183">
        <f t="shared" si="35"/>
        <v>0</v>
      </c>
      <c r="BX35" s="183">
        <f t="shared" si="35"/>
        <v>0</v>
      </c>
      <c r="BY35" s="183">
        <f t="shared" si="35"/>
        <v>0</v>
      </c>
      <c r="BZ35" s="183">
        <f t="shared" si="35"/>
        <v>0</v>
      </c>
      <c r="CA35" s="183">
        <f t="shared" si="35"/>
        <v>0</v>
      </c>
      <c r="CB35" s="183">
        <f t="shared" si="35"/>
        <v>0</v>
      </c>
      <c r="CC35" s="183">
        <f t="shared" si="35"/>
        <v>0</v>
      </c>
      <c r="CD35" s="183">
        <f t="shared" si="35"/>
        <v>0</v>
      </c>
      <c r="CE35" s="183">
        <f t="shared" si="35"/>
        <v>0</v>
      </c>
      <c r="CF35" s="183">
        <f t="shared" si="35"/>
        <v>0</v>
      </c>
      <c r="CG35" s="183">
        <f t="shared" si="35"/>
        <v>0</v>
      </c>
      <c r="CH35" s="183">
        <f t="shared" si="35"/>
        <v>0</v>
      </c>
      <c r="CI35" s="183">
        <f t="shared" si="35"/>
        <v>0</v>
      </c>
      <c r="CJ35" s="183">
        <f t="shared" si="35"/>
        <v>0</v>
      </c>
      <c r="CK35" s="183">
        <f t="shared" si="35"/>
        <v>0</v>
      </c>
      <c r="CL35" s="183">
        <f t="shared" si="34"/>
        <v>0</v>
      </c>
      <c r="CM35" s="183">
        <f t="shared" si="34"/>
        <v>0</v>
      </c>
      <c r="CN35" s="183">
        <f t="shared" si="34"/>
        <v>0</v>
      </c>
      <c r="CO35" s="183">
        <f t="shared" si="34"/>
        <v>0</v>
      </c>
      <c r="CP35" s="183">
        <f t="shared" si="34"/>
        <v>0</v>
      </c>
      <c r="CQ35" s="183">
        <f t="shared" si="34"/>
        <v>0</v>
      </c>
      <c r="CR35" s="183">
        <f t="shared" si="34"/>
        <v>0</v>
      </c>
      <c r="CS35" s="183">
        <f t="shared" si="34"/>
        <v>0</v>
      </c>
      <c r="CT35" s="183">
        <f t="shared" si="34"/>
        <v>0</v>
      </c>
      <c r="CU35" s="183">
        <f t="shared" si="34"/>
        <v>0</v>
      </c>
      <c r="CV35" s="183">
        <f t="shared" si="34"/>
        <v>0</v>
      </c>
      <c r="CW35" s="183">
        <f t="shared" si="34"/>
        <v>0</v>
      </c>
      <c r="CX35" s="183">
        <f t="shared" si="34"/>
        <v>0</v>
      </c>
      <c r="CY35" s="183">
        <f t="shared" si="34"/>
        <v>0</v>
      </c>
      <c r="CZ35" s="183">
        <f t="shared" si="34"/>
        <v>0</v>
      </c>
      <c r="DA35" s="183">
        <f t="shared" si="34"/>
        <v>0</v>
      </c>
      <c r="DB35" s="183">
        <f t="shared" si="34"/>
        <v>0</v>
      </c>
      <c r="DC35" s="183">
        <f t="shared" si="34"/>
        <v>0</v>
      </c>
      <c r="DD35" s="183">
        <f t="shared" si="34"/>
        <v>0</v>
      </c>
      <c r="DE35" s="183">
        <f t="shared" si="34"/>
        <v>0</v>
      </c>
      <c r="DF35" s="183">
        <f t="shared" si="34"/>
        <v>0</v>
      </c>
      <c r="DG35" s="183">
        <f t="shared" si="34"/>
        <v>0</v>
      </c>
      <c r="DH35" s="183">
        <f t="shared" si="34"/>
        <v>0</v>
      </c>
      <c r="DI35" s="183">
        <f t="shared" si="34"/>
        <v>0</v>
      </c>
      <c r="DJ35" s="183">
        <f t="shared" si="34"/>
        <v>0</v>
      </c>
      <c r="DK35" s="183">
        <f t="shared" si="34"/>
        <v>0</v>
      </c>
      <c r="DL35" s="183">
        <f t="shared" si="34"/>
        <v>0</v>
      </c>
      <c r="DM35" s="183">
        <f t="shared" si="34"/>
        <v>0</v>
      </c>
      <c r="DN35" s="183">
        <f t="shared" si="34"/>
        <v>0</v>
      </c>
      <c r="DO35" s="183">
        <f t="shared" si="34"/>
        <v>0</v>
      </c>
      <c r="DP35" s="183">
        <f t="shared" si="34"/>
        <v>0</v>
      </c>
      <c r="DQ35" s="183">
        <f t="shared" si="34"/>
        <v>0</v>
      </c>
      <c r="DR35" s="183">
        <f t="shared" si="34"/>
        <v>0</v>
      </c>
      <c r="DS35" s="183">
        <f t="shared" si="34"/>
        <v>0</v>
      </c>
      <c r="DT35" s="183">
        <f t="shared" si="34"/>
        <v>0</v>
      </c>
      <c r="DU35" s="183">
        <f t="shared" si="34"/>
        <v>0</v>
      </c>
      <c r="DV35" s="183">
        <f t="shared" si="34"/>
        <v>0</v>
      </c>
      <c r="DW35" s="183">
        <f t="shared" si="34"/>
        <v>0</v>
      </c>
      <c r="DX35" s="183">
        <f t="shared" si="34"/>
        <v>0</v>
      </c>
      <c r="DY35" s="183">
        <f t="shared" si="34"/>
        <v>0</v>
      </c>
      <c r="DZ35" s="183">
        <f t="shared" si="34"/>
        <v>0</v>
      </c>
      <c r="EA35" s="183">
        <f t="shared" si="34"/>
        <v>0</v>
      </c>
      <c r="EB35" s="183">
        <f t="shared" si="34"/>
        <v>0</v>
      </c>
      <c r="EC35" s="183">
        <f t="shared" si="34"/>
        <v>0</v>
      </c>
      <c r="ED35" s="183">
        <f t="shared" si="34"/>
        <v>0</v>
      </c>
      <c r="EE35" s="183">
        <f t="shared" si="34"/>
        <v>0</v>
      </c>
      <c r="EF35" s="183">
        <f t="shared" si="34"/>
        <v>0</v>
      </c>
      <c r="EG35" s="183">
        <f t="shared" si="34"/>
        <v>0</v>
      </c>
      <c r="EH35" s="183">
        <f t="shared" si="34"/>
        <v>0</v>
      </c>
      <c r="EI35" s="183">
        <f t="shared" si="34"/>
        <v>0</v>
      </c>
      <c r="EJ35" s="183">
        <f t="shared" si="34"/>
        <v>0</v>
      </c>
      <c r="EK35" s="183">
        <f t="shared" si="34"/>
        <v>0</v>
      </c>
      <c r="EL35" s="183">
        <f t="shared" si="34"/>
        <v>0</v>
      </c>
      <c r="EM35" s="183">
        <f t="shared" si="34"/>
        <v>0</v>
      </c>
      <c r="EN35" s="183">
        <f t="shared" si="34"/>
        <v>0</v>
      </c>
      <c r="EO35" s="183">
        <f t="shared" si="34"/>
        <v>0</v>
      </c>
      <c r="EP35" s="183">
        <f t="shared" si="34"/>
        <v>0</v>
      </c>
      <c r="EQ35" s="183">
        <f t="shared" si="34"/>
        <v>0</v>
      </c>
      <c r="ER35" s="183">
        <f t="shared" si="34"/>
        <v>0</v>
      </c>
      <c r="ES35" s="183">
        <f t="shared" si="34"/>
        <v>0</v>
      </c>
      <c r="ET35" s="183">
        <f t="shared" si="34"/>
        <v>0</v>
      </c>
      <c r="EU35" s="183">
        <f t="shared" si="34"/>
        <v>0</v>
      </c>
      <c r="EV35" s="183">
        <f t="shared" si="34"/>
        <v>0</v>
      </c>
      <c r="EW35" s="183">
        <f t="shared" si="29"/>
        <v>0</v>
      </c>
      <c r="EX35" s="183">
        <f t="shared" si="29"/>
        <v>0</v>
      </c>
      <c r="EY35" s="183">
        <f t="shared" si="29"/>
        <v>0</v>
      </c>
      <c r="EZ35" s="183">
        <f t="shared" si="29"/>
        <v>0</v>
      </c>
      <c r="FA35" s="144"/>
      <c r="FB35" s="144"/>
      <c r="FC35" s="144"/>
      <c r="FD35" s="144"/>
      <c r="FE35" s="144"/>
      <c r="FF35" s="144"/>
      <c r="FG35" s="144"/>
      <c r="FH35" s="144"/>
      <c r="FI35" s="144"/>
      <c r="FJ35" s="144"/>
      <c r="FK35" s="144"/>
      <c r="FL35" s="144"/>
      <c r="FM35" s="144"/>
      <c r="FN35" s="144"/>
      <c r="FO35" s="144"/>
      <c r="FP35" s="144"/>
      <c r="FQ35" s="144"/>
      <c r="FR35" s="144"/>
      <c r="FS35" s="144"/>
      <c r="FT35" s="144"/>
      <c r="FU35" s="144"/>
      <c r="FV35" s="144"/>
      <c r="FW35" s="144"/>
      <c r="FX35" s="144"/>
      <c r="FY35" s="144"/>
      <c r="FZ35" s="144"/>
      <c r="GA35" s="144"/>
      <c r="GB35" s="144"/>
      <c r="GC35" s="144"/>
      <c r="GD35" s="144"/>
      <c r="GE35" s="144"/>
      <c r="GF35" s="144"/>
      <c r="GG35" s="144"/>
      <c r="GH35" s="144"/>
      <c r="GI35" s="144"/>
      <c r="GJ35" s="144"/>
      <c r="GK35" s="144"/>
      <c r="GL35" s="144"/>
      <c r="GM35" s="144"/>
      <c r="GN35" s="144"/>
      <c r="GO35" s="144"/>
      <c r="GP35" s="144"/>
      <c r="GQ35" s="144"/>
      <c r="GR35" s="144"/>
      <c r="GS35" s="144"/>
      <c r="GT35" s="144"/>
      <c r="GU35" s="144"/>
      <c r="GV35" s="144"/>
      <c r="GW35" s="144"/>
      <c r="GX35" s="144"/>
      <c r="GY35" s="144"/>
      <c r="GZ35" s="144"/>
      <c r="HA35" s="144"/>
      <c r="HB35" s="144"/>
      <c r="HC35" s="144"/>
      <c r="HD35" s="144"/>
      <c r="HE35" s="144"/>
      <c r="HF35" s="144"/>
      <c r="HG35" s="144"/>
      <c r="HH35" s="144"/>
      <c r="HI35" s="144"/>
      <c r="HJ35" s="144"/>
      <c r="HK35" s="144"/>
    </row>
    <row r="36" spans="1:219" s="158" customFormat="1" x14ac:dyDescent="0.2">
      <c r="A36" s="630"/>
      <c r="B36" s="639" t="s">
        <v>82</v>
      </c>
      <c r="C36" s="639"/>
      <c r="D36" s="443">
        <v>0</v>
      </c>
      <c r="E36" s="199">
        <f>IF(units=0,0,'Renovation Budget'!D36/units)</f>
        <v>0</v>
      </c>
      <c r="F36" s="640">
        <v>0</v>
      </c>
      <c r="G36" s="640">
        <v>0</v>
      </c>
      <c r="H36" s="641">
        <f t="shared" si="25"/>
        <v>0</v>
      </c>
      <c r="I36" s="642" t="s">
        <v>107</v>
      </c>
      <c r="J36" s="643" t="s">
        <v>42</v>
      </c>
      <c r="K36" s="644"/>
      <c r="L36" s="183">
        <f t="shared" si="30"/>
        <v>0</v>
      </c>
      <c r="M36" s="183">
        <f t="shared" si="30"/>
        <v>0</v>
      </c>
      <c r="N36" s="183">
        <f t="shared" si="30"/>
        <v>0</v>
      </c>
      <c r="O36" s="183">
        <f t="shared" si="30"/>
        <v>0</v>
      </c>
      <c r="P36" s="183">
        <f t="shared" si="30"/>
        <v>0</v>
      </c>
      <c r="Q36" s="183">
        <f t="shared" si="30"/>
        <v>0</v>
      </c>
      <c r="R36" s="183">
        <f t="shared" si="30"/>
        <v>0</v>
      </c>
      <c r="S36" s="183">
        <f t="shared" si="30"/>
        <v>0</v>
      </c>
      <c r="T36" s="183">
        <f t="shared" si="30"/>
        <v>0</v>
      </c>
      <c r="U36" s="183">
        <f t="shared" si="30"/>
        <v>0</v>
      </c>
      <c r="V36" s="183">
        <f t="shared" si="30"/>
        <v>0</v>
      </c>
      <c r="W36" s="644"/>
      <c r="X36" s="183">
        <f t="shared" si="26"/>
        <v>0</v>
      </c>
      <c r="Y36" s="183">
        <f t="shared" si="27"/>
        <v>0</v>
      </c>
      <c r="Z36" s="183">
        <f t="shared" si="35"/>
        <v>0</v>
      </c>
      <c r="AA36" s="183">
        <f t="shared" si="35"/>
        <v>0</v>
      </c>
      <c r="AB36" s="183">
        <f t="shared" si="35"/>
        <v>0</v>
      </c>
      <c r="AC36" s="183">
        <f t="shared" si="35"/>
        <v>0</v>
      </c>
      <c r="AD36" s="183">
        <f t="shared" si="35"/>
        <v>0</v>
      </c>
      <c r="AE36" s="183">
        <f t="shared" si="35"/>
        <v>0</v>
      </c>
      <c r="AF36" s="183">
        <f t="shared" si="35"/>
        <v>0</v>
      </c>
      <c r="AG36" s="183">
        <f t="shared" si="35"/>
        <v>0</v>
      </c>
      <c r="AH36" s="183">
        <f t="shared" si="35"/>
        <v>0</v>
      </c>
      <c r="AI36" s="183">
        <f t="shared" si="35"/>
        <v>0</v>
      </c>
      <c r="AJ36" s="183">
        <f t="shared" si="35"/>
        <v>0</v>
      </c>
      <c r="AK36" s="183">
        <f t="shared" si="35"/>
        <v>0</v>
      </c>
      <c r="AL36" s="183">
        <f t="shared" si="35"/>
        <v>0</v>
      </c>
      <c r="AM36" s="183">
        <f t="shared" si="35"/>
        <v>0</v>
      </c>
      <c r="AN36" s="183">
        <f t="shared" si="35"/>
        <v>0</v>
      </c>
      <c r="AO36" s="183">
        <f t="shared" si="35"/>
        <v>0</v>
      </c>
      <c r="AP36" s="183">
        <f t="shared" si="35"/>
        <v>0</v>
      </c>
      <c r="AQ36" s="183">
        <f t="shared" si="35"/>
        <v>0</v>
      </c>
      <c r="AR36" s="183">
        <f t="shared" si="35"/>
        <v>0</v>
      </c>
      <c r="AS36" s="183">
        <f t="shared" si="35"/>
        <v>0</v>
      </c>
      <c r="AT36" s="183">
        <f t="shared" si="35"/>
        <v>0</v>
      </c>
      <c r="AU36" s="183">
        <f t="shared" si="35"/>
        <v>0</v>
      </c>
      <c r="AV36" s="183">
        <f t="shared" si="35"/>
        <v>0</v>
      </c>
      <c r="AW36" s="183">
        <f t="shared" si="35"/>
        <v>0</v>
      </c>
      <c r="AX36" s="183">
        <f t="shared" si="35"/>
        <v>0</v>
      </c>
      <c r="AY36" s="183">
        <f t="shared" si="35"/>
        <v>0</v>
      </c>
      <c r="AZ36" s="183">
        <f t="shared" si="35"/>
        <v>0</v>
      </c>
      <c r="BA36" s="183">
        <f t="shared" si="35"/>
        <v>0</v>
      </c>
      <c r="BB36" s="183">
        <f t="shared" si="35"/>
        <v>0</v>
      </c>
      <c r="BC36" s="183">
        <f t="shared" si="35"/>
        <v>0</v>
      </c>
      <c r="BD36" s="183">
        <f t="shared" si="35"/>
        <v>0</v>
      </c>
      <c r="BE36" s="183">
        <f t="shared" si="35"/>
        <v>0</v>
      </c>
      <c r="BF36" s="183">
        <f t="shared" si="35"/>
        <v>0</v>
      </c>
      <c r="BG36" s="183">
        <f t="shared" si="35"/>
        <v>0</v>
      </c>
      <c r="BH36" s="183">
        <f t="shared" si="35"/>
        <v>0</v>
      </c>
      <c r="BI36" s="183">
        <f t="shared" si="35"/>
        <v>0</v>
      </c>
      <c r="BJ36" s="183">
        <f t="shared" si="35"/>
        <v>0</v>
      </c>
      <c r="BK36" s="183">
        <f t="shared" si="35"/>
        <v>0</v>
      </c>
      <c r="BL36" s="183">
        <f t="shared" si="35"/>
        <v>0</v>
      </c>
      <c r="BM36" s="183">
        <f t="shared" si="35"/>
        <v>0</v>
      </c>
      <c r="BN36" s="183">
        <f t="shared" si="35"/>
        <v>0</v>
      </c>
      <c r="BO36" s="183">
        <f t="shared" si="35"/>
        <v>0</v>
      </c>
      <c r="BP36" s="183">
        <f t="shared" si="35"/>
        <v>0</v>
      </c>
      <c r="BQ36" s="183">
        <f t="shared" si="35"/>
        <v>0</v>
      </c>
      <c r="BR36" s="183">
        <f t="shared" si="35"/>
        <v>0</v>
      </c>
      <c r="BS36" s="183">
        <f t="shared" si="35"/>
        <v>0</v>
      </c>
      <c r="BT36" s="183">
        <f t="shared" si="35"/>
        <v>0</v>
      </c>
      <c r="BU36" s="183">
        <f t="shared" si="35"/>
        <v>0</v>
      </c>
      <c r="BV36" s="183">
        <f t="shared" si="35"/>
        <v>0</v>
      </c>
      <c r="BW36" s="183">
        <f t="shared" si="35"/>
        <v>0</v>
      </c>
      <c r="BX36" s="183">
        <f t="shared" si="35"/>
        <v>0</v>
      </c>
      <c r="BY36" s="183">
        <f t="shared" si="35"/>
        <v>0</v>
      </c>
      <c r="BZ36" s="183">
        <f t="shared" si="35"/>
        <v>0</v>
      </c>
      <c r="CA36" s="183">
        <f t="shared" si="35"/>
        <v>0</v>
      </c>
      <c r="CB36" s="183">
        <f t="shared" si="35"/>
        <v>0</v>
      </c>
      <c r="CC36" s="183">
        <f t="shared" si="35"/>
        <v>0</v>
      </c>
      <c r="CD36" s="183">
        <f t="shared" si="35"/>
        <v>0</v>
      </c>
      <c r="CE36" s="183">
        <f t="shared" si="35"/>
        <v>0</v>
      </c>
      <c r="CF36" s="183">
        <f t="shared" si="35"/>
        <v>0</v>
      </c>
      <c r="CG36" s="183">
        <f t="shared" si="35"/>
        <v>0</v>
      </c>
      <c r="CH36" s="183">
        <f t="shared" si="35"/>
        <v>0</v>
      </c>
      <c r="CI36" s="183">
        <f t="shared" si="35"/>
        <v>0</v>
      </c>
      <c r="CJ36" s="183">
        <f t="shared" si="35"/>
        <v>0</v>
      </c>
      <c r="CK36" s="183">
        <f t="shared" si="35"/>
        <v>0</v>
      </c>
      <c r="CL36" s="183">
        <f t="shared" si="34"/>
        <v>0</v>
      </c>
      <c r="CM36" s="183">
        <f t="shared" si="34"/>
        <v>0</v>
      </c>
      <c r="CN36" s="183">
        <f t="shared" si="34"/>
        <v>0</v>
      </c>
      <c r="CO36" s="183">
        <f t="shared" si="34"/>
        <v>0</v>
      </c>
      <c r="CP36" s="183">
        <f t="shared" si="34"/>
        <v>0</v>
      </c>
      <c r="CQ36" s="183">
        <f t="shared" si="34"/>
        <v>0</v>
      </c>
      <c r="CR36" s="183">
        <f t="shared" si="34"/>
        <v>0</v>
      </c>
      <c r="CS36" s="183">
        <f t="shared" si="34"/>
        <v>0</v>
      </c>
      <c r="CT36" s="183">
        <f t="shared" si="34"/>
        <v>0</v>
      </c>
      <c r="CU36" s="183">
        <f t="shared" si="34"/>
        <v>0</v>
      </c>
      <c r="CV36" s="183">
        <f t="shared" si="34"/>
        <v>0</v>
      </c>
      <c r="CW36" s="183">
        <f t="shared" si="34"/>
        <v>0</v>
      </c>
      <c r="CX36" s="183">
        <f t="shared" si="34"/>
        <v>0</v>
      </c>
      <c r="CY36" s="183">
        <f t="shared" si="34"/>
        <v>0</v>
      </c>
      <c r="CZ36" s="183">
        <f t="shared" si="34"/>
        <v>0</v>
      </c>
      <c r="DA36" s="183">
        <f t="shared" si="34"/>
        <v>0</v>
      </c>
      <c r="DB36" s="183">
        <f t="shared" si="34"/>
        <v>0</v>
      </c>
      <c r="DC36" s="183">
        <f t="shared" si="34"/>
        <v>0</v>
      </c>
      <c r="DD36" s="183">
        <f t="shared" si="34"/>
        <v>0</v>
      </c>
      <c r="DE36" s="183">
        <f t="shared" si="34"/>
        <v>0</v>
      </c>
      <c r="DF36" s="183">
        <f t="shared" si="34"/>
        <v>0</v>
      </c>
      <c r="DG36" s="183">
        <f t="shared" si="34"/>
        <v>0</v>
      </c>
      <c r="DH36" s="183">
        <f t="shared" si="34"/>
        <v>0</v>
      </c>
      <c r="DI36" s="183">
        <f t="shared" si="34"/>
        <v>0</v>
      </c>
      <c r="DJ36" s="183">
        <f t="shared" si="34"/>
        <v>0</v>
      </c>
      <c r="DK36" s="183">
        <f t="shared" si="34"/>
        <v>0</v>
      </c>
      <c r="DL36" s="183">
        <f t="shared" si="34"/>
        <v>0</v>
      </c>
      <c r="DM36" s="183">
        <f t="shared" si="34"/>
        <v>0</v>
      </c>
      <c r="DN36" s="183">
        <f t="shared" si="34"/>
        <v>0</v>
      </c>
      <c r="DO36" s="183">
        <f t="shared" si="34"/>
        <v>0</v>
      </c>
      <c r="DP36" s="183">
        <f t="shared" si="34"/>
        <v>0</v>
      </c>
      <c r="DQ36" s="183">
        <f t="shared" si="34"/>
        <v>0</v>
      </c>
      <c r="DR36" s="183">
        <f t="shared" si="34"/>
        <v>0</v>
      </c>
      <c r="DS36" s="183">
        <f t="shared" si="34"/>
        <v>0</v>
      </c>
      <c r="DT36" s="183">
        <f t="shared" si="34"/>
        <v>0</v>
      </c>
      <c r="DU36" s="183">
        <f t="shared" si="34"/>
        <v>0</v>
      </c>
      <c r="DV36" s="183">
        <f t="shared" si="34"/>
        <v>0</v>
      </c>
      <c r="DW36" s="183">
        <f t="shared" si="34"/>
        <v>0</v>
      </c>
      <c r="DX36" s="183">
        <f t="shared" si="34"/>
        <v>0</v>
      </c>
      <c r="DY36" s="183">
        <f t="shared" si="34"/>
        <v>0</v>
      </c>
      <c r="DZ36" s="183">
        <f t="shared" si="34"/>
        <v>0</v>
      </c>
      <c r="EA36" s="183">
        <f t="shared" si="34"/>
        <v>0</v>
      </c>
      <c r="EB36" s="183">
        <f t="shared" si="34"/>
        <v>0</v>
      </c>
      <c r="EC36" s="183">
        <f t="shared" si="34"/>
        <v>0</v>
      </c>
      <c r="ED36" s="183">
        <f t="shared" si="34"/>
        <v>0</v>
      </c>
      <c r="EE36" s="183">
        <f t="shared" si="34"/>
        <v>0</v>
      </c>
      <c r="EF36" s="183">
        <f t="shared" si="34"/>
        <v>0</v>
      </c>
      <c r="EG36" s="183">
        <f t="shared" si="34"/>
        <v>0</v>
      </c>
      <c r="EH36" s="183">
        <f t="shared" si="34"/>
        <v>0</v>
      </c>
      <c r="EI36" s="183">
        <f t="shared" si="34"/>
        <v>0</v>
      </c>
      <c r="EJ36" s="183">
        <f t="shared" si="34"/>
        <v>0</v>
      </c>
      <c r="EK36" s="183">
        <f t="shared" si="34"/>
        <v>0</v>
      </c>
      <c r="EL36" s="183">
        <f t="shared" si="34"/>
        <v>0</v>
      </c>
      <c r="EM36" s="183">
        <f t="shared" si="34"/>
        <v>0</v>
      </c>
      <c r="EN36" s="183">
        <f t="shared" si="34"/>
        <v>0</v>
      </c>
      <c r="EO36" s="183">
        <f t="shared" si="34"/>
        <v>0</v>
      </c>
      <c r="EP36" s="183">
        <f t="shared" si="34"/>
        <v>0</v>
      </c>
      <c r="EQ36" s="183">
        <f t="shared" si="34"/>
        <v>0</v>
      </c>
      <c r="ER36" s="183">
        <f t="shared" si="34"/>
        <v>0</v>
      </c>
      <c r="ES36" s="183">
        <f t="shared" si="34"/>
        <v>0</v>
      </c>
      <c r="ET36" s="183">
        <f t="shared" si="34"/>
        <v>0</v>
      </c>
      <c r="EU36" s="183">
        <f t="shared" si="34"/>
        <v>0</v>
      </c>
      <c r="EV36" s="183">
        <f t="shared" si="34"/>
        <v>0</v>
      </c>
      <c r="EW36" s="183">
        <f t="shared" si="29"/>
        <v>0</v>
      </c>
      <c r="EX36" s="183">
        <f t="shared" si="29"/>
        <v>0</v>
      </c>
      <c r="EY36" s="183">
        <f t="shared" si="29"/>
        <v>0</v>
      </c>
      <c r="EZ36" s="183">
        <f t="shared" si="29"/>
        <v>0</v>
      </c>
      <c r="FA36" s="144"/>
      <c r="FB36" s="144"/>
      <c r="FC36" s="144"/>
      <c r="FD36" s="144"/>
      <c r="FE36" s="144"/>
      <c r="FF36" s="144"/>
      <c r="FG36" s="144"/>
      <c r="FH36" s="144"/>
      <c r="FI36" s="144"/>
      <c r="FJ36" s="144"/>
      <c r="FK36" s="144"/>
      <c r="FL36" s="144"/>
      <c r="FM36" s="144"/>
      <c r="FN36" s="144"/>
      <c r="FO36" s="144"/>
      <c r="FP36" s="144"/>
      <c r="FQ36" s="144"/>
      <c r="FR36" s="144"/>
      <c r="FS36" s="144"/>
      <c r="FT36" s="144"/>
      <c r="FU36" s="144"/>
      <c r="FV36" s="144"/>
      <c r="FW36" s="144"/>
      <c r="FX36" s="144"/>
      <c r="FY36" s="144"/>
      <c r="FZ36" s="144"/>
      <c r="GA36" s="144"/>
      <c r="GB36" s="144"/>
      <c r="GC36" s="144"/>
      <c r="GD36" s="144"/>
      <c r="GE36" s="144"/>
      <c r="GF36" s="144"/>
      <c r="GG36" s="144"/>
      <c r="GH36" s="144"/>
      <c r="GI36" s="144"/>
      <c r="GJ36" s="144"/>
      <c r="GK36" s="144"/>
      <c r="GL36" s="144"/>
      <c r="GM36" s="144"/>
      <c r="GN36" s="144"/>
      <c r="GO36" s="144"/>
      <c r="GP36" s="144"/>
      <c r="GQ36" s="144"/>
      <c r="GR36" s="144"/>
      <c r="GS36" s="144"/>
      <c r="GT36" s="144"/>
      <c r="GU36" s="144"/>
      <c r="GV36" s="144"/>
      <c r="GW36" s="144"/>
      <c r="GX36" s="144"/>
      <c r="GY36" s="144"/>
      <c r="GZ36" s="144"/>
      <c r="HA36" s="144"/>
      <c r="HB36" s="144"/>
      <c r="HC36" s="144"/>
      <c r="HD36" s="144"/>
      <c r="HE36" s="144"/>
      <c r="HF36" s="144"/>
      <c r="HG36" s="144"/>
      <c r="HH36" s="144"/>
      <c r="HI36" s="144"/>
      <c r="HJ36" s="144"/>
      <c r="HK36" s="144"/>
    </row>
    <row r="37" spans="1:219" s="158" customFormat="1" x14ac:dyDescent="0.2">
      <c r="A37" s="630"/>
      <c r="B37" s="639" t="s">
        <v>82</v>
      </c>
      <c r="C37" s="639"/>
      <c r="D37" s="443">
        <v>0</v>
      </c>
      <c r="E37" s="199">
        <f>IF(units=0,0,'Renovation Budget'!D37/units)</f>
        <v>0</v>
      </c>
      <c r="F37" s="640">
        <v>0</v>
      </c>
      <c r="G37" s="640">
        <v>0</v>
      </c>
      <c r="H37" s="641">
        <f t="shared" si="25"/>
        <v>0</v>
      </c>
      <c r="I37" s="642" t="s">
        <v>107</v>
      </c>
      <c r="J37" s="643" t="s">
        <v>42</v>
      </c>
      <c r="K37" s="644"/>
      <c r="L37" s="183">
        <f t="shared" si="30"/>
        <v>0</v>
      </c>
      <c r="M37" s="183">
        <f t="shared" si="30"/>
        <v>0</v>
      </c>
      <c r="N37" s="183">
        <f t="shared" si="30"/>
        <v>0</v>
      </c>
      <c r="O37" s="183">
        <f t="shared" si="30"/>
        <v>0</v>
      </c>
      <c r="P37" s="183">
        <f t="shared" si="30"/>
        <v>0</v>
      </c>
      <c r="Q37" s="183">
        <f t="shared" si="30"/>
        <v>0</v>
      </c>
      <c r="R37" s="183">
        <f t="shared" si="30"/>
        <v>0</v>
      </c>
      <c r="S37" s="183">
        <f t="shared" si="30"/>
        <v>0</v>
      </c>
      <c r="T37" s="183">
        <f t="shared" si="30"/>
        <v>0</v>
      </c>
      <c r="U37" s="183">
        <f t="shared" si="30"/>
        <v>0</v>
      </c>
      <c r="V37" s="183">
        <f t="shared" si="30"/>
        <v>0</v>
      </c>
      <c r="W37" s="644"/>
      <c r="X37" s="183">
        <f t="shared" si="26"/>
        <v>0</v>
      </c>
      <c r="Y37" s="183">
        <f t="shared" si="27"/>
        <v>0</v>
      </c>
      <c r="Z37" s="183">
        <f t="shared" si="35"/>
        <v>0</v>
      </c>
      <c r="AA37" s="183">
        <f t="shared" si="35"/>
        <v>0</v>
      </c>
      <c r="AB37" s="183">
        <f t="shared" si="35"/>
        <v>0</v>
      </c>
      <c r="AC37" s="183">
        <f t="shared" si="35"/>
        <v>0</v>
      </c>
      <c r="AD37" s="183">
        <f t="shared" si="35"/>
        <v>0</v>
      </c>
      <c r="AE37" s="183">
        <f t="shared" si="35"/>
        <v>0</v>
      </c>
      <c r="AF37" s="183">
        <f t="shared" si="35"/>
        <v>0</v>
      </c>
      <c r="AG37" s="183">
        <f t="shared" si="35"/>
        <v>0</v>
      </c>
      <c r="AH37" s="183">
        <f t="shared" si="35"/>
        <v>0</v>
      </c>
      <c r="AI37" s="183">
        <f t="shared" si="35"/>
        <v>0</v>
      </c>
      <c r="AJ37" s="183">
        <f t="shared" si="35"/>
        <v>0</v>
      </c>
      <c r="AK37" s="183">
        <f t="shared" si="35"/>
        <v>0</v>
      </c>
      <c r="AL37" s="183">
        <f t="shared" si="35"/>
        <v>0</v>
      </c>
      <c r="AM37" s="183">
        <f t="shared" si="35"/>
        <v>0</v>
      </c>
      <c r="AN37" s="183">
        <f t="shared" si="35"/>
        <v>0</v>
      </c>
      <c r="AO37" s="183">
        <f t="shared" si="35"/>
        <v>0</v>
      </c>
      <c r="AP37" s="183">
        <f t="shared" si="35"/>
        <v>0</v>
      </c>
      <c r="AQ37" s="183">
        <f t="shared" si="35"/>
        <v>0</v>
      </c>
      <c r="AR37" s="183">
        <f t="shared" si="35"/>
        <v>0</v>
      </c>
      <c r="AS37" s="183">
        <f t="shared" si="35"/>
        <v>0</v>
      </c>
      <c r="AT37" s="183">
        <f t="shared" si="35"/>
        <v>0</v>
      </c>
      <c r="AU37" s="183">
        <f t="shared" si="35"/>
        <v>0</v>
      </c>
      <c r="AV37" s="183">
        <f t="shared" si="35"/>
        <v>0</v>
      </c>
      <c r="AW37" s="183">
        <f t="shared" si="35"/>
        <v>0</v>
      </c>
      <c r="AX37" s="183">
        <f t="shared" si="35"/>
        <v>0</v>
      </c>
      <c r="AY37" s="183">
        <f t="shared" si="35"/>
        <v>0</v>
      </c>
      <c r="AZ37" s="183">
        <f t="shared" si="35"/>
        <v>0</v>
      </c>
      <c r="BA37" s="183">
        <f t="shared" si="35"/>
        <v>0</v>
      </c>
      <c r="BB37" s="183">
        <f t="shared" si="35"/>
        <v>0</v>
      </c>
      <c r="BC37" s="183">
        <f t="shared" si="35"/>
        <v>0</v>
      </c>
      <c r="BD37" s="183">
        <f t="shared" si="35"/>
        <v>0</v>
      </c>
      <c r="BE37" s="183">
        <f t="shared" si="35"/>
        <v>0</v>
      </c>
      <c r="BF37" s="183">
        <f t="shared" si="35"/>
        <v>0</v>
      </c>
      <c r="BG37" s="183">
        <f t="shared" si="35"/>
        <v>0</v>
      </c>
      <c r="BH37" s="183">
        <f t="shared" si="35"/>
        <v>0</v>
      </c>
      <c r="BI37" s="183">
        <f t="shared" si="35"/>
        <v>0</v>
      </c>
      <c r="BJ37" s="183">
        <f t="shared" si="35"/>
        <v>0</v>
      </c>
      <c r="BK37" s="183">
        <f t="shared" si="35"/>
        <v>0</v>
      </c>
      <c r="BL37" s="183">
        <f t="shared" si="35"/>
        <v>0</v>
      </c>
      <c r="BM37" s="183">
        <f t="shared" si="35"/>
        <v>0</v>
      </c>
      <c r="BN37" s="183">
        <f t="shared" si="35"/>
        <v>0</v>
      </c>
      <c r="BO37" s="183">
        <f t="shared" si="35"/>
        <v>0</v>
      </c>
      <c r="BP37" s="183">
        <f t="shared" si="35"/>
        <v>0</v>
      </c>
      <c r="BQ37" s="183">
        <f t="shared" si="35"/>
        <v>0</v>
      </c>
      <c r="BR37" s="183">
        <f t="shared" si="35"/>
        <v>0</v>
      </c>
      <c r="BS37" s="183">
        <f t="shared" si="35"/>
        <v>0</v>
      </c>
      <c r="BT37" s="183">
        <f t="shared" si="35"/>
        <v>0</v>
      </c>
      <c r="BU37" s="183">
        <f t="shared" si="35"/>
        <v>0</v>
      </c>
      <c r="BV37" s="183">
        <f t="shared" si="35"/>
        <v>0</v>
      </c>
      <c r="BW37" s="183">
        <f t="shared" si="35"/>
        <v>0</v>
      </c>
      <c r="BX37" s="183">
        <f t="shared" si="35"/>
        <v>0</v>
      </c>
      <c r="BY37" s="183">
        <f t="shared" si="35"/>
        <v>0</v>
      </c>
      <c r="BZ37" s="183">
        <f t="shared" si="35"/>
        <v>0</v>
      </c>
      <c r="CA37" s="183">
        <f t="shared" si="35"/>
        <v>0</v>
      </c>
      <c r="CB37" s="183">
        <f t="shared" si="35"/>
        <v>0</v>
      </c>
      <c r="CC37" s="183">
        <f t="shared" si="35"/>
        <v>0</v>
      </c>
      <c r="CD37" s="183">
        <f t="shared" si="35"/>
        <v>0</v>
      </c>
      <c r="CE37" s="183">
        <f t="shared" si="35"/>
        <v>0</v>
      </c>
      <c r="CF37" s="183">
        <f t="shared" si="35"/>
        <v>0</v>
      </c>
      <c r="CG37" s="183">
        <f t="shared" si="35"/>
        <v>0</v>
      </c>
      <c r="CH37" s="183">
        <f t="shared" si="35"/>
        <v>0</v>
      </c>
      <c r="CI37" s="183">
        <f t="shared" si="35"/>
        <v>0</v>
      </c>
      <c r="CJ37" s="183">
        <f t="shared" si="35"/>
        <v>0</v>
      </c>
      <c r="CK37" s="183">
        <f t="shared" ref="CK37:EV37" si="36">IF(OR(CK$3&gt;=$G37,CK$3&lt;$F37),0,(_xlfn.NORM.DIST(CK$3-$F37+1,$H37/2,INDEX($E$115:$E$118,MATCH($I37,$D$115:$D$118,0)),TRUE)-_xlfn.NORM.DIST(CJ$3-$F37+1,$H37/2,INDEX($E$115:$E$118,MATCH($I37,$D$115:$D$118,0)),TRUE))/(1-2*_xlfn.NORM.DIST(0,$H37/2,INDEX($E$115:$E$118,MATCH($I37,$D$115:$D$118,0)),TRUE))*$D37)</f>
        <v>0</v>
      </c>
      <c r="CL37" s="183">
        <f t="shared" si="36"/>
        <v>0</v>
      </c>
      <c r="CM37" s="183">
        <f t="shared" si="36"/>
        <v>0</v>
      </c>
      <c r="CN37" s="183">
        <f t="shared" si="36"/>
        <v>0</v>
      </c>
      <c r="CO37" s="183">
        <f t="shared" si="36"/>
        <v>0</v>
      </c>
      <c r="CP37" s="183">
        <f t="shared" si="36"/>
        <v>0</v>
      </c>
      <c r="CQ37" s="183">
        <f t="shared" si="36"/>
        <v>0</v>
      </c>
      <c r="CR37" s="183">
        <f t="shared" si="36"/>
        <v>0</v>
      </c>
      <c r="CS37" s="183">
        <f t="shared" si="36"/>
        <v>0</v>
      </c>
      <c r="CT37" s="183">
        <f t="shared" si="36"/>
        <v>0</v>
      </c>
      <c r="CU37" s="183">
        <f t="shared" si="36"/>
        <v>0</v>
      </c>
      <c r="CV37" s="183">
        <f t="shared" si="36"/>
        <v>0</v>
      </c>
      <c r="CW37" s="183">
        <f t="shared" si="36"/>
        <v>0</v>
      </c>
      <c r="CX37" s="183">
        <f t="shared" si="36"/>
        <v>0</v>
      </c>
      <c r="CY37" s="183">
        <f t="shared" si="36"/>
        <v>0</v>
      </c>
      <c r="CZ37" s="183">
        <f t="shared" si="36"/>
        <v>0</v>
      </c>
      <c r="DA37" s="183">
        <f t="shared" si="36"/>
        <v>0</v>
      </c>
      <c r="DB37" s="183">
        <f t="shared" si="36"/>
        <v>0</v>
      </c>
      <c r="DC37" s="183">
        <f t="shared" si="36"/>
        <v>0</v>
      </c>
      <c r="DD37" s="183">
        <f t="shared" si="36"/>
        <v>0</v>
      </c>
      <c r="DE37" s="183">
        <f t="shared" si="36"/>
        <v>0</v>
      </c>
      <c r="DF37" s="183">
        <f t="shared" si="36"/>
        <v>0</v>
      </c>
      <c r="DG37" s="183">
        <f t="shared" si="36"/>
        <v>0</v>
      </c>
      <c r="DH37" s="183">
        <f t="shared" si="36"/>
        <v>0</v>
      </c>
      <c r="DI37" s="183">
        <f t="shared" si="36"/>
        <v>0</v>
      </c>
      <c r="DJ37" s="183">
        <f t="shared" si="36"/>
        <v>0</v>
      </c>
      <c r="DK37" s="183">
        <f t="shared" si="36"/>
        <v>0</v>
      </c>
      <c r="DL37" s="183">
        <f t="shared" si="36"/>
        <v>0</v>
      </c>
      <c r="DM37" s="183">
        <f t="shared" si="36"/>
        <v>0</v>
      </c>
      <c r="DN37" s="183">
        <f t="shared" si="36"/>
        <v>0</v>
      </c>
      <c r="DO37" s="183">
        <f t="shared" si="36"/>
        <v>0</v>
      </c>
      <c r="DP37" s="183">
        <f t="shared" si="36"/>
        <v>0</v>
      </c>
      <c r="DQ37" s="183">
        <f t="shared" si="36"/>
        <v>0</v>
      </c>
      <c r="DR37" s="183">
        <f t="shared" si="36"/>
        <v>0</v>
      </c>
      <c r="DS37" s="183">
        <f t="shared" si="36"/>
        <v>0</v>
      </c>
      <c r="DT37" s="183">
        <f t="shared" si="36"/>
        <v>0</v>
      </c>
      <c r="DU37" s="183">
        <f t="shared" si="36"/>
        <v>0</v>
      </c>
      <c r="DV37" s="183">
        <f t="shared" si="36"/>
        <v>0</v>
      </c>
      <c r="DW37" s="183">
        <f t="shared" si="36"/>
        <v>0</v>
      </c>
      <c r="DX37" s="183">
        <f t="shared" si="36"/>
        <v>0</v>
      </c>
      <c r="DY37" s="183">
        <f t="shared" si="36"/>
        <v>0</v>
      </c>
      <c r="DZ37" s="183">
        <f t="shared" si="36"/>
        <v>0</v>
      </c>
      <c r="EA37" s="183">
        <f t="shared" si="36"/>
        <v>0</v>
      </c>
      <c r="EB37" s="183">
        <f t="shared" si="36"/>
        <v>0</v>
      </c>
      <c r="EC37" s="183">
        <f t="shared" si="36"/>
        <v>0</v>
      </c>
      <c r="ED37" s="183">
        <f t="shared" si="36"/>
        <v>0</v>
      </c>
      <c r="EE37" s="183">
        <f t="shared" si="36"/>
        <v>0</v>
      </c>
      <c r="EF37" s="183">
        <f t="shared" si="36"/>
        <v>0</v>
      </c>
      <c r="EG37" s="183">
        <f t="shared" si="36"/>
        <v>0</v>
      </c>
      <c r="EH37" s="183">
        <f t="shared" si="36"/>
        <v>0</v>
      </c>
      <c r="EI37" s="183">
        <f t="shared" si="36"/>
        <v>0</v>
      </c>
      <c r="EJ37" s="183">
        <f t="shared" si="36"/>
        <v>0</v>
      </c>
      <c r="EK37" s="183">
        <f t="shared" si="36"/>
        <v>0</v>
      </c>
      <c r="EL37" s="183">
        <f t="shared" si="36"/>
        <v>0</v>
      </c>
      <c r="EM37" s="183">
        <f t="shared" si="36"/>
        <v>0</v>
      </c>
      <c r="EN37" s="183">
        <f t="shared" si="36"/>
        <v>0</v>
      </c>
      <c r="EO37" s="183">
        <f t="shared" si="36"/>
        <v>0</v>
      </c>
      <c r="EP37" s="183">
        <f t="shared" si="36"/>
        <v>0</v>
      </c>
      <c r="EQ37" s="183">
        <f t="shared" si="36"/>
        <v>0</v>
      </c>
      <c r="ER37" s="183">
        <f t="shared" si="36"/>
        <v>0</v>
      </c>
      <c r="ES37" s="183">
        <f t="shared" si="36"/>
        <v>0</v>
      </c>
      <c r="ET37" s="183">
        <f t="shared" si="36"/>
        <v>0</v>
      </c>
      <c r="EU37" s="183">
        <f t="shared" si="36"/>
        <v>0</v>
      </c>
      <c r="EV37" s="183">
        <f t="shared" si="36"/>
        <v>0</v>
      </c>
      <c r="EW37" s="183">
        <f t="shared" si="29"/>
        <v>0</v>
      </c>
      <c r="EX37" s="183">
        <f t="shared" si="29"/>
        <v>0</v>
      </c>
      <c r="EY37" s="183">
        <f t="shared" si="29"/>
        <v>0</v>
      </c>
      <c r="EZ37" s="183">
        <f t="shared" si="29"/>
        <v>0</v>
      </c>
      <c r="FA37" s="144"/>
      <c r="FB37" s="144"/>
      <c r="FC37" s="144"/>
      <c r="FD37" s="144"/>
      <c r="FE37" s="144"/>
      <c r="FF37" s="144"/>
      <c r="FG37" s="144"/>
      <c r="FH37" s="144"/>
      <c r="FI37" s="144"/>
      <c r="FJ37" s="144"/>
      <c r="FK37" s="144"/>
      <c r="FL37" s="144"/>
      <c r="FM37" s="144"/>
      <c r="FN37" s="144"/>
      <c r="FO37" s="144"/>
      <c r="FP37" s="144"/>
      <c r="FQ37" s="144"/>
      <c r="FR37" s="144"/>
      <c r="FS37" s="144"/>
      <c r="FT37" s="144"/>
      <c r="FU37" s="144"/>
      <c r="FV37" s="144"/>
      <c r="FW37" s="144"/>
      <c r="FX37" s="144"/>
      <c r="FY37" s="144"/>
      <c r="FZ37" s="144"/>
      <c r="GA37" s="144"/>
      <c r="GB37" s="144"/>
      <c r="GC37" s="144"/>
      <c r="GD37" s="144"/>
      <c r="GE37" s="144"/>
      <c r="GF37" s="144"/>
      <c r="GG37" s="144"/>
      <c r="GH37" s="144"/>
      <c r="GI37" s="144"/>
      <c r="GJ37" s="144"/>
      <c r="GK37" s="144"/>
      <c r="GL37" s="144"/>
      <c r="GM37" s="144"/>
      <c r="GN37" s="144"/>
      <c r="GO37" s="144"/>
      <c r="GP37" s="144"/>
      <c r="GQ37" s="144"/>
      <c r="GR37" s="144"/>
      <c r="GS37" s="144"/>
      <c r="GT37" s="144"/>
      <c r="GU37" s="144"/>
      <c r="GV37" s="144"/>
      <c r="GW37" s="144"/>
      <c r="GX37" s="144"/>
      <c r="GY37" s="144"/>
      <c r="GZ37" s="144"/>
      <c r="HA37" s="144"/>
      <c r="HB37" s="144"/>
      <c r="HC37" s="144"/>
      <c r="HD37" s="144"/>
      <c r="HE37" s="144"/>
      <c r="HF37" s="144"/>
      <c r="HG37" s="144"/>
      <c r="HH37" s="144"/>
      <c r="HI37" s="144"/>
      <c r="HJ37" s="144"/>
      <c r="HK37" s="144"/>
    </row>
    <row r="38" spans="1:219" s="158" customFormat="1" x14ac:dyDescent="0.2">
      <c r="A38" s="630"/>
      <c r="B38" s="639" t="s">
        <v>82</v>
      </c>
      <c r="C38" s="639"/>
      <c r="D38" s="443">
        <v>200000</v>
      </c>
      <c r="E38" s="199">
        <f>IF(units=0,0,'Renovation Budget'!D38/units)</f>
        <v>819.67213114754099</v>
      </c>
      <c r="F38" s="640">
        <v>2</v>
      </c>
      <c r="G38" s="640">
        <v>6</v>
      </c>
      <c r="H38" s="641">
        <f t="shared" si="25"/>
        <v>4</v>
      </c>
      <c r="I38" s="642" t="s">
        <v>107</v>
      </c>
      <c r="J38" s="643" t="s">
        <v>42</v>
      </c>
      <c r="K38" s="644"/>
      <c r="L38" s="183">
        <f t="shared" si="30"/>
        <v>0</v>
      </c>
      <c r="M38" s="183">
        <f t="shared" si="30"/>
        <v>199999.99999993044</v>
      </c>
      <c r="N38" s="183">
        <f t="shared" si="30"/>
        <v>0</v>
      </c>
      <c r="O38" s="183">
        <f t="shared" si="30"/>
        <v>0</v>
      </c>
      <c r="P38" s="183">
        <f t="shared" si="30"/>
        <v>0</v>
      </c>
      <c r="Q38" s="183">
        <f t="shared" si="30"/>
        <v>0</v>
      </c>
      <c r="R38" s="183">
        <f t="shared" si="30"/>
        <v>0</v>
      </c>
      <c r="S38" s="183">
        <f t="shared" si="30"/>
        <v>0</v>
      </c>
      <c r="T38" s="183">
        <f t="shared" si="30"/>
        <v>0</v>
      </c>
      <c r="U38" s="183">
        <f t="shared" si="30"/>
        <v>0</v>
      </c>
      <c r="V38" s="183">
        <f t="shared" si="30"/>
        <v>0</v>
      </c>
      <c r="W38" s="644"/>
      <c r="X38" s="183">
        <f t="shared" si="26"/>
        <v>0</v>
      </c>
      <c r="Y38" s="183">
        <f t="shared" ref="Y38:CJ38" si="37">IF(OR(Y$3&gt;=$G38,Y$3&lt;$F38),0,(_xlfn.NORM.DIST(Y$3-$F38+1,$H38/2,INDEX($E$115:$E$118,MATCH($I38,$D$115:$D$118,0)),TRUE)-_xlfn.NORM.DIST(X$3-$F38+1,$H38/2,INDEX($E$115:$E$118,MATCH($I38,$D$115:$D$118,0)),TRUE))/(1-2*_xlfn.NORM.DIST(0,$H38/2,INDEX($E$115:$E$118,MATCH($I38,$D$115:$D$118,0)),TRUE))*$D38)</f>
        <v>0</v>
      </c>
      <c r="Z38" s="183">
        <f t="shared" si="37"/>
        <v>49999.999749945178</v>
      </c>
      <c r="AA38" s="183">
        <f t="shared" si="37"/>
        <v>50000.000250054822</v>
      </c>
      <c r="AB38" s="183">
        <f t="shared" si="37"/>
        <v>50000.000249985256</v>
      </c>
      <c r="AC38" s="183">
        <f t="shared" si="37"/>
        <v>49999.999749945178</v>
      </c>
      <c r="AD38" s="183">
        <f t="shared" si="37"/>
        <v>0</v>
      </c>
      <c r="AE38" s="183">
        <f t="shared" si="37"/>
        <v>0</v>
      </c>
      <c r="AF38" s="183">
        <f t="shared" si="37"/>
        <v>0</v>
      </c>
      <c r="AG38" s="183">
        <f t="shared" si="37"/>
        <v>0</v>
      </c>
      <c r="AH38" s="183">
        <f t="shared" si="37"/>
        <v>0</v>
      </c>
      <c r="AI38" s="183">
        <f t="shared" si="37"/>
        <v>0</v>
      </c>
      <c r="AJ38" s="183">
        <f t="shared" si="37"/>
        <v>0</v>
      </c>
      <c r="AK38" s="183">
        <f t="shared" si="37"/>
        <v>0</v>
      </c>
      <c r="AL38" s="183">
        <f t="shared" si="37"/>
        <v>0</v>
      </c>
      <c r="AM38" s="183">
        <f t="shared" si="37"/>
        <v>0</v>
      </c>
      <c r="AN38" s="183">
        <f t="shared" si="37"/>
        <v>0</v>
      </c>
      <c r="AO38" s="183">
        <f t="shared" si="37"/>
        <v>0</v>
      </c>
      <c r="AP38" s="183">
        <f t="shared" si="37"/>
        <v>0</v>
      </c>
      <c r="AQ38" s="183">
        <f t="shared" si="37"/>
        <v>0</v>
      </c>
      <c r="AR38" s="183">
        <f t="shared" si="37"/>
        <v>0</v>
      </c>
      <c r="AS38" s="183">
        <f t="shared" si="37"/>
        <v>0</v>
      </c>
      <c r="AT38" s="183">
        <f t="shared" si="37"/>
        <v>0</v>
      </c>
      <c r="AU38" s="183">
        <f t="shared" si="37"/>
        <v>0</v>
      </c>
      <c r="AV38" s="183">
        <f t="shared" si="37"/>
        <v>0</v>
      </c>
      <c r="AW38" s="183">
        <f t="shared" si="37"/>
        <v>0</v>
      </c>
      <c r="AX38" s="183">
        <f t="shared" si="37"/>
        <v>0</v>
      </c>
      <c r="AY38" s="183">
        <f t="shared" si="37"/>
        <v>0</v>
      </c>
      <c r="AZ38" s="183">
        <f t="shared" si="37"/>
        <v>0</v>
      </c>
      <c r="BA38" s="183">
        <f t="shared" si="37"/>
        <v>0</v>
      </c>
      <c r="BB38" s="183">
        <f t="shared" si="37"/>
        <v>0</v>
      </c>
      <c r="BC38" s="183">
        <f t="shared" si="37"/>
        <v>0</v>
      </c>
      <c r="BD38" s="183">
        <f t="shared" si="37"/>
        <v>0</v>
      </c>
      <c r="BE38" s="183">
        <f t="shared" si="37"/>
        <v>0</v>
      </c>
      <c r="BF38" s="183">
        <f t="shared" si="37"/>
        <v>0</v>
      </c>
      <c r="BG38" s="183">
        <f t="shared" si="37"/>
        <v>0</v>
      </c>
      <c r="BH38" s="183">
        <f t="shared" si="37"/>
        <v>0</v>
      </c>
      <c r="BI38" s="183">
        <f t="shared" si="37"/>
        <v>0</v>
      </c>
      <c r="BJ38" s="183">
        <f t="shared" si="37"/>
        <v>0</v>
      </c>
      <c r="BK38" s="183">
        <f t="shared" si="37"/>
        <v>0</v>
      </c>
      <c r="BL38" s="183">
        <f t="shared" si="37"/>
        <v>0</v>
      </c>
      <c r="BM38" s="183">
        <f t="shared" si="37"/>
        <v>0</v>
      </c>
      <c r="BN38" s="183">
        <f t="shared" si="37"/>
        <v>0</v>
      </c>
      <c r="BO38" s="183">
        <f t="shared" si="37"/>
        <v>0</v>
      </c>
      <c r="BP38" s="183">
        <f t="shared" si="37"/>
        <v>0</v>
      </c>
      <c r="BQ38" s="183">
        <f t="shared" si="37"/>
        <v>0</v>
      </c>
      <c r="BR38" s="183">
        <f t="shared" si="37"/>
        <v>0</v>
      </c>
      <c r="BS38" s="183">
        <f t="shared" si="37"/>
        <v>0</v>
      </c>
      <c r="BT38" s="183">
        <f t="shared" si="37"/>
        <v>0</v>
      </c>
      <c r="BU38" s="183">
        <f t="shared" si="37"/>
        <v>0</v>
      </c>
      <c r="BV38" s="183">
        <f t="shared" si="37"/>
        <v>0</v>
      </c>
      <c r="BW38" s="183">
        <f t="shared" si="37"/>
        <v>0</v>
      </c>
      <c r="BX38" s="183">
        <f t="shared" si="37"/>
        <v>0</v>
      </c>
      <c r="BY38" s="183">
        <f t="shared" si="37"/>
        <v>0</v>
      </c>
      <c r="BZ38" s="183">
        <f t="shared" si="37"/>
        <v>0</v>
      </c>
      <c r="CA38" s="183">
        <f t="shared" si="37"/>
        <v>0</v>
      </c>
      <c r="CB38" s="183">
        <f t="shared" si="37"/>
        <v>0</v>
      </c>
      <c r="CC38" s="183">
        <f t="shared" si="37"/>
        <v>0</v>
      </c>
      <c r="CD38" s="183">
        <f t="shared" si="37"/>
        <v>0</v>
      </c>
      <c r="CE38" s="183">
        <f t="shared" si="37"/>
        <v>0</v>
      </c>
      <c r="CF38" s="183">
        <f t="shared" si="37"/>
        <v>0</v>
      </c>
      <c r="CG38" s="183">
        <f t="shared" si="37"/>
        <v>0</v>
      </c>
      <c r="CH38" s="183">
        <f t="shared" si="37"/>
        <v>0</v>
      </c>
      <c r="CI38" s="183">
        <f t="shared" si="37"/>
        <v>0</v>
      </c>
      <c r="CJ38" s="183">
        <f t="shared" si="37"/>
        <v>0</v>
      </c>
      <c r="CK38" s="183">
        <f t="shared" ref="CK38:EV38" si="38">IF(OR(CK$3&gt;=$G38,CK$3&lt;$F38),0,(_xlfn.NORM.DIST(CK$3-$F38+1,$H38/2,INDEX($E$115:$E$118,MATCH($I38,$D$115:$D$118,0)),TRUE)-_xlfn.NORM.DIST(CJ$3-$F38+1,$H38/2,INDEX($E$115:$E$118,MATCH($I38,$D$115:$D$118,0)),TRUE))/(1-2*_xlfn.NORM.DIST(0,$H38/2,INDEX($E$115:$E$118,MATCH($I38,$D$115:$D$118,0)),TRUE))*$D38)</f>
        <v>0</v>
      </c>
      <c r="CL38" s="183">
        <f t="shared" si="38"/>
        <v>0</v>
      </c>
      <c r="CM38" s="183">
        <f t="shared" si="38"/>
        <v>0</v>
      </c>
      <c r="CN38" s="183">
        <f t="shared" si="38"/>
        <v>0</v>
      </c>
      <c r="CO38" s="183">
        <f t="shared" si="38"/>
        <v>0</v>
      </c>
      <c r="CP38" s="183">
        <f t="shared" si="38"/>
        <v>0</v>
      </c>
      <c r="CQ38" s="183">
        <f t="shared" si="38"/>
        <v>0</v>
      </c>
      <c r="CR38" s="183">
        <f t="shared" si="38"/>
        <v>0</v>
      </c>
      <c r="CS38" s="183">
        <f t="shared" si="38"/>
        <v>0</v>
      </c>
      <c r="CT38" s="183">
        <f t="shared" si="38"/>
        <v>0</v>
      </c>
      <c r="CU38" s="183">
        <f t="shared" si="38"/>
        <v>0</v>
      </c>
      <c r="CV38" s="183">
        <f t="shared" si="38"/>
        <v>0</v>
      </c>
      <c r="CW38" s="183">
        <f t="shared" si="38"/>
        <v>0</v>
      </c>
      <c r="CX38" s="183">
        <f t="shared" si="38"/>
        <v>0</v>
      </c>
      <c r="CY38" s="183">
        <f t="shared" si="38"/>
        <v>0</v>
      </c>
      <c r="CZ38" s="183">
        <f t="shared" si="38"/>
        <v>0</v>
      </c>
      <c r="DA38" s="183">
        <f t="shared" si="38"/>
        <v>0</v>
      </c>
      <c r="DB38" s="183">
        <f t="shared" si="38"/>
        <v>0</v>
      </c>
      <c r="DC38" s="183">
        <f t="shared" si="38"/>
        <v>0</v>
      </c>
      <c r="DD38" s="183">
        <f t="shared" si="38"/>
        <v>0</v>
      </c>
      <c r="DE38" s="183">
        <f t="shared" si="38"/>
        <v>0</v>
      </c>
      <c r="DF38" s="183">
        <f t="shared" si="38"/>
        <v>0</v>
      </c>
      <c r="DG38" s="183">
        <f t="shared" si="38"/>
        <v>0</v>
      </c>
      <c r="DH38" s="183">
        <f t="shared" si="38"/>
        <v>0</v>
      </c>
      <c r="DI38" s="183">
        <f t="shared" si="38"/>
        <v>0</v>
      </c>
      <c r="DJ38" s="183">
        <f t="shared" si="38"/>
        <v>0</v>
      </c>
      <c r="DK38" s="183">
        <f t="shared" si="38"/>
        <v>0</v>
      </c>
      <c r="DL38" s="183">
        <f t="shared" si="38"/>
        <v>0</v>
      </c>
      <c r="DM38" s="183">
        <f t="shared" si="38"/>
        <v>0</v>
      </c>
      <c r="DN38" s="183">
        <f t="shared" si="38"/>
        <v>0</v>
      </c>
      <c r="DO38" s="183">
        <f t="shared" si="38"/>
        <v>0</v>
      </c>
      <c r="DP38" s="183">
        <f t="shared" si="38"/>
        <v>0</v>
      </c>
      <c r="DQ38" s="183">
        <f t="shared" si="38"/>
        <v>0</v>
      </c>
      <c r="DR38" s="183">
        <f t="shared" si="38"/>
        <v>0</v>
      </c>
      <c r="DS38" s="183">
        <f t="shared" si="38"/>
        <v>0</v>
      </c>
      <c r="DT38" s="183">
        <f t="shared" si="38"/>
        <v>0</v>
      </c>
      <c r="DU38" s="183">
        <f t="shared" si="38"/>
        <v>0</v>
      </c>
      <c r="DV38" s="183">
        <f t="shared" si="38"/>
        <v>0</v>
      </c>
      <c r="DW38" s="183">
        <f t="shared" si="38"/>
        <v>0</v>
      </c>
      <c r="DX38" s="183">
        <f t="shared" si="38"/>
        <v>0</v>
      </c>
      <c r="DY38" s="183">
        <f t="shared" si="38"/>
        <v>0</v>
      </c>
      <c r="DZ38" s="183">
        <f t="shared" si="38"/>
        <v>0</v>
      </c>
      <c r="EA38" s="183">
        <f t="shared" si="38"/>
        <v>0</v>
      </c>
      <c r="EB38" s="183">
        <f t="shared" si="38"/>
        <v>0</v>
      </c>
      <c r="EC38" s="183">
        <f t="shared" si="38"/>
        <v>0</v>
      </c>
      <c r="ED38" s="183">
        <f t="shared" si="38"/>
        <v>0</v>
      </c>
      <c r="EE38" s="183">
        <f t="shared" si="38"/>
        <v>0</v>
      </c>
      <c r="EF38" s="183">
        <f t="shared" si="38"/>
        <v>0</v>
      </c>
      <c r="EG38" s="183">
        <f t="shared" si="38"/>
        <v>0</v>
      </c>
      <c r="EH38" s="183">
        <f t="shared" si="38"/>
        <v>0</v>
      </c>
      <c r="EI38" s="183">
        <f t="shared" si="38"/>
        <v>0</v>
      </c>
      <c r="EJ38" s="183">
        <f t="shared" si="38"/>
        <v>0</v>
      </c>
      <c r="EK38" s="183">
        <f t="shared" si="38"/>
        <v>0</v>
      </c>
      <c r="EL38" s="183">
        <f t="shared" si="38"/>
        <v>0</v>
      </c>
      <c r="EM38" s="183">
        <f t="shared" si="38"/>
        <v>0</v>
      </c>
      <c r="EN38" s="183">
        <f t="shared" si="38"/>
        <v>0</v>
      </c>
      <c r="EO38" s="183">
        <f t="shared" si="38"/>
        <v>0</v>
      </c>
      <c r="EP38" s="183">
        <f t="shared" si="38"/>
        <v>0</v>
      </c>
      <c r="EQ38" s="183">
        <f t="shared" si="38"/>
        <v>0</v>
      </c>
      <c r="ER38" s="183">
        <f t="shared" si="38"/>
        <v>0</v>
      </c>
      <c r="ES38" s="183">
        <f t="shared" si="38"/>
        <v>0</v>
      </c>
      <c r="ET38" s="183">
        <f t="shared" si="38"/>
        <v>0</v>
      </c>
      <c r="EU38" s="183">
        <f t="shared" si="38"/>
        <v>0</v>
      </c>
      <c r="EV38" s="183">
        <f t="shared" si="38"/>
        <v>0</v>
      </c>
      <c r="EW38" s="183">
        <f t="shared" ref="EW38:EZ38" si="39">IF(OR(EW$3&gt;=$G38,EW$3&lt;$F38),0,(_xlfn.NORM.DIST(EW$3-$F38+1,$H38/2,INDEX($E$115:$E$118,MATCH($I38,$D$115:$D$118,0)),TRUE)-_xlfn.NORM.DIST(EV$3-$F38+1,$H38/2,INDEX($E$115:$E$118,MATCH($I38,$D$115:$D$118,0)),TRUE))/(1-2*_xlfn.NORM.DIST(0,$H38/2,INDEX($E$115:$E$118,MATCH($I38,$D$115:$D$118,0)),TRUE))*$D38)</f>
        <v>0</v>
      </c>
      <c r="EX38" s="183">
        <f t="shared" si="39"/>
        <v>0</v>
      </c>
      <c r="EY38" s="183">
        <f t="shared" si="39"/>
        <v>0</v>
      </c>
      <c r="EZ38" s="183">
        <f t="shared" si="39"/>
        <v>0</v>
      </c>
      <c r="FA38" s="144"/>
      <c r="FB38" s="144"/>
      <c r="FC38" s="144"/>
      <c r="FD38" s="144"/>
      <c r="FE38" s="144"/>
      <c r="FF38" s="144"/>
      <c r="FG38" s="144"/>
      <c r="FH38" s="144"/>
      <c r="FI38" s="144"/>
      <c r="FJ38" s="144"/>
      <c r="FK38" s="144"/>
      <c r="FL38" s="144"/>
      <c r="FM38" s="144"/>
      <c r="FN38" s="144"/>
      <c r="FO38" s="144"/>
      <c r="FP38" s="144"/>
      <c r="FQ38" s="144"/>
      <c r="FR38" s="144"/>
      <c r="FS38" s="144"/>
      <c r="FT38" s="144"/>
      <c r="FU38" s="144"/>
      <c r="FV38" s="144"/>
      <c r="FW38" s="144"/>
      <c r="FX38" s="144"/>
      <c r="FY38" s="144"/>
      <c r="FZ38" s="144"/>
      <c r="GA38" s="144"/>
      <c r="GB38" s="144"/>
      <c r="GC38" s="144"/>
      <c r="GD38" s="144"/>
      <c r="GE38" s="144"/>
      <c r="GF38" s="144"/>
      <c r="GG38" s="144"/>
      <c r="GH38" s="144"/>
      <c r="GI38" s="144"/>
      <c r="GJ38" s="144"/>
      <c r="GK38" s="144"/>
      <c r="GL38" s="144"/>
      <c r="GM38" s="144"/>
      <c r="GN38" s="144"/>
      <c r="GO38" s="144"/>
      <c r="GP38" s="144"/>
      <c r="GQ38" s="144"/>
      <c r="GR38" s="144"/>
      <c r="GS38" s="144"/>
      <c r="GT38" s="144"/>
      <c r="GU38" s="144"/>
      <c r="GV38" s="144"/>
      <c r="GW38" s="144"/>
      <c r="GX38" s="144"/>
      <c r="GY38" s="144"/>
      <c r="GZ38" s="144"/>
      <c r="HA38" s="144"/>
      <c r="HB38" s="144"/>
      <c r="HC38" s="144"/>
      <c r="HD38" s="144"/>
      <c r="HE38" s="144"/>
      <c r="HF38" s="144"/>
      <c r="HG38" s="144"/>
      <c r="HH38" s="144"/>
      <c r="HI38" s="144"/>
      <c r="HJ38" s="144"/>
      <c r="HK38" s="144"/>
    </row>
    <row r="39" spans="1:219" s="629" customFormat="1" x14ac:dyDescent="0.2">
      <c r="A39" s="630"/>
      <c r="B39" s="218" t="s">
        <v>693</v>
      </c>
      <c r="C39" s="218"/>
      <c r="D39" s="645">
        <f>SUBTOTAL(9,D25:D38)</f>
        <v>200000</v>
      </c>
      <c r="E39" s="239">
        <f>IF(units=0,0,'Renovation Budget'!D39/units)</f>
        <v>819.67213114754099</v>
      </c>
      <c r="F39" s="296">
        <f>MIN(F25:F38)</f>
        <v>0</v>
      </c>
      <c r="G39" s="296">
        <f>MAX(G25:G38)</f>
        <v>6</v>
      </c>
      <c r="H39" s="647">
        <f t="shared" si="25"/>
        <v>6</v>
      </c>
      <c r="I39" s="645"/>
      <c r="J39" s="648"/>
      <c r="K39" s="627"/>
      <c r="L39" s="239">
        <f>SUBTOTAL(9,L25:L38)</f>
        <v>0</v>
      </c>
      <c r="M39" s="239">
        <f t="shared" ref="M39:V39" si="40">SUBTOTAL(9,M25:M38)</f>
        <v>199999.99999993044</v>
      </c>
      <c r="N39" s="239">
        <f t="shared" si="40"/>
        <v>0</v>
      </c>
      <c r="O39" s="239">
        <f t="shared" si="40"/>
        <v>0</v>
      </c>
      <c r="P39" s="239">
        <f t="shared" si="40"/>
        <v>0</v>
      </c>
      <c r="Q39" s="239">
        <f t="shared" si="40"/>
        <v>0</v>
      </c>
      <c r="R39" s="239">
        <f t="shared" si="40"/>
        <v>0</v>
      </c>
      <c r="S39" s="239">
        <f t="shared" si="40"/>
        <v>0</v>
      </c>
      <c r="T39" s="239">
        <f t="shared" si="40"/>
        <v>0</v>
      </c>
      <c r="U39" s="239">
        <f t="shared" si="40"/>
        <v>0</v>
      </c>
      <c r="V39" s="239">
        <f t="shared" si="40"/>
        <v>0</v>
      </c>
      <c r="W39" s="627"/>
      <c r="X39" s="239">
        <f>SUBTOTAL(9,X25:X38)</f>
        <v>0</v>
      </c>
      <c r="Y39" s="239">
        <f t="shared" ref="Y39:CJ39" si="41">SUBTOTAL(9,Y25:Y38)</f>
        <v>0</v>
      </c>
      <c r="Z39" s="239">
        <f t="shared" si="41"/>
        <v>49999.999749945178</v>
      </c>
      <c r="AA39" s="239">
        <f t="shared" si="41"/>
        <v>50000.000250054822</v>
      </c>
      <c r="AB39" s="239">
        <f t="shared" si="41"/>
        <v>50000.000249985256</v>
      </c>
      <c r="AC39" s="239">
        <f t="shared" si="41"/>
        <v>49999.999749945178</v>
      </c>
      <c r="AD39" s="239">
        <f t="shared" si="41"/>
        <v>0</v>
      </c>
      <c r="AE39" s="239">
        <f t="shared" si="41"/>
        <v>0</v>
      </c>
      <c r="AF39" s="239">
        <f t="shared" si="41"/>
        <v>0</v>
      </c>
      <c r="AG39" s="239">
        <f t="shared" si="41"/>
        <v>0</v>
      </c>
      <c r="AH39" s="239">
        <f t="shared" si="41"/>
        <v>0</v>
      </c>
      <c r="AI39" s="239">
        <f t="shared" si="41"/>
        <v>0</v>
      </c>
      <c r="AJ39" s="239">
        <f t="shared" si="41"/>
        <v>0</v>
      </c>
      <c r="AK39" s="239">
        <f t="shared" si="41"/>
        <v>0</v>
      </c>
      <c r="AL39" s="239">
        <f t="shared" si="41"/>
        <v>0</v>
      </c>
      <c r="AM39" s="239">
        <f t="shared" si="41"/>
        <v>0</v>
      </c>
      <c r="AN39" s="239">
        <f t="shared" si="41"/>
        <v>0</v>
      </c>
      <c r="AO39" s="239">
        <f t="shared" si="41"/>
        <v>0</v>
      </c>
      <c r="AP39" s="239">
        <f t="shared" si="41"/>
        <v>0</v>
      </c>
      <c r="AQ39" s="239">
        <f t="shared" si="41"/>
        <v>0</v>
      </c>
      <c r="AR39" s="239">
        <f t="shared" si="41"/>
        <v>0</v>
      </c>
      <c r="AS39" s="239">
        <f t="shared" si="41"/>
        <v>0</v>
      </c>
      <c r="AT39" s="239">
        <f t="shared" si="41"/>
        <v>0</v>
      </c>
      <c r="AU39" s="239">
        <f t="shared" si="41"/>
        <v>0</v>
      </c>
      <c r="AV39" s="239">
        <f t="shared" si="41"/>
        <v>0</v>
      </c>
      <c r="AW39" s="239">
        <f t="shared" si="41"/>
        <v>0</v>
      </c>
      <c r="AX39" s="239">
        <f t="shared" si="41"/>
        <v>0</v>
      </c>
      <c r="AY39" s="239">
        <f t="shared" si="41"/>
        <v>0</v>
      </c>
      <c r="AZ39" s="239">
        <f t="shared" si="41"/>
        <v>0</v>
      </c>
      <c r="BA39" s="239">
        <f t="shared" si="41"/>
        <v>0</v>
      </c>
      <c r="BB39" s="239">
        <f t="shared" si="41"/>
        <v>0</v>
      </c>
      <c r="BC39" s="239">
        <f t="shared" si="41"/>
        <v>0</v>
      </c>
      <c r="BD39" s="239">
        <f t="shared" si="41"/>
        <v>0</v>
      </c>
      <c r="BE39" s="239">
        <f t="shared" si="41"/>
        <v>0</v>
      </c>
      <c r="BF39" s="239">
        <f t="shared" si="41"/>
        <v>0</v>
      </c>
      <c r="BG39" s="239">
        <f t="shared" si="41"/>
        <v>0</v>
      </c>
      <c r="BH39" s="239">
        <f t="shared" si="41"/>
        <v>0</v>
      </c>
      <c r="BI39" s="239">
        <f t="shared" si="41"/>
        <v>0</v>
      </c>
      <c r="BJ39" s="239">
        <f t="shared" si="41"/>
        <v>0</v>
      </c>
      <c r="BK39" s="239">
        <f t="shared" si="41"/>
        <v>0</v>
      </c>
      <c r="BL39" s="239">
        <f t="shared" si="41"/>
        <v>0</v>
      </c>
      <c r="BM39" s="239">
        <f t="shared" si="41"/>
        <v>0</v>
      </c>
      <c r="BN39" s="239">
        <f t="shared" si="41"/>
        <v>0</v>
      </c>
      <c r="BO39" s="239">
        <f t="shared" si="41"/>
        <v>0</v>
      </c>
      <c r="BP39" s="239">
        <f t="shared" si="41"/>
        <v>0</v>
      </c>
      <c r="BQ39" s="239">
        <f t="shared" si="41"/>
        <v>0</v>
      </c>
      <c r="BR39" s="239">
        <f t="shared" si="41"/>
        <v>0</v>
      </c>
      <c r="BS39" s="239">
        <f t="shared" si="41"/>
        <v>0</v>
      </c>
      <c r="BT39" s="239">
        <f t="shared" si="41"/>
        <v>0</v>
      </c>
      <c r="BU39" s="239">
        <f t="shared" si="41"/>
        <v>0</v>
      </c>
      <c r="BV39" s="239">
        <f t="shared" si="41"/>
        <v>0</v>
      </c>
      <c r="BW39" s="239">
        <f t="shared" si="41"/>
        <v>0</v>
      </c>
      <c r="BX39" s="239">
        <f t="shared" si="41"/>
        <v>0</v>
      </c>
      <c r="BY39" s="239">
        <f t="shared" si="41"/>
        <v>0</v>
      </c>
      <c r="BZ39" s="239">
        <f t="shared" si="41"/>
        <v>0</v>
      </c>
      <c r="CA39" s="239">
        <f t="shared" si="41"/>
        <v>0</v>
      </c>
      <c r="CB39" s="239">
        <f t="shared" si="41"/>
        <v>0</v>
      </c>
      <c r="CC39" s="239">
        <f t="shared" si="41"/>
        <v>0</v>
      </c>
      <c r="CD39" s="239">
        <f t="shared" si="41"/>
        <v>0</v>
      </c>
      <c r="CE39" s="239">
        <f t="shared" si="41"/>
        <v>0</v>
      </c>
      <c r="CF39" s="239">
        <f t="shared" si="41"/>
        <v>0</v>
      </c>
      <c r="CG39" s="239">
        <f t="shared" si="41"/>
        <v>0</v>
      </c>
      <c r="CH39" s="239">
        <f t="shared" si="41"/>
        <v>0</v>
      </c>
      <c r="CI39" s="239">
        <f t="shared" si="41"/>
        <v>0</v>
      </c>
      <c r="CJ39" s="239">
        <f t="shared" si="41"/>
        <v>0</v>
      </c>
      <c r="CK39" s="239">
        <f t="shared" ref="CK39:EV39" si="42">SUBTOTAL(9,CK25:CK38)</f>
        <v>0</v>
      </c>
      <c r="CL39" s="239">
        <f t="shared" si="42"/>
        <v>0</v>
      </c>
      <c r="CM39" s="239">
        <f t="shared" si="42"/>
        <v>0</v>
      </c>
      <c r="CN39" s="239">
        <f t="shared" si="42"/>
        <v>0</v>
      </c>
      <c r="CO39" s="239">
        <f t="shared" si="42"/>
        <v>0</v>
      </c>
      <c r="CP39" s="239">
        <f t="shared" si="42"/>
        <v>0</v>
      </c>
      <c r="CQ39" s="239">
        <f t="shared" si="42"/>
        <v>0</v>
      </c>
      <c r="CR39" s="239">
        <f t="shared" si="42"/>
        <v>0</v>
      </c>
      <c r="CS39" s="239">
        <f t="shared" si="42"/>
        <v>0</v>
      </c>
      <c r="CT39" s="239">
        <f t="shared" si="42"/>
        <v>0</v>
      </c>
      <c r="CU39" s="239">
        <f t="shared" si="42"/>
        <v>0</v>
      </c>
      <c r="CV39" s="239">
        <f t="shared" si="42"/>
        <v>0</v>
      </c>
      <c r="CW39" s="239">
        <f t="shared" si="42"/>
        <v>0</v>
      </c>
      <c r="CX39" s="239">
        <f t="shared" si="42"/>
        <v>0</v>
      </c>
      <c r="CY39" s="239">
        <f t="shared" si="42"/>
        <v>0</v>
      </c>
      <c r="CZ39" s="239">
        <f t="shared" si="42"/>
        <v>0</v>
      </c>
      <c r="DA39" s="239">
        <f t="shared" si="42"/>
        <v>0</v>
      </c>
      <c r="DB39" s="239">
        <f t="shared" si="42"/>
        <v>0</v>
      </c>
      <c r="DC39" s="239">
        <f t="shared" si="42"/>
        <v>0</v>
      </c>
      <c r="DD39" s="239">
        <f t="shared" si="42"/>
        <v>0</v>
      </c>
      <c r="DE39" s="239">
        <f t="shared" si="42"/>
        <v>0</v>
      </c>
      <c r="DF39" s="239">
        <f t="shared" si="42"/>
        <v>0</v>
      </c>
      <c r="DG39" s="239">
        <f t="shared" si="42"/>
        <v>0</v>
      </c>
      <c r="DH39" s="239">
        <f t="shared" si="42"/>
        <v>0</v>
      </c>
      <c r="DI39" s="239">
        <f t="shared" si="42"/>
        <v>0</v>
      </c>
      <c r="DJ39" s="239">
        <f t="shared" si="42"/>
        <v>0</v>
      </c>
      <c r="DK39" s="239">
        <f t="shared" si="42"/>
        <v>0</v>
      </c>
      <c r="DL39" s="239">
        <f t="shared" si="42"/>
        <v>0</v>
      </c>
      <c r="DM39" s="239">
        <f t="shared" si="42"/>
        <v>0</v>
      </c>
      <c r="DN39" s="239">
        <f t="shared" si="42"/>
        <v>0</v>
      </c>
      <c r="DO39" s="239">
        <f t="shared" si="42"/>
        <v>0</v>
      </c>
      <c r="DP39" s="239">
        <f t="shared" si="42"/>
        <v>0</v>
      </c>
      <c r="DQ39" s="239">
        <f t="shared" si="42"/>
        <v>0</v>
      </c>
      <c r="DR39" s="239">
        <f t="shared" si="42"/>
        <v>0</v>
      </c>
      <c r="DS39" s="239">
        <f t="shared" si="42"/>
        <v>0</v>
      </c>
      <c r="DT39" s="239">
        <f t="shared" si="42"/>
        <v>0</v>
      </c>
      <c r="DU39" s="239">
        <f t="shared" si="42"/>
        <v>0</v>
      </c>
      <c r="DV39" s="239">
        <f t="shared" si="42"/>
        <v>0</v>
      </c>
      <c r="DW39" s="239">
        <f t="shared" si="42"/>
        <v>0</v>
      </c>
      <c r="DX39" s="239">
        <f t="shared" si="42"/>
        <v>0</v>
      </c>
      <c r="DY39" s="239">
        <f t="shared" si="42"/>
        <v>0</v>
      </c>
      <c r="DZ39" s="239">
        <f t="shared" si="42"/>
        <v>0</v>
      </c>
      <c r="EA39" s="239">
        <f t="shared" si="42"/>
        <v>0</v>
      </c>
      <c r="EB39" s="239">
        <f t="shared" si="42"/>
        <v>0</v>
      </c>
      <c r="EC39" s="239">
        <f t="shared" si="42"/>
        <v>0</v>
      </c>
      <c r="ED39" s="239">
        <f t="shared" si="42"/>
        <v>0</v>
      </c>
      <c r="EE39" s="239">
        <f t="shared" si="42"/>
        <v>0</v>
      </c>
      <c r="EF39" s="239">
        <f t="shared" si="42"/>
        <v>0</v>
      </c>
      <c r="EG39" s="239">
        <f t="shared" si="42"/>
        <v>0</v>
      </c>
      <c r="EH39" s="239">
        <f t="shared" si="42"/>
        <v>0</v>
      </c>
      <c r="EI39" s="239">
        <f t="shared" si="42"/>
        <v>0</v>
      </c>
      <c r="EJ39" s="239">
        <f t="shared" si="42"/>
        <v>0</v>
      </c>
      <c r="EK39" s="239">
        <f t="shared" si="42"/>
        <v>0</v>
      </c>
      <c r="EL39" s="239">
        <f t="shared" si="42"/>
        <v>0</v>
      </c>
      <c r="EM39" s="239">
        <f t="shared" si="42"/>
        <v>0</v>
      </c>
      <c r="EN39" s="239">
        <f t="shared" si="42"/>
        <v>0</v>
      </c>
      <c r="EO39" s="239">
        <f t="shared" si="42"/>
        <v>0</v>
      </c>
      <c r="EP39" s="239">
        <f t="shared" si="42"/>
        <v>0</v>
      </c>
      <c r="EQ39" s="239">
        <f t="shared" si="42"/>
        <v>0</v>
      </c>
      <c r="ER39" s="239">
        <f t="shared" si="42"/>
        <v>0</v>
      </c>
      <c r="ES39" s="239">
        <f t="shared" si="42"/>
        <v>0</v>
      </c>
      <c r="ET39" s="239">
        <f t="shared" si="42"/>
        <v>0</v>
      </c>
      <c r="EU39" s="239">
        <f t="shared" si="42"/>
        <v>0</v>
      </c>
      <c r="EV39" s="239">
        <f t="shared" si="42"/>
        <v>0</v>
      </c>
      <c r="EW39" s="239">
        <f t="shared" ref="EW39:EZ39" si="43">SUBTOTAL(9,EW25:EW38)</f>
        <v>0</v>
      </c>
      <c r="EX39" s="239">
        <f t="shared" si="43"/>
        <v>0</v>
      </c>
      <c r="EY39" s="239">
        <f t="shared" si="43"/>
        <v>0</v>
      </c>
      <c r="EZ39" s="239">
        <f t="shared" si="43"/>
        <v>0</v>
      </c>
      <c r="FB39" s="609" t="s">
        <v>243</v>
      </c>
    </row>
    <row r="40" spans="1:219" s="629" customFormat="1" x14ac:dyDescent="0.2">
      <c r="A40" s="177"/>
      <c r="B40" s="200"/>
      <c r="C40" s="200"/>
      <c r="D40" s="622"/>
      <c r="E40" s="623"/>
      <c r="F40" s="624"/>
      <c r="G40" s="624"/>
      <c r="H40" s="625"/>
      <c r="I40" s="622"/>
      <c r="J40" s="626"/>
      <c r="K40" s="627"/>
      <c r="L40" s="628"/>
      <c r="M40" s="628"/>
      <c r="N40" s="628"/>
      <c r="O40" s="628"/>
      <c r="P40" s="628"/>
      <c r="Q40" s="628"/>
      <c r="R40" s="628"/>
      <c r="S40" s="628"/>
      <c r="T40" s="628"/>
      <c r="U40" s="628"/>
      <c r="V40" s="628"/>
      <c r="W40" s="627"/>
      <c r="X40" s="628"/>
      <c r="Y40" s="628"/>
      <c r="Z40" s="628"/>
      <c r="AA40" s="628"/>
      <c r="AB40" s="628"/>
      <c r="AC40" s="628"/>
      <c r="AD40" s="628"/>
      <c r="AE40" s="628"/>
      <c r="AF40" s="628"/>
      <c r="AG40" s="628"/>
      <c r="AH40" s="628"/>
      <c r="AI40" s="628"/>
      <c r="AJ40" s="628"/>
      <c r="AK40" s="628"/>
      <c r="AL40" s="628"/>
      <c r="AM40" s="628"/>
      <c r="AN40" s="628"/>
      <c r="AO40" s="628"/>
      <c r="AP40" s="628"/>
      <c r="AQ40" s="628"/>
      <c r="AR40" s="628"/>
      <c r="AS40" s="628"/>
      <c r="AT40" s="628"/>
      <c r="AU40" s="628"/>
      <c r="AV40" s="628"/>
      <c r="AW40" s="628"/>
      <c r="AX40" s="628"/>
      <c r="AY40" s="628"/>
      <c r="AZ40" s="628"/>
      <c r="BA40" s="628"/>
      <c r="BB40" s="628"/>
      <c r="BC40" s="628"/>
      <c r="BD40" s="628"/>
      <c r="BE40" s="628"/>
      <c r="BF40" s="628"/>
      <c r="BG40" s="628"/>
      <c r="BH40" s="628"/>
      <c r="BI40" s="628"/>
      <c r="BJ40" s="628"/>
      <c r="BK40" s="628"/>
      <c r="BL40" s="628"/>
      <c r="BM40" s="628"/>
      <c r="BN40" s="628"/>
      <c r="BO40" s="628"/>
      <c r="BP40" s="628"/>
      <c r="BQ40" s="628"/>
      <c r="BR40" s="628"/>
      <c r="BS40" s="628"/>
      <c r="BT40" s="628"/>
      <c r="BU40" s="628"/>
      <c r="BV40" s="628"/>
      <c r="BW40" s="628"/>
      <c r="BX40" s="628"/>
      <c r="BY40" s="628"/>
      <c r="BZ40" s="628"/>
      <c r="CA40" s="628"/>
      <c r="CB40" s="628"/>
      <c r="CC40" s="628"/>
      <c r="CD40" s="628"/>
      <c r="CE40" s="628"/>
      <c r="CF40" s="628"/>
      <c r="CG40" s="628"/>
      <c r="CH40" s="628"/>
      <c r="CI40" s="628"/>
      <c r="CJ40" s="628"/>
      <c r="CK40" s="628"/>
      <c r="CL40" s="628"/>
      <c r="CM40" s="628"/>
      <c r="CN40" s="628"/>
      <c r="CO40" s="628"/>
      <c r="CP40" s="628"/>
      <c r="CQ40" s="628"/>
      <c r="CR40" s="628"/>
      <c r="CS40" s="628"/>
      <c r="CT40" s="628"/>
      <c r="CU40" s="628"/>
      <c r="CV40" s="628"/>
      <c r="CW40" s="628"/>
      <c r="CX40" s="628"/>
      <c r="CY40" s="628"/>
      <c r="CZ40" s="628"/>
      <c r="DA40" s="628"/>
      <c r="DB40" s="628"/>
      <c r="DC40" s="628"/>
      <c r="DD40" s="628"/>
      <c r="DE40" s="628"/>
      <c r="DF40" s="628"/>
      <c r="DG40" s="628"/>
      <c r="DH40" s="628"/>
      <c r="DI40" s="628"/>
      <c r="DJ40" s="628"/>
      <c r="DK40" s="628"/>
      <c r="DL40" s="628"/>
      <c r="DM40" s="628"/>
      <c r="DN40" s="628"/>
      <c r="DO40" s="628"/>
      <c r="DP40" s="628"/>
      <c r="DQ40" s="628"/>
      <c r="DR40" s="628"/>
      <c r="DS40" s="628"/>
      <c r="DT40" s="628"/>
      <c r="DU40" s="628"/>
      <c r="DV40" s="628"/>
      <c r="DW40" s="628"/>
      <c r="DX40" s="628"/>
      <c r="DY40" s="628"/>
      <c r="DZ40" s="628"/>
      <c r="EA40" s="628"/>
      <c r="EB40" s="628"/>
      <c r="EC40" s="628"/>
      <c r="ED40" s="628"/>
      <c r="EE40" s="628"/>
      <c r="EF40" s="628"/>
      <c r="EG40" s="628"/>
      <c r="EH40" s="628"/>
      <c r="EI40" s="628"/>
      <c r="EJ40" s="628"/>
      <c r="EK40" s="628"/>
      <c r="EL40" s="628"/>
      <c r="EM40" s="628"/>
      <c r="EN40" s="628"/>
      <c r="EO40" s="628"/>
      <c r="EP40" s="628"/>
      <c r="EQ40" s="628"/>
      <c r="ER40" s="628"/>
      <c r="ES40" s="628"/>
      <c r="ET40" s="628"/>
      <c r="EU40" s="628"/>
      <c r="EV40" s="628"/>
      <c r="EW40" s="628"/>
      <c r="EX40" s="628"/>
      <c r="EY40" s="628"/>
      <c r="EZ40" s="628"/>
      <c r="FB40" s="609" t="s">
        <v>243</v>
      </c>
    </row>
    <row r="41" spans="1:219" s="158" customFormat="1" ht="15" x14ac:dyDescent="0.2">
      <c r="A41" s="630"/>
      <c r="B41" s="631" t="s">
        <v>648</v>
      </c>
      <c r="C41" s="255"/>
      <c r="D41" s="632"/>
      <c r="E41" s="633"/>
      <c r="F41" s="634"/>
      <c r="G41" s="634"/>
      <c r="H41" s="635"/>
      <c r="I41" s="632"/>
      <c r="J41" s="636"/>
      <c r="K41" s="637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637"/>
      <c r="X41" s="306">
        <f>'Monthly Pro Forma'!F17</f>
        <v>0</v>
      </c>
      <c r="Y41" s="306">
        <f>'Monthly Pro Forma'!G17</f>
        <v>5</v>
      </c>
      <c r="Z41" s="306">
        <f>'Monthly Pro Forma'!H17</f>
        <v>5</v>
      </c>
      <c r="AA41" s="306">
        <f>'Monthly Pro Forma'!I17</f>
        <v>5</v>
      </c>
      <c r="AB41" s="306">
        <f>'Monthly Pro Forma'!J17</f>
        <v>5</v>
      </c>
      <c r="AC41" s="306">
        <f>'Monthly Pro Forma'!K17</f>
        <v>5</v>
      </c>
      <c r="AD41" s="306">
        <f>'Monthly Pro Forma'!L17</f>
        <v>5</v>
      </c>
      <c r="AE41" s="306">
        <f>'Monthly Pro Forma'!M17</f>
        <v>5</v>
      </c>
      <c r="AF41" s="306">
        <f>'Monthly Pro Forma'!N17</f>
        <v>5</v>
      </c>
      <c r="AG41" s="306">
        <f>'Monthly Pro Forma'!O17</f>
        <v>5</v>
      </c>
      <c r="AH41" s="306">
        <f>'Monthly Pro Forma'!P17</f>
        <v>5</v>
      </c>
      <c r="AI41" s="306">
        <f>'Monthly Pro Forma'!Q17</f>
        <v>5</v>
      </c>
      <c r="AJ41" s="306">
        <f>'Monthly Pro Forma'!R17</f>
        <v>5</v>
      </c>
      <c r="AK41" s="306">
        <f>'Monthly Pro Forma'!S17</f>
        <v>8</v>
      </c>
      <c r="AL41" s="306">
        <f>'Monthly Pro Forma'!T17</f>
        <v>8</v>
      </c>
      <c r="AM41" s="306">
        <f>'Monthly Pro Forma'!U17</f>
        <v>8</v>
      </c>
      <c r="AN41" s="306">
        <f>'Monthly Pro Forma'!V17</f>
        <v>8</v>
      </c>
      <c r="AO41" s="306">
        <f>'Monthly Pro Forma'!W17</f>
        <v>8</v>
      </c>
      <c r="AP41" s="306">
        <f>'Monthly Pro Forma'!X17</f>
        <v>8</v>
      </c>
      <c r="AQ41" s="306">
        <f>'Monthly Pro Forma'!Y17</f>
        <v>8</v>
      </c>
      <c r="AR41" s="306">
        <f>'Monthly Pro Forma'!Z17</f>
        <v>7</v>
      </c>
      <c r="AS41" s="306">
        <f>'Monthly Pro Forma'!AA17</f>
        <v>7</v>
      </c>
      <c r="AT41" s="306">
        <f>'Monthly Pro Forma'!AB17</f>
        <v>7</v>
      </c>
      <c r="AU41" s="306">
        <f>'Monthly Pro Forma'!AC17</f>
        <v>7</v>
      </c>
      <c r="AV41" s="306">
        <f>'Monthly Pro Forma'!AD17</f>
        <v>7</v>
      </c>
      <c r="AW41" s="306">
        <f>'Monthly Pro Forma'!AE17</f>
        <v>7</v>
      </c>
      <c r="AX41" s="306">
        <f>'Monthly Pro Forma'!AF17</f>
        <v>7</v>
      </c>
      <c r="AY41" s="306">
        <f>'Monthly Pro Forma'!AG17</f>
        <v>5</v>
      </c>
      <c r="AZ41" s="306">
        <f>'Monthly Pro Forma'!AH17</f>
        <v>5</v>
      </c>
      <c r="BA41" s="306">
        <f>'Monthly Pro Forma'!AI17</f>
        <v>5</v>
      </c>
      <c r="BB41" s="306">
        <f>'Monthly Pro Forma'!AJ17</f>
        <v>5</v>
      </c>
      <c r="BC41" s="306">
        <f>'Monthly Pro Forma'!AK17</f>
        <v>5</v>
      </c>
      <c r="BD41" s="306">
        <f>'Monthly Pro Forma'!AL17</f>
        <v>5</v>
      </c>
      <c r="BE41" s="306">
        <f>'Monthly Pro Forma'!AM17</f>
        <v>0</v>
      </c>
      <c r="BF41" s="306">
        <f>'Monthly Pro Forma'!AN17</f>
        <v>0</v>
      </c>
      <c r="BG41" s="306">
        <f>'Monthly Pro Forma'!AO17</f>
        <v>0</v>
      </c>
      <c r="BH41" s="306">
        <f>'Monthly Pro Forma'!AP17</f>
        <v>0</v>
      </c>
      <c r="BI41" s="306">
        <f>'Monthly Pro Forma'!AQ17</f>
        <v>0</v>
      </c>
      <c r="BJ41" s="306">
        <f>'Monthly Pro Forma'!AR17</f>
        <v>0</v>
      </c>
      <c r="BK41" s="306">
        <f>'Monthly Pro Forma'!AS17</f>
        <v>0</v>
      </c>
      <c r="BL41" s="306">
        <f>'Monthly Pro Forma'!AT17</f>
        <v>0</v>
      </c>
      <c r="BM41" s="306">
        <f>'Monthly Pro Forma'!AU17</f>
        <v>0</v>
      </c>
      <c r="BN41" s="306">
        <f>'Monthly Pro Forma'!AV17</f>
        <v>0</v>
      </c>
      <c r="BO41" s="306">
        <f>'Monthly Pro Forma'!AW17</f>
        <v>0</v>
      </c>
      <c r="BP41" s="306">
        <f>'Monthly Pro Forma'!AX17</f>
        <v>0</v>
      </c>
      <c r="BQ41" s="306">
        <f>'Monthly Pro Forma'!AY17</f>
        <v>0</v>
      </c>
      <c r="BR41" s="306">
        <f>'Monthly Pro Forma'!AZ17</f>
        <v>0</v>
      </c>
      <c r="BS41" s="306">
        <f>'Monthly Pro Forma'!BA17</f>
        <v>0</v>
      </c>
      <c r="BT41" s="306">
        <f>'Monthly Pro Forma'!BB17</f>
        <v>0</v>
      </c>
      <c r="BU41" s="306">
        <f>'Monthly Pro Forma'!BC17</f>
        <v>0</v>
      </c>
      <c r="BV41" s="306">
        <f>'Monthly Pro Forma'!BD17</f>
        <v>0</v>
      </c>
      <c r="BW41" s="306">
        <f>'Monthly Pro Forma'!BE17</f>
        <v>0</v>
      </c>
      <c r="BX41" s="306">
        <f>'Monthly Pro Forma'!BF17</f>
        <v>0</v>
      </c>
      <c r="BY41" s="306">
        <f>'Monthly Pro Forma'!BG17</f>
        <v>0</v>
      </c>
      <c r="BZ41" s="306">
        <f>'Monthly Pro Forma'!BH17</f>
        <v>0</v>
      </c>
      <c r="CA41" s="306">
        <f>'Monthly Pro Forma'!BI17</f>
        <v>0</v>
      </c>
      <c r="CB41" s="306">
        <f>'Monthly Pro Forma'!BJ17</f>
        <v>0</v>
      </c>
      <c r="CC41" s="306">
        <f>'Monthly Pro Forma'!BK17</f>
        <v>0</v>
      </c>
      <c r="CD41" s="306">
        <f>'Monthly Pro Forma'!BL17</f>
        <v>0</v>
      </c>
      <c r="CE41" s="306">
        <f>'Monthly Pro Forma'!BM17</f>
        <v>0</v>
      </c>
      <c r="CF41" s="306">
        <f>'Monthly Pro Forma'!BN17</f>
        <v>0</v>
      </c>
      <c r="CG41" s="306">
        <f>'Monthly Pro Forma'!BO17</f>
        <v>0</v>
      </c>
      <c r="CH41" s="306">
        <f>'Monthly Pro Forma'!BP17</f>
        <v>0</v>
      </c>
      <c r="CI41" s="306">
        <f>'Monthly Pro Forma'!BQ17</f>
        <v>0</v>
      </c>
      <c r="CJ41" s="306">
        <f>'Monthly Pro Forma'!BR17</f>
        <v>0</v>
      </c>
      <c r="CK41" s="306">
        <f>'Monthly Pro Forma'!BS17</f>
        <v>0</v>
      </c>
      <c r="CL41" s="306">
        <f>'Monthly Pro Forma'!BT17</f>
        <v>0</v>
      </c>
      <c r="CM41" s="306">
        <f>'Monthly Pro Forma'!BU17</f>
        <v>0</v>
      </c>
      <c r="CN41" s="306">
        <f>'Monthly Pro Forma'!BV17</f>
        <v>0</v>
      </c>
      <c r="CO41" s="306">
        <f>'Monthly Pro Forma'!BW17</f>
        <v>0</v>
      </c>
      <c r="CP41" s="306">
        <f>'Monthly Pro Forma'!BX17</f>
        <v>0</v>
      </c>
      <c r="CQ41" s="306">
        <f>'Monthly Pro Forma'!BY17</f>
        <v>0</v>
      </c>
      <c r="CR41" s="306">
        <f>'Monthly Pro Forma'!BZ17</f>
        <v>0</v>
      </c>
      <c r="CS41" s="306">
        <f>'Monthly Pro Forma'!CA17</f>
        <v>0</v>
      </c>
      <c r="CT41" s="306">
        <f>'Monthly Pro Forma'!CB17</f>
        <v>0</v>
      </c>
      <c r="CU41" s="306">
        <f>'Monthly Pro Forma'!CC17</f>
        <v>0</v>
      </c>
      <c r="CV41" s="306">
        <f>'Monthly Pro Forma'!CD17</f>
        <v>0</v>
      </c>
      <c r="CW41" s="306">
        <f>'Monthly Pro Forma'!CE17</f>
        <v>0</v>
      </c>
      <c r="CX41" s="306">
        <f>'Monthly Pro Forma'!CF17</f>
        <v>0</v>
      </c>
      <c r="CY41" s="306">
        <f>'Monthly Pro Forma'!CG17</f>
        <v>0</v>
      </c>
      <c r="CZ41" s="306">
        <f>'Monthly Pro Forma'!CH17</f>
        <v>0</v>
      </c>
      <c r="DA41" s="306">
        <f>'Monthly Pro Forma'!CI17</f>
        <v>0</v>
      </c>
      <c r="DB41" s="306">
        <f>'Monthly Pro Forma'!CJ17</f>
        <v>0</v>
      </c>
      <c r="DC41" s="306">
        <f>'Monthly Pro Forma'!CK17</f>
        <v>0</v>
      </c>
      <c r="DD41" s="306">
        <f>'Monthly Pro Forma'!CL17</f>
        <v>0</v>
      </c>
      <c r="DE41" s="306">
        <f>'Monthly Pro Forma'!CM17</f>
        <v>0</v>
      </c>
      <c r="DF41" s="306">
        <f>'Monthly Pro Forma'!CN17</f>
        <v>0</v>
      </c>
      <c r="DG41" s="306">
        <f>'Monthly Pro Forma'!CO17</f>
        <v>0</v>
      </c>
      <c r="DH41" s="306">
        <f>'Monthly Pro Forma'!CP17</f>
        <v>0</v>
      </c>
      <c r="DI41" s="306">
        <f>'Monthly Pro Forma'!CQ17</f>
        <v>0</v>
      </c>
      <c r="DJ41" s="306">
        <f>'Monthly Pro Forma'!CR17</f>
        <v>0</v>
      </c>
      <c r="DK41" s="306">
        <f>'Monthly Pro Forma'!CS17</f>
        <v>0</v>
      </c>
      <c r="DL41" s="306">
        <f>'Monthly Pro Forma'!CT17</f>
        <v>0</v>
      </c>
      <c r="DM41" s="306">
        <f>'Monthly Pro Forma'!CU17</f>
        <v>0</v>
      </c>
      <c r="DN41" s="306">
        <f>'Monthly Pro Forma'!CV17</f>
        <v>0</v>
      </c>
      <c r="DO41" s="306">
        <f>'Monthly Pro Forma'!CW17</f>
        <v>0</v>
      </c>
      <c r="DP41" s="306">
        <f>'Monthly Pro Forma'!CX17</f>
        <v>0</v>
      </c>
      <c r="DQ41" s="306">
        <f>'Monthly Pro Forma'!CY17</f>
        <v>0</v>
      </c>
      <c r="DR41" s="306">
        <f>'Monthly Pro Forma'!CZ17</f>
        <v>0</v>
      </c>
      <c r="DS41" s="306">
        <f>'Monthly Pro Forma'!DA17</f>
        <v>0</v>
      </c>
      <c r="DT41" s="306">
        <f>'Monthly Pro Forma'!DB17</f>
        <v>0</v>
      </c>
      <c r="DU41" s="306">
        <f>'Monthly Pro Forma'!DC17</f>
        <v>0</v>
      </c>
      <c r="DV41" s="306">
        <f>'Monthly Pro Forma'!DD17</f>
        <v>0</v>
      </c>
      <c r="DW41" s="306">
        <f>'Monthly Pro Forma'!DE17</f>
        <v>0</v>
      </c>
      <c r="DX41" s="306">
        <f>'Monthly Pro Forma'!DF17</f>
        <v>0</v>
      </c>
      <c r="DY41" s="306">
        <f>'Monthly Pro Forma'!DG17</f>
        <v>0</v>
      </c>
      <c r="DZ41" s="306">
        <f>'Monthly Pro Forma'!DH17</f>
        <v>0</v>
      </c>
      <c r="EA41" s="306">
        <f>'Monthly Pro Forma'!DI17</f>
        <v>0</v>
      </c>
      <c r="EB41" s="306">
        <f>'Monthly Pro Forma'!DJ17</f>
        <v>0</v>
      </c>
      <c r="EC41" s="306">
        <f>'Monthly Pro Forma'!DK17</f>
        <v>0</v>
      </c>
      <c r="ED41" s="306">
        <f>'Monthly Pro Forma'!DL17</f>
        <v>0</v>
      </c>
      <c r="EE41" s="306">
        <f>'Monthly Pro Forma'!DM17</f>
        <v>0</v>
      </c>
      <c r="EF41" s="306">
        <f>'Monthly Pro Forma'!DN17</f>
        <v>0</v>
      </c>
      <c r="EG41" s="306">
        <f>'Monthly Pro Forma'!DO17</f>
        <v>0</v>
      </c>
      <c r="EH41" s="306">
        <f>'Monthly Pro Forma'!DP17</f>
        <v>0</v>
      </c>
      <c r="EI41" s="306">
        <f>'Monthly Pro Forma'!DQ17</f>
        <v>0</v>
      </c>
      <c r="EJ41" s="306">
        <f>'Monthly Pro Forma'!DR17</f>
        <v>0</v>
      </c>
      <c r="EK41" s="306">
        <f>'Monthly Pro Forma'!DS17</f>
        <v>0</v>
      </c>
      <c r="EL41" s="306">
        <f>'Monthly Pro Forma'!DT17</f>
        <v>0</v>
      </c>
      <c r="EM41" s="306">
        <f>'Monthly Pro Forma'!DU17</f>
        <v>0</v>
      </c>
      <c r="EN41" s="306">
        <f>'Monthly Pro Forma'!DV17</f>
        <v>0</v>
      </c>
      <c r="EO41" s="306">
        <f>'Monthly Pro Forma'!DW17</f>
        <v>0</v>
      </c>
      <c r="EP41" s="306">
        <f>'Monthly Pro Forma'!DX17</f>
        <v>0</v>
      </c>
      <c r="EQ41" s="306">
        <f>'Monthly Pro Forma'!DY17</f>
        <v>0</v>
      </c>
      <c r="ER41" s="306">
        <f>'Monthly Pro Forma'!DZ17</f>
        <v>0</v>
      </c>
      <c r="ES41" s="306">
        <f>'Monthly Pro Forma'!EA17</f>
        <v>0</v>
      </c>
      <c r="ET41" s="306">
        <f>'Monthly Pro Forma'!EB17</f>
        <v>0</v>
      </c>
      <c r="EU41" s="306">
        <f>'Monthly Pro Forma'!EC17</f>
        <v>0</v>
      </c>
      <c r="EV41" s="306">
        <f>'Monthly Pro Forma'!ED17</f>
        <v>0</v>
      </c>
      <c r="EW41" s="306">
        <f>'Monthly Pro Forma'!EE17</f>
        <v>0</v>
      </c>
      <c r="EX41" s="306">
        <f>'Monthly Pro Forma'!EF17</f>
        <v>0</v>
      </c>
      <c r="EY41" s="306">
        <f>'Monthly Pro Forma'!EG17</f>
        <v>0</v>
      </c>
      <c r="EZ41" s="306">
        <f>'Monthly Pro Forma'!EH17</f>
        <v>0</v>
      </c>
      <c r="FB41" s="609" t="s">
        <v>243</v>
      </c>
      <c r="FC41" s="144"/>
      <c r="FD41" s="144"/>
      <c r="FE41" s="144"/>
      <c r="FF41" s="144"/>
      <c r="FG41" s="144"/>
      <c r="FH41" s="144"/>
      <c r="FI41" s="144"/>
      <c r="FJ41" s="144"/>
      <c r="FK41" s="144"/>
      <c r="FL41" s="144"/>
      <c r="FM41" s="144"/>
      <c r="FN41" s="144"/>
      <c r="FO41" s="144"/>
      <c r="FP41" s="144"/>
      <c r="FQ41" s="144"/>
      <c r="FR41" s="144"/>
      <c r="FS41" s="144"/>
      <c r="FT41" s="144"/>
      <c r="FU41" s="144"/>
      <c r="FV41" s="144"/>
      <c r="FW41" s="144"/>
      <c r="FX41" s="144"/>
      <c r="FY41" s="144"/>
      <c r="FZ41" s="144"/>
      <c r="GA41" s="144"/>
      <c r="GB41" s="144"/>
      <c r="GC41" s="144"/>
      <c r="GD41" s="144"/>
      <c r="GE41" s="144"/>
      <c r="GF41" s="144"/>
      <c r="GG41" s="144"/>
      <c r="GH41" s="144"/>
      <c r="GI41" s="144"/>
      <c r="GJ41" s="144"/>
      <c r="GK41" s="144"/>
      <c r="GL41" s="144"/>
      <c r="GM41" s="144"/>
      <c r="GN41" s="144"/>
      <c r="GO41" s="144"/>
      <c r="GP41" s="144"/>
      <c r="GQ41" s="144"/>
      <c r="GR41" s="144"/>
      <c r="GS41" s="144"/>
      <c r="GT41" s="144"/>
      <c r="GU41" s="144"/>
      <c r="GV41" s="144"/>
      <c r="GW41" s="144"/>
      <c r="GX41" s="144"/>
      <c r="GY41" s="144"/>
      <c r="GZ41" s="144"/>
      <c r="HA41" s="144"/>
      <c r="HB41" s="144"/>
      <c r="HC41" s="144"/>
      <c r="HD41" s="144"/>
      <c r="HE41" s="144"/>
      <c r="HF41" s="144"/>
      <c r="HG41" s="144"/>
      <c r="HH41" s="144"/>
      <c r="HI41" s="144"/>
      <c r="HJ41" s="144"/>
      <c r="HK41" s="144"/>
    </row>
    <row r="42" spans="1:219" s="158" customFormat="1" x14ac:dyDescent="0.2">
      <c r="A42" s="630"/>
      <c r="B42" s="638" t="s">
        <v>649</v>
      </c>
      <c r="C42" s="638"/>
      <c r="D42" s="443">
        <v>0</v>
      </c>
      <c r="E42" s="199">
        <f>IF(units=0,0,'Renovation Budget'!D42/'Unit Mix-Reno Schedule'!$AI$27)</f>
        <v>0</v>
      </c>
      <c r="F42" s="640">
        <v>1</v>
      </c>
      <c r="G42" s="640">
        <v>28</v>
      </c>
      <c r="H42" s="641">
        <f t="shared" ref="H42:H62" si="44">IF(G42+F42=0,0,G42-F42)</f>
        <v>27</v>
      </c>
      <c r="I42" s="642"/>
      <c r="J42" s="643" t="s">
        <v>42</v>
      </c>
      <c r="K42" s="644"/>
      <c r="L42" s="183">
        <f t="shared" ref="L42:V57" si="45">SUMIF($X$4:$EZ$4,L$4,$X42:$EZ42)</f>
        <v>0</v>
      </c>
      <c r="M42" s="183">
        <f t="shared" si="45"/>
        <v>0</v>
      </c>
      <c r="N42" s="183">
        <f t="shared" si="45"/>
        <v>0</v>
      </c>
      <c r="O42" s="183">
        <f t="shared" si="45"/>
        <v>0</v>
      </c>
      <c r="P42" s="183">
        <f t="shared" si="45"/>
        <v>0</v>
      </c>
      <c r="Q42" s="183">
        <f t="shared" si="45"/>
        <v>0</v>
      </c>
      <c r="R42" s="183">
        <f t="shared" si="45"/>
        <v>0</v>
      </c>
      <c r="S42" s="183">
        <f t="shared" si="45"/>
        <v>0</v>
      </c>
      <c r="T42" s="183">
        <f t="shared" si="45"/>
        <v>0</v>
      </c>
      <c r="U42" s="183">
        <f t="shared" si="45"/>
        <v>0</v>
      </c>
      <c r="V42" s="183">
        <f t="shared" si="45"/>
        <v>0</v>
      </c>
      <c r="W42" s="644"/>
      <c r="X42" s="183">
        <f t="shared" ref="X42:X61" si="46">IF(G42+F42=0,D42,0)</f>
        <v>0</v>
      </c>
      <c r="Y42" s="183">
        <f t="shared" ref="Y42:BD42" si="47">IF($X42=0,$E42*X$41,0)</f>
        <v>0</v>
      </c>
      <c r="Z42" s="183">
        <f t="shared" si="47"/>
        <v>0</v>
      </c>
      <c r="AA42" s="183">
        <f t="shared" si="47"/>
        <v>0</v>
      </c>
      <c r="AB42" s="183">
        <f t="shared" si="47"/>
        <v>0</v>
      </c>
      <c r="AC42" s="183">
        <f t="shared" si="47"/>
        <v>0</v>
      </c>
      <c r="AD42" s="183">
        <f t="shared" si="47"/>
        <v>0</v>
      </c>
      <c r="AE42" s="183">
        <f t="shared" si="47"/>
        <v>0</v>
      </c>
      <c r="AF42" s="183">
        <f t="shared" si="47"/>
        <v>0</v>
      </c>
      <c r="AG42" s="183">
        <f t="shared" si="47"/>
        <v>0</v>
      </c>
      <c r="AH42" s="183">
        <f t="shared" si="47"/>
        <v>0</v>
      </c>
      <c r="AI42" s="183">
        <f t="shared" si="47"/>
        <v>0</v>
      </c>
      <c r="AJ42" s="183">
        <f t="shared" si="47"/>
        <v>0</v>
      </c>
      <c r="AK42" s="183">
        <f t="shared" si="47"/>
        <v>0</v>
      </c>
      <c r="AL42" s="183">
        <f t="shared" si="47"/>
        <v>0</v>
      </c>
      <c r="AM42" s="183">
        <f t="shared" si="47"/>
        <v>0</v>
      </c>
      <c r="AN42" s="183">
        <f t="shared" si="47"/>
        <v>0</v>
      </c>
      <c r="AO42" s="183">
        <f t="shared" si="47"/>
        <v>0</v>
      </c>
      <c r="AP42" s="183">
        <f t="shared" si="47"/>
        <v>0</v>
      </c>
      <c r="AQ42" s="183">
        <f t="shared" si="47"/>
        <v>0</v>
      </c>
      <c r="AR42" s="183">
        <f t="shared" si="47"/>
        <v>0</v>
      </c>
      <c r="AS42" s="183">
        <f t="shared" si="47"/>
        <v>0</v>
      </c>
      <c r="AT42" s="183">
        <f t="shared" si="47"/>
        <v>0</v>
      </c>
      <c r="AU42" s="183">
        <f t="shared" si="47"/>
        <v>0</v>
      </c>
      <c r="AV42" s="183">
        <f t="shared" si="47"/>
        <v>0</v>
      </c>
      <c r="AW42" s="183">
        <f t="shared" si="47"/>
        <v>0</v>
      </c>
      <c r="AX42" s="183">
        <f t="shared" si="47"/>
        <v>0</v>
      </c>
      <c r="AY42" s="183">
        <f t="shared" si="47"/>
        <v>0</v>
      </c>
      <c r="AZ42" s="183">
        <f t="shared" si="47"/>
        <v>0</v>
      </c>
      <c r="BA42" s="183">
        <f t="shared" si="47"/>
        <v>0</v>
      </c>
      <c r="BB42" s="183">
        <f t="shared" si="47"/>
        <v>0</v>
      </c>
      <c r="BC42" s="183">
        <f t="shared" si="47"/>
        <v>0</v>
      </c>
      <c r="BD42" s="183">
        <f t="shared" si="47"/>
        <v>0</v>
      </c>
      <c r="BE42" s="183">
        <f t="shared" ref="BE42:CJ42" si="48">IF($X42=0,$E42*BD$41,0)</f>
        <v>0</v>
      </c>
      <c r="BF42" s="183">
        <f t="shared" si="48"/>
        <v>0</v>
      </c>
      <c r="BG42" s="183">
        <f t="shared" si="48"/>
        <v>0</v>
      </c>
      <c r="BH42" s="183">
        <f t="shared" si="48"/>
        <v>0</v>
      </c>
      <c r="BI42" s="183">
        <f t="shared" si="48"/>
        <v>0</v>
      </c>
      <c r="BJ42" s="183">
        <f t="shared" si="48"/>
        <v>0</v>
      </c>
      <c r="BK42" s="183">
        <f t="shared" si="48"/>
        <v>0</v>
      </c>
      <c r="BL42" s="183">
        <f t="shared" si="48"/>
        <v>0</v>
      </c>
      <c r="BM42" s="183">
        <f t="shared" si="48"/>
        <v>0</v>
      </c>
      <c r="BN42" s="183">
        <f t="shared" si="48"/>
        <v>0</v>
      </c>
      <c r="BO42" s="183">
        <f t="shared" si="48"/>
        <v>0</v>
      </c>
      <c r="BP42" s="183">
        <f t="shared" si="48"/>
        <v>0</v>
      </c>
      <c r="BQ42" s="183">
        <f t="shared" si="48"/>
        <v>0</v>
      </c>
      <c r="BR42" s="183">
        <f t="shared" si="48"/>
        <v>0</v>
      </c>
      <c r="BS42" s="183">
        <f t="shared" si="48"/>
        <v>0</v>
      </c>
      <c r="BT42" s="183">
        <f t="shared" si="48"/>
        <v>0</v>
      </c>
      <c r="BU42" s="183">
        <f t="shared" si="48"/>
        <v>0</v>
      </c>
      <c r="BV42" s="183">
        <f t="shared" si="48"/>
        <v>0</v>
      </c>
      <c r="BW42" s="183">
        <f t="shared" si="48"/>
        <v>0</v>
      </c>
      <c r="BX42" s="183">
        <f t="shared" si="48"/>
        <v>0</v>
      </c>
      <c r="BY42" s="183">
        <f t="shared" si="48"/>
        <v>0</v>
      </c>
      <c r="BZ42" s="183">
        <f t="shared" si="48"/>
        <v>0</v>
      </c>
      <c r="CA42" s="183">
        <f t="shared" si="48"/>
        <v>0</v>
      </c>
      <c r="CB42" s="183">
        <f t="shared" si="48"/>
        <v>0</v>
      </c>
      <c r="CC42" s="183">
        <f t="shared" si="48"/>
        <v>0</v>
      </c>
      <c r="CD42" s="183">
        <f t="shared" si="48"/>
        <v>0</v>
      </c>
      <c r="CE42" s="183">
        <f t="shared" si="48"/>
        <v>0</v>
      </c>
      <c r="CF42" s="183">
        <f t="shared" si="48"/>
        <v>0</v>
      </c>
      <c r="CG42" s="183">
        <f t="shared" si="48"/>
        <v>0</v>
      </c>
      <c r="CH42" s="183">
        <f t="shared" si="48"/>
        <v>0</v>
      </c>
      <c r="CI42" s="183">
        <f t="shared" si="48"/>
        <v>0</v>
      </c>
      <c r="CJ42" s="183">
        <f t="shared" si="48"/>
        <v>0</v>
      </c>
      <c r="CK42" s="183">
        <f t="shared" ref="CK42:DP42" si="49">IF($X42=0,$E42*CJ$41,0)</f>
        <v>0</v>
      </c>
      <c r="CL42" s="183">
        <f t="shared" si="49"/>
        <v>0</v>
      </c>
      <c r="CM42" s="183">
        <f t="shared" si="49"/>
        <v>0</v>
      </c>
      <c r="CN42" s="183">
        <f t="shared" si="49"/>
        <v>0</v>
      </c>
      <c r="CO42" s="183">
        <f t="shared" si="49"/>
        <v>0</v>
      </c>
      <c r="CP42" s="183">
        <f t="shared" si="49"/>
        <v>0</v>
      </c>
      <c r="CQ42" s="183">
        <f t="shared" si="49"/>
        <v>0</v>
      </c>
      <c r="CR42" s="183">
        <f t="shared" si="49"/>
        <v>0</v>
      </c>
      <c r="CS42" s="183">
        <f t="shared" si="49"/>
        <v>0</v>
      </c>
      <c r="CT42" s="183">
        <f t="shared" si="49"/>
        <v>0</v>
      </c>
      <c r="CU42" s="183">
        <f t="shared" si="49"/>
        <v>0</v>
      </c>
      <c r="CV42" s="183">
        <f t="shared" si="49"/>
        <v>0</v>
      </c>
      <c r="CW42" s="183">
        <f t="shared" si="49"/>
        <v>0</v>
      </c>
      <c r="CX42" s="183">
        <f t="shared" si="49"/>
        <v>0</v>
      </c>
      <c r="CY42" s="183">
        <f t="shared" si="49"/>
        <v>0</v>
      </c>
      <c r="CZ42" s="183">
        <f t="shared" si="49"/>
        <v>0</v>
      </c>
      <c r="DA42" s="183">
        <f t="shared" si="49"/>
        <v>0</v>
      </c>
      <c r="DB42" s="183">
        <f t="shared" si="49"/>
        <v>0</v>
      </c>
      <c r="DC42" s="183">
        <f t="shared" si="49"/>
        <v>0</v>
      </c>
      <c r="DD42" s="183">
        <f t="shared" si="49"/>
        <v>0</v>
      </c>
      <c r="DE42" s="183">
        <f t="shared" si="49"/>
        <v>0</v>
      </c>
      <c r="DF42" s="183">
        <f t="shared" si="49"/>
        <v>0</v>
      </c>
      <c r="DG42" s="183">
        <f t="shared" si="49"/>
        <v>0</v>
      </c>
      <c r="DH42" s="183">
        <f t="shared" si="49"/>
        <v>0</v>
      </c>
      <c r="DI42" s="183">
        <f t="shared" si="49"/>
        <v>0</v>
      </c>
      <c r="DJ42" s="183">
        <f t="shared" si="49"/>
        <v>0</v>
      </c>
      <c r="DK42" s="183">
        <f t="shared" si="49"/>
        <v>0</v>
      </c>
      <c r="DL42" s="183">
        <f t="shared" si="49"/>
        <v>0</v>
      </c>
      <c r="DM42" s="183">
        <f t="shared" si="49"/>
        <v>0</v>
      </c>
      <c r="DN42" s="183">
        <f t="shared" si="49"/>
        <v>0</v>
      </c>
      <c r="DO42" s="183">
        <f t="shared" si="49"/>
        <v>0</v>
      </c>
      <c r="DP42" s="183">
        <f t="shared" si="49"/>
        <v>0</v>
      </c>
      <c r="DQ42" s="183">
        <f t="shared" ref="DQ42:EZ42" si="50">IF($X42=0,$E42*DP$41,0)</f>
        <v>0</v>
      </c>
      <c r="DR42" s="183">
        <f t="shared" si="50"/>
        <v>0</v>
      </c>
      <c r="DS42" s="183">
        <f t="shared" si="50"/>
        <v>0</v>
      </c>
      <c r="DT42" s="183">
        <f t="shared" si="50"/>
        <v>0</v>
      </c>
      <c r="DU42" s="183">
        <f t="shared" si="50"/>
        <v>0</v>
      </c>
      <c r="DV42" s="183">
        <f t="shared" si="50"/>
        <v>0</v>
      </c>
      <c r="DW42" s="183">
        <f t="shared" si="50"/>
        <v>0</v>
      </c>
      <c r="DX42" s="183">
        <f t="shared" si="50"/>
        <v>0</v>
      </c>
      <c r="DY42" s="183">
        <f t="shared" si="50"/>
        <v>0</v>
      </c>
      <c r="DZ42" s="183">
        <f t="shared" si="50"/>
        <v>0</v>
      </c>
      <c r="EA42" s="183">
        <f t="shared" si="50"/>
        <v>0</v>
      </c>
      <c r="EB42" s="183">
        <f t="shared" si="50"/>
        <v>0</v>
      </c>
      <c r="EC42" s="183">
        <f t="shared" si="50"/>
        <v>0</v>
      </c>
      <c r="ED42" s="183">
        <f t="shared" si="50"/>
        <v>0</v>
      </c>
      <c r="EE42" s="183">
        <f t="shared" si="50"/>
        <v>0</v>
      </c>
      <c r="EF42" s="183">
        <f t="shared" si="50"/>
        <v>0</v>
      </c>
      <c r="EG42" s="183">
        <f t="shared" si="50"/>
        <v>0</v>
      </c>
      <c r="EH42" s="183">
        <f t="shared" si="50"/>
        <v>0</v>
      </c>
      <c r="EI42" s="183">
        <f t="shared" si="50"/>
        <v>0</v>
      </c>
      <c r="EJ42" s="183">
        <f t="shared" si="50"/>
        <v>0</v>
      </c>
      <c r="EK42" s="183">
        <f t="shared" si="50"/>
        <v>0</v>
      </c>
      <c r="EL42" s="183">
        <f t="shared" si="50"/>
        <v>0</v>
      </c>
      <c r="EM42" s="183">
        <f t="shared" si="50"/>
        <v>0</v>
      </c>
      <c r="EN42" s="183">
        <f t="shared" si="50"/>
        <v>0</v>
      </c>
      <c r="EO42" s="183">
        <f t="shared" si="50"/>
        <v>0</v>
      </c>
      <c r="EP42" s="183">
        <f t="shared" si="50"/>
        <v>0</v>
      </c>
      <c r="EQ42" s="183">
        <f t="shared" si="50"/>
        <v>0</v>
      </c>
      <c r="ER42" s="183">
        <f t="shared" si="50"/>
        <v>0</v>
      </c>
      <c r="ES42" s="183">
        <f t="shared" si="50"/>
        <v>0</v>
      </c>
      <c r="ET42" s="183">
        <f t="shared" si="50"/>
        <v>0</v>
      </c>
      <c r="EU42" s="183">
        <f t="shared" si="50"/>
        <v>0</v>
      </c>
      <c r="EV42" s="183">
        <f t="shared" si="50"/>
        <v>0</v>
      </c>
      <c r="EW42" s="183">
        <f t="shared" si="50"/>
        <v>0</v>
      </c>
      <c r="EX42" s="183">
        <f t="shared" si="50"/>
        <v>0</v>
      </c>
      <c r="EY42" s="183">
        <f t="shared" si="50"/>
        <v>0</v>
      </c>
      <c r="EZ42" s="183">
        <f t="shared" si="50"/>
        <v>0</v>
      </c>
      <c r="FB42" s="609" t="s">
        <v>243</v>
      </c>
      <c r="FC42" s="144"/>
      <c r="FD42" s="144"/>
      <c r="FE42" s="144"/>
      <c r="FF42" s="144"/>
      <c r="FG42" s="144"/>
      <c r="FH42" s="144"/>
      <c r="FI42" s="144"/>
      <c r="FJ42" s="144"/>
      <c r="FK42" s="144"/>
      <c r="FL42" s="144"/>
      <c r="FM42" s="144"/>
      <c r="FN42" s="144"/>
      <c r="FO42" s="144"/>
      <c r="FP42" s="144"/>
      <c r="FQ42" s="144"/>
      <c r="FR42" s="144"/>
      <c r="FS42" s="144"/>
      <c r="FT42" s="144"/>
      <c r="FU42" s="144"/>
      <c r="FV42" s="144"/>
      <c r="FW42" s="144"/>
      <c r="FX42" s="144"/>
      <c r="FY42" s="144"/>
      <c r="FZ42" s="144"/>
      <c r="GA42" s="144"/>
      <c r="GB42" s="144"/>
      <c r="GC42" s="144"/>
      <c r="GD42" s="144"/>
      <c r="GE42" s="144"/>
      <c r="GF42" s="144"/>
      <c r="GG42" s="144"/>
      <c r="GH42" s="144"/>
      <c r="GI42" s="144"/>
      <c r="GJ42" s="144"/>
      <c r="GK42" s="144"/>
      <c r="GL42" s="144"/>
      <c r="GM42" s="144"/>
      <c r="GN42" s="144"/>
      <c r="GO42" s="144"/>
      <c r="GP42" s="144"/>
      <c r="GQ42" s="144"/>
      <c r="GR42" s="144"/>
      <c r="GS42" s="144"/>
      <c r="GT42" s="144"/>
      <c r="GU42" s="144"/>
      <c r="GV42" s="144"/>
      <c r="GW42" s="144"/>
      <c r="GX42" s="144"/>
      <c r="GY42" s="144"/>
      <c r="GZ42" s="144"/>
      <c r="HA42" s="144"/>
      <c r="HB42" s="144"/>
      <c r="HC42" s="144"/>
      <c r="HD42" s="144"/>
      <c r="HE42" s="144"/>
      <c r="HF42" s="144"/>
      <c r="HG42" s="144"/>
      <c r="HH42" s="144"/>
      <c r="HI42" s="144"/>
      <c r="HJ42" s="144"/>
      <c r="HK42" s="144"/>
    </row>
    <row r="43" spans="1:219" s="158" customFormat="1" x14ac:dyDescent="0.2">
      <c r="A43" s="630"/>
      <c r="B43" s="638" t="s">
        <v>650</v>
      </c>
      <c r="C43" s="638"/>
      <c r="D43" s="443">
        <v>0</v>
      </c>
      <c r="E43" s="199">
        <f>IF(units=0,0,'Renovation Budget'!D43/'Unit Mix-Reno Schedule'!$AI$27)</f>
        <v>0</v>
      </c>
      <c r="F43" s="640">
        <v>1</v>
      </c>
      <c r="G43" s="640">
        <v>28</v>
      </c>
      <c r="H43" s="641">
        <f t="shared" si="44"/>
        <v>27</v>
      </c>
      <c r="I43" s="642"/>
      <c r="J43" s="643" t="s">
        <v>42</v>
      </c>
      <c r="K43" s="644"/>
      <c r="L43" s="183">
        <f t="shared" si="45"/>
        <v>0</v>
      </c>
      <c r="M43" s="183">
        <f t="shared" si="45"/>
        <v>0</v>
      </c>
      <c r="N43" s="183">
        <f t="shared" si="45"/>
        <v>0</v>
      </c>
      <c r="O43" s="183">
        <f t="shared" si="45"/>
        <v>0</v>
      </c>
      <c r="P43" s="183">
        <f t="shared" si="45"/>
        <v>0</v>
      </c>
      <c r="Q43" s="183">
        <f t="shared" si="45"/>
        <v>0</v>
      </c>
      <c r="R43" s="183">
        <f t="shared" si="45"/>
        <v>0</v>
      </c>
      <c r="S43" s="183">
        <f t="shared" si="45"/>
        <v>0</v>
      </c>
      <c r="T43" s="183">
        <f t="shared" si="45"/>
        <v>0</v>
      </c>
      <c r="U43" s="183">
        <f t="shared" si="45"/>
        <v>0</v>
      </c>
      <c r="V43" s="183">
        <f t="shared" si="45"/>
        <v>0</v>
      </c>
      <c r="W43" s="644"/>
      <c r="X43" s="183">
        <f t="shared" si="46"/>
        <v>0</v>
      </c>
      <c r="Y43" s="183">
        <f t="shared" ref="Y43:BD43" si="51">IF($X43=0,$E43*X$41,0)</f>
        <v>0</v>
      </c>
      <c r="Z43" s="183">
        <f t="shared" si="51"/>
        <v>0</v>
      </c>
      <c r="AA43" s="183">
        <f t="shared" si="51"/>
        <v>0</v>
      </c>
      <c r="AB43" s="183">
        <f t="shared" si="51"/>
        <v>0</v>
      </c>
      <c r="AC43" s="183">
        <f t="shared" si="51"/>
        <v>0</v>
      </c>
      <c r="AD43" s="183">
        <f t="shared" si="51"/>
        <v>0</v>
      </c>
      <c r="AE43" s="183">
        <f t="shared" si="51"/>
        <v>0</v>
      </c>
      <c r="AF43" s="183">
        <f t="shared" si="51"/>
        <v>0</v>
      </c>
      <c r="AG43" s="183">
        <f t="shared" si="51"/>
        <v>0</v>
      </c>
      <c r="AH43" s="183">
        <f t="shared" si="51"/>
        <v>0</v>
      </c>
      <c r="AI43" s="183">
        <f t="shared" si="51"/>
        <v>0</v>
      </c>
      <c r="AJ43" s="183">
        <f t="shared" si="51"/>
        <v>0</v>
      </c>
      <c r="AK43" s="183">
        <f t="shared" si="51"/>
        <v>0</v>
      </c>
      <c r="AL43" s="183">
        <f t="shared" si="51"/>
        <v>0</v>
      </c>
      <c r="AM43" s="183">
        <f t="shared" si="51"/>
        <v>0</v>
      </c>
      <c r="AN43" s="183">
        <f t="shared" si="51"/>
        <v>0</v>
      </c>
      <c r="AO43" s="183">
        <f t="shared" si="51"/>
        <v>0</v>
      </c>
      <c r="AP43" s="183">
        <f t="shared" si="51"/>
        <v>0</v>
      </c>
      <c r="AQ43" s="183">
        <f t="shared" si="51"/>
        <v>0</v>
      </c>
      <c r="AR43" s="183">
        <f t="shared" si="51"/>
        <v>0</v>
      </c>
      <c r="AS43" s="183">
        <f t="shared" si="51"/>
        <v>0</v>
      </c>
      <c r="AT43" s="183">
        <f t="shared" si="51"/>
        <v>0</v>
      </c>
      <c r="AU43" s="183">
        <f t="shared" si="51"/>
        <v>0</v>
      </c>
      <c r="AV43" s="183">
        <f t="shared" si="51"/>
        <v>0</v>
      </c>
      <c r="AW43" s="183">
        <f t="shared" si="51"/>
        <v>0</v>
      </c>
      <c r="AX43" s="183">
        <f t="shared" si="51"/>
        <v>0</v>
      </c>
      <c r="AY43" s="183">
        <f t="shared" si="51"/>
        <v>0</v>
      </c>
      <c r="AZ43" s="183">
        <f t="shared" si="51"/>
        <v>0</v>
      </c>
      <c r="BA43" s="183">
        <f t="shared" si="51"/>
        <v>0</v>
      </c>
      <c r="BB43" s="183">
        <f t="shared" si="51"/>
        <v>0</v>
      </c>
      <c r="BC43" s="183">
        <f t="shared" si="51"/>
        <v>0</v>
      </c>
      <c r="BD43" s="183">
        <f t="shared" si="51"/>
        <v>0</v>
      </c>
      <c r="BE43" s="183">
        <f t="shared" ref="BE43:CJ43" si="52">IF($X43=0,$E43*BD$41,0)</f>
        <v>0</v>
      </c>
      <c r="BF43" s="183">
        <f t="shared" si="52"/>
        <v>0</v>
      </c>
      <c r="BG43" s="183">
        <f t="shared" si="52"/>
        <v>0</v>
      </c>
      <c r="BH43" s="183">
        <f t="shared" si="52"/>
        <v>0</v>
      </c>
      <c r="BI43" s="183">
        <f t="shared" si="52"/>
        <v>0</v>
      </c>
      <c r="BJ43" s="183">
        <f t="shared" si="52"/>
        <v>0</v>
      </c>
      <c r="BK43" s="183">
        <f t="shared" si="52"/>
        <v>0</v>
      </c>
      <c r="BL43" s="183">
        <f t="shared" si="52"/>
        <v>0</v>
      </c>
      <c r="BM43" s="183">
        <f t="shared" si="52"/>
        <v>0</v>
      </c>
      <c r="BN43" s="183">
        <f t="shared" si="52"/>
        <v>0</v>
      </c>
      <c r="BO43" s="183">
        <f t="shared" si="52"/>
        <v>0</v>
      </c>
      <c r="BP43" s="183">
        <f t="shared" si="52"/>
        <v>0</v>
      </c>
      <c r="BQ43" s="183">
        <f t="shared" si="52"/>
        <v>0</v>
      </c>
      <c r="BR43" s="183">
        <f t="shared" si="52"/>
        <v>0</v>
      </c>
      <c r="BS43" s="183">
        <f t="shared" si="52"/>
        <v>0</v>
      </c>
      <c r="BT43" s="183">
        <f t="shared" si="52"/>
        <v>0</v>
      </c>
      <c r="BU43" s="183">
        <f t="shared" si="52"/>
        <v>0</v>
      </c>
      <c r="BV43" s="183">
        <f t="shared" si="52"/>
        <v>0</v>
      </c>
      <c r="BW43" s="183">
        <f t="shared" si="52"/>
        <v>0</v>
      </c>
      <c r="BX43" s="183">
        <f t="shared" si="52"/>
        <v>0</v>
      </c>
      <c r="BY43" s="183">
        <f t="shared" si="52"/>
        <v>0</v>
      </c>
      <c r="BZ43" s="183">
        <f t="shared" si="52"/>
        <v>0</v>
      </c>
      <c r="CA43" s="183">
        <f t="shared" si="52"/>
        <v>0</v>
      </c>
      <c r="CB43" s="183">
        <f t="shared" si="52"/>
        <v>0</v>
      </c>
      <c r="CC43" s="183">
        <f t="shared" si="52"/>
        <v>0</v>
      </c>
      <c r="CD43" s="183">
        <f t="shared" si="52"/>
        <v>0</v>
      </c>
      <c r="CE43" s="183">
        <f t="shared" si="52"/>
        <v>0</v>
      </c>
      <c r="CF43" s="183">
        <f t="shared" si="52"/>
        <v>0</v>
      </c>
      <c r="CG43" s="183">
        <f t="shared" si="52"/>
        <v>0</v>
      </c>
      <c r="CH43" s="183">
        <f t="shared" si="52"/>
        <v>0</v>
      </c>
      <c r="CI43" s="183">
        <f t="shared" si="52"/>
        <v>0</v>
      </c>
      <c r="CJ43" s="183">
        <f t="shared" si="52"/>
        <v>0</v>
      </c>
      <c r="CK43" s="183">
        <f t="shared" ref="CK43:DP43" si="53">IF($X43=0,$E43*CJ$41,0)</f>
        <v>0</v>
      </c>
      <c r="CL43" s="183">
        <f t="shared" si="53"/>
        <v>0</v>
      </c>
      <c r="CM43" s="183">
        <f t="shared" si="53"/>
        <v>0</v>
      </c>
      <c r="CN43" s="183">
        <f t="shared" si="53"/>
        <v>0</v>
      </c>
      <c r="CO43" s="183">
        <f t="shared" si="53"/>
        <v>0</v>
      </c>
      <c r="CP43" s="183">
        <f t="shared" si="53"/>
        <v>0</v>
      </c>
      <c r="CQ43" s="183">
        <f t="shared" si="53"/>
        <v>0</v>
      </c>
      <c r="CR43" s="183">
        <f t="shared" si="53"/>
        <v>0</v>
      </c>
      <c r="CS43" s="183">
        <f t="shared" si="53"/>
        <v>0</v>
      </c>
      <c r="CT43" s="183">
        <f t="shared" si="53"/>
        <v>0</v>
      </c>
      <c r="CU43" s="183">
        <f t="shared" si="53"/>
        <v>0</v>
      </c>
      <c r="CV43" s="183">
        <f t="shared" si="53"/>
        <v>0</v>
      </c>
      <c r="CW43" s="183">
        <f t="shared" si="53"/>
        <v>0</v>
      </c>
      <c r="CX43" s="183">
        <f t="shared" si="53"/>
        <v>0</v>
      </c>
      <c r="CY43" s="183">
        <f t="shared" si="53"/>
        <v>0</v>
      </c>
      <c r="CZ43" s="183">
        <f t="shared" si="53"/>
        <v>0</v>
      </c>
      <c r="DA43" s="183">
        <f t="shared" si="53"/>
        <v>0</v>
      </c>
      <c r="DB43" s="183">
        <f t="shared" si="53"/>
        <v>0</v>
      </c>
      <c r="DC43" s="183">
        <f t="shared" si="53"/>
        <v>0</v>
      </c>
      <c r="DD43" s="183">
        <f t="shared" si="53"/>
        <v>0</v>
      </c>
      <c r="DE43" s="183">
        <f t="shared" si="53"/>
        <v>0</v>
      </c>
      <c r="DF43" s="183">
        <f t="shared" si="53"/>
        <v>0</v>
      </c>
      <c r="DG43" s="183">
        <f t="shared" si="53"/>
        <v>0</v>
      </c>
      <c r="DH43" s="183">
        <f t="shared" si="53"/>
        <v>0</v>
      </c>
      <c r="DI43" s="183">
        <f t="shared" si="53"/>
        <v>0</v>
      </c>
      <c r="DJ43" s="183">
        <f t="shared" si="53"/>
        <v>0</v>
      </c>
      <c r="DK43" s="183">
        <f t="shared" si="53"/>
        <v>0</v>
      </c>
      <c r="DL43" s="183">
        <f t="shared" si="53"/>
        <v>0</v>
      </c>
      <c r="DM43" s="183">
        <f t="shared" si="53"/>
        <v>0</v>
      </c>
      <c r="DN43" s="183">
        <f t="shared" si="53"/>
        <v>0</v>
      </c>
      <c r="DO43" s="183">
        <f t="shared" si="53"/>
        <v>0</v>
      </c>
      <c r="DP43" s="183">
        <f t="shared" si="53"/>
        <v>0</v>
      </c>
      <c r="DQ43" s="183">
        <f t="shared" ref="DQ43:EZ43" si="54">IF($X43=0,$E43*DP$41,0)</f>
        <v>0</v>
      </c>
      <c r="DR43" s="183">
        <f t="shared" si="54"/>
        <v>0</v>
      </c>
      <c r="DS43" s="183">
        <f t="shared" si="54"/>
        <v>0</v>
      </c>
      <c r="DT43" s="183">
        <f t="shared" si="54"/>
        <v>0</v>
      </c>
      <c r="DU43" s="183">
        <f t="shared" si="54"/>
        <v>0</v>
      </c>
      <c r="DV43" s="183">
        <f t="shared" si="54"/>
        <v>0</v>
      </c>
      <c r="DW43" s="183">
        <f t="shared" si="54"/>
        <v>0</v>
      </c>
      <c r="DX43" s="183">
        <f t="shared" si="54"/>
        <v>0</v>
      </c>
      <c r="DY43" s="183">
        <f t="shared" si="54"/>
        <v>0</v>
      </c>
      <c r="DZ43" s="183">
        <f t="shared" si="54"/>
        <v>0</v>
      </c>
      <c r="EA43" s="183">
        <f t="shared" si="54"/>
        <v>0</v>
      </c>
      <c r="EB43" s="183">
        <f t="shared" si="54"/>
        <v>0</v>
      </c>
      <c r="EC43" s="183">
        <f t="shared" si="54"/>
        <v>0</v>
      </c>
      <c r="ED43" s="183">
        <f t="shared" si="54"/>
        <v>0</v>
      </c>
      <c r="EE43" s="183">
        <f t="shared" si="54"/>
        <v>0</v>
      </c>
      <c r="EF43" s="183">
        <f t="shared" si="54"/>
        <v>0</v>
      </c>
      <c r="EG43" s="183">
        <f t="shared" si="54"/>
        <v>0</v>
      </c>
      <c r="EH43" s="183">
        <f t="shared" si="54"/>
        <v>0</v>
      </c>
      <c r="EI43" s="183">
        <f t="shared" si="54"/>
        <v>0</v>
      </c>
      <c r="EJ43" s="183">
        <f t="shared" si="54"/>
        <v>0</v>
      </c>
      <c r="EK43" s="183">
        <f t="shared" si="54"/>
        <v>0</v>
      </c>
      <c r="EL43" s="183">
        <f t="shared" si="54"/>
        <v>0</v>
      </c>
      <c r="EM43" s="183">
        <f t="shared" si="54"/>
        <v>0</v>
      </c>
      <c r="EN43" s="183">
        <f t="shared" si="54"/>
        <v>0</v>
      </c>
      <c r="EO43" s="183">
        <f t="shared" si="54"/>
        <v>0</v>
      </c>
      <c r="EP43" s="183">
        <f t="shared" si="54"/>
        <v>0</v>
      </c>
      <c r="EQ43" s="183">
        <f t="shared" si="54"/>
        <v>0</v>
      </c>
      <c r="ER43" s="183">
        <f t="shared" si="54"/>
        <v>0</v>
      </c>
      <c r="ES43" s="183">
        <f t="shared" si="54"/>
        <v>0</v>
      </c>
      <c r="ET43" s="183">
        <f t="shared" si="54"/>
        <v>0</v>
      </c>
      <c r="EU43" s="183">
        <f t="shared" si="54"/>
        <v>0</v>
      </c>
      <c r="EV43" s="183">
        <f t="shared" si="54"/>
        <v>0</v>
      </c>
      <c r="EW43" s="183">
        <f t="shared" si="54"/>
        <v>0</v>
      </c>
      <c r="EX43" s="183">
        <f t="shared" si="54"/>
        <v>0</v>
      </c>
      <c r="EY43" s="183">
        <f t="shared" si="54"/>
        <v>0</v>
      </c>
      <c r="EZ43" s="183">
        <f t="shared" si="54"/>
        <v>0</v>
      </c>
      <c r="FB43" s="609" t="s">
        <v>243</v>
      </c>
      <c r="FC43" s="144"/>
      <c r="FD43" s="144"/>
      <c r="FE43" s="144"/>
      <c r="FF43" s="144"/>
      <c r="FG43" s="144"/>
      <c r="FH43" s="144"/>
      <c r="FI43" s="144"/>
      <c r="FJ43" s="144"/>
      <c r="FK43" s="144"/>
      <c r="FL43" s="144"/>
      <c r="FM43" s="144"/>
      <c r="FN43" s="144"/>
      <c r="FO43" s="144"/>
      <c r="FP43" s="144"/>
      <c r="FQ43" s="144"/>
      <c r="FR43" s="144"/>
      <c r="FS43" s="144"/>
      <c r="FT43" s="144"/>
      <c r="FU43" s="144"/>
      <c r="FV43" s="144"/>
      <c r="FW43" s="144"/>
      <c r="FX43" s="144"/>
      <c r="FY43" s="144"/>
      <c r="FZ43" s="144"/>
      <c r="GA43" s="144"/>
      <c r="GB43" s="144"/>
      <c r="GC43" s="144"/>
      <c r="GD43" s="144"/>
      <c r="GE43" s="144"/>
      <c r="GF43" s="144"/>
      <c r="GG43" s="144"/>
      <c r="GH43" s="144"/>
      <c r="GI43" s="144"/>
      <c r="GJ43" s="144"/>
      <c r="GK43" s="144"/>
      <c r="GL43" s="144"/>
      <c r="GM43" s="144"/>
      <c r="GN43" s="144"/>
      <c r="GO43" s="144"/>
      <c r="GP43" s="144"/>
      <c r="GQ43" s="144"/>
      <c r="GR43" s="144"/>
      <c r="GS43" s="144"/>
      <c r="GT43" s="144"/>
      <c r="GU43" s="144"/>
      <c r="GV43" s="144"/>
      <c r="GW43" s="144"/>
      <c r="GX43" s="144"/>
      <c r="GY43" s="144"/>
      <c r="GZ43" s="144"/>
      <c r="HA43" s="144"/>
      <c r="HB43" s="144"/>
      <c r="HC43" s="144"/>
      <c r="HD43" s="144"/>
      <c r="HE43" s="144"/>
      <c r="HF43" s="144"/>
      <c r="HG43" s="144"/>
      <c r="HH43" s="144"/>
      <c r="HI43" s="144"/>
      <c r="HJ43" s="144"/>
      <c r="HK43" s="144"/>
    </row>
    <row r="44" spans="1:219" s="158" customFormat="1" x14ac:dyDescent="0.2">
      <c r="A44" s="630"/>
      <c r="B44" s="638" t="s">
        <v>651</v>
      </c>
      <c r="C44" s="638"/>
      <c r="D44" s="443">
        <v>0</v>
      </c>
      <c r="E44" s="199">
        <f>IF(units=0,0,'Renovation Budget'!D44/'Unit Mix-Reno Schedule'!$AI$27)</f>
        <v>0</v>
      </c>
      <c r="F44" s="640">
        <v>1</v>
      </c>
      <c r="G44" s="640">
        <v>28</v>
      </c>
      <c r="H44" s="641">
        <f t="shared" si="44"/>
        <v>27</v>
      </c>
      <c r="I44" s="642"/>
      <c r="J44" s="643" t="s">
        <v>42</v>
      </c>
      <c r="K44" s="644"/>
      <c r="L44" s="183">
        <f t="shared" si="45"/>
        <v>0</v>
      </c>
      <c r="M44" s="183">
        <f t="shared" si="45"/>
        <v>0</v>
      </c>
      <c r="N44" s="183">
        <f t="shared" si="45"/>
        <v>0</v>
      </c>
      <c r="O44" s="183">
        <f t="shared" si="45"/>
        <v>0</v>
      </c>
      <c r="P44" s="183">
        <f t="shared" si="45"/>
        <v>0</v>
      </c>
      <c r="Q44" s="183">
        <f t="shared" si="45"/>
        <v>0</v>
      </c>
      <c r="R44" s="183">
        <f t="shared" si="45"/>
        <v>0</v>
      </c>
      <c r="S44" s="183">
        <f t="shared" si="45"/>
        <v>0</v>
      </c>
      <c r="T44" s="183">
        <f t="shared" si="45"/>
        <v>0</v>
      </c>
      <c r="U44" s="183">
        <f t="shared" si="45"/>
        <v>0</v>
      </c>
      <c r="V44" s="183">
        <f t="shared" si="45"/>
        <v>0</v>
      </c>
      <c r="W44" s="644"/>
      <c r="X44" s="183">
        <f t="shared" si="46"/>
        <v>0</v>
      </c>
      <c r="Y44" s="183">
        <f t="shared" ref="Y44:BD44" si="55">IF($X44=0,$E44*X$41,0)</f>
        <v>0</v>
      </c>
      <c r="Z44" s="183">
        <f t="shared" si="55"/>
        <v>0</v>
      </c>
      <c r="AA44" s="183">
        <f t="shared" si="55"/>
        <v>0</v>
      </c>
      <c r="AB44" s="183">
        <f t="shared" si="55"/>
        <v>0</v>
      </c>
      <c r="AC44" s="183">
        <f t="shared" si="55"/>
        <v>0</v>
      </c>
      <c r="AD44" s="183">
        <f t="shared" si="55"/>
        <v>0</v>
      </c>
      <c r="AE44" s="183">
        <f t="shared" si="55"/>
        <v>0</v>
      </c>
      <c r="AF44" s="183">
        <f t="shared" si="55"/>
        <v>0</v>
      </c>
      <c r="AG44" s="183">
        <f t="shared" si="55"/>
        <v>0</v>
      </c>
      <c r="AH44" s="183">
        <f t="shared" si="55"/>
        <v>0</v>
      </c>
      <c r="AI44" s="183">
        <f t="shared" si="55"/>
        <v>0</v>
      </c>
      <c r="AJ44" s="183">
        <f t="shared" si="55"/>
        <v>0</v>
      </c>
      <c r="AK44" s="183">
        <f t="shared" si="55"/>
        <v>0</v>
      </c>
      <c r="AL44" s="183">
        <f t="shared" si="55"/>
        <v>0</v>
      </c>
      <c r="AM44" s="183">
        <f t="shared" si="55"/>
        <v>0</v>
      </c>
      <c r="AN44" s="183">
        <f t="shared" si="55"/>
        <v>0</v>
      </c>
      <c r="AO44" s="183">
        <f t="shared" si="55"/>
        <v>0</v>
      </c>
      <c r="AP44" s="183">
        <f t="shared" si="55"/>
        <v>0</v>
      </c>
      <c r="AQ44" s="183">
        <f t="shared" si="55"/>
        <v>0</v>
      </c>
      <c r="AR44" s="183">
        <f t="shared" si="55"/>
        <v>0</v>
      </c>
      <c r="AS44" s="183">
        <f t="shared" si="55"/>
        <v>0</v>
      </c>
      <c r="AT44" s="183">
        <f t="shared" si="55"/>
        <v>0</v>
      </c>
      <c r="AU44" s="183">
        <f t="shared" si="55"/>
        <v>0</v>
      </c>
      <c r="AV44" s="183">
        <f t="shared" si="55"/>
        <v>0</v>
      </c>
      <c r="AW44" s="183">
        <f t="shared" si="55"/>
        <v>0</v>
      </c>
      <c r="AX44" s="183">
        <f t="shared" si="55"/>
        <v>0</v>
      </c>
      <c r="AY44" s="183">
        <f t="shared" si="55"/>
        <v>0</v>
      </c>
      <c r="AZ44" s="183">
        <f t="shared" si="55"/>
        <v>0</v>
      </c>
      <c r="BA44" s="183">
        <f t="shared" si="55"/>
        <v>0</v>
      </c>
      <c r="BB44" s="183">
        <f t="shared" si="55"/>
        <v>0</v>
      </c>
      <c r="BC44" s="183">
        <f t="shared" si="55"/>
        <v>0</v>
      </c>
      <c r="BD44" s="183">
        <f t="shared" si="55"/>
        <v>0</v>
      </c>
      <c r="BE44" s="183">
        <f t="shared" ref="BE44:CJ44" si="56">IF($X44=0,$E44*BD$41,0)</f>
        <v>0</v>
      </c>
      <c r="BF44" s="183">
        <f t="shared" si="56"/>
        <v>0</v>
      </c>
      <c r="BG44" s="183">
        <f t="shared" si="56"/>
        <v>0</v>
      </c>
      <c r="BH44" s="183">
        <f t="shared" si="56"/>
        <v>0</v>
      </c>
      <c r="BI44" s="183">
        <f t="shared" si="56"/>
        <v>0</v>
      </c>
      <c r="BJ44" s="183">
        <f t="shared" si="56"/>
        <v>0</v>
      </c>
      <c r="BK44" s="183">
        <f t="shared" si="56"/>
        <v>0</v>
      </c>
      <c r="BL44" s="183">
        <f t="shared" si="56"/>
        <v>0</v>
      </c>
      <c r="BM44" s="183">
        <f t="shared" si="56"/>
        <v>0</v>
      </c>
      <c r="BN44" s="183">
        <f t="shared" si="56"/>
        <v>0</v>
      </c>
      <c r="BO44" s="183">
        <f t="shared" si="56"/>
        <v>0</v>
      </c>
      <c r="BP44" s="183">
        <f t="shared" si="56"/>
        <v>0</v>
      </c>
      <c r="BQ44" s="183">
        <f t="shared" si="56"/>
        <v>0</v>
      </c>
      <c r="BR44" s="183">
        <f t="shared" si="56"/>
        <v>0</v>
      </c>
      <c r="BS44" s="183">
        <f t="shared" si="56"/>
        <v>0</v>
      </c>
      <c r="BT44" s="183">
        <f t="shared" si="56"/>
        <v>0</v>
      </c>
      <c r="BU44" s="183">
        <f t="shared" si="56"/>
        <v>0</v>
      </c>
      <c r="BV44" s="183">
        <f t="shared" si="56"/>
        <v>0</v>
      </c>
      <c r="BW44" s="183">
        <f t="shared" si="56"/>
        <v>0</v>
      </c>
      <c r="BX44" s="183">
        <f t="shared" si="56"/>
        <v>0</v>
      </c>
      <c r="BY44" s="183">
        <f t="shared" si="56"/>
        <v>0</v>
      </c>
      <c r="BZ44" s="183">
        <f t="shared" si="56"/>
        <v>0</v>
      </c>
      <c r="CA44" s="183">
        <f t="shared" si="56"/>
        <v>0</v>
      </c>
      <c r="CB44" s="183">
        <f t="shared" si="56"/>
        <v>0</v>
      </c>
      <c r="CC44" s="183">
        <f t="shared" si="56"/>
        <v>0</v>
      </c>
      <c r="CD44" s="183">
        <f t="shared" si="56"/>
        <v>0</v>
      </c>
      <c r="CE44" s="183">
        <f t="shared" si="56"/>
        <v>0</v>
      </c>
      <c r="CF44" s="183">
        <f t="shared" si="56"/>
        <v>0</v>
      </c>
      <c r="CG44" s="183">
        <f t="shared" si="56"/>
        <v>0</v>
      </c>
      <c r="CH44" s="183">
        <f t="shared" si="56"/>
        <v>0</v>
      </c>
      <c r="CI44" s="183">
        <f t="shared" si="56"/>
        <v>0</v>
      </c>
      <c r="CJ44" s="183">
        <f t="shared" si="56"/>
        <v>0</v>
      </c>
      <c r="CK44" s="183">
        <f t="shared" ref="CK44:DP44" si="57">IF($X44=0,$E44*CJ$41,0)</f>
        <v>0</v>
      </c>
      <c r="CL44" s="183">
        <f t="shared" si="57"/>
        <v>0</v>
      </c>
      <c r="CM44" s="183">
        <f t="shared" si="57"/>
        <v>0</v>
      </c>
      <c r="CN44" s="183">
        <f t="shared" si="57"/>
        <v>0</v>
      </c>
      <c r="CO44" s="183">
        <f t="shared" si="57"/>
        <v>0</v>
      </c>
      <c r="CP44" s="183">
        <f t="shared" si="57"/>
        <v>0</v>
      </c>
      <c r="CQ44" s="183">
        <f t="shared" si="57"/>
        <v>0</v>
      </c>
      <c r="CR44" s="183">
        <f t="shared" si="57"/>
        <v>0</v>
      </c>
      <c r="CS44" s="183">
        <f t="shared" si="57"/>
        <v>0</v>
      </c>
      <c r="CT44" s="183">
        <f t="shared" si="57"/>
        <v>0</v>
      </c>
      <c r="CU44" s="183">
        <f t="shared" si="57"/>
        <v>0</v>
      </c>
      <c r="CV44" s="183">
        <f t="shared" si="57"/>
        <v>0</v>
      </c>
      <c r="CW44" s="183">
        <f t="shared" si="57"/>
        <v>0</v>
      </c>
      <c r="CX44" s="183">
        <f t="shared" si="57"/>
        <v>0</v>
      </c>
      <c r="CY44" s="183">
        <f t="shared" si="57"/>
        <v>0</v>
      </c>
      <c r="CZ44" s="183">
        <f t="shared" si="57"/>
        <v>0</v>
      </c>
      <c r="DA44" s="183">
        <f t="shared" si="57"/>
        <v>0</v>
      </c>
      <c r="DB44" s="183">
        <f t="shared" si="57"/>
        <v>0</v>
      </c>
      <c r="DC44" s="183">
        <f t="shared" si="57"/>
        <v>0</v>
      </c>
      <c r="DD44" s="183">
        <f t="shared" si="57"/>
        <v>0</v>
      </c>
      <c r="DE44" s="183">
        <f t="shared" si="57"/>
        <v>0</v>
      </c>
      <c r="DF44" s="183">
        <f t="shared" si="57"/>
        <v>0</v>
      </c>
      <c r="DG44" s="183">
        <f t="shared" si="57"/>
        <v>0</v>
      </c>
      <c r="DH44" s="183">
        <f t="shared" si="57"/>
        <v>0</v>
      </c>
      <c r="DI44" s="183">
        <f t="shared" si="57"/>
        <v>0</v>
      </c>
      <c r="DJ44" s="183">
        <f t="shared" si="57"/>
        <v>0</v>
      </c>
      <c r="DK44" s="183">
        <f t="shared" si="57"/>
        <v>0</v>
      </c>
      <c r="DL44" s="183">
        <f t="shared" si="57"/>
        <v>0</v>
      </c>
      <c r="DM44" s="183">
        <f t="shared" si="57"/>
        <v>0</v>
      </c>
      <c r="DN44" s="183">
        <f t="shared" si="57"/>
        <v>0</v>
      </c>
      <c r="DO44" s="183">
        <f t="shared" si="57"/>
        <v>0</v>
      </c>
      <c r="DP44" s="183">
        <f t="shared" si="57"/>
        <v>0</v>
      </c>
      <c r="DQ44" s="183">
        <f t="shared" ref="DQ44:EZ44" si="58">IF($X44=0,$E44*DP$41,0)</f>
        <v>0</v>
      </c>
      <c r="DR44" s="183">
        <f t="shared" si="58"/>
        <v>0</v>
      </c>
      <c r="DS44" s="183">
        <f t="shared" si="58"/>
        <v>0</v>
      </c>
      <c r="DT44" s="183">
        <f t="shared" si="58"/>
        <v>0</v>
      </c>
      <c r="DU44" s="183">
        <f t="shared" si="58"/>
        <v>0</v>
      </c>
      <c r="DV44" s="183">
        <f t="shared" si="58"/>
        <v>0</v>
      </c>
      <c r="DW44" s="183">
        <f t="shared" si="58"/>
        <v>0</v>
      </c>
      <c r="DX44" s="183">
        <f t="shared" si="58"/>
        <v>0</v>
      </c>
      <c r="DY44" s="183">
        <f t="shared" si="58"/>
        <v>0</v>
      </c>
      <c r="DZ44" s="183">
        <f t="shared" si="58"/>
        <v>0</v>
      </c>
      <c r="EA44" s="183">
        <f t="shared" si="58"/>
        <v>0</v>
      </c>
      <c r="EB44" s="183">
        <f t="shared" si="58"/>
        <v>0</v>
      </c>
      <c r="EC44" s="183">
        <f t="shared" si="58"/>
        <v>0</v>
      </c>
      <c r="ED44" s="183">
        <f t="shared" si="58"/>
        <v>0</v>
      </c>
      <c r="EE44" s="183">
        <f t="shared" si="58"/>
        <v>0</v>
      </c>
      <c r="EF44" s="183">
        <f t="shared" si="58"/>
        <v>0</v>
      </c>
      <c r="EG44" s="183">
        <f t="shared" si="58"/>
        <v>0</v>
      </c>
      <c r="EH44" s="183">
        <f t="shared" si="58"/>
        <v>0</v>
      </c>
      <c r="EI44" s="183">
        <f t="shared" si="58"/>
        <v>0</v>
      </c>
      <c r="EJ44" s="183">
        <f t="shared" si="58"/>
        <v>0</v>
      </c>
      <c r="EK44" s="183">
        <f t="shared" si="58"/>
        <v>0</v>
      </c>
      <c r="EL44" s="183">
        <f t="shared" si="58"/>
        <v>0</v>
      </c>
      <c r="EM44" s="183">
        <f t="shared" si="58"/>
        <v>0</v>
      </c>
      <c r="EN44" s="183">
        <f t="shared" si="58"/>
        <v>0</v>
      </c>
      <c r="EO44" s="183">
        <f t="shared" si="58"/>
        <v>0</v>
      </c>
      <c r="EP44" s="183">
        <f t="shared" si="58"/>
        <v>0</v>
      </c>
      <c r="EQ44" s="183">
        <f t="shared" si="58"/>
        <v>0</v>
      </c>
      <c r="ER44" s="183">
        <f t="shared" si="58"/>
        <v>0</v>
      </c>
      <c r="ES44" s="183">
        <f t="shared" si="58"/>
        <v>0</v>
      </c>
      <c r="ET44" s="183">
        <f t="shared" si="58"/>
        <v>0</v>
      </c>
      <c r="EU44" s="183">
        <f t="shared" si="58"/>
        <v>0</v>
      </c>
      <c r="EV44" s="183">
        <f t="shared" si="58"/>
        <v>0</v>
      </c>
      <c r="EW44" s="183">
        <f t="shared" si="58"/>
        <v>0</v>
      </c>
      <c r="EX44" s="183">
        <f t="shared" si="58"/>
        <v>0</v>
      </c>
      <c r="EY44" s="183">
        <f t="shared" si="58"/>
        <v>0</v>
      </c>
      <c r="EZ44" s="183">
        <f t="shared" si="58"/>
        <v>0</v>
      </c>
      <c r="FA44" s="144"/>
      <c r="FB44" s="609" t="s">
        <v>243</v>
      </c>
      <c r="FC44" s="144"/>
      <c r="FD44" s="144"/>
      <c r="FE44" s="144"/>
      <c r="FF44" s="144"/>
      <c r="FG44" s="144"/>
      <c r="FH44" s="144"/>
      <c r="FI44" s="144"/>
      <c r="FJ44" s="144"/>
      <c r="FK44" s="144"/>
      <c r="FL44" s="144"/>
      <c r="FM44" s="144"/>
      <c r="FN44" s="144"/>
      <c r="FO44" s="144"/>
      <c r="FP44" s="144"/>
      <c r="FQ44" s="144"/>
      <c r="FR44" s="144"/>
      <c r="FS44" s="144"/>
      <c r="FT44" s="144"/>
      <c r="FU44" s="144"/>
      <c r="FV44" s="144"/>
      <c r="FW44" s="144"/>
      <c r="FX44" s="144"/>
      <c r="FY44" s="144"/>
      <c r="FZ44" s="144"/>
      <c r="GA44" s="144"/>
      <c r="GB44" s="144"/>
      <c r="GC44" s="144"/>
      <c r="GD44" s="144"/>
      <c r="GE44" s="144"/>
      <c r="GF44" s="144"/>
      <c r="GG44" s="144"/>
      <c r="GH44" s="144"/>
      <c r="GI44" s="144"/>
      <c r="GJ44" s="144"/>
      <c r="GK44" s="144"/>
      <c r="GL44" s="144"/>
      <c r="GM44" s="144"/>
      <c r="GN44" s="144"/>
      <c r="GO44" s="144"/>
      <c r="GP44" s="144"/>
      <c r="GQ44" s="144"/>
      <c r="GR44" s="144"/>
      <c r="GS44" s="144"/>
      <c r="GT44" s="144"/>
      <c r="GU44" s="144"/>
      <c r="GV44" s="144"/>
      <c r="GW44" s="144"/>
      <c r="GX44" s="144"/>
      <c r="GY44" s="144"/>
      <c r="GZ44" s="144"/>
      <c r="HA44" s="144"/>
      <c r="HB44" s="144"/>
      <c r="HC44" s="144"/>
      <c r="HD44" s="144"/>
      <c r="HE44" s="144"/>
      <c r="HF44" s="144"/>
      <c r="HG44" s="144"/>
      <c r="HH44" s="144"/>
      <c r="HI44" s="144"/>
      <c r="HJ44" s="144"/>
      <c r="HK44" s="144"/>
    </row>
    <row r="45" spans="1:219" s="158" customFormat="1" x14ac:dyDescent="0.2">
      <c r="A45" s="630"/>
      <c r="B45" s="638" t="s">
        <v>652</v>
      </c>
      <c r="C45" s="638"/>
      <c r="D45" s="443">
        <v>0</v>
      </c>
      <c r="E45" s="199">
        <f>IF(units=0,0,'Renovation Budget'!D45/'Unit Mix-Reno Schedule'!$AI$27)</f>
        <v>0</v>
      </c>
      <c r="F45" s="640">
        <v>1</v>
      </c>
      <c r="G45" s="640">
        <v>28</v>
      </c>
      <c r="H45" s="641">
        <f t="shared" si="44"/>
        <v>27</v>
      </c>
      <c r="I45" s="642"/>
      <c r="J45" s="643" t="s">
        <v>42</v>
      </c>
      <c r="K45" s="644"/>
      <c r="L45" s="183">
        <f t="shared" si="45"/>
        <v>0</v>
      </c>
      <c r="M45" s="183">
        <f t="shared" si="45"/>
        <v>0</v>
      </c>
      <c r="N45" s="183">
        <f t="shared" si="45"/>
        <v>0</v>
      </c>
      <c r="O45" s="183">
        <f t="shared" si="45"/>
        <v>0</v>
      </c>
      <c r="P45" s="183">
        <f t="shared" si="45"/>
        <v>0</v>
      </c>
      <c r="Q45" s="183">
        <f t="shared" si="45"/>
        <v>0</v>
      </c>
      <c r="R45" s="183">
        <f t="shared" si="45"/>
        <v>0</v>
      </c>
      <c r="S45" s="183">
        <f t="shared" si="45"/>
        <v>0</v>
      </c>
      <c r="T45" s="183">
        <f t="shared" si="45"/>
        <v>0</v>
      </c>
      <c r="U45" s="183">
        <f t="shared" si="45"/>
        <v>0</v>
      </c>
      <c r="V45" s="183">
        <f t="shared" si="45"/>
        <v>0</v>
      </c>
      <c r="W45" s="644"/>
      <c r="X45" s="183">
        <f t="shared" si="46"/>
        <v>0</v>
      </c>
      <c r="Y45" s="183">
        <f t="shared" ref="Y45:BD45" si="59">IF($X45=0,$E45*X$41,0)</f>
        <v>0</v>
      </c>
      <c r="Z45" s="183">
        <f t="shared" si="59"/>
        <v>0</v>
      </c>
      <c r="AA45" s="183">
        <f t="shared" si="59"/>
        <v>0</v>
      </c>
      <c r="AB45" s="183">
        <f t="shared" si="59"/>
        <v>0</v>
      </c>
      <c r="AC45" s="183">
        <f t="shared" si="59"/>
        <v>0</v>
      </c>
      <c r="AD45" s="183">
        <f t="shared" si="59"/>
        <v>0</v>
      </c>
      <c r="AE45" s="183">
        <f t="shared" si="59"/>
        <v>0</v>
      </c>
      <c r="AF45" s="183">
        <f t="shared" si="59"/>
        <v>0</v>
      </c>
      <c r="AG45" s="183">
        <f t="shared" si="59"/>
        <v>0</v>
      </c>
      <c r="AH45" s="183">
        <f t="shared" si="59"/>
        <v>0</v>
      </c>
      <c r="AI45" s="183">
        <f t="shared" si="59"/>
        <v>0</v>
      </c>
      <c r="AJ45" s="183">
        <f t="shared" si="59"/>
        <v>0</v>
      </c>
      <c r="AK45" s="183">
        <f t="shared" si="59"/>
        <v>0</v>
      </c>
      <c r="AL45" s="183">
        <f t="shared" si="59"/>
        <v>0</v>
      </c>
      <c r="AM45" s="183">
        <f t="shared" si="59"/>
        <v>0</v>
      </c>
      <c r="AN45" s="183">
        <f t="shared" si="59"/>
        <v>0</v>
      </c>
      <c r="AO45" s="183">
        <f t="shared" si="59"/>
        <v>0</v>
      </c>
      <c r="AP45" s="183">
        <f t="shared" si="59"/>
        <v>0</v>
      </c>
      <c r="AQ45" s="183">
        <f t="shared" si="59"/>
        <v>0</v>
      </c>
      <c r="AR45" s="183">
        <f t="shared" si="59"/>
        <v>0</v>
      </c>
      <c r="AS45" s="183">
        <f t="shared" si="59"/>
        <v>0</v>
      </c>
      <c r="AT45" s="183">
        <f t="shared" si="59"/>
        <v>0</v>
      </c>
      <c r="AU45" s="183">
        <f t="shared" si="59"/>
        <v>0</v>
      </c>
      <c r="AV45" s="183">
        <f t="shared" si="59"/>
        <v>0</v>
      </c>
      <c r="AW45" s="183">
        <f t="shared" si="59"/>
        <v>0</v>
      </c>
      <c r="AX45" s="183">
        <f t="shared" si="59"/>
        <v>0</v>
      </c>
      <c r="AY45" s="183">
        <f t="shared" si="59"/>
        <v>0</v>
      </c>
      <c r="AZ45" s="183">
        <f t="shared" si="59"/>
        <v>0</v>
      </c>
      <c r="BA45" s="183">
        <f t="shared" si="59"/>
        <v>0</v>
      </c>
      <c r="BB45" s="183">
        <f t="shared" si="59"/>
        <v>0</v>
      </c>
      <c r="BC45" s="183">
        <f t="shared" si="59"/>
        <v>0</v>
      </c>
      <c r="BD45" s="183">
        <f t="shared" si="59"/>
        <v>0</v>
      </c>
      <c r="BE45" s="183">
        <f t="shared" ref="BE45:CJ45" si="60">IF($X45=0,$E45*BD$41,0)</f>
        <v>0</v>
      </c>
      <c r="BF45" s="183">
        <f t="shared" si="60"/>
        <v>0</v>
      </c>
      <c r="BG45" s="183">
        <f t="shared" si="60"/>
        <v>0</v>
      </c>
      <c r="BH45" s="183">
        <f t="shared" si="60"/>
        <v>0</v>
      </c>
      <c r="BI45" s="183">
        <f t="shared" si="60"/>
        <v>0</v>
      </c>
      <c r="BJ45" s="183">
        <f t="shared" si="60"/>
        <v>0</v>
      </c>
      <c r="BK45" s="183">
        <f t="shared" si="60"/>
        <v>0</v>
      </c>
      <c r="BL45" s="183">
        <f t="shared" si="60"/>
        <v>0</v>
      </c>
      <c r="BM45" s="183">
        <f t="shared" si="60"/>
        <v>0</v>
      </c>
      <c r="BN45" s="183">
        <f t="shared" si="60"/>
        <v>0</v>
      </c>
      <c r="BO45" s="183">
        <f t="shared" si="60"/>
        <v>0</v>
      </c>
      <c r="BP45" s="183">
        <f t="shared" si="60"/>
        <v>0</v>
      </c>
      <c r="BQ45" s="183">
        <f t="shared" si="60"/>
        <v>0</v>
      </c>
      <c r="BR45" s="183">
        <f t="shared" si="60"/>
        <v>0</v>
      </c>
      <c r="BS45" s="183">
        <f t="shared" si="60"/>
        <v>0</v>
      </c>
      <c r="BT45" s="183">
        <f t="shared" si="60"/>
        <v>0</v>
      </c>
      <c r="BU45" s="183">
        <f t="shared" si="60"/>
        <v>0</v>
      </c>
      <c r="BV45" s="183">
        <f t="shared" si="60"/>
        <v>0</v>
      </c>
      <c r="BW45" s="183">
        <f t="shared" si="60"/>
        <v>0</v>
      </c>
      <c r="BX45" s="183">
        <f t="shared" si="60"/>
        <v>0</v>
      </c>
      <c r="BY45" s="183">
        <f t="shared" si="60"/>
        <v>0</v>
      </c>
      <c r="BZ45" s="183">
        <f t="shared" si="60"/>
        <v>0</v>
      </c>
      <c r="CA45" s="183">
        <f t="shared" si="60"/>
        <v>0</v>
      </c>
      <c r="CB45" s="183">
        <f t="shared" si="60"/>
        <v>0</v>
      </c>
      <c r="CC45" s="183">
        <f t="shared" si="60"/>
        <v>0</v>
      </c>
      <c r="CD45" s="183">
        <f t="shared" si="60"/>
        <v>0</v>
      </c>
      <c r="CE45" s="183">
        <f t="shared" si="60"/>
        <v>0</v>
      </c>
      <c r="CF45" s="183">
        <f t="shared" si="60"/>
        <v>0</v>
      </c>
      <c r="CG45" s="183">
        <f t="shared" si="60"/>
        <v>0</v>
      </c>
      <c r="CH45" s="183">
        <f t="shared" si="60"/>
        <v>0</v>
      </c>
      <c r="CI45" s="183">
        <f t="shared" si="60"/>
        <v>0</v>
      </c>
      <c r="CJ45" s="183">
        <f t="shared" si="60"/>
        <v>0</v>
      </c>
      <c r="CK45" s="183">
        <f t="shared" ref="CK45:DP45" si="61">IF($X45=0,$E45*CJ$41,0)</f>
        <v>0</v>
      </c>
      <c r="CL45" s="183">
        <f t="shared" si="61"/>
        <v>0</v>
      </c>
      <c r="CM45" s="183">
        <f t="shared" si="61"/>
        <v>0</v>
      </c>
      <c r="CN45" s="183">
        <f t="shared" si="61"/>
        <v>0</v>
      </c>
      <c r="CO45" s="183">
        <f t="shared" si="61"/>
        <v>0</v>
      </c>
      <c r="CP45" s="183">
        <f t="shared" si="61"/>
        <v>0</v>
      </c>
      <c r="CQ45" s="183">
        <f t="shared" si="61"/>
        <v>0</v>
      </c>
      <c r="CR45" s="183">
        <f t="shared" si="61"/>
        <v>0</v>
      </c>
      <c r="CS45" s="183">
        <f t="shared" si="61"/>
        <v>0</v>
      </c>
      <c r="CT45" s="183">
        <f t="shared" si="61"/>
        <v>0</v>
      </c>
      <c r="CU45" s="183">
        <f t="shared" si="61"/>
        <v>0</v>
      </c>
      <c r="CV45" s="183">
        <f t="shared" si="61"/>
        <v>0</v>
      </c>
      <c r="CW45" s="183">
        <f t="shared" si="61"/>
        <v>0</v>
      </c>
      <c r="CX45" s="183">
        <f t="shared" si="61"/>
        <v>0</v>
      </c>
      <c r="CY45" s="183">
        <f t="shared" si="61"/>
        <v>0</v>
      </c>
      <c r="CZ45" s="183">
        <f t="shared" si="61"/>
        <v>0</v>
      </c>
      <c r="DA45" s="183">
        <f t="shared" si="61"/>
        <v>0</v>
      </c>
      <c r="DB45" s="183">
        <f t="shared" si="61"/>
        <v>0</v>
      </c>
      <c r="DC45" s="183">
        <f t="shared" si="61"/>
        <v>0</v>
      </c>
      <c r="DD45" s="183">
        <f t="shared" si="61"/>
        <v>0</v>
      </c>
      <c r="DE45" s="183">
        <f t="shared" si="61"/>
        <v>0</v>
      </c>
      <c r="DF45" s="183">
        <f t="shared" si="61"/>
        <v>0</v>
      </c>
      <c r="DG45" s="183">
        <f t="shared" si="61"/>
        <v>0</v>
      </c>
      <c r="DH45" s="183">
        <f t="shared" si="61"/>
        <v>0</v>
      </c>
      <c r="DI45" s="183">
        <f t="shared" si="61"/>
        <v>0</v>
      </c>
      <c r="DJ45" s="183">
        <f t="shared" si="61"/>
        <v>0</v>
      </c>
      <c r="DK45" s="183">
        <f t="shared" si="61"/>
        <v>0</v>
      </c>
      <c r="DL45" s="183">
        <f t="shared" si="61"/>
        <v>0</v>
      </c>
      <c r="DM45" s="183">
        <f t="shared" si="61"/>
        <v>0</v>
      </c>
      <c r="DN45" s="183">
        <f t="shared" si="61"/>
        <v>0</v>
      </c>
      <c r="DO45" s="183">
        <f t="shared" si="61"/>
        <v>0</v>
      </c>
      <c r="DP45" s="183">
        <f t="shared" si="61"/>
        <v>0</v>
      </c>
      <c r="DQ45" s="183">
        <f t="shared" ref="DQ45:EZ45" si="62">IF($X45=0,$E45*DP$41,0)</f>
        <v>0</v>
      </c>
      <c r="DR45" s="183">
        <f t="shared" si="62"/>
        <v>0</v>
      </c>
      <c r="DS45" s="183">
        <f t="shared" si="62"/>
        <v>0</v>
      </c>
      <c r="DT45" s="183">
        <f t="shared" si="62"/>
        <v>0</v>
      </c>
      <c r="DU45" s="183">
        <f t="shared" si="62"/>
        <v>0</v>
      </c>
      <c r="DV45" s="183">
        <f t="shared" si="62"/>
        <v>0</v>
      </c>
      <c r="DW45" s="183">
        <f t="shared" si="62"/>
        <v>0</v>
      </c>
      <c r="DX45" s="183">
        <f t="shared" si="62"/>
        <v>0</v>
      </c>
      <c r="DY45" s="183">
        <f t="shared" si="62"/>
        <v>0</v>
      </c>
      <c r="DZ45" s="183">
        <f t="shared" si="62"/>
        <v>0</v>
      </c>
      <c r="EA45" s="183">
        <f t="shared" si="62"/>
        <v>0</v>
      </c>
      <c r="EB45" s="183">
        <f t="shared" si="62"/>
        <v>0</v>
      </c>
      <c r="EC45" s="183">
        <f t="shared" si="62"/>
        <v>0</v>
      </c>
      <c r="ED45" s="183">
        <f t="shared" si="62"/>
        <v>0</v>
      </c>
      <c r="EE45" s="183">
        <f t="shared" si="62"/>
        <v>0</v>
      </c>
      <c r="EF45" s="183">
        <f t="shared" si="62"/>
        <v>0</v>
      </c>
      <c r="EG45" s="183">
        <f t="shared" si="62"/>
        <v>0</v>
      </c>
      <c r="EH45" s="183">
        <f t="shared" si="62"/>
        <v>0</v>
      </c>
      <c r="EI45" s="183">
        <f t="shared" si="62"/>
        <v>0</v>
      </c>
      <c r="EJ45" s="183">
        <f t="shared" si="62"/>
        <v>0</v>
      </c>
      <c r="EK45" s="183">
        <f t="shared" si="62"/>
        <v>0</v>
      </c>
      <c r="EL45" s="183">
        <f t="shared" si="62"/>
        <v>0</v>
      </c>
      <c r="EM45" s="183">
        <f t="shared" si="62"/>
        <v>0</v>
      </c>
      <c r="EN45" s="183">
        <f t="shared" si="62"/>
        <v>0</v>
      </c>
      <c r="EO45" s="183">
        <f t="shared" si="62"/>
        <v>0</v>
      </c>
      <c r="EP45" s="183">
        <f t="shared" si="62"/>
        <v>0</v>
      </c>
      <c r="EQ45" s="183">
        <f t="shared" si="62"/>
        <v>0</v>
      </c>
      <c r="ER45" s="183">
        <f t="shared" si="62"/>
        <v>0</v>
      </c>
      <c r="ES45" s="183">
        <f t="shared" si="62"/>
        <v>0</v>
      </c>
      <c r="ET45" s="183">
        <f t="shared" si="62"/>
        <v>0</v>
      </c>
      <c r="EU45" s="183">
        <f t="shared" si="62"/>
        <v>0</v>
      </c>
      <c r="EV45" s="183">
        <f t="shared" si="62"/>
        <v>0</v>
      </c>
      <c r="EW45" s="183">
        <f t="shared" si="62"/>
        <v>0</v>
      </c>
      <c r="EX45" s="183">
        <f t="shared" si="62"/>
        <v>0</v>
      </c>
      <c r="EY45" s="183">
        <f t="shared" si="62"/>
        <v>0</v>
      </c>
      <c r="EZ45" s="183">
        <f t="shared" si="62"/>
        <v>0</v>
      </c>
      <c r="FA45" s="144"/>
      <c r="FB45" s="609" t="s">
        <v>243</v>
      </c>
      <c r="FC45" s="144"/>
      <c r="FD45" s="144"/>
      <c r="FE45" s="144"/>
      <c r="FF45" s="144"/>
      <c r="FG45" s="144"/>
      <c r="FH45" s="144"/>
      <c r="FI45" s="144"/>
      <c r="FJ45" s="144"/>
      <c r="FK45" s="144"/>
      <c r="FL45" s="144"/>
      <c r="FM45" s="144"/>
      <c r="FN45" s="144"/>
      <c r="FO45" s="144"/>
      <c r="FP45" s="144"/>
      <c r="FQ45" s="144"/>
      <c r="FR45" s="144"/>
      <c r="FS45" s="144"/>
      <c r="FT45" s="144"/>
      <c r="FU45" s="144"/>
      <c r="FV45" s="144"/>
      <c r="FW45" s="144"/>
      <c r="FX45" s="144"/>
      <c r="FY45" s="144"/>
      <c r="FZ45" s="144"/>
      <c r="GA45" s="144"/>
      <c r="GB45" s="144"/>
      <c r="GC45" s="144"/>
      <c r="GD45" s="144"/>
      <c r="GE45" s="144"/>
      <c r="GF45" s="144"/>
      <c r="GG45" s="144"/>
      <c r="GH45" s="144"/>
      <c r="GI45" s="144"/>
      <c r="GJ45" s="144"/>
      <c r="GK45" s="144"/>
      <c r="GL45" s="144"/>
      <c r="GM45" s="144"/>
      <c r="GN45" s="144"/>
      <c r="GO45" s="144"/>
      <c r="GP45" s="144"/>
      <c r="GQ45" s="144"/>
      <c r="GR45" s="144"/>
      <c r="GS45" s="144"/>
      <c r="GT45" s="144"/>
      <c r="GU45" s="144"/>
      <c r="GV45" s="144"/>
      <c r="GW45" s="144"/>
      <c r="GX45" s="144"/>
      <c r="GY45" s="144"/>
      <c r="GZ45" s="144"/>
      <c r="HA45" s="144"/>
      <c r="HB45" s="144"/>
      <c r="HC45" s="144"/>
      <c r="HD45" s="144"/>
      <c r="HE45" s="144"/>
      <c r="HF45" s="144"/>
      <c r="HG45" s="144"/>
      <c r="HH45" s="144"/>
      <c r="HI45" s="144"/>
      <c r="HJ45" s="144"/>
      <c r="HK45" s="144"/>
    </row>
    <row r="46" spans="1:219" s="158" customFormat="1" x14ac:dyDescent="0.2">
      <c r="A46" s="630"/>
      <c r="B46" s="638" t="s">
        <v>653</v>
      </c>
      <c r="C46" s="638"/>
      <c r="D46" s="443">
        <v>0</v>
      </c>
      <c r="E46" s="199">
        <f>IF(units=0,0,'Renovation Budget'!D46/'Unit Mix-Reno Schedule'!$AI$27)</f>
        <v>0</v>
      </c>
      <c r="F46" s="640">
        <v>1</v>
      </c>
      <c r="G46" s="640">
        <v>28</v>
      </c>
      <c r="H46" s="641">
        <f t="shared" si="44"/>
        <v>27</v>
      </c>
      <c r="I46" s="642"/>
      <c r="J46" s="643" t="s">
        <v>42</v>
      </c>
      <c r="K46" s="644"/>
      <c r="L46" s="183">
        <f t="shared" si="45"/>
        <v>0</v>
      </c>
      <c r="M46" s="183">
        <f t="shared" si="45"/>
        <v>0</v>
      </c>
      <c r="N46" s="183">
        <f t="shared" si="45"/>
        <v>0</v>
      </c>
      <c r="O46" s="183">
        <f t="shared" si="45"/>
        <v>0</v>
      </c>
      <c r="P46" s="183">
        <f t="shared" si="45"/>
        <v>0</v>
      </c>
      <c r="Q46" s="183">
        <f t="shared" si="45"/>
        <v>0</v>
      </c>
      <c r="R46" s="183">
        <f t="shared" si="45"/>
        <v>0</v>
      </c>
      <c r="S46" s="183">
        <f t="shared" si="45"/>
        <v>0</v>
      </c>
      <c r="T46" s="183">
        <f t="shared" si="45"/>
        <v>0</v>
      </c>
      <c r="U46" s="183">
        <f t="shared" si="45"/>
        <v>0</v>
      </c>
      <c r="V46" s="183">
        <f t="shared" si="45"/>
        <v>0</v>
      </c>
      <c r="W46" s="644"/>
      <c r="X46" s="183">
        <f t="shared" si="46"/>
        <v>0</v>
      </c>
      <c r="Y46" s="183">
        <f t="shared" ref="Y46:BD46" si="63">IF($X46=0,$E46*X$41,0)</f>
        <v>0</v>
      </c>
      <c r="Z46" s="183">
        <f t="shared" si="63"/>
        <v>0</v>
      </c>
      <c r="AA46" s="183">
        <f t="shared" si="63"/>
        <v>0</v>
      </c>
      <c r="AB46" s="183">
        <f t="shared" si="63"/>
        <v>0</v>
      </c>
      <c r="AC46" s="183">
        <f t="shared" si="63"/>
        <v>0</v>
      </c>
      <c r="AD46" s="183">
        <f t="shared" si="63"/>
        <v>0</v>
      </c>
      <c r="AE46" s="183">
        <f t="shared" si="63"/>
        <v>0</v>
      </c>
      <c r="AF46" s="183">
        <f t="shared" si="63"/>
        <v>0</v>
      </c>
      <c r="AG46" s="183">
        <f t="shared" si="63"/>
        <v>0</v>
      </c>
      <c r="AH46" s="183">
        <f t="shared" si="63"/>
        <v>0</v>
      </c>
      <c r="AI46" s="183">
        <f t="shared" si="63"/>
        <v>0</v>
      </c>
      <c r="AJ46" s="183">
        <f t="shared" si="63"/>
        <v>0</v>
      </c>
      <c r="AK46" s="183">
        <f t="shared" si="63"/>
        <v>0</v>
      </c>
      <c r="AL46" s="183">
        <f t="shared" si="63"/>
        <v>0</v>
      </c>
      <c r="AM46" s="183">
        <f t="shared" si="63"/>
        <v>0</v>
      </c>
      <c r="AN46" s="183">
        <f t="shared" si="63"/>
        <v>0</v>
      </c>
      <c r="AO46" s="183">
        <f t="shared" si="63"/>
        <v>0</v>
      </c>
      <c r="AP46" s="183">
        <f t="shared" si="63"/>
        <v>0</v>
      </c>
      <c r="AQ46" s="183">
        <f t="shared" si="63"/>
        <v>0</v>
      </c>
      <c r="AR46" s="183">
        <f t="shared" si="63"/>
        <v>0</v>
      </c>
      <c r="AS46" s="183">
        <f t="shared" si="63"/>
        <v>0</v>
      </c>
      <c r="AT46" s="183">
        <f t="shared" si="63"/>
        <v>0</v>
      </c>
      <c r="AU46" s="183">
        <f t="shared" si="63"/>
        <v>0</v>
      </c>
      <c r="AV46" s="183">
        <f t="shared" si="63"/>
        <v>0</v>
      </c>
      <c r="AW46" s="183">
        <f t="shared" si="63"/>
        <v>0</v>
      </c>
      <c r="AX46" s="183">
        <f t="shared" si="63"/>
        <v>0</v>
      </c>
      <c r="AY46" s="183">
        <f t="shared" si="63"/>
        <v>0</v>
      </c>
      <c r="AZ46" s="183">
        <f t="shared" si="63"/>
        <v>0</v>
      </c>
      <c r="BA46" s="183">
        <f t="shared" si="63"/>
        <v>0</v>
      </c>
      <c r="BB46" s="183">
        <f t="shared" si="63"/>
        <v>0</v>
      </c>
      <c r="BC46" s="183">
        <f t="shared" si="63"/>
        <v>0</v>
      </c>
      <c r="BD46" s="183">
        <f t="shared" si="63"/>
        <v>0</v>
      </c>
      <c r="BE46" s="183">
        <f t="shared" ref="BE46:CJ46" si="64">IF($X46=0,$E46*BD$41,0)</f>
        <v>0</v>
      </c>
      <c r="BF46" s="183">
        <f t="shared" si="64"/>
        <v>0</v>
      </c>
      <c r="BG46" s="183">
        <f t="shared" si="64"/>
        <v>0</v>
      </c>
      <c r="BH46" s="183">
        <f t="shared" si="64"/>
        <v>0</v>
      </c>
      <c r="BI46" s="183">
        <f t="shared" si="64"/>
        <v>0</v>
      </c>
      <c r="BJ46" s="183">
        <f t="shared" si="64"/>
        <v>0</v>
      </c>
      <c r="BK46" s="183">
        <f t="shared" si="64"/>
        <v>0</v>
      </c>
      <c r="BL46" s="183">
        <f t="shared" si="64"/>
        <v>0</v>
      </c>
      <c r="BM46" s="183">
        <f t="shared" si="64"/>
        <v>0</v>
      </c>
      <c r="BN46" s="183">
        <f t="shared" si="64"/>
        <v>0</v>
      </c>
      <c r="BO46" s="183">
        <f t="shared" si="64"/>
        <v>0</v>
      </c>
      <c r="BP46" s="183">
        <f t="shared" si="64"/>
        <v>0</v>
      </c>
      <c r="BQ46" s="183">
        <f t="shared" si="64"/>
        <v>0</v>
      </c>
      <c r="BR46" s="183">
        <f t="shared" si="64"/>
        <v>0</v>
      </c>
      <c r="BS46" s="183">
        <f t="shared" si="64"/>
        <v>0</v>
      </c>
      <c r="BT46" s="183">
        <f t="shared" si="64"/>
        <v>0</v>
      </c>
      <c r="BU46" s="183">
        <f t="shared" si="64"/>
        <v>0</v>
      </c>
      <c r="BV46" s="183">
        <f t="shared" si="64"/>
        <v>0</v>
      </c>
      <c r="BW46" s="183">
        <f t="shared" si="64"/>
        <v>0</v>
      </c>
      <c r="BX46" s="183">
        <f t="shared" si="64"/>
        <v>0</v>
      </c>
      <c r="BY46" s="183">
        <f t="shared" si="64"/>
        <v>0</v>
      </c>
      <c r="BZ46" s="183">
        <f t="shared" si="64"/>
        <v>0</v>
      </c>
      <c r="CA46" s="183">
        <f t="shared" si="64"/>
        <v>0</v>
      </c>
      <c r="CB46" s="183">
        <f t="shared" si="64"/>
        <v>0</v>
      </c>
      <c r="CC46" s="183">
        <f t="shared" si="64"/>
        <v>0</v>
      </c>
      <c r="CD46" s="183">
        <f t="shared" si="64"/>
        <v>0</v>
      </c>
      <c r="CE46" s="183">
        <f t="shared" si="64"/>
        <v>0</v>
      </c>
      <c r="CF46" s="183">
        <f t="shared" si="64"/>
        <v>0</v>
      </c>
      <c r="CG46" s="183">
        <f t="shared" si="64"/>
        <v>0</v>
      </c>
      <c r="CH46" s="183">
        <f t="shared" si="64"/>
        <v>0</v>
      </c>
      <c r="CI46" s="183">
        <f t="shared" si="64"/>
        <v>0</v>
      </c>
      <c r="CJ46" s="183">
        <f t="shared" si="64"/>
        <v>0</v>
      </c>
      <c r="CK46" s="183">
        <f t="shared" ref="CK46:DP46" si="65">IF($X46=0,$E46*CJ$41,0)</f>
        <v>0</v>
      </c>
      <c r="CL46" s="183">
        <f t="shared" si="65"/>
        <v>0</v>
      </c>
      <c r="CM46" s="183">
        <f t="shared" si="65"/>
        <v>0</v>
      </c>
      <c r="CN46" s="183">
        <f t="shared" si="65"/>
        <v>0</v>
      </c>
      <c r="CO46" s="183">
        <f t="shared" si="65"/>
        <v>0</v>
      </c>
      <c r="CP46" s="183">
        <f t="shared" si="65"/>
        <v>0</v>
      </c>
      <c r="CQ46" s="183">
        <f t="shared" si="65"/>
        <v>0</v>
      </c>
      <c r="CR46" s="183">
        <f t="shared" si="65"/>
        <v>0</v>
      </c>
      <c r="CS46" s="183">
        <f t="shared" si="65"/>
        <v>0</v>
      </c>
      <c r="CT46" s="183">
        <f t="shared" si="65"/>
        <v>0</v>
      </c>
      <c r="CU46" s="183">
        <f t="shared" si="65"/>
        <v>0</v>
      </c>
      <c r="CV46" s="183">
        <f t="shared" si="65"/>
        <v>0</v>
      </c>
      <c r="CW46" s="183">
        <f t="shared" si="65"/>
        <v>0</v>
      </c>
      <c r="CX46" s="183">
        <f t="shared" si="65"/>
        <v>0</v>
      </c>
      <c r="CY46" s="183">
        <f t="shared" si="65"/>
        <v>0</v>
      </c>
      <c r="CZ46" s="183">
        <f t="shared" si="65"/>
        <v>0</v>
      </c>
      <c r="DA46" s="183">
        <f t="shared" si="65"/>
        <v>0</v>
      </c>
      <c r="DB46" s="183">
        <f t="shared" si="65"/>
        <v>0</v>
      </c>
      <c r="DC46" s="183">
        <f t="shared" si="65"/>
        <v>0</v>
      </c>
      <c r="DD46" s="183">
        <f t="shared" si="65"/>
        <v>0</v>
      </c>
      <c r="DE46" s="183">
        <f t="shared" si="65"/>
        <v>0</v>
      </c>
      <c r="DF46" s="183">
        <f t="shared" si="65"/>
        <v>0</v>
      </c>
      <c r="DG46" s="183">
        <f t="shared" si="65"/>
        <v>0</v>
      </c>
      <c r="DH46" s="183">
        <f t="shared" si="65"/>
        <v>0</v>
      </c>
      <c r="DI46" s="183">
        <f t="shared" si="65"/>
        <v>0</v>
      </c>
      <c r="DJ46" s="183">
        <f t="shared" si="65"/>
        <v>0</v>
      </c>
      <c r="DK46" s="183">
        <f t="shared" si="65"/>
        <v>0</v>
      </c>
      <c r="DL46" s="183">
        <f t="shared" si="65"/>
        <v>0</v>
      </c>
      <c r="DM46" s="183">
        <f t="shared" si="65"/>
        <v>0</v>
      </c>
      <c r="DN46" s="183">
        <f t="shared" si="65"/>
        <v>0</v>
      </c>
      <c r="DO46" s="183">
        <f t="shared" si="65"/>
        <v>0</v>
      </c>
      <c r="DP46" s="183">
        <f t="shared" si="65"/>
        <v>0</v>
      </c>
      <c r="DQ46" s="183">
        <f t="shared" ref="DQ46:EZ46" si="66">IF($X46=0,$E46*DP$41,0)</f>
        <v>0</v>
      </c>
      <c r="DR46" s="183">
        <f t="shared" si="66"/>
        <v>0</v>
      </c>
      <c r="DS46" s="183">
        <f t="shared" si="66"/>
        <v>0</v>
      </c>
      <c r="DT46" s="183">
        <f t="shared" si="66"/>
        <v>0</v>
      </c>
      <c r="DU46" s="183">
        <f t="shared" si="66"/>
        <v>0</v>
      </c>
      <c r="DV46" s="183">
        <f t="shared" si="66"/>
        <v>0</v>
      </c>
      <c r="DW46" s="183">
        <f t="shared" si="66"/>
        <v>0</v>
      </c>
      <c r="DX46" s="183">
        <f t="shared" si="66"/>
        <v>0</v>
      </c>
      <c r="DY46" s="183">
        <f t="shared" si="66"/>
        <v>0</v>
      </c>
      <c r="DZ46" s="183">
        <f t="shared" si="66"/>
        <v>0</v>
      </c>
      <c r="EA46" s="183">
        <f t="shared" si="66"/>
        <v>0</v>
      </c>
      <c r="EB46" s="183">
        <f t="shared" si="66"/>
        <v>0</v>
      </c>
      <c r="EC46" s="183">
        <f t="shared" si="66"/>
        <v>0</v>
      </c>
      <c r="ED46" s="183">
        <f t="shared" si="66"/>
        <v>0</v>
      </c>
      <c r="EE46" s="183">
        <f t="shared" si="66"/>
        <v>0</v>
      </c>
      <c r="EF46" s="183">
        <f t="shared" si="66"/>
        <v>0</v>
      </c>
      <c r="EG46" s="183">
        <f t="shared" si="66"/>
        <v>0</v>
      </c>
      <c r="EH46" s="183">
        <f t="shared" si="66"/>
        <v>0</v>
      </c>
      <c r="EI46" s="183">
        <f t="shared" si="66"/>
        <v>0</v>
      </c>
      <c r="EJ46" s="183">
        <f t="shared" si="66"/>
        <v>0</v>
      </c>
      <c r="EK46" s="183">
        <f t="shared" si="66"/>
        <v>0</v>
      </c>
      <c r="EL46" s="183">
        <f t="shared" si="66"/>
        <v>0</v>
      </c>
      <c r="EM46" s="183">
        <f t="shared" si="66"/>
        <v>0</v>
      </c>
      <c r="EN46" s="183">
        <f t="shared" si="66"/>
        <v>0</v>
      </c>
      <c r="EO46" s="183">
        <f t="shared" si="66"/>
        <v>0</v>
      </c>
      <c r="EP46" s="183">
        <f t="shared" si="66"/>
        <v>0</v>
      </c>
      <c r="EQ46" s="183">
        <f t="shared" si="66"/>
        <v>0</v>
      </c>
      <c r="ER46" s="183">
        <f t="shared" si="66"/>
        <v>0</v>
      </c>
      <c r="ES46" s="183">
        <f t="shared" si="66"/>
        <v>0</v>
      </c>
      <c r="ET46" s="183">
        <f t="shared" si="66"/>
        <v>0</v>
      </c>
      <c r="EU46" s="183">
        <f t="shared" si="66"/>
        <v>0</v>
      </c>
      <c r="EV46" s="183">
        <f t="shared" si="66"/>
        <v>0</v>
      </c>
      <c r="EW46" s="183">
        <f t="shared" si="66"/>
        <v>0</v>
      </c>
      <c r="EX46" s="183">
        <f t="shared" si="66"/>
        <v>0</v>
      </c>
      <c r="EY46" s="183">
        <f t="shared" si="66"/>
        <v>0</v>
      </c>
      <c r="EZ46" s="183">
        <f t="shared" si="66"/>
        <v>0</v>
      </c>
      <c r="FA46" s="144"/>
      <c r="FB46" s="609" t="s">
        <v>243</v>
      </c>
      <c r="FC46" s="144"/>
      <c r="FD46" s="144"/>
      <c r="FE46" s="144"/>
      <c r="FF46" s="144"/>
      <c r="FG46" s="144"/>
      <c r="FH46" s="144"/>
      <c r="FI46" s="144"/>
      <c r="FJ46" s="144"/>
      <c r="FK46" s="144"/>
      <c r="FL46" s="144"/>
      <c r="FM46" s="144"/>
      <c r="FN46" s="144"/>
      <c r="FO46" s="144"/>
      <c r="FP46" s="144"/>
      <c r="FQ46" s="144"/>
      <c r="FR46" s="144"/>
      <c r="FS46" s="144"/>
      <c r="FT46" s="144"/>
      <c r="FU46" s="144"/>
      <c r="FV46" s="144"/>
      <c r="FW46" s="144"/>
      <c r="FX46" s="144"/>
      <c r="FY46" s="144"/>
      <c r="FZ46" s="144"/>
      <c r="GA46" s="144"/>
      <c r="GB46" s="144"/>
      <c r="GC46" s="144"/>
      <c r="GD46" s="144"/>
      <c r="GE46" s="144"/>
      <c r="GF46" s="144"/>
      <c r="GG46" s="144"/>
      <c r="GH46" s="144"/>
      <c r="GI46" s="144"/>
      <c r="GJ46" s="144"/>
      <c r="GK46" s="144"/>
      <c r="GL46" s="144"/>
      <c r="GM46" s="144"/>
      <c r="GN46" s="144"/>
      <c r="GO46" s="144"/>
      <c r="GP46" s="144"/>
      <c r="GQ46" s="144"/>
      <c r="GR46" s="144"/>
      <c r="GS46" s="144"/>
      <c r="GT46" s="144"/>
      <c r="GU46" s="144"/>
      <c r="GV46" s="144"/>
      <c r="GW46" s="144"/>
      <c r="GX46" s="144"/>
      <c r="GY46" s="144"/>
      <c r="GZ46" s="144"/>
      <c r="HA46" s="144"/>
      <c r="HB46" s="144"/>
      <c r="HC46" s="144"/>
      <c r="HD46" s="144"/>
      <c r="HE46" s="144"/>
      <c r="HF46" s="144"/>
      <c r="HG46" s="144"/>
      <c r="HH46" s="144"/>
      <c r="HI46" s="144"/>
      <c r="HJ46" s="144"/>
      <c r="HK46" s="144"/>
    </row>
    <row r="47" spans="1:219" s="158" customFormat="1" x14ac:dyDescent="0.2">
      <c r="A47" s="630"/>
      <c r="B47" s="638" t="s">
        <v>654</v>
      </c>
      <c r="C47" s="638"/>
      <c r="D47" s="443">
        <v>0</v>
      </c>
      <c r="E47" s="199">
        <f>IF(units=0,0,'Renovation Budget'!D47/'Unit Mix-Reno Schedule'!$AI$27)</f>
        <v>0</v>
      </c>
      <c r="F47" s="640">
        <v>1</v>
      </c>
      <c r="G47" s="640">
        <v>28</v>
      </c>
      <c r="H47" s="641">
        <f t="shared" si="44"/>
        <v>27</v>
      </c>
      <c r="I47" s="642"/>
      <c r="J47" s="643" t="s">
        <v>42</v>
      </c>
      <c r="K47" s="644"/>
      <c r="L47" s="183">
        <f t="shared" si="45"/>
        <v>0</v>
      </c>
      <c r="M47" s="183">
        <f t="shared" si="45"/>
        <v>0</v>
      </c>
      <c r="N47" s="183">
        <f t="shared" si="45"/>
        <v>0</v>
      </c>
      <c r="O47" s="183">
        <f t="shared" si="45"/>
        <v>0</v>
      </c>
      <c r="P47" s="183">
        <f t="shared" si="45"/>
        <v>0</v>
      </c>
      <c r="Q47" s="183">
        <f t="shared" si="45"/>
        <v>0</v>
      </c>
      <c r="R47" s="183">
        <f t="shared" si="45"/>
        <v>0</v>
      </c>
      <c r="S47" s="183">
        <f t="shared" si="45"/>
        <v>0</v>
      </c>
      <c r="T47" s="183">
        <f t="shared" si="45"/>
        <v>0</v>
      </c>
      <c r="U47" s="183">
        <f t="shared" si="45"/>
        <v>0</v>
      </c>
      <c r="V47" s="183">
        <f t="shared" si="45"/>
        <v>0</v>
      </c>
      <c r="W47" s="644"/>
      <c r="X47" s="183">
        <f t="shared" si="46"/>
        <v>0</v>
      </c>
      <c r="Y47" s="183">
        <f t="shared" ref="Y47:BD47" si="67">IF($X47=0,$E47*X$41,0)</f>
        <v>0</v>
      </c>
      <c r="Z47" s="183">
        <f t="shared" si="67"/>
        <v>0</v>
      </c>
      <c r="AA47" s="183">
        <f t="shared" si="67"/>
        <v>0</v>
      </c>
      <c r="AB47" s="183">
        <f t="shared" si="67"/>
        <v>0</v>
      </c>
      <c r="AC47" s="183">
        <f t="shared" si="67"/>
        <v>0</v>
      </c>
      <c r="AD47" s="183">
        <f t="shared" si="67"/>
        <v>0</v>
      </c>
      <c r="AE47" s="183">
        <f t="shared" si="67"/>
        <v>0</v>
      </c>
      <c r="AF47" s="183">
        <f t="shared" si="67"/>
        <v>0</v>
      </c>
      <c r="AG47" s="183">
        <f t="shared" si="67"/>
        <v>0</v>
      </c>
      <c r="AH47" s="183">
        <f t="shared" si="67"/>
        <v>0</v>
      </c>
      <c r="AI47" s="183">
        <f t="shared" si="67"/>
        <v>0</v>
      </c>
      <c r="AJ47" s="183">
        <f t="shared" si="67"/>
        <v>0</v>
      </c>
      <c r="AK47" s="183">
        <f t="shared" si="67"/>
        <v>0</v>
      </c>
      <c r="AL47" s="183">
        <f t="shared" si="67"/>
        <v>0</v>
      </c>
      <c r="AM47" s="183">
        <f t="shared" si="67"/>
        <v>0</v>
      </c>
      <c r="AN47" s="183">
        <f t="shared" si="67"/>
        <v>0</v>
      </c>
      <c r="AO47" s="183">
        <f t="shared" si="67"/>
        <v>0</v>
      </c>
      <c r="AP47" s="183">
        <f t="shared" si="67"/>
        <v>0</v>
      </c>
      <c r="AQ47" s="183">
        <f t="shared" si="67"/>
        <v>0</v>
      </c>
      <c r="AR47" s="183">
        <f t="shared" si="67"/>
        <v>0</v>
      </c>
      <c r="AS47" s="183">
        <f t="shared" si="67"/>
        <v>0</v>
      </c>
      <c r="AT47" s="183">
        <f t="shared" si="67"/>
        <v>0</v>
      </c>
      <c r="AU47" s="183">
        <f t="shared" si="67"/>
        <v>0</v>
      </c>
      <c r="AV47" s="183">
        <f t="shared" si="67"/>
        <v>0</v>
      </c>
      <c r="AW47" s="183">
        <f t="shared" si="67"/>
        <v>0</v>
      </c>
      <c r="AX47" s="183">
        <f t="shared" si="67"/>
        <v>0</v>
      </c>
      <c r="AY47" s="183">
        <f t="shared" si="67"/>
        <v>0</v>
      </c>
      <c r="AZ47" s="183">
        <f t="shared" si="67"/>
        <v>0</v>
      </c>
      <c r="BA47" s="183">
        <f t="shared" si="67"/>
        <v>0</v>
      </c>
      <c r="BB47" s="183">
        <f t="shared" si="67"/>
        <v>0</v>
      </c>
      <c r="BC47" s="183">
        <f t="shared" si="67"/>
        <v>0</v>
      </c>
      <c r="BD47" s="183">
        <f t="shared" si="67"/>
        <v>0</v>
      </c>
      <c r="BE47" s="183">
        <f t="shared" ref="BE47:CJ47" si="68">IF($X47=0,$E47*BD$41,0)</f>
        <v>0</v>
      </c>
      <c r="BF47" s="183">
        <f t="shared" si="68"/>
        <v>0</v>
      </c>
      <c r="BG47" s="183">
        <f t="shared" si="68"/>
        <v>0</v>
      </c>
      <c r="BH47" s="183">
        <f t="shared" si="68"/>
        <v>0</v>
      </c>
      <c r="BI47" s="183">
        <f t="shared" si="68"/>
        <v>0</v>
      </c>
      <c r="BJ47" s="183">
        <f t="shared" si="68"/>
        <v>0</v>
      </c>
      <c r="BK47" s="183">
        <f t="shared" si="68"/>
        <v>0</v>
      </c>
      <c r="BL47" s="183">
        <f t="shared" si="68"/>
        <v>0</v>
      </c>
      <c r="BM47" s="183">
        <f t="shared" si="68"/>
        <v>0</v>
      </c>
      <c r="BN47" s="183">
        <f t="shared" si="68"/>
        <v>0</v>
      </c>
      <c r="BO47" s="183">
        <f t="shared" si="68"/>
        <v>0</v>
      </c>
      <c r="BP47" s="183">
        <f t="shared" si="68"/>
        <v>0</v>
      </c>
      <c r="BQ47" s="183">
        <f t="shared" si="68"/>
        <v>0</v>
      </c>
      <c r="BR47" s="183">
        <f t="shared" si="68"/>
        <v>0</v>
      </c>
      <c r="BS47" s="183">
        <f t="shared" si="68"/>
        <v>0</v>
      </c>
      <c r="BT47" s="183">
        <f t="shared" si="68"/>
        <v>0</v>
      </c>
      <c r="BU47" s="183">
        <f t="shared" si="68"/>
        <v>0</v>
      </c>
      <c r="BV47" s="183">
        <f t="shared" si="68"/>
        <v>0</v>
      </c>
      <c r="BW47" s="183">
        <f t="shared" si="68"/>
        <v>0</v>
      </c>
      <c r="BX47" s="183">
        <f t="shared" si="68"/>
        <v>0</v>
      </c>
      <c r="BY47" s="183">
        <f t="shared" si="68"/>
        <v>0</v>
      </c>
      <c r="BZ47" s="183">
        <f t="shared" si="68"/>
        <v>0</v>
      </c>
      <c r="CA47" s="183">
        <f t="shared" si="68"/>
        <v>0</v>
      </c>
      <c r="CB47" s="183">
        <f t="shared" si="68"/>
        <v>0</v>
      </c>
      <c r="CC47" s="183">
        <f t="shared" si="68"/>
        <v>0</v>
      </c>
      <c r="CD47" s="183">
        <f t="shared" si="68"/>
        <v>0</v>
      </c>
      <c r="CE47" s="183">
        <f t="shared" si="68"/>
        <v>0</v>
      </c>
      <c r="CF47" s="183">
        <f t="shared" si="68"/>
        <v>0</v>
      </c>
      <c r="CG47" s="183">
        <f t="shared" si="68"/>
        <v>0</v>
      </c>
      <c r="CH47" s="183">
        <f t="shared" si="68"/>
        <v>0</v>
      </c>
      <c r="CI47" s="183">
        <f t="shared" si="68"/>
        <v>0</v>
      </c>
      <c r="CJ47" s="183">
        <f t="shared" si="68"/>
        <v>0</v>
      </c>
      <c r="CK47" s="183">
        <f t="shared" ref="CK47:DP47" si="69">IF($X47=0,$E47*CJ$41,0)</f>
        <v>0</v>
      </c>
      <c r="CL47" s="183">
        <f t="shared" si="69"/>
        <v>0</v>
      </c>
      <c r="CM47" s="183">
        <f t="shared" si="69"/>
        <v>0</v>
      </c>
      <c r="CN47" s="183">
        <f t="shared" si="69"/>
        <v>0</v>
      </c>
      <c r="CO47" s="183">
        <f t="shared" si="69"/>
        <v>0</v>
      </c>
      <c r="CP47" s="183">
        <f t="shared" si="69"/>
        <v>0</v>
      </c>
      <c r="CQ47" s="183">
        <f t="shared" si="69"/>
        <v>0</v>
      </c>
      <c r="CR47" s="183">
        <f t="shared" si="69"/>
        <v>0</v>
      </c>
      <c r="CS47" s="183">
        <f t="shared" si="69"/>
        <v>0</v>
      </c>
      <c r="CT47" s="183">
        <f t="shared" si="69"/>
        <v>0</v>
      </c>
      <c r="CU47" s="183">
        <f t="shared" si="69"/>
        <v>0</v>
      </c>
      <c r="CV47" s="183">
        <f t="shared" si="69"/>
        <v>0</v>
      </c>
      <c r="CW47" s="183">
        <f t="shared" si="69"/>
        <v>0</v>
      </c>
      <c r="CX47" s="183">
        <f t="shared" si="69"/>
        <v>0</v>
      </c>
      <c r="CY47" s="183">
        <f t="shared" si="69"/>
        <v>0</v>
      </c>
      <c r="CZ47" s="183">
        <f t="shared" si="69"/>
        <v>0</v>
      </c>
      <c r="DA47" s="183">
        <f t="shared" si="69"/>
        <v>0</v>
      </c>
      <c r="DB47" s="183">
        <f t="shared" si="69"/>
        <v>0</v>
      </c>
      <c r="DC47" s="183">
        <f t="shared" si="69"/>
        <v>0</v>
      </c>
      <c r="DD47" s="183">
        <f t="shared" si="69"/>
        <v>0</v>
      </c>
      <c r="DE47" s="183">
        <f t="shared" si="69"/>
        <v>0</v>
      </c>
      <c r="DF47" s="183">
        <f t="shared" si="69"/>
        <v>0</v>
      </c>
      <c r="DG47" s="183">
        <f t="shared" si="69"/>
        <v>0</v>
      </c>
      <c r="DH47" s="183">
        <f t="shared" si="69"/>
        <v>0</v>
      </c>
      <c r="DI47" s="183">
        <f t="shared" si="69"/>
        <v>0</v>
      </c>
      <c r="DJ47" s="183">
        <f t="shared" si="69"/>
        <v>0</v>
      </c>
      <c r="DK47" s="183">
        <f t="shared" si="69"/>
        <v>0</v>
      </c>
      <c r="DL47" s="183">
        <f t="shared" si="69"/>
        <v>0</v>
      </c>
      <c r="DM47" s="183">
        <f t="shared" si="69"/>
        <v>0</v>
      </c>
      <c r="DN47" s="183">
        <f t="shared" si="69"/>
        <v>0</v>
      </c>
      <c r="DO47" s="183">
        <f t="shared" si="69"/>
        <v>0</v>
      </c>
      <c r="DP47" s="183">
        <f t="shared" si="69"/>
        <v>0</v>
      </c>
      <c r="DQ47" s="183">
        <f t="shared" ref="DQ47:EZ47" si="70">IF($X47=0,$E47*DP$41,0)</f>
        <v>0</v>
      </c>
      <c r="DR47" s="183">
        <f t="shared" si="70"/>
        <v>0</v>
      </c>
      <c r="DS47" s="183">
        <f t="shared" si="70"/>
        <v>0</v>
      </c>
      <c r="DT47" s="183">
        <f t="shared" si="70"/>
        <v>0</v>
      </c>
      <c r="DU47" s="183">
        <f t="shared" si="70"/>
        <v>0</v>
      </c>
      <c r="DV47" s="183">
        <f t="shared" si="70"/>
        <v>0</v>
      </c>
      <c r="DW47" s="183">
        <f t="shared" si="70"/>
        <v>0</v>
      </c>
      <c r="DX47" s="183">
        <f t="shared" si="70"/>
        <v>0</v>
      </c>
      <c r="DY47" s="183">
        <f t="shared" si="70"/>
        <v>0</v>
      </c>
      <c r="DZ47" s="183">
        <f t="shared" si="70"/>
        <v>0</v>
      </c>
      <c r="EA47" s="183">
        <f t="shared" si="70"/>
        <v>0</v>
      </c>
      <c r="EB47" s="183">
        <f t="shared" si="70"/>
        <v>0</v>
      </c>
      <c r="EC47" s="183">
        <f t="shared" si="70"/>
        <v>0</v>
      </c>
      <c r="ED47" s="183">
        <f t="shared" si="70"/>
        <v>0</v>
      </c>
      <c r="EE47" s="183">
        <f t="shared" si="70"/>
        <v>0</v>
      </c>
      <c r="EF47" s="183">
        <f t="shared" si="70"/>
        <v>0</v>
      </c>
      <c r="EG47" s="183">
        <f t="shared" si="70"/>
        <v>0</v>
      </c>
      <c r="EH47" s="183">
        <f t="shared" si="70"/>
        <v>0</v>
      </c>
      <c r="EI47" s="183">
        <f t="shared" si="70"/>
        <v>0</v>
      </c>
      <c r="EJ47" s="183">
        <f t="shared" si="70"/>
        <v>0</v>
      </c>
      <c r="EK47" s="183">
        <f t="shared" si="70"/>
        <v>0</v>
      </c>
      <c r="EL47" s="183">
        <f t="shared" si="70"/>
        <v>0</v>
      </c>
      <c r="EM47" s="183">
        <f t="shared" si="70"/>
        <v>0</v>
      </c>
      <c r="EN47" s="183">
        <f t="shared" si="70"/>
        <v>0</v>
      </c>
      <c r="EO47" s="183">
        <f t="shared" si="70"/>
        <v>0</v>
      </c>
      <c r="EP47" s="183">
        <f t="shared" si="70"/>
        <v>0</v>
      </c>
      <c r="EQ47" s="183">
        <f t="shared" si="70"/>
        <v>0</v>
      </c>
      <c r="ER47" s="183">
        <f t="shared" si="70"/>
        <v>0</v>
      </c>
      <c r="ES47" s="183">
        <f t="shared" si="70"/>
        <v>0</v>
      </c>
      <c r="ET47" s="183">
        <f t="shared" si="70"/>
        <v>0</v>
      </c>
      <c r="EU47" s="183">
        <f t="shared" si="70"/>
        <v>0</v>
      </c>
      <c r="EV47" s="183">
        <f t="shared" si="70"/>
        <v>0</v>
      </c>
      <c r="EW47" s="183">
        <f t="shared" si="70"/>
        <v>0</v>
      </c>
      <c r="EX47" s="183">
        <f t="shared" si="70"/>
        <v>0</v>
      </c>
      <c r="EY47" s="183">
        <f t="shared" si="70"/>
        <v>0</v>
      </c>
      <c r="EZ47" s="183">
        <f t="shared" si="70"/>
        <v>0</v>
      </c>
      <c r="FA47" s="144"/>
      <c r="FB47" s="609" t="s">
        <v>243</v>
      </c>
      <c r="FC47" s="144"/>
      <c r="FD47" s="144"/>
      <c r="FE47" s="144"/>
      <c r="FF47" s="144"/>
      <c r="FG47" s="144"/>
      <c r="FH47" s="144"/>
      <c r="FI47" s="144"/>
      <c r="FJ47" s="144"/>
      <c r="FK47" s="144"/>
      <c r="FL47" s="144"/>
      <c r="FM47" s="144"/>
      <c r="FN47" s="144"/>
      <c r="FO47" s="144"/>
      <c r="FP47" s="144"/>
      <c r="FQ47" s="144"/>
      <c r="FR47" s="144"/>
      <c r="FS47" s="144"/>
      <c r="FT47" s="144"/>
      <c r="FU47" s="144"/>
      <c r="FV47" s="144"/>
      <c r="FW47" s="144"/>
      <c r="FX47" s="144"/>
      <c r="FY47" s="144"/>
      <c r="FZ47" s="144"/>
      <c r="GA47" s="144"/>
      <c r="GB47" s="144"/>
      <c r="GC47" s="144"/>
      <c r="GD47" s="144"/>
      <c r="GE47" s="144"/>
      <c r="GF47" s="144"/>
      <c r="GG47" s="144"/>
      <c r="GH47" s="144"/>
      <c r="GI47" s="144"/>
      <c r="GJ47" s="144"/>
      <c r="GK47" s="144"/>
      <c r="GL47" s="144"/>
      <c r="GM47" s="144"/>
      <c r="GN47" s="144"/>
      <c r="GO47" s="144"/>
      <c r="GP47" s="144"/>
      <c r="GQ47" s="144"/>
      <c r="GR47" s="144"/>
      <c r="GS47" s="144"/>
      <c r="GT47" s="144"/>
      <c r="GU47" s="144"/>
      <c r="GV47" s="144"/>
      <c r="GW47" s="144"/>
      <c r="GX47" s="144"/>
      <c r="GY47" s="144"/>
      <c r="GZ47" s="144"/>
      <c r="HA47" s="144"/>
      <c r="HB47" s="144"/>
      <c r="HC47" s="144"/>
      <c r="HD47" s="144"/>
      <c r="HE47" s="144"/>
      <c r="HF47" s="144"/>
      <c r="HG47" s="144"/>
      <c r="HH47" s="144"/>
      <c r="HI47" s="144"/>
      <c r="HJ47" s="144"/>
      <c r="HK47" s="144"/>
    </row>
    <row r="48" spans="1:219" s="158" customFormat="1" x14ac:dyDescent="0.2">
      <c r="A48" s="630"/>
      <c r="B48" s="638" t="s">
        <v>655</v>
      </c>
      <c r="C48" s="638"/>
      <c r="D48" s="443">
        <v>0</v>
      </c>
      <c r="E48" s="199">
        <f>IF(units=0,0,'Renovation Budget'!D48/'Unit Mix-Reno Schedule'!$AI$27)</f>
        <v>0</v>
      </c>
      <c r="F48" s="640">
        <v>1</v>
      </c>
      <c r="G48" s="640">
        <v>28</v>
      </c>
      <c r="H48" s="641">
        <f t="shared" si="44"/>
        <v>27</v>
      </c>
      <c r="I48" s="642"/>
      <c r="J48" s="643" t="s">
        <v>42</v>
      </c>
      <c r="K48" s="644"/>
      <c r="L48" s="183">
        <f t="shared" si="45"/>
        <v>0</v>
      </c>
      <c r="M48" s="183">
        <f t="shared" si="45"/>
        <v>0</v>
      </c>
      <c r="N48" s="183">
        <f t="shared" si="45"/>
        <v>0</v>
      </c>
      <c r="O48" s="183">
        <f t="shared" si="45"/>
        <v>0</v>
      </c>
      <c r="P48" s="183">
        <f t="shared" si="45"/>
        <v>0</v>
      </c>
      <c r="Q48" s="183">
        <f t="shared" si="45"/>
        <v>0</v>
      </c>
      <c r="R48" s="183">
        <f t="shared" si="45"/>
        <v>0</v>
      </c>
      <c r="S48" s="183">
        <f t="shared" si="45"/>
        <v>0</v>
      </c>
      <c r="T48" s="183">
        <f t="shared" si="45"/>
        <v>0</v>
      </c>
      <c r="U48" s="183">
        <f t="shared" si="45"/>
        <v>0</v>
      </c>
      <c r="V48" s="183">
        <f t="shared" si="45"/>
        <v>0</v>
      </c>
      <c r="W48" s="644"/>
      <c r="X48" s="183">
        <f t="shared" si="46"/>
        <v>0</v>
      </c>
      <c r="Y48" s="183">
        <f t="shared" ref="Y48:BD48" si="71">IF($X48=0,$E48*X$41,0)</f>
        <v>0</v>
      </c>
      <c r="Z48" s="183">
        <f t="shared" si="71"/>
        <v>0</v>
      </c>
      <c r="AA48" s="183">
        <f t="shared" si="71"/>
        <v>0</v>
      </c>
      <c r="AB48" s="183">
        <f t="shared" si="71"/>
        <v>0</v>
      </c>
      <c r="AC48" s="183">
        <f t="shared" si="71"/>
        <v>0</v>
      </c>
      <c r="AD48" s="183">
        <f t="shared" si="71"/>
        <v>0</v>
      </c>
      <c r="AE48" s="183">
        <f t="shared" si="71"/>
        <v>0</v>
      </c>
      <c r="AF48" s="183">
        <f t="shared" si="71"/>
        <v>0</v>
      </c>
      <c r="AG48" s="183">
        <f t="shared" si="71"/>
        <v>0</v>
      </c>
      <c r="AH48" s="183">
        <f t="shared" si="71"/>
        <v>0</v>
      </c>
      <c r="AI48" s="183">
        <f t="shared" si="71"/>
        <v>0</v>
      </c>
      <c r="AJ48" s="183">
        <f t="shared" si="71"/>
        <v>0</v>
      </c>
      <c r="AK48" s="183">
        <f t="shared" si="71"/>
        <v>0</v>
      </c>
      <c r="AL48" s="183">
        <f t="shared" si="71"/>
        <v>0</v>
      </c>
      <c r="AM48" s="183">
        <f t="shared" si="71"/>
        <v>0</v>
      </c>
      <c r="AN48" s="183">
        <f t="shared" si="71"/>
        <v>0</v>
      </c>
      <c r="AO48" s="183">
        <f t="shared" si="71"/>
        <v>0</v>
      </c>
      <c r="AP48" s="183">
        <f t="shared" si="71"/>
        <v>0</v>
      </c>
      <c r="AQ48" s="183">
        <f t="shared" si="71"/>
        <v>0</v>
      </c>
      <c r="AR48" s="183">
        <f t="shared" si="71"/>
        <v>0</v>
      </c>
      <c r="AS48" s="183">
        <f t="shared" si="71"/>
        <v>0</v>
      </c>
      <c r="AT48" s="183">
        <f t="shared" si="71"/>
        <v>0</v>
      </c>
      <c r="AU48" s="183">
        <f t="shared" si="71"/>
        <v>0</v>
      </c>
      <c r="AV48" s="183">
        <f t="shared" si="71"/>
        <v>0</v>
      </c>
      <c r="AW48" s="183">
        <f t="shared" si="71"/>
        <v>0</v>
      </c>
      <c r="AX48" s="183">
        <f t="shared" si="71"/>
        <v>0</v>
      </c>
      <c r="AY48" s="183">
        <f t="shared" si="71"/>
        <v>0</v>
      </c>
      <c r="AZ48" s="183">
        <f t="shared" si="71"/>
        <v>0</v>
      </c>
      <c r="BA48" s="183">
        <f t="shared" si="71"/>
        <v>0</v>
      </c>
      <c r="BB48" s="183">
        <f t="shared" si="71"/>
        <v>0</v>
      </c>
      <c r="BC48" s="183">
        <f t="shared" si="71"/>
        <v>0</v>
      </c>
      <c r="BD48" s="183">
        <f t="shared" si="71"/>
        <v>0</v>
      </c>
      <c r="BE48" s="183">
        <f t="shared" ref="BE48:CJ48" si="72">IF($X48=0,$E48*BD$41,0)</f>
        <v>0</v>
      </c>
      <c r="BF48" s="183">
        <f t="shared" si="72"/>
        <v>0</v>
      </c>
      <c r="BG48" s="183">
        <f t="shared" si="72"/>
        <v>0</v>
      </c>
      <c r="BH48" s="183">
        <f t="shared" si="72"/>
        <v>0</v>
      </c>
      <c r="BI48" s="183">
        <f t="shared" si="72"/>
        <v>0</v>
      </c>
      <c r="BJ48" s="183">
        <f t="shared" si="72"/>
        <v>0</v>
      </c>
      <c r="BK48" s="183">
        <f t="shared" si="72"/>
        <v>0</v>
      </c>
      <c r="BL48" s="183">
        <f t="shared" si="72"/>
        <v>0</v>
      </c>
      <c r="BM48" s="183">
        <f t="shared" si="72"/>
        <v>0</v>
      </c>
      <c r="BN48" s="183">
        <f t="shared" si="72"/>
        <v>0</v>
      </c>
      <c r="BO48" s="183">
        <f t="shared" si="72"/>
        <v>0</v>
      </c>
      <c r="BP48" s="183">
        <f t="shared" si="72"/>
        <v>0</v>
      </c>
      <c r="BQ48" s="183">
        <f t="shared" si="72"/>
        <v>0</v>
      </c>
      <c r="BR48" s="183">
        <f t="shared" si="72"/>
        <v>0</v>
      </c>
      <c r="BS48" s="183">
        <f t="shared" si="72"/>
        <v>0</v>
      </c>
      <c r="BT48" s="183">
        <f t="shared" si="72"/>
        <v>0</v>
      </c>
      <c r="BU48" s="183">
        <f t="shared" si="72"/>
        <v>0</v>
      </c>
      <c r="BV48" s="183">
        <f t="shared" si="72"/>
        <v>0</v>
      </c>
      <c r="BW48" s="183">
        <f t="shared" si="72"/>
        <v>0</v>
      </c>
      <c r="BX48" s="183">
        <f t="shared" si="72"/>
        <v>0</v>
      </c>
      <c r="BY48" s="183">
        <f t="shared" si="72"/>
        <v>0</v>
      </c>
      <c r="BZ48" s="183">
        <f t="shared" si="72"/>
        <v>0</v>
      </c>
      <c r="CA48" s="183">
        <f t="shared" si="72"/>
        <v>0</v>
      </c>
      <c r="CB48" s="183">
        <f t="shared" si="72"/>
        <v>0</v>
      </c>
      <c r="CC48" s="183">
        <f t="shared" si="72"/>
        <v>0</v>
      </c>
      <c r="CD48" s="183">
        <f t="shared" si="72"/>
        <v>0</v>
      </c>
      <c r="CE48" s="183">
        <f t="shared" si="72"/>
        <v>0</v>
      </c>
      <c r="CF48" s="183">
        <f t="shared" si="72"/>
        <v>0</v>
      </c>
      <c r="CG48" s="183">
        <f t="shared" si="72"/>
        <v>0</v>
      </c>
      <c r="CH48" s="183">
        <f t="shared" si="72"/>
        <v>0</v>
      </c>
      <c r="CI48" s="183">
        <f t="shared" si="72"/>
        <v>0</v>
      </c>
      <c r="CJ48" s="183">
        <f t="shared" si="72"/>
        <v>0</v>
      </c>
      <c r="CK48" s="183">
        <f t="shared" ref="CK48:DP48" si="73">IF($X48=0,$E48*CJ$41,0)</f>
        <v>0</v>
      </c>
      <c r="CL48" s="183">
        <f t="shared" si="73"/>
        <v>0</v>
      </c>
      <c r="CM48" s="183">
        <f t="shared" si="73"/>
        <v>0</v>
      </c>
      <c r="CN48" s="183">
        <f t="shared" si="73"/>
        <v>0</v>
      </c>
      <c r="CO48" s="183">
        <f t="shared" si="73"/>
        <v>0</v>
      </c>
      <c r="CP48" s="183">
        <f t="shared" si="73"/>
        <v>0</v>
      </c>
      <c r="CQ48" s="183">
        <f t="shared" si="73"/>
        <v>0</v>
      </c>
      <c r="CR48" s="183">
        <f t="shared" si="73"/>
        <v>0</v>
      </c>
      <c r="CS48" s="183">
        <f t="shared" si="73"/>
        <v>0</v>
      </c>
      <c r="CT48" s="183">
        <f t="shared" si="73"/>
        <v>0</v>
      </c>
      <c r="CU48" s="183">
        <f t="shared" si="73"/>
        <v>0</v>
      </c>
      <c r="CV48" s="183">
        <f t="shared" si="73"/>
        <v>0</v>
      </c>
      <c r="CW48" s="183">
        <f t="shared" si="73"/>
        <v>0</v>
      </c>
      <c r="CX48" s="183">
        <f t="shared" si="73"/>
        <v>0</v>
      </c>
      <c r="CY48" s="183">
        <f t="shared" si="73"/>
        <v>0</v>
      </c>
      <c r="CZ48" s="183">
        <f t="shared" si="73"/>
        <v>0</v>
      </c>
      <c r="DA48" s="183">
        <f t="shared" si="73"/>
        <v>0</v>
      </c>
      <c r="DB48" s="183">
        <f t="shared" si="73"/>
        <v>0</v>
      </c>
      <c r="DC48" s="183">
        <f t="shared" si="73"/>
        <v>0</v>
      </c>
      <c r="DD48" s="183">
        <f t="shared" si="73"/>
        <v>0</v>
      </c>
      <c r="DE48" s="183">
        <f t="shared" si="73"/>
        <v>0</v>
      </c>
      <c r="DF48" s="183">
        <f t="shared" si="73"/>
        <v>0</v>
      </c>
      <c r="DG48" s="183">
        <f t="shared" si="73"/>
        <v>0</v>
      </c>
      <c r="DH48" s="183">
        <f t="shared" si="73"/>
        <v>0</v>
      </c>
      <c r="DI48" s="183">
        <f t="shared" si="73"/>
        <v>0</v>
      </c>
      <c r="DJ48" s="183">
        <f t="shared" si="73"/>
        <v>0</v>
      </c>
      <c r="DK48" s="183">
        <f t="shared" si="73"/>
        <v>0</v>
      </c>
      <c r="DL48" s="183">
        <f t="shared" si="73"/>
        <v>0</v>
      </c>
      <c r="DM48" s="183">
        <f t="shared" si="73"/>
        <v>0</v>
      </c>
      <c r="DN48" s="183">
        <f t="shared" si="73"/>
        <v>0</v>
      </c>
      <c r="DO48" s="183">
        <f t="shared" si="73"/>
        <v>0</v>
      </c>
      <c r="DP48" s="183">
        <f t="shared" si="73"/>
        <v>0</v>
      </c>
      <c r="DQ48" s="183">
        <f t="shared" ref="DQ48:EZ48" si="74">IF($X48=0,$E48*DP$41,0)</f>
        <v>0</v>
      </c>
      <c r="DR48" s="183">
        <f t="shared" si="74"/>
        <v>0</v>
      </c>
      <c r="DS48" s="183">
        <f t="shared" si="74"/>
        <v>0</v>
      </c>
      <c r="DT48" s="183">
        <f t="shared" si="74"/>
        <v>0</v>
      </c>
      <c r="DU48" s="183">
        <f t="shared" si="74"/>
        <v>0</v>
      </c>
      <c r="DV48" s="183">
        <f t="shared" si="74"/>
        <v>0</v>
      </c>
      <c r="DW48" s="183">
        <f t="shared" si="74"/>
        <v>0</v>
      </c>
      <c r="DX48" s="183">
        <f t="shared" si="74"/>
        <v>0</v>
      </c>
      <c r="DY48" s="183">
        <f t="shared" si="74"/>
        <v>0</v>
      </c>
      <c r="DZ48" s="183">
        <f t="shared" si="74"/>
        <v>0</v>
      </c>
      <c r="EA48" s="183">
        <f t="shared" si="74"/>
        <v>0</v>
      </c>
      <c r="EB48" s="183">
        <f t="shared" si="74"/>
        <v>0</v>
      </c>
      <c r="EC48" s="183">
        <f t="shared" si="74"/>
        <v>0</v>
      </c>
      <c r="ED48" s="183">
        <f t="shared" si="74"/>
        <v>0</v>
      </c>
      <c r="EE48" s="183">
        <f t="shared" si="74"/>
        <v>0</v>
      </c>
      <c r="EF48" s="183">
        <f t="shared" si="74"/>
        <v>0</v>
      </c>
      <c r="EG48" s="183">
        <f t="shared" si="74"/>
        <v>0</v>
      </c>
      <c r="EH48" s="183">
        <f t="shared" si="74"/>
        <v>0</v>
      </c>
      <c r="EI48" s="183">
        <f t="shared" si="74"/>
        <v>0</v>
      </c>
      <c r="EJ48" s="183">
        <f t="shared" si="74"/>
        <v>0</v>
      </c>
      <c r="EK48" s="183">
        <f t="shared" si="74"/>
        <v>0</v>
      </c>
      <c r="EL48" s="183">
        <f t="shared" si="74"/>
        <v>0</v>
      </c>
      <c r="EM48" s="183">
        <f t="shared" si="74"/>
        <v>0</v>
      </c>
      <c r="EN48" s="183">
        <f t="shared" si="74"/>
        <v>0</v>
      </c>
      <c r="EO48" s="183">
        <f t="shared" si="74"/>
        <v>0</v>
      </c>
      <c r="EP48" s="183">
        <f t="shared" si="74"/>
        <v>0</v>
      </c>
      <c r="EQ48" s="183">
        <f t="shared" si="74"/>
        <v>0</v>
      </c>
      <c r="ER48" s="183">
        <f t="shared" si="74"/>
        <v>0</v>
      </c>
      <c r="ES48" s="183">
        <f t="shared" si="74"/>
        <v>0</v>
      </c>
      <c r="ET48" s="183">
        <f t="shared" si="74"/>
        <v>0</v>
      </c>
      <c r="EU48" s="183">
        <f t="shared" si="74"/>
        <v>0</v>
      </c>
      <c r="EV48" s="183">
        <f t="shared" si="74"/>
        <v>0</v>
      </c>
      <c r="EW48" s="183">
        <f t="shared" si="74"/>
        <v>0</v>
      </c>
      <c r="EX48" s="183">
        <f t="shared" si="74"/>
        <v>0</v>
      </c>
      <c r="EY48" s="183">
        <f t="shared" si="74"/>
        <v>0</v>
      </c>
      <c r="EZ48" s="183">
        <f t="shared" si="74"/>
        <v>0</v>
      </c>
      <c r="FA48" s="144"/>
      <c r="FB48" s="609" t="s">
        <v>243</v>
      </c>
      <c r="FC48" s="144"/>
      <c r="FD48" s="144"/>
      <c r="FE48" s="144"/>
      <c r="FF48" s="144"/>
      <c r="FG48" s="144"/>
      <c r="FH48" s="144"/>
      <c r="FI48" s="144"/>
      <c r="FJ48" s="144"/>
      <c r="FK48" s="144"/>
      <c r="FL48" s="144"/>
      <c r="FM48" s="144"/>
      <c r="FN48" s="144"/>
      <c r="FO48" s="144"/>
      <c r="FP48" s="144"/>
      <c r="FQ48" s="144"/>
      <c r="FR48" s="144"/>
      <c r="FS48" s="144"/>
      <c r="FT48" s="144"/>
      <c r="FU48" s="144"/>
      <c r="FV48" s="144"/>
      <c r="FW48" s="144"/>
      <c r="FX48" s="144"/>
      <c r="FY48" s="144"/>
      <c r="FZ48" s="144"/>
      <c r="GA48" s="144"/>
      <c r="GB48" s="144"/>
      <c r="GC48" s="144"/>
      <c r="GD48" s="144"/>
      <c r="GE48" s="144"/>
      <c r="GF48" s="144"/>
      <c r="GG48" s="144"/>
      <c r="GH48" s="144"/>
      <c r="GI48" s="144"/>
      <c r="GJ48" s="144"/>
      <c r="GK48" s="144"/>
      <c r="GL48" s="144"/>
      <c r="GM48" s="144"/>
      <c r="GN48" s="144"/>
      <c r="GO48" s="144"/>
      <c r="GP48" s="144"/>
      <c r="GQ48" s="144"/>
      <c r="GR48" s="144"/>
      <c r="GS48" s="144"/>
      <c r="GT48" s="144"/>
      <c r="GU48" s="144"/>
      <c r="GV48" s="144"/>
      <c r="GW48" s="144"/>
      <c r="GX48" s="144"/>
      <c r="GY48" s="144"/>
      <c r="GZ48" s="144"/>
      <c r="HA48" s="144"/>
      <c r="HB48" s="144"/>
      <c r="HC48" s="144"/>
      <c r="HD48" s="144"/>
      <c r="HE48" s="144"/>
      <c r="HF48" s="144"/>
      <c r="HG48" s="144"/>
      <c r="HH48" s="144"/>
      <c r="HI48" s="144"/>
      <c r="HJ48" s="144"/>
      <c r="HK48" s="144"/>
    </row>
    <row r="49" spans="1:219" s="158" customFormat="1" x14ac:dyDescent="0.2">
      <c r="A49" s="630"/>
      <c r="B49" s="638" t="s">
        <v>656</v>
      </c>
      <c r="C49" s="638"/>
      <c r="D49" s="443">
        <v>0</v>
      </c>
      <c r="E49" s="199">
        <f>IF(units=0,0,'Renovation Budget'!D49/'Unit Mix-Reno Schedule'!$AI$27)</f>
        <v>0</v>
      </c>
      <c r="F49" s="640">
        <v>1</v>
      </c>
      <c r="G49" s="640">
        <v>28</v>
      </c>
      <c r="H49" s="641">
        <f t="shared" si="44"/>
        <v>27</v>
      </c>
      <c r="I49" s="642"/>
      <c r="J49" s="643" t="s">
        <v>42</v>
      </c>
      <c r="K49" s="644"/>
      <c r="L49" s="183">
        <f t="shared" si="45"/>
        <v>0</v>
      </c>
      <c r="M49" s="183">
        <f t="shared" si="45"/>
        <v>0</v>
      </c>
      <c r="N49" s="183">
        <f t="shared" si="45"/>
        <v>0</v>
      </c>
      <c r="O49" s="183">
        <f t="shared" si="45"/>
        <v>0</v>
      </c>
      <c r="P49" s="183">
        <f t="shared" si="45"/>
        <v>0</v>
      </c>
      <c r="Q49" s="183">
        <f t="shared" si="45"/>
        <v>0</v>
      </c>
      <c r="R49" s="183">
        <f t="shared" si="45"/>
        <v>0</v>
      </c>
      <c r="S49" s="183">
        <f t="shared" si="45"/>
        <v>0</v>
      </c>
      <c r="T49" s="183">
        <f t="shared" si="45"/>
        <v>0</v>
      </c>
      <c r="U49" s="183">
        <f t="shared" si="45"/>
        <v>0</v>
      </c>
      <c r="V49" s="183">
        <f t="shared" si="45"/>
        <v>0</v>
      </c>
      <c r="W49" s="644"/>
      <c r="X49" s="183">
        <f t="shared" si="46"/>
        <v>0</v>
      </c>
      <c r="Y49" s="183">
        <f t="shared" ref="Y49:BD49" si="75">IF($X49=0,$E49*X$41,0)</f>
        <v>0</v>
      </c>
      <c r="Z49" s="183">
        <f t="shared" si="75"/>
        <v>0</v>
      </c>
      <c r="AA49" s="183">
        <f t="shared" si="75"/>
        <v>0</v>
      </c>
      <c r="AB49" s="183">
        <f t="shared" si="75"/>
        <v>0</v>
      </c>
      <c r="AC49" s="183">
        <f t="shared" si="75"/>
        <v>0</v>
      </c>
      <c r="AD49" s="183">
        <f t="shared" si="75"/>
        <v>0</v>
      </c>
      <c r="AE49" s="183">
        <f t="shared" si="75"/>
        <v>0</v>
      </c>
      <c r="AF49" s="183">
        <f t="shared" si="75"/>
        <v>0</v>
      </c>
      <c r="AG49" s="183">
        <f t="shared" si="75"/>
        <v>0</v>
      </c>
      <c r="AH49" s="183">
        <f t="shared" si="75"/>
        <v>0</v>
      </c>
      <c r="AI49" s="183">
        <f t="shared" si="75"/>
        <v>0</v>
      </c>
      <c r="AJ49" s="183">
        <f t="shared" si="75"/>
        <v>0</v>
      </c>
      <c r="AK49" s="183">
        <f t="shared" si="75"/>
        <v>0</v>
      </c>
      <c r="AL49" s="183">
        <f t="shared" si="75"/>
        <v>0</v>
      </c>
      <c r="AM49" s="183">
        <f t="shared" si="75"/>
        <v>0</v>
      </c>
      <c r="AN49" s="183">
        <f t="shared" si="75"/>
        <v>0</v>
      </c>
      <c r="AO49" s="183">
        <f t="shared" si="75"/>
        <v>0</v>
      </c>
      <c r="AP49" s="183">
        <f t="shared" si="75"/>
        <v>0</v>
      </c>
      <c r="AQ49" s="183">
        <f t="shared" si="75"/>
        <v>0</v>
      </c>
      <c r="AR49" s="183">
        <f t="shared" si="75"/>
        <v>0</v>
      </c>
      <c r="AS49" s="183">
        <f t="shared" si="75"/>
        <v>0</v>
      </c>
      <c r="AT49" s="183">
        <f t="shared" si="75"/>
        <v>0</v>
      </c>
      <c r="AU49" s="183">
        <f t="shared" si="75"/>
        <v>0</v>
      </c>
      <c r="AV49" s="183">
        <f t="shared" si="75"/>
        <v>0</v>
      </c>
      <c r="AW49" s="183">
        <f t="shared" si="75"/>
        <v>0</v>
      </c>
      <c r="AX49" s="183">
        <f t="shared" si="75"/>
        <v>0</v>
      </c>
      <c r="AY49" s="183">
        <f t="shared" si="75"/>
        <v>0</v>
      </c>
      <c r="AZ49" s="183">
        <f t="shared" si="75"/>
        <v>0</v>
      </c>
      <c r="BA49" s="183">
        <f t="shared" si="75"/>
        <v>0</v>
      </c>
      <c r="BB49" s="183">
        <f t="shared" si="75"/>
        <v>0</v>
      </c>
      <c r="BC49" s="183">
        <f t="shared" si="75"/>
        <v>0</v>
      </c>
      <c r="BD49" s="183">
        <f t="shared" si="75"/>
        <v>0</v>
      </c>
      <c r="BE49" s="183">
        <f t="shared" ref="BE49:CJ49" si="76">IF($X49=0,$E49*BD$41,0)</f>
        <v>0</v>
      </c>
      <c r="BF49" s="183">
        <f t="shared" si="76"/>
        <v>0</v>
      </c>
      <c r="BG49" s="183">
        <f t="shared" si="76"/>
        <v>0</v>
      </c>
      <c r="BH49" s="183">
        <f t="shared" si="76"/>
        <v>0</v>
      </c>
      <c r="BI49" s="183">
        <f t="shared" si="76"/>
        <v>0</v>
      </c>
      <c r="BJ49" s="183">
        <f t="shared" si="76"/>
        <v>0</v>
      </c>
      <c r="BK49" s="183">
        <f t="shared" si="76"/>
        <v>0</v>
      </c>
      <c r="BL49" s="183">
        <f t="shared" si="76"/>
        <v>0</v>
      </c>
      <c r="BM49" s="183">
        <f t="shared" si="76"/>
        <v>0</v>
      </c>
      <c r="BN49" s="183">
        <f t="shared" si="76"/>
        <v>0</v>
      </c>
      <c r="BO49" s="183">
        <f t="shared" si="76"/>
        <v>0</v>
      </c>
      <c r="BP49" s="183">
        <f t="shared" si="76"/>
        <v>0</v>
      </c>
      <c r="BQ49" s="183">
        <f t="shared" si="76"/>
        <v>0</v>
      </c>
      <c r="BR49" s="183">
        <f t="shared" si="76"/>
        <v>0</v>
      </c>
      <c r="BS49" s="183">
        <f t="shared" si="76"/>
        <v>0</v>
      </c>
      <c r="BT49" s="183">
        <f t="shared" si="76"/>
        <v>0</v>
      </c>
      <c r="BU49" s="183">
        <f t="shared" si="76"/>
        <v>0</v>
      </c>
      <c r="BV49" s="183">
        <f t="shared" si="76"/>
        <v>0</v>
      </c>
      <c r="BW49" s="183">
        <f t="shared" si="76"/>
        <v>0</v>
      </c>
      <c r="BX49" s="183">
        <f t="shared" si="76"/>
        <v>0</v>
      </c>
      <c r="BY49" s="183">
        <f t="shared" si="76"/>
        <v>0</v>
      </c>
      <c r="BZ49" s="183">
        <f t="shared" si="76"/>
        <v>0</v>
      </c>
      <c r="CA49" s="183">
        <f t="shared" si="76"/>
        <v>0</v>
      </c>
      <c r="CB49" s="183">
        <f t="shared" si="76"/>
        <v>0</v>
      </c>
      <c r="CC49" s="183">
        <f t="shared" si="76"/>
        <v>0</v>
      </c>
      <c r="CD49" s="183">
        <f t="shared" si="76"/>
        <v>0</v>
      </c>
      <c r="CE49" s="183">
        <f t="shared" si="76"/>
        <v>0</v>
      </c>
      <c r="CF49" s="183">
        <f t="shared" si="76"/>
        <v>0</v>
      </c>
      <c r="CG49" s="183">
        <f t="shared" si="76"/>
        <v>0</v>
      </c>
      <c r="CH49" s="183">
        <f t="shared" si="76"/>
        <v>0</v>
      </c>
      <c r="CI49" s="183">
        <f t="shared" si="76"/>
        <v>0</v>
      </c>
      <c r="CJ49" s="183">
        <f t="shared" si="76"/>
        <v>0</v>
      </c>
      <c r="CK49" s="183">
        <f t="shared" ref="CK49:DP49" si="77">IF($X49=0,$E49*CJ$41,0)</f>
        <v>0</v>
      </c>
      <c r="CL49" s="183">
        <f t="shared" si="77"/>
        <v>0</v>
      </c>
      <c r="CM49" s="183">
        <f t="shared" si="77"/>
        <v>0</v>
      </c>
      <c r="CN49" s="183">
        <f t="shared" si="77"/>
        <v>0</v>
      </c>
      <c r="CO49" s="183">
        <f t="shared" si="77"/>
        <v>0</v>
      </c>
      <c r="CP49" s="183">
        <f t="shared" si="77"/>
        <v>0</v>
      </c>
      <c r="CQ49" s="183">
        <f t="shared" si="77"/>
        <v>0</v>
      </c>
      <c r="CR49" s="183">
        <f t="shared" si="77"/>
        <v>0</v>
      </c>
      <c r="CS49" s="183">
        <f t="shared" si="77"/>
        <v>0</v>
      </c>
      <c r="CT49" s="183">
        <f t="shared" si="77"/>
        <v>0</v>
      </c>
      <c r="CU49" s="183">
        <f t="shared" si="77"/>
        <v>0</v>
      </c>
      <c r="CV49" s="183">
        <f t="shared" si="77"/>
        <v>0</v>
      </c>
      <c r="CW49" s="183">
        <f t="shared" si="77"/>
        <v>0</v>
      </c>
      <c r="CX49" s="183">
        <f t="shared" si="77"/>
        <v>0</v>
      </c>
      <c r="CY49" s="183">
        <f t="shared" si="77"/>
        <v>0</v>
      </c>
      <c r="CZ49" s="183">
        <f t="shared" si="77"/>
        <v>0</v>
      </c>
      <c r="DA49" s="183">
        <f t="shared" si="77"/>
        <v>0</v>
      </c>
      <c r="DB49" s="183">
        <f t="shared" si="77"/>
        <v>0</v>
      </c>
      <c r="DC49" s="183">
        <f t="shared" si="77"/>
        <v>0</v>
      </c>
      <c r="DD49" s="183">
        <f t="shared" si="77"/>
        <v>0</v>
      </c>
      <c r="DE49" s="183">
        <f t="shared" si="77"/>
        <v>0</v>
      </c>
      <c r="DF49" s="183">
        <f t="shared" si="77"/>
        <v>0</v>
      </c>
      <c r="DG49" s="183">
        <f t="shared" si="77"/>
        <v>0</v>
      </c>
      <c r="DH49" s="183">
        <f t="shared" si="77"/>
        <v>0</v>
      </c>
      <c r="DI49" s="183">
        <f t="shared" si="77"/>
        <v>0</v>
      </c>
      <c r="DJ49" s="183">
        <f t="shared" si="77"/>
        <v>0</v>
      </c>
      <c r="DK49" s="183">
        <f t="shared" si="77"/>
        <v>0</v>
      </c>
      <c r="DL49" s="183">
        <f t="shared" si="77"/>
        <v>0</v>
      </c>
      <c r="DM49" s="183">
        <f t="shared" si="77"/>
        <v>0</v>
      </c>
      <c r="DN49" s="183">
        <f t="shared" si="77"/>
        <v>0</v>
      </c>
      <c r="DO49" s="183">
        <f t="shared" si="77"/>
        <v>0</v>
      </c>
      <c r="DP49" s="183">
        <f t="shared" si="77"/>
        <v>0</v>
      </c>
      <c r="DQ49" s="183">
        <f t="shared" ref="DQ49:EZ49" si="78">IF($X49=0,$E49*DP$41,0)</f>
        <v>0</v>
      </c>
      <c r="DR49" s="183">
        <f t="shared" si="78"/>
        <v>0</v>
      </c>
      <c r="DS49" s="183">
        <f t="shared" si="78"/>
        <v>0</v>
      </c>
      <c r="DT49" s="183">
        <f t="shared" si="78"/>
        <v>0</v>
      </c>
      <c r="DU49" s="183">
        <f t="shared" si="78"/>
        <v>0</v>
      </c>
      <c r="DV49" s="183">
        <f t="shared" si="78"/>
        <v>0</v>
      </c>
      <c r="DW49" s="183">
        <f t="shared" si="78"/>
        <v>0</v>
      </c>
      <c r="DX49" s="183">
        <f t="shared" si="78"/>
        <v>0</v>
      </c>
      <c r="DY49" s="183">
        <f t="shared" si="78"/>
        <v>0</v>
      </c>
      <c r="DZ49" s="183">
        <f t="shared" si="78"/>
        <v>0</v>
      </c>
      <c r="EA49" s="183">
        <f t="shared" si="78"/>
        <v>0</v>
      </c>
      <c r="EB49" s="183">
        <f t="shared" si="78"/>
        <v>0</v>
      </c>
      <c r="EC49" s="183">
        <f t="shared" si="78"/>
        <v>0</v>
      </c>
      <c r="ED49" s="183">
        <f t="shared" si="78"/>
        <v>0</v>
      </c>
      <c r="EE49" s="183">
        <f t="shared" si="78"/>
        <v>0</v>
      </c>
      <c r="EF49" s="183">
        <f t="shared" si="78"/>
        <v>0</v>
      </c>
      <c r="EG49" s="183">
        <f t="shared" si="78"/>
        <v>0</v>
      </c>
      <c r="EH49" s="183">
        <f t="shared" si="78"/>
        <v>0</v>
      </c>
      <c r="EI49" s="183">
        <f t="shared" si="78"/>
        <v>0</v>
      </c>
      <c r="EJ49" s="183">
        <f t="shared" si="78"/>
        <v>0</v>
      </c>
      <c r="EK49" s="183">
        <f t="shared" si="78"/>
        <v>0</v>
      </c>
      <c r="EL49" s="183">
        <f t="shared" si="78"/>
        <v>0</v>
      </c>
      <c r="EM49" s="183">
        <f t="shared" si="78"/>
        <v>0</v>
      </c>
      <c r="EN49" s="183">
        <f t="shared" si="78"/>
        <v>0</v>
      </c>
      <c r="EO49" s="183">
        <f t="shared" si="78"/>
        <v>0</v>
      </c>
      <c r="EP49" s="183">
        <f t="shared" si="78"/>
        <v>0</v>
      </c>
      <c r="EQ49" s="183">
        <f t="shared" si="78"/>
        <v>0</v>
      </c>
      <c r="ER49" s="183">
        <f t="shared" si="78"/>
        <v>0</v>
      </c>
      <c r="ES49" s="183">
        <f t="shared" si="78"/>
        <v>0</v>
      </c>
      <c r="ET49" s="183">
        <f t="shared" si="78"/>
        <v>0</v>
      </c>
      <c r="EU49" s="183">
        <f t="shared" si="78"/>
        <v>0</v>
      </c>
      <c r="EV49" s="183">
        <f t="shared" si="78"/>
        <v>0</v>
      </c>
      <c r="EW49" s="183">
        <f t="shared" si="78"/>
        <v>0</v>
      </c>
      <c r="EX49" s="183">
        <f t="shared" si="78"/>
        <v>0</v>
      </c>
      <c r="EY49" s="183">
        <f t="shared" si="78"/>
        <v>0</v>
      </c>
      <c r="EZ49" s="183">
        <f t="shared" si="78"/>
        <v>0</v>
      </c>
      <c r="FA49" s="144"/>
      <c r="FB49" s="609" t="s">
        <v>243</v>
      </c>
      <c r="FC49" s="144"/>
      <c r="FD49" s="144"/>
      <c r="FE49" s="144"/>
      <c r="FF49" s="144"/>
      <c r="FG49" s="144"/>
      <c r="FH49" s="144"/>
      <c r="FI49" s="144"/>
      <c r="FJ49" s="144"/>
      <c r="FK49" s="144"/>
      <c r="FL49" s="144"/>
      <c r="FM49" s="144"/>
      <c r="FN49" s="144"/>
      <c r="FO49" s="144"/>
      <c r="FP49" s="144"/>
      <c r="FQ49" s="144"/>
      <c r="FR49" s="144"/>
      <c r="FS49" s="144"/>
      <c r="FT49" s="144"/>
      <c r="FU49" s="144"/>
      <c r="FV49" s="144"/>
      <c r="FW49" s="144"/>
      <c r="FX49" s="144"/>
      <c r="FY49" s="144"/>
      <c r="FZ49" s="144"/>
      <c r="GA49" s="144"/>
      <c r="GB49" s="144"/>
      <c r="GC49" s="144"/>
      <c r="GD49" s="144"/>
      <c r="GE49" s="144"/>
      <c r="GF49" s="144"/>
      <c r="GG49" s="144"/>
      <c r="GH49" s="144"/>
      <c r="GI49" s="144"/>
      <c r="GJ49" s="144"/>
      <c r="GK49" s="144"/>
      <c r="GL49" s="144"/>
      <c r="GM49" s="144"/>
      <c r="GN49" s="144"/>
      <c r="GO49" s="144"/>
      <c r="GP49" s="144"/>
      <c r="GQ49" s="144"/>
      <c r="GR49" s="144"/>
      <c r="GS49" s="144"/>
      <c r="GT49" s="144"/>
      <c r="GU49" s="144"/>
      <c r="GV49" s="144"/>
      <c r="GW49" s="144"/>
      <c r="GX49" s="144"/>
      <c r="GY49" s="144"/>
      <c r="GZ49" s="144"/>
      <c r="HA49" s="144"/>
      <c r="HB49" s="144"/>
      <c r="HC49" s="144"/>
      <c r="HD49" s="144"/>
      <c r="HE49" s="144"/>
      <c r="HF49" s="144"/>
      <c r="HG49" s="144"/>
      <c r="HH49" s="144"/>
      <c r="HI49" s="144"/>
      <c r="HJ49" s="144"/>
      <c r="HK49" s="144"/>
    </row>
    <row r="50" spans="1:219" s="158" customFormat="1" x14ac:dyDescent="0.2">
      <c r="A50" s="630"/>
      <c r="B50" s="638" t="s">
        <v>657</v>
      </c>
      <c r="C50" s="638"/>
      <c r="D50" s="443">
        <v>0</v>
      </c>
      <c r="E50" s="199">
        <f>IF(units=0,0,'Renovation Budget'!D50/'Unit Mix-Reno Schedule'!$AI$27)</f>
        <v>0</v>
      </c>
      <c r="F50" s="640">
        <v>1</v>
      </c>
      <c r="G50" s="640">
        <v>28</v>
      </c>
      <c r="H50" s="641">
        <f t="shared" si="44"/>
        <v>27</v>
      </c>
      <c r="I50" s="642"/>
      <c r="J50" s="643" t="s">
        <v>42</v>
      </c>
      <c r="K50" s="644"/>
      <c r="L50" s="183">
        <f t="shared" si="45"/>
        <v>0</v>
      </c>
      <c r="M50" s="183">
        <f t="shared" si="45"/>
        <v>0</v>
      </c>
      <c r="N50" s="183">
        <f t="shared" si="45"/>
        <v>0</v>
      </c>
      <c r="O50" s="183">
        <f t="shared" si="45"/>
        <v>0</v>
      </c>
      <c r="P50" s="183">
        <f t="shared" si="45"/>
        <v>0</v>
      </c>
      <c r="Q50" s="183">
        <f t="shared" si="45"/>
        <v>0</v>
      </c>
      <c r="R50" s="183">
        <f t="shared" si="45"/>
        <v>0</v>
      </c>
      <c r="S50" s="183">
        <f t="shared" si="45"/>
        <v>0</v>
      </c>
      <c r="T50" s="183">
        <f t="shared" si="45"/>
        <v>0</v>
      </c>
      <c r="U50" s="183">
        <f t="shared" si="45"/>
        <v>0</v>
      </c>
      <c r="V50" s="183">
        <f t="shared" si="45"/>
        <v>0</v>
      </c>
      <c r="W50" s="644"/>
      <c r="X50" s="183">
        <f t="shared" si="46"/>
        <v>0</v>
      </c>
      <c r="Y50" s="183">
        <f t="shared" ref="Y50:BD50" si="79">IF($X50=0,$E50*X$41,0)</f>
        <v>0</v>
      </c>
      <c r="Z50" s="183">
        <f t="shared" si="79"/>
        <v>0</v>
      </c>
      <c r="AA50" s="183">
        <f t="shared" si="79"/>
        <v>0</v>
      </c>
      <c r="AB50" s="183">
        <f t="shared" si="79"/>
        <v>0</v>
      </c>
      <c r="AC50" s="183">
        <f t="shared" si="79"/>
        <v>0</v>
      </c>
      <c r="AD50" s="183">
        <f t="shared" si="79"/>
        <v>0</v>
      </c>
      <c r="AE50" s="183">
        <f t="shared" si="79"/>
        <v>0</v>
      </c>
      <c r="AF50" s="183">
        <f t="shared" si="79"/>
        <v>0</v>
      </c>
      <c r="AG50" s="183">
        <f t="shared" si="79"/>
        <v>0</v>
      </c>
      <c r="AH50" s="183">
        <f t="shared" si="79"/>
        <v>0</v>
      </c>
      <c r="AI50" s="183">
        <f t="shared" si="79"/>
        <v>0</v>
      </c>
      <c r="AJ50" s="183">
        <f t="shared" si="79"/>
        <v>0</v>
      </c>
      <c r="AK50" s="183">
        <f t="shared" si="79"/>
        <v>0</v>
      </c>
      <c r="AL50" s="183">
        <f t="shared" si="79"/>
        <v>0</v>
      </c>
      <c r="AM50" s="183">
        <f t="shared" si="79"/>
        <v>0</v>
      </c>
      <c r="AN50" s="183">
        <f t="shared" si="79"/>
        <v>0</v>
      </c>
      <c r="AO50" s="183">
        <f t="shared" si="79"/>
        <v>0</v>
      </c>
      <c r="AP50" s="183">
        <f t="shared" si="79"/>
        <v>0</v>
      </c>
      <c r="AQ50" s="183">
        <f t="shared" si="79"/>
        <v>0</v>
      </c>
      <c r="AR50" s="183">
        <f t="shared" si="79"/>
        <v>0</v>
      </c>
      <c r="AS50" s="183">
        <f t="shared" si="79"/>
        <v>0</v>
      </c>
      <c r="AT50" s="183">
        <f t="shared" si="79"/>
        <v>0</v>
      </c>
      <c r="AU50" s="183">
        <f t="shared" si="79"/>
        <v>0</v>
      </c>
      <c r="AV50" s="183">
        <f t="shared" si="79"/>
        <v>0</v>
      </c>
      <c r="AW50" s="183">
        <f t="shared" si="79"/>
        <v>0</v>
      </c>
      <c r="AX50" s="183">
        <f t="shared" si="79"/>
        <v>0</v>
      </c>
      <c r="AY50" s="183">
        <f t="shared" si="79"/>
        <v>0</v>
      </c>
      <c r="AZ50" s="183">
        <f t="shared" si="79"/>
        <v>0</v>
      </c>
      <c r="BA50" s="183">
        <f t="shared" si="79"/>
        <v>0</v>
      </c>
      <c r="BB50" s="183">
        <f t="shared" si="79"/>
        <v>0</v>
      </c>
      <c r="BC50" s="183">
        <f t="shared" si="79"/>
        <v>0</v>
      </c>
      <c r="BD50" s="183">
        <f t="shared" si="79"/>
        <v>0</v>
      </c>
      <c r="BE50" s="183">
        <f t="shared" ref="BE50:CJ50" si="80">IF($X50=0,$E50*BD$41,0)</f>
        <v>0</v>
      </c>
      <c r="BF50" s="183">
        <f t="shared" si="80"/>
        <v>0</v>
      </c>
      <c r="BG50" s="183">
        <f t="shared" si="80"/>
        <v>0</v>
      </c>
      <c r="BH50" s="183">
        <f t="shared" si="80"/>
        <v>0</v>
      </c>
      <c r="BI50" s="183">
        <f t="shared" si="80"/>
        <v>0</v>
      </c>
      <c r="BJ50" s="183">
        <f t="shared" si="80"/>
        <v>0</v>
      </c>
      <c r="BK50" s="183">
        <f t="shared" si="80"/>
        <v>0</v>
      </c>
      <c r="BL50" s="183">
        <f t="shared" si="80"/>
        <v>0</v>
      </c>
      <c r="BM50" s="183">
        <f t="shared" si="80"/>
        <v>0</v>
      </c>
      <c r="BN50" s="183">
        <f t="shared" si="80"/>
        <v>0</v>
      </c>
      <c r="BO50" s="183">
        <f t="shared" si="80"/>
        <v>0</v>
      </c>
      <c r="BP50" s="183">
        <f t="shared" si="80"/>
        <v>0</v>
      </c>
      <c r="BQ50" s="183">
        <f t="shared" si="80"/>
        <v>0</v>
      </c>
      <c r="BR50" s="183">
        <f t="shared" si="80"/>
        <v>0</v>
      </c>
      <c r="BS50" s="183">
        <f t="shared" si="80"/>
        <v>0</v>
      </c>
      <c r="BT50" s="183">
        <f t="shared" si="80"/>
        <v>0</v>
      </c>
      <c r="BU50" s="183">
        <f t="shared" si="80"/>
        <v>0</v>
      </c>
      <c r="BV50" s="183">
        <f t="shared" si="80"/>
        <v>0</v>
      </c>
      <c r="BW50" s="183">
        <f t="shared" si="80"/>
        <v>0</v>
      </c>
      <c r="BX50" s="183">
        <f t="shared" si="80"/>
        <v>0</v>
      </c>
      <c r="BY50" s="183">
        <f t="shared" si="80"/>
        <v>0</v>
      </c>
      <c r="BZ50" s="183">
        <f t="shared" si="80"/>
        <v>0</v>
      </c>
      <c r="CA50" s="183">
        <f t="shared" si="80"/>
        <v>0</v>
      </c>
      <c r="CB50" s="183">
        <f t="shared" si="80"/>
        <v>0</v>
      </c>
      <c r="CC50" s="183">
        <f t="shared" si="80"/>
        <v>0</v>
      </c>
      <c r="CD50" s="183">
        <f t="shared" si="80"/>
        <v>0</v>
      </c>
      <c r="CE50" s="183">
        <f t="shared" si="80"/>
        <v>0</v>
      </c>
      <c r="CF50" s="183">
        <f t="shared" si="80"/>
        <v>0</v>
      </c>
      <c r="CG50" s="183">
        <f t="shared" si="80"/>
        <v>0</v>
      </c>
      <c r="CH50" s="183">
        <f t="shared" si="80"/>
        <v>0</v>
      </c>
      <c r="CI50" s="183">
        <f t="shared" si="80"/>
        <v>0</v>
      </c>
      <c r="CJ50" s="183">
        <f t="shared" si="80"/>
        <v>0</v>
      </c>
      <c r="CK50" s="183">
        <f t="shared" ref="CK50:DP50" si="81">IF($X50=0,$E50*CJ$41,0)</f>
        <v>0</v>
      </c>
      <c r="CL50" s="183">
        <f t="shared" si="81"/>
        <v>0</v>
      </c>
      <c r="CM50" s="183">
        <f t="shared" si="81"/>
        <v>0</v>
      </c>
      <c r="CN50" s="183">
        <f t="shared" si="81"/>
        <v>0</v>
      </c>
      <c r="CO50" s="183">
        <f t="shared" si="81"/>
        <v>0</v>
      </c>
      <c r="CP50" s="183">
        <f t="shared" si="81"/>
        <v>0</v>
      </c>
      <c r="CQ50" s="183">
        <f t="shared" si="81"/>
        <v>0</v>
      </c>
      <c r="CR50" s="183">
        <f t="shared" si="81"/>
        <v>0</v>
      </c>
      <c r="CS50" s="183">
        <f t="shared" si="81"/>
        <v>0</v>
      </c>
      <c r="CT50" s="183">
        <f t="shared" si="81"/>
        <v>0</v>
      </c>
      <c r="CU50" s="183">
        <f t="shared" si="81"/>
        <v>0</v>
      </c>
      <c r="CV50" s="183">
        <f t="shared" si="81"/>
        <v>0</v>
      </c>
      <c r="CW50" s="183">
        <f t="shared" si="81"/>
        <v>0</v>
      </c>
      <c r="CX50" s="183">
        <f t="shared" si="81"/>
        <v>0</v>
      </c>
      <c r="CY50" s="183">
        <f t="shared" si="81"/>
        <v>0</v>
      </c>
      <c r="CZ50" s="183">
        <f t="shared" si="81"/>
        <v>0</v>
      </c>
      <c r="DA50" s="183">
        <f t="shared" si="81"/>
        <v>0</v>
      </c>
      <c r="DB50" s="183">
        <f t="shared" si="81"/>
        <v>0</v>
      </c>
      <c r="DC50" s="183">
        <f t="shared" si="81"/>
        <v>0</v>
      </c>
      <c r="DD50" s="183">
        <f t="shared" si="81"/>
        <v>0</v>
      </c>
      <c r="DE50" s="183">
        <f t="shared" si="81"/>
        <v>0</v>
      </c>
      <c r="DF50" s="183">
        <f t="shared" si="81"/>
        <v>0</v>
      </c>
      <c r="DG50" s="183">
        <f t="shared" si="81"/>
        <v>0</v>
      </c>
      <c r="DH50" s="183">
        <f t="shared" si="81"/>
        <v>0</v>
      </c>
      <c r="DI50" s="183">
        <f t="shared" si="81"/>
        <v>0</v>
      </c>
      <c r="DJ50" s="183">
        <f t="shared" si="81"/>
        <v>0</v>
      </c>
      <c r="DK50" s="183">
        <f t="shared" si="81"/>
        <v>0</v>
      </c>
      <c r="DL50" s="183">
        <f t="shared" si="81"/>
        <v>0</v>
      </c>
      <c r="DM50" s="183">
        <f t="shared" si="81"/>
        <v>0</v>
      </c>
      <c r="DN50" s="183">
        <f t="shared" si="81"/>
        <v>0</v>
      </c>
      <c r="DO50" s="183">
        <f t="shared" si="81"/>
        <v>0</v>
      </c>
      <c r="DP50" s="183">
        <f t="shared" si="81"/>
        <v>0</v>
      </c>
      <c r="DQ50" s="183">
        <f t="shared" ref="DQ50:EZ50" si="82">IF($X50=0,$E50*DP$41,0)</f>
        <v>0</v>
      </c>
      <c r="DR50" s="183">
        <f t="shared" si="82"/>
        <v>0</v>
      </c>
      <c r="DS50" s="183">
        <f t="shared" si="82"/>
        <v>0</v>
      </c>
      <c r="DT50" s="183">
        <f t="shared" si="82"/>
        <v>0</v>
      </c>
      <c r="DU50" s="183">
        <f t="shared" si="82"/>
        <v>0</v>
      </c>
      <c r="DV50" s="183">
        <f t="shared" si="82"/>
        <v>0</v>
      </c>
      <c r="DW50" s="183">
        <f t="shared" si="82"/>
        <v>0</v>
      </c>
      <c r="DX50" s="183">
        <f t="shared" si="82"/>
        <v>0</v>
      </c>
      <c r="DY50" s="183">
        <f t="shared" si="82"/>
        <v>0</v>
      </c>
      <c r="DZ50" s="183">
        <f t="shared" si="82"/>
        <v>0</v>
      </c>
      <c r="EA50" s="183">
        <f t="shared" si="82"/>
        <v>0</v>
      </c>
      <c r="EB50" s="183">
        <f t="shared" si="82"/>
        <v>0</v>
      </c>
      <c r="EC50" s="183">
        <f t="shared" si="82"/>
        <v>0</v>
      </c>
      <c r="ED50" s="183">
        <f t="shared" si="82"/>
        <v>0</v>
      </c>
      <c r="EE50" s="183">
        <f t="shared" si="82"/>
        <v>0</v>
      </c>
      <c r="EF50" s="183">
        <f t="shared" si="82"/>
        <v>0</v>
      </c>
      <c r="EG50" s="183">
        <f t="shared" si="82"/>
        <v>0</v>
      </c>
      <c r="EH50" s="183">
        <f t="shared" si="82"/>
        <v>0</v>
      </c>
      <c r="EI50" s="183">
        <f t="shared" si="82"/>
        <v>0</v>
      </c>
      <c r="EJ50" s="183">
        <f t="shared" si="82"/>
        <v>0</v>
      </c>
      <c r="EK50" s="183">
        <f t="shared" si="82"/>
        <v>0</v>
      </c>
      <c r="EL50" s="183">
        <f t="shared" si="82"/>
        <v>0</v>
      </c>
      <c r="EM50" s="183">
        <f t="shared" si="82"/>
        <v>0</v>
      </c>
      <c r="EN50" s="183">
        <f t="shared" si="82"/>
        <v>0</v>
      </c>
      <c r="EO50" s="183">
        <f t="shared" si="82"/>
        <v>0</v>
      </c>
      <c r="EP50" s="183">
        <f t="shared" si="82"/>
        <v>0</v>
      </c>
      <c r="EQ50" s="183">
        <f t="shared" si="82"/>
        <v>0</v>
      </c>
      <c r="ER50" s="183">
        <f t="shared" si="82"/>
        <v>0</v>
      </c>
      <c r="ES50" s="183">
        <f t="shared" si="82"/>
        <v>0</v>
      </c>
      <c r="ET50" s="183">
        <f t="shared" si="82"/>
        <v>0</v>
      </c>
      <c r="EU50" s="183">
        <f t="shared" si="82"/>
        <v>0</v>
      </c>
      <c r="EV50" s="183">
        <f t="shared" si="82"/>
        <v>0</v>
      </c>
      <c r="EW50" s="183">
        <f t="shared" si="82"/>
        <v>0</v>
      </c>
      <c r="EX50" s="183">
        <f t="shared" si="82"/>
        <v>0</v>
      </c>
      <c r="EY50" s="183">
        <f t="shared" si="82"/>
        <v>0</v>
      </c>
      <c r="EZ50" s="183">
        <f t="shared" si="82"/>
        <v>0</v>
      </c>
      <c r="FA50" s="144"/>
      <c r="FB50" s="609" t="s">
        <v>243</v>
      </c>
      <c r="FC50" s="144"/>
      <c r="FD50" s="144"/>
      <c r="FE50" s="144"/>
      <c r="FF50" s="144"/>
      <c r="FG50" s="144"/>
      <c r="FH50" s="144"/>
      <c r="FI50" s="144"/>
      <c r="FJ50" s="144"/>
      <c r="FK50" s="144"/>
      <c r="FL50" s="144"/>
      <c r="FM50" s="144"/>
      <c r="FN50" s="144"/>
      <c r="FO50" s="144"/>
      <c r="FP50" s="144"/>
      <c r="FQ50" s="144"/>
      <c r="FR50" s="144"/>
      <c r="FS50" s="144"/>
      <c r="FT50" s="144"/>
      <c r="FU50" s="144"/>
      <c r="FV50" s="144"/>
      <c r="FW50" s="144"/>
      <c r="FX50" s="144"/>
      <c r="FY50" s="144"/>
      <c r="FZ50" s="144"/>
      <c r="GA50" s="144"/>
      <c r="GB50" s="144"/>
      <c r="GC50" s="144"/>
      <c r="GD50" s="144"/>
      <c r="GE50" s="144"/>
      <c r="GF50" s="144"/>
      <c r="GG50" s="144"/>
      <c r="GH50" s="144"/>
      <c r="GI50" s="144"/>
      <c r="GJ50" s="144"/>
      <c r="GK50" s="144"/>
      <c r="GL50" s="144"/>
      <c r="GM50" s="144"/>
      <c r="GN50" s="144"/>
      <c r="GO50" s="144"/>
      <c r="GP50" s="144"/>
      <c r="GQ50" s="144"/>
      <c r="GR50" s="144"/>
      <c r="GS50" s="144"/>
      <c r="GT50" s="144"/>
      <c r="GU50" s="144"/>
      <c r="GV50" s="144"/>
      <c r="GW50" s="144"/>
      <c r="GX50" s="144"/>
      <c r="GY50" s="144"/>
      <c r="GZ50" s="144"/>
      <c r="HA50" s="144"/>
      <c r="HB50" s="144"/>
      <c r="HC50" s="144"/>
      <c r="HD50" s="144"/>
      <c r="HE50" s="144"/>
      <c r="HF50" s="144"/>
      <c r="HG50" s="144"/>
      <c r="HH50" s="144"/>
      <c r="HI50" s="144"/>
      <c r="HJ50" s="144"/>
      <c r="HK50" s="144"/>
    </row>
    <row r="51" spans="1:219" s="158" customFormat="1" x14ac:dyDescent="0.2">
      <c r="A51" s="630"/>
      <c r="B51" s="638" t="s">
        <v>658</v>
      </c>
      <c r="C51" s="638"/>
      <c r="D51" s="443">
        <v>0</v>
      </c>
      <c r="E51" s="199">
        <f>IF(units=0,0,'Renovation Budget'!D51/'Unit Mix-Reno Schedule'!$AI$27)</f>
        <v>0</v>
      </c>
      <c r="F51" s="640">
        <v>1</v>
      </c>
      <c r="G51" s="640">
        <v>28</v>
      </c>
      <c r="H51" s="641">
        <f t="shared" si="44"/>
        <v>27</v>
      </c>
      <c r="I51" s="642"/>
      <c r="J51" s="643" t="s">
        <v>42</v>
      </c>
      <c r="K51" s="644"/>
      <c r="L51" s="183">
        <f t="shared" si="45"/>
        <v>0</v>
      </c>
      <c r="M51" s="183">
        <f t="shared" si="45"/>
        <v>0</v>
      </c>
      <c r="N51" s="183">
        <f t="shared" si="45"/>
        <v>0</v>
      </c>
      <c r="O51" s="183">
        <f t="shared" si="45"/>
        <v>0</v>
      </c>
      <c r="P51" s="183">
        <f t="shared" si="45"/>
        <v>0</v>
      </c>
      <c r="Q51" s="183">
        <f t="shared" si="45"/>
        <v>0</v>
      </c>
      <c r="R51" s="183">
        <f t="shared" si="45"/>
        <v>0</v>
      </c>
      <c r="S51" s="183">
        <f t="shared" si="45"/>
        <v>0</v>
      </c>
      <c r="T51" s="183">
        <f t="shared" si="45"/>
        <v>0</v>
      </c>
      <c r="U51" s="183">
        <f t="shared" si="45"/>
        <v>0</v>
      </c>
      <c r="V51" s="183">
        <f t="shared" si="45"/>
        <v>0</v>
      </c>
      <c r="W51" s="644"/>
      <c r="X51" s="183">
        <f t="shared" si="46"/>
        <v>0</v>
      </c>
      <c r="Y51" s="183">
        <f t="shared" ref="Y51:BD51" si="83">IF($X51=0,$E51*X$41,0)</f>
        <v>0</v>
      </c>
      <c r="Z51" s="183">
        <f t="shared" si="83"/>
        <v>0</v>
      </c>
      <c r="AA51" s="183">
        <f t="shared" si="83"/>
        <v>0</v>
      </c>
      <c r="AB51" s="183">
        <f t="shared" si="83"/>
        <v>0</v>
      </c>
      <c r="AC51" s="183">
        <f t="shared" si="83"/>
        <v>0</v>
      </c>
      <c r="AD51" s="183">
        <f t="shared" si="83"/>
        <v>0</v>
      </c>
      <c r="AE51" s="183">
        <f t="shared" si="83"/>
        <v>0</v>
      </c>
      <c r="AF51" s="183">
        <f t="shared" si="83"/>
        <v>0</v>
      </c>
      <c r="AG51" s="183">
        <f t="shared" si="83"/>
        <v>0</v>
      </c>
      <c r="AH51" s="183">
        <f t="shared" si="83"/>
        <v>0</v>
      </c>
      <c r="AI51" s="183">
        <f t="shared" si="83"/>
        <v>0</v>
      </c>
      <c r="AJ51" s="183">
        <f t="shared" si="83"/>
        <v>0</v>
      </c>
      <c r="AK51" s="183">
        <f t="shared" si="83"/>
        <v>0</v>
      </c>
      <c r="AL51" s="183">
        <f t="shared" si="83"/>
        <v>0</v>
      </c>
      <c r="AM51" s="183">
        <f t="shared" si="83"/>
        <v>0</v>
      </c>
      <c r="AN51" s="183">
        <f t="shared" si="83"/>
        <v>0</v>
      </c>
      <c r="AO51" s="183">
        <f t="shared" si="83"/>
        <v>0</v>
      </c>
      <c r="AP51" s="183">
        <f t="shared" si="83"/>
        <v>0</v>
      </c>
      <c r="AQ51" s="183">
        <f t="shared" si="83"/>
        <v>0</v>
      </c>
      <c r="AR51" s="183">
        <f t="shared" si="83"/>
        <v>0</v>
      </c>
      <c r="AS51" s="183">
        <f t="shared" si="83"/>
        <v>0</v>
      </c>
      <c r="AT51" s="183">
        <f t="shared" si="83"/>
        <v>0</v>
      </c>
      <c r="AU51" s="183">
        <f t="shared" si="83"/>
        <v>0</v>
      </c>
      <c r="AV51" s="183">
        <f t="shared" si="83"/>
        <v>0</v>
      </c>
      <c r="AW51" s="183">
        <f t="shared" si="83"/>
        <v>0</v>
      </c>
      <c r="AX51" s="183">
        <f t="shared" si="83"/>
        <v>0</v>
      </c>
      <c r="AY51" s="183">
        <f t="shared" si="83"/>
        <v>0</v>
      </c>
      <c r="AZ51" s="183">
        <f t="shared" si="83"/>
        <v>0</v>
      </c>
      <c r="BA51" s="183">
        <f t="shared" si="83"/>
        <v>0</v>
      </c>
      <c r="BB51" s="183">
        <f t="shared" si="83"/>
        <v>0</v>
      </c>
      <c r="BC51" s="183">
        <f t="shared" si="83"/>
        <v>0</v>
      </c>
      <c r="BD51" s="183">
        <f t="shared" si="83"/>
        <v>0</v>
      </c>
      <c r="BE51" s="183">
        <f t="shared" ref="BE51:CJ51" si="84">IF($X51=0,$E51*BD$41,0)</f>
        <v>0</v>
      </c>
      <c r="BF51" s="183">
        <f t="shared" si="84"/>
        <v>0</v>
      </c>
      <c r="BG51" s="183">
        <f t="shared" si="84"/>
        <v>0</v>
      </c>
      <c r="BH51" s="183">
        <f t="shared" si="84"/>
        <v>0</v>
      </c>
      <c r="BI51" s="183">
        <f t="shared" si="84"/>
        <v>0</v>
      </c>
      <c r="BJ51" s="183">
        <f t="shared" si="84"/>
        <v>0</v>
      </c>
      <c r="BK51" s="183">
        <f t="shared" si="84"/>
        <v>0</v>
      </c>
      <c r="BL51" s="183">
        <f t="shared" si="84"/>
        <v>0</v>
      </c>
      <c r="BM51" s="183">
        <f t="shared" si="84"/>
        <v>0</v>
      </c>
      <c r="BN51" s="183">
        <f t="shared" si="84"/>
        <v>0</v>
      </c>
      <c r="BO51" s="183">
        <f t="shared" si="84"/>
        <v>0</v>
      </c>
      <c r="BP51" s="183">
        <f t="shared" si="84"/>
        <v>0</v>
      </c>
      <c r="BQ51" s="183">
        <f t="shared" si="84"/>
        <v>0</v>
      </c>
      <c r="BR51" s="183">
        <f t="shared" si="84"/>
        <v>0</v>
      </c>
      <c r="BS51" s="183">
        <f t="shared" si="84"/>
        <v>0</v>
      </c>
      <c r="BT51" s="183">
        <f t="shared" si="84"/>
        <v>0</v>
      </c>
      <c r="BU51" s="183">
        <f t="shared" si="84"/>
        <v>0</v>
      </c>
      <c r="BV51" s="183">
        <f t="shared" si="84"/>
        <v>0</v>
      </c>
      <c r="BW51" s="183">
        <f t="shared" si="84"/>
        <v>0</v>
      </c>
      <c r="BX51" s="183">
        <f t="shared" si="84"/>
        <v>0</v>
      </c>
      <c r="BY51" s="183">
        <f t="shared" si="84"/>
        <v>0</v>
      </c>
      <c r="BZ51" s="183">
        <f t="shared" si="84"/>
        <v>0</v>
      </c>
      <c r="CA51" s="183">
        <f t="shared" si="84"/>
        <v>0</v>
      </c>
      <c r="CB51" s="183">
        <f t="shared" si="84"/>
        <v>0</v>
      </c>
      <c r="CC51" s="183">
        <f t="shared" si="84"/>
        <v>0</v>
      </c>
      <c r="CD51" s="183">
        <f t="shared" si="84"/>
        <v>0</v>
      </c>
      <c r="CE51" s="183">
        <f t="shared" si="84"/>
        <v>0</v>
      </c>
      <c r="CF51" s="183">
        <f t="shared" si="84"/>
        <v>0</v>
      </c>
      <c r="CG51" s="183">
        <f t="shared" si="84"/>
        <v>0</v>
      </c>
      <c r="CH51" s="183">
        <f t="shared" si="84"/>
        <v>0</v>
      </c>
      <c r="CI51" s="183">
        <f t="shared" si="84"/>
        <v>0</v>
      </c>
      <c r="CJ51" s="183">
        <f t="shared" si="84"/>
        <v>0</v>
      </c>
      <c r="CK51" s="183">
        <f t="shared" ref="CK51:DP51" si="85">IF($X51=0,$E51*CJ$41,0)</f>
        <v>0</v>
      </c>
      <c r="CL51" s="183">
        <f t="shared" si="85"/>
        <v>0</v>
      </c>
      <c r="CM51" s="183">
        <f t="shared" si="85"/>
        <v>0</v>
      </c>
      <c r="CN51" s="183">
        <f t="shared" si="85"/>
        <v>0</v>
      </c>
      <c r="CO51" s="183">
        <f t="shared" si="85"/>
        <v>0</v>
      </c>
      <c r="CP51" s="183">
        <f t="shared" si="85"/>
        <v>0</v>
      </c>
      <c r="CQ51" s="183">
        <f t="shared" si="85"/>
        <v>0</v>
      </c>
      <c r="CR51" s="183">
        <f t="shared" si="85"/>
        <v>0</v>
      </c>
      <c r="CS51" s="183">
        <f t="shared" si="85"/>
        <v>0</v>
      </c>
      <c r="CT51" s="183">
        <f t="shared" si="85"/>
        <v>0</v>
      </c>
      <c r="CU51" s="183">
        <f t="shared" si="85"/>
        <v>0</v>
      </c>
      <c r="CV51" s="183">
        <f t="shared" si="85"/>
        <v>0</v>
      </c>
      <c r="CW51" s="183">
        <f t="shared" si="85"/>
        <v>0</v>
      </c>
      <c r="CX51" s="183">
        <f t="shared" si="85"/>
        <v>0</v>
      </c>
      <c r="CY51" s="183">
        <f t="shared" si="85"/>
        <v>0</v>
      </c>
      <c r="CZ51" s="183">
        <f t="shared" si="85"/>
        <v>0</v>
      </c>
      <c r="DA51" s="183">
        <f t="shared" si="85"/>
        <v>0</v>
      </c>
      <c r="DB51" s="183">
        <f t="shared" si="85"/>
        <v>0</v>
      </c>
      <c r="DC51" s="183">
        <f t="shared" si="85"/>
        <v>0</v>
      </c>
      <c r="DD51" s="183">
        <f t="shared" si="85"/>
        <v>0</v>
      </c>
      <c r="DE51" s="183">
        <f t="shared" si="85"/>
        <v>0</v>
      </c>
      <c r="DF51" s="183">
        <f t="shared" si="85"/>
        <v>0</v>
      </c>
      <c r="DG51" s="183">
        <f t="shared" si="85"/>
        <v>0</v>
      </c>
      <c r="DH51" s="183">
        <f t="shared" si="85"/>
        <v>0</v>
      </c>
      <c r="DI51" s="183">
        <f t="shared" si="85"/>
        <v>0</v>
      </c>
      <c r="DJ51" s="183">
        <f t="shared" si="85"/>
        <v>0</v>
      </c>
      <c r="DK51" s="183">
        <f t="shared" si="85"/>
        <v>0</v>
      </c>
      <c r="DL51" s="183">
        <f t="shared" si="85"/>
        <v>0</v>
      </c>
      <c r="DM51" s="183">
        <f t="shared" si="85"/>
        <v>0</v>
      </c>
      <c r="DN51" s="183">
        <f t="shared" si="85"/>
        <v>0</v>
      </c>
      <c r="DO51" s="183">
        <f t="shared" si="85"/>
        <v>0</v>
      </c>
      <c r="DP51" s="183">
        <f t="shared" si="85"/>
        <v>0</v>
      </c>
      <c r="DQ51" s="183">
        <f t="shared" ref="DQ51:EZ51" si="86">IF($X51=0,$E51*DP$41,0)</f>
        <v>0</v>
      </c>
      <c r="DR51" s="183">
        <f t="shared" si="86"/>
        <v>0</v>
      </c>
      <c r="DS51" s="183">
        <f t="shared" si="86"/>
        <v>0</v>
      </c>
      <c r="DT51" s="183">
        <f t="shared" si="86"/>
        <v>0</v>
      </c>
      <c r="DU51" s="183">
        <f t="shared" si="86"/>
        <v>0</v>
      </c>
      <c r="DV51" s="183">
        <f t="shared" si="86"/>
        <v>0</v>
      </c>
      <c r="DW51" s="183">
        <f t="shared" si="86"/>
        <v>0</v>
      </c>
      <c r="DX51" s="183">
        <f t="shared" si="86"/>
        <v>0</v>
      </c>
      <c r="DY51" s="183">
        <f t="shared" si="86"/>
        <v>0</v>
      </c>
      <c r="DZ51" s="183">
        <f t="shared" si="86"/>
        <v>0</v>
      </c>
      <c r="EA51" s="183">
        <f t="shared" si="86"/>
        <v>0</v>
      </c>
      <c r="EB51" s="183">
        <f t="shared" si="86"/>
        <v>0</v>
      </c>
      <c r="EC51" s="183">
        <f t="shared" si="86"/>
        <v>0</v>
      </c>
      <c r="ED51" s="183">
        <f t="shared" si="86"/>
        <v>0</v>
      </c>
      <c r="EE51" s="183">
        <f t="shared" si="86"/>
        <v>0</v>
      </c>
      <c r="EF51" s="183">
        <f t="shared" si="86"/>
        <v>0</v>
      </c>
      <c r="EG51" s="183">
        <f t="shared" si="86"/>
        <v>0</v>
      </c>
      <c r="EH51" s="183">
        <f t="shared" si="86"/>
        <v>0</v>
      </c>
      <c r="EI51" s="183">
        <f t="shared" si="86"/>
        <v>0</v>
      </c>
      <c r="EJ51" s="183">
        <f t="shared" si="86"/>
        <v>0</v>
      </c>
      <c r="EK51" s="183">
        <f t="shared" si="86"/>
        <v>0</v>
      </c>
      <c r="EL51" s="183">
        <f t="shared" si="86"/>
        <v>0</v>
      </c>
      <c r="EM51" s="183">
        <f t="shared" si="86"/>
        <v>0</v>
      </c>
      <c r="EN51" s="183">
        <f t="shared" si="86"/>
        <v>0</v>
      </c>
      <c r="EO51" s="183">
        <f t="shared" si="86"/>
        <v>0</v>
      </c>
      <c r="EP51" s="183">
        <f t="shared" si="86"/>
        <v>0</v>
      </c>
      <c r="EQ51" s="183">
        <f t="shared" si="86"/>
        <v>0</v>
      </c>
      <c r="ER51" s="183">
        <f t="shared" si="86"/>
        <v>0</v>
      </c>
      <c r="ES51" s="183">
        <f t="shared" si="86"/>
        <v>0</v>
      </c>
      <c r="ET51" s="183">
        <f t="shared" si="86"/>
        <v>0</v>
      </c>
      <c r="EU51" s="183">
        <f t="shared" si="86"/>
        <v>0</v>
      </c>
      <c r="EV51" s="183">
        <f t="shared" si="86"/>
        <v>0</v>
      </c>
      <c r="EW51" s="183">
        <f t="shared" si="86"/>
        <v>0</v>
      </c>
      <c r="EX51" s="183">
        <f t="shared" si="86"/>
        <v>0</v>
      </c>
      <c r="EY51" s="183">
        <f t="shared" si="86"/>
        <v>0</v>
      </c>
      <c r="EZ51" s="183">
        <f t="shared" si="86"/>
        <v>0</v>
      </c>
      <c r="FA51" s="144"/>
      <c r="FB51" s="609" t="s">
        <v>243</v>
      </c>
      <c r="FC51" s="144"/>
      <c r="FD51" s="144"/>
      <c r="FE51" s="144"/>
      <c r="FF51" s="144"/>
      <c r="FG51" s="144"/>
      <c r="FH51" s="144"/>
      <c r="FI51" s="144"/>
      <c r="FJ51" s="144"/>
      <c r="FK51" s="144"/>
      <c r="FL51" s="144"/>
      <c r="FM51" s="144"/>
      <c r="FN51" s="144"/>
      <c r="FO51" s="144"/>
      <c r="FP51" s="144"/>
      <c r="FQ51" s="144"/>
      <c r="FR51" s="144"/>
      <c r="FS51" s="144"/>
      <c r="FT51" s="144"/>
      <c r="FU51" s="144"/>
      <c r="FV51" s="144"/>
      <c r="FW51" s="144"/>
      <c r="FX51" s="144"/>
      <c r="FY51" s="144"/>
      <c r="FZ51" s="144"/>
      <c r="GA51" s="144"/>
      <c r="GB51" s="144"/>
      <c r="GC51" s="144"/>
      <c r="GD51" s="144"/>
      <c r="GE51" s="144"/>
      <c r="GF51" s="144"/>
      <c r="GG51" s="144"/>
      <c r="GH51" s="144"/>
      <c r="GI51" s="144"/>
      <c r="GJ51" s="144"/>
      <c r="GK51" s="144"/>
      <c r="GL51" s="144"/>
      <c r="GM51" s="144"/>
      <c r="GN51" s="144"/>
      <c r="GO51" s="144"/>
      <c r="GP51" s="144"/>
      <c r="GQ51" s="144"/>
      <c r="GR51" s="144"/>
      <c r="GS51" s="144"/>
      <c r="GT51" s="144"/>
      <c r="GU51" s="144"/>
      <c r="GV51" s="144"/>
      <c r="GW51" s="144"/>
      <c r="GX51" s="144"/>
      <c r="GY51" s="144"/>
      <c r="GZ51" s="144"/>
      <c r="HA51" s="144"/>
      <c r="HB51" s="144"/>
      <c r="HC51" s="144"/>
      <c r="HD51" s="144"/>
      <c r="HE51" s="144"/>
      <c r="HF51" s="144"/>
      <c r="HG51" s="144"/>
      <c r="HH51" s="144"/>
      <c r="HI51" s="144"/>
      <c r="HJ51" s="144"/>
      <c r="HK51" s="144"/>
    </row>
    <row r="52" spans="1:219" s="158" customFormat="1" x14ac:dyDescent="0.2">
      <c r="A52" s="630"/>
      <c r="B52" s="638" t="s">
        <v>659</v>
      </c>
      <c r="C52" s="638"/>
      <c r="D52" s="443">
        <v>0</v>
      </c>
      <c r="E52" s="199">
        <f>IF(units=0,0,'Renovation Budget'!D52/'Unit Mix-Reno Schedule'!$AI$27)</f>
        <v>0</v>
      </c>
      <c r="F52" s="640">
        <v>1</v>
      </c>
      <c r="G52" s="640">
        <v>28</v>
      </c>
      <c r="H52" s="641">
        <f t="shared" si="44"/>
        <v>27</v>
      </c>
      <c r="I52" s="642"/>
      <c r="J52" s="643" t="s">
        <v>42</v>
      </c>
      <c r="K52" s="644"/>
      <c r="L52" s="183">
        <f t="shared" si="45"/>
        <v>0</v>
      </c>
      <c r="M52" s="183">
        <f t="shared" si="45"/>
        <v>0</v>
      </c>
      <c r="N52" s="183">
        <f t="shared" si="45"/>
        <v>0</v>
      </c>
      <c r="O52" s="183">
        <f t="shared" si="45"/>
        <v>0</v>
      </c>
      <c r="P52" s="183">
        <f t="shared" si="45"/>
        <v>0</v>
      </c>
      <c r="Q52" s="183">
        <f t="shared" si="45"/>
        <v>0</v>
      </c>
      <c r="R52" s="183">
        <f t="shared" si="45"/>
        <v>0</v>
      </c>
      <c r="S52" s="183">
        <f t="shared" si="45"/>
        <v>0</v>
      </c>
      <c r="T52" s="183">
        <f t="shared" si="45"/>
        <v>0</v>
      </c>
      <c r="U52" s="183">
        <f t="shared" si="45"/>
        <v>0</v>
      </c>
      <c r="V52" s="183">
        <f t="shared" si="45"/>
        <v>0</v>
      </c>
      <c r="W52" s="644"/>
      <c r="X52" s="183">
        <f t="shared" si="46"/>
        <v>0</v>
      </c>
      <c r="Y52" s="183">
        <f t="shared" ref="Y52:BD52" si="87">IF($X52=0,$E52*X$41,0)</f>
        <v>0</v>
      </c>
      <c r="Z52" s="183">
        <f t="shared" si="87"/>
        <v>0</v>
      </c>
      <c r="AA52" s="183">
        <f t="shared" si="87"/>
        <v>0</v>
      </c>
      <c r="AB52" s="183">
        <f t="shared" si="87"/>
        <v>0</v>
      </c>
      <c r="AC52" s="183">
        <f t="shared" si="87"/>
        <v>0</v>
      </c>
      <c r="AD52" s="183">
        <f t="shared" si="87"/>
        <v>0</v>
      </c>
      <c r="AE52" s="183">
        <f t="shared" si="87"/>
        <v>0</v>
      </c>
      <c r="AF52" s="183">
        <f t="shared" si="87"/>
        <v>0</v>
      </c>
      <c r="AG52" s="183">
        <f t="shared" si="87"/>
        <v>0</v>
      </c>
      <c r="AH52" s="183">
        <f t="shared" si="87"/>
        <v>0</v>
      </c>
      <c r="AI52" s="183">
        <f t="shared" si="87"/>
        <v>0</v>
      </c>
      <c r="AJ52" s="183">
        <f t="shared" si="87"/>
        <v>0</v>
      </c>
      <c r="AK52" s="183">
        <f t="shared" si="87"/>
        <v>0</v>
      </c>
      <c r="AL52" s="183">
        <f t="shared" si="87"/>
        <v>0</v>
      </c>
      <c r="AM52" s="183">
        <f t="shared" si="87"/>
        <v>0</v>
      </c>
      <c r="AN52" s="183">
        <f t="shared" si="87"/>
        <v>0</v>
      </c>
      <c r="AO52" s="183">
        <f t="shared" si="87"/>
        <v>0</v>
      </c>
      <c r="AP52" s="183">
        <f t="shared" si="87"/>
        <v>0</v>
      </c>
      <c r="AQ52" s="183">
        <f t="shared" si="87"/>
        <v>0</v>
      </c>
      <c r="AR52" s="183">
        <f t="shared" si="87"/>
        <v>0</v>
      </c>
      <c r="AS52" s="183">
        <f t="shared" si="87"/>
        <v>0</v>
      </c>
      <c r="AT52" s="183">
        <f t="shared" si="87"/>
        <v>0</v>
      </c>
      <c r="AU52" s="183">
        <f t="shared" si="87"/>
        <v>0</v>
      </c>
      <c r="AV52" s="183">
        <f t="shared" si="87"/>
        <v>0</v>
      </c>
      <c r="AW52" s="183">
        <f t="shared" si="87"/>
        <v>0</v>
      </c>
      <c r="AX52" s="183">
        <f t="shared" si="87"/>
        <v>0</v>
      </c>
      <c r="AY52" s="183">
        <f t="shared" si="87"/>
        <v>0</v>
      </c>
      <c r="AZ52" s="183">
        <f t="shared" si="87"/>
        <v>0</v>
      </c>
      <c r="BA52" s="183">
        <f t="shared" si="87"/>
        <v>0</v>
      </c>
      <c r="BB52" s="183">
        <f t="shared" si="87"/>
        <v>0</v>
      </c>
      <c r="BC52" s="183">
        <f t="shared" si="87"/>
        <v>0</v>
      </c>
      <c r="BD52" s="183">
        <f t="shared" si="87"/>
        <v>0</v>
      </c>
      <c r="BE52" s="183">
        <f t="shared" ref="BE52:CJ52" si="88">IF($X52=0,$E52*BD$41,0)</f>
        <v>0</v>
      </c>
      <c r="BF52" s="183">
        <f t="shared" si="88"/>
        <v>0</v>
      </c>
      <c r="BG52" s="183">
        <f t="shared" si="88"/>
        <v>0</v>
      </c>
      <c r="BH52" s="183">
        <f t="shared" si="88"/>
        <v>0</v>
      </c>
      <c r="BI52" s="183">
        <f t="shared" si="88"/>
        <v>0</v>
      </c>
      <c r="BJ52" s="183">
        <f t="shared" si="88"/>
        <v>0</v>
      </c>
      <c r="BK52" s="183">
        <f t="shared" si="88"/>
        <v>0</v>
      </c>
      <c r="BL52" s="183">
        <f t="shared" si="88"/>
        <v>0</v>
      </c>
      <c r="BM52" s="183">
        <f t="shared" si="88"/>
        <v>0</v>
      </c>
      <c r="BN52" s="183">
        <f t="shared" si="88"/>
        <v>0</v>
      </c>
      <c r="BO52" s="183">
        <f t="shared" si="88"/>
        <v>0</v>
      </c>
      <c r="BP52" s="183">
        <f t="shared" si="88"/>
        <v>0</v>
      </c>
      <c r="BQ52" s="183">
        <f t="shared" si="88"/>
        <v>0</v>
      </c>
      <c r="BR52" s="183">
        <f t="shared" si="88"/>
        <v>0</v>
      </c>
      <c r="BS52" s="183">
        <f t="shared" si="88"/>
        <v>0</v>
      </c>
      <c r="BT52" s="183">
        <f t="shared" si="88"/>
        <v>0</v>
      </c>
      <c r="BU52" s="183">
        <f t="shared" si="88"/>
        <v>0</v>
      </c>
      <c r="BV52" s="183">
        <f t="shared" si="88"/>
        <v>0</v>
      </c>
      <c r="BW52" s="183">
        <f t="shared" si="88"/>
        <v>0</v>
      </c>
      <c r="BX52" s="183">
        <f t="shared" si="88"/>
        <v>0</v>
      </c>
      <c r="BY52" s="183">
        <f t="shared" si="88"/>
        <v>0</v>
      </c>
      <c r="BZ52" s="183">
        <f t="shared" si="88"/>
        <v>0</v>
      </c>
      <c r="CA52" s="183">
        <f t="shared" si="88"/>
        <v>0</v>
      </c>
      <c r="CB52" s="183">
        <f t="shared" si="88"/>
        <v>0</v>
      </c>
      <c r="CC52" s="183">
        <f t="shared" si="88"/>
        <v>0</v>
      </c>
      <c r="CD52" s="183">
        <f t="shared" si="88"/>
        <v>0</v>
      </c>
      <c r="CE52" s="183">
        <f t="shared" si="88"/>
        <v>0</v>
      </c>
      <c r="CF52" s="183">
        <f t="shared" si="88"/>
        <v>0</v>
      </c>
      <c r="CG52" s="183">
        <f t="shared" si="88"/>
        <v>0</v>
      </c>
      <c r="CH52" s="183">
        <f t="shared" si="88"/>
        <v>0</v>
      </c>
      <c r="CI52" s="183">
        <f t="shared" si="88"/>
        <v>0</v>
      </c>
      <c r="CJ52" s="183">
        <f t="shared" si="88"/>
        <v>0</v>
      </c>
      <c r="CK52" s="183">
        <f t="shared" ref="CK52:DP52" si="89">IF($X52=0,$E52*CJ$41,0)</f>
        <v>0</v>
      </c>
      <c r="CL52" s="183">
        <f t="shared" si="89"/>
        <v>0</v>
      </c>
      <c r="CM52" s="183">
        <f t="shared" si="89"/>
        <v>0</v>
      </c>
      <c r="CN52" s="183">
        <f t="shared" si="89"/>
        <v>0</v>
      </c>
      <c r="CO52" s="183">
        <f t="shared" si="89"/>
        <v>0</v>
      </c>
      <c r="CP52" s="183">
        <f t="shared" si="89"/>
        <v>0</v>
      </c>
      <c r="CQ52" s="183">
        <f t="shared" si="89"/>
        <v>0</v>
      </c>
      <c r="CR52" s="183">
        <f t="shared" si="89"/>
        <v>0</v>
      </c>
      <c r="CS52" s="183">
        <f t="shared" si="89"/>
        <v>0</v>
      </c>
      <c r="CT52" s="183">
        <f t="shared" si="89"/>
        <v>0</v>
      </c>
      <c r="CU52" s="183">
        <f t="shared" si="89"/>
        <v>0</v>
      </c>
      <c r="CV52" s="183">
        <f t="shared" si="89"/>
        <v>0</v>
      </c>
      <c r="CW52" s="183">
        <f t="shared" si="89"/>
        <v>0</v>
      </c>
      <c r="CX52" s="183">
        <f t="shared" si="89"/>
        <v>0</v>
      </c>
      <c r="CY52" s="183">
        <f t="shared" si="89"/>
        <v>0</v>
      </c>
      <c r="CZ52" s="183">
        <f t="shared" si="89"/>
        <v>0</v>
      </c>
      <c r="DA52" s="183">
        <f t="shared" si="89"/>
        <v>0</v>
      </c>
      <c r="DB52" s="183">
        <f t="shared" si="89"/>
        <v>0</v>
      </c>
      <c r="DC52" s="183">
        <f t="shared" si="89"/>
        <v>0</v>
      </c>
      <c r="DD52" s="183">
        <f t="shared" si="89"/>
        <v>0</v>
      </c>
      <c r="DE52" s="183">
        <f t="shared" si="89"/>
        <v>0</v>
      </c>
      <c r="DF52" s="183">
        <f t="shared" si="89"/>
        <v>0</v>
      </c>
      <c r="DG52" s="183">
        <f t="shared" si="89"/>
        <v>0</v>
      </c>
      <c r="DH52" s="183">
        <f t="shared" si="89"/>
        <v>0</v>
      </c>
      <c r="DI52" s="183">
        <f t="shared" si="89"/>
        <v>0</v>
      </c>
      <c r="DJ52" s="183">
        <f t="shared" si="89"/>
        <v>0</v>
      </c>
      <c r="DK52" s="183">
        <f t="shared" si="89"/>
        <v>0</v>
      </c>
      <c r="DL52" s="183">
        <f t="shared" si="89"/>
        <v>0</v>
      </c>
      <c r="DM52" s="183">
        <f t="shared" si="89"/>
        <v>0</v>
      </c>
      <c r="DN52" s="183">
        <f t="shared" si="89"/>
        <v>0</v>
      </c>
      <c r="DO52" s="183">
        <f t="shared" si="89"/>
        <v>0</v>
      </c>
      <c r="DP52" s="183">
        <f t="shared" si="89"/>
        <v>0</v>
      </c>
      <c r="DQ52" s="183">
        <f t="shared" ref="DQ52:EZ52" si="90">IF($X52=0,$E52*DP$41,0)</f>
        <v>0</v>
      </c>
      <c r="DR52" s="183">
        <f t="shared" si="90"/>
        <v>0</v>
      </c>
      <c r="DS52" s="183">
        <f t="shared" si="90"/>
        <v>0</v>
      </c>
      <c r="DT52" s="183">
        <f t="shared" si="90"/>
        <v>0</v>
      </c>
      <c r="DU52" s="183">
        <f t="shared" si="90"/>
        <v>0</v>
      </c>
      <c r="DV52" s="183">
        <f t="shared" si="90"/>
        <v>0</v>
      </c>
      <c r="DW52" s="183">
        <f t="shared" si="90"/>
        <v>0</v>
      </c>
      <c r="DX52" s="183">
        <f t="shared" si="90"/>
        <v>0</v>
      </c>
      <c r="DY52" s="183">
        <f t="shared" si="90"/>
        <v>0</v>
      </c>
      <c r="DZ52" s="183">
        <f t="shared" si="90"/>
        <v>0</v>
      </c>
      <c r="EA52" s="183">
        <f t="shared" si="90"/>
        <v>0</v>
      </c>
      <c r="EB52" s="183">
        <f t="shared" si="90"/>
        <v>0</v>
      </c>
      <c r="EC52" s="183">
        <f t="shared" si="90"/>
        <v>0</v>
      </c>
      <c r="ED52" s="183">
        <f t="shared" si="90"/>
        <v>0</v>
      </c>
      <c r="EE52" s="183">
        <f t="shared" si="90"/>
        <v>0</v>
      </c>
      <c r="EF52" s="183">
        <f t="shared" si="90"/>
        <v>0</v>
      </c>
      <c r="EG52" s="183">
        <f t="shared" si="90"/>
        <v>0</v>
      </c>
      <c r="EH52" s="183">
        <f t="shared" si="90"/>
        <v>0</v>
      </c>
      <c r="EI52" s="183">
        <f t="shared" si="90"/>
        <v>0</v>
      </c>
      <c r="EJ52" s="183">
        <f t="shared" si="90"/>
        <v>0</v>
      </c>
      <c r="EK52" s="183">
        <f t="shared" si="90"/>
        <v>0</v>
      </c>
      <c r="EL52" s="183">
        <f t="shared" si="90"/>
        <v>0</v>
      </c>
      <c r="EM52" s="183">
        <f t="shared" si="90"/>
        <v>0</v>
      </c>
      <c r="EN52" s="183">
        <f t="shared" si="90"/>
        <v>0</v>
      </c>
      <c r="EO52" s="183">
        <f t="shared" si="90"/>
        <v>0</v>
      </c>
      <c r="EP52" s="183">
        <f t="shared" si="90"/>
        <v>0</v>
      </c>
      <c r="EQ52" s="183">
        <f t="shared" si="90"/>
        <v>0</v>
      </c>
      <c r="ER52" s="183">
        <f t="shared" si="90"/>
        <v>0</v>
      </c>
      <c r="ES52" s="183">
        <f t="shared" si="90"/>
        <v>0</v>
      </c>
      <c r="ET52" s="183">
        <f t="shared" si="90"/>
        <v>0</v>
      </c>
      <c r="EU52" s="183">
        <f t="shared" si="90"/>
        <v>0</v>
      </c>
      <c r="EV52" s="183">
        <f t="shared" si="90"/>
        <v>0</v>
      </c>
      <c r="EW52" s="183">
        <f t="shared" si="90"/>
        <v>0</v>
      </c>
      <c r="EX52" s="183">
        <f t="shared" si="90"/>
        <v>0</v>
      </c>
      <c r="EY52" s="183">
        <f t="shared" si="90"/>
        <v>0</v>
      </c>
      <c r="EZ52" s="183">
        <f t="shared" si="90"/>
        <v>0</v>
      </c>
      <c r="FA52" s="144"/>
      <c r="FB52" s="609" t="s">
        <v>243</v>
      </c>
      <c r="FC52" s="144"/>
      <c r="FD52" s="144"/>
      <c r="FE52" s="144"/>
      <c r="FF52" s="144"/>
      <c r="FG52" s="144"/>
      <c r="FH52" s="144"/>
      <c r="FI52" s="144"/>
      <c r="FJ52" s="144"/>
      <c r="FK52" s="144"/>
      <c r="FL52" s="144"/>
      <c r="FM52" s="144"/>
      <c r="FN52" s="144"/>
      <c r="FO52" s="144"/>
      <c r="FP52" s="144"/>
      <c r="FQ52" s="144"/>
      <c r="FR52" s="144"/>
      <c r="FS52" s="144"/>
      <c r="FT52" s="144"/>
      <c r="FU52" s="144"/>
      <c r="FV52" s="144"/>
      <c r="FW52" s="144"/>
      <c r="FX52" s="144"/>
      <c r="FY52" s="144"/>
      <c r="FZ52" s="144"/>
      <c r="GA52" s="144"/>
      <c r="GB52" s="144"/>
      <c r="GC52" s="144"/>
      <c r="GD52" s="144"/>
      <c r="GE52" s="144"/>
      <c r="GF52" s="144"/>
      <c r="GG52" s="144"/>
      <c r="GH52" s="144"/>
      <c r="GI52" s="144"/>
      <c r="GJ52" s="144"/>
      <c r="GK52" s="144"/>
      <c r="GL52" s="144"/>
      <c r="GM52" s="144"/>
      <c r="GN52" s="144"/>
      <c r="GO52" s="144"/>
      <c r="GP52" s="144"/>
      <c r="GQ52" s="144"/>
      <c r="GR52" s="144"/>
      <c r="GS52" s="144"/>
      <c r="GT52" s="144"/>
      <c r="GU52" s="144"/>
      <c r="GV52" s="144"/>
      <c r="GW52" s="144"/>
      <c r="GX52" s="144"/>
      <c r="GY52" s="144"/>
      <c r="GZ52" s="144"/>
      <c r="HA52" s="144"/>
      <c r="HB52" s="144"/>
      <c r="HC52" s="144"/>
      <c r="HD52" s="144"/>
      <c r="HE52" s="144"/>
      <c r="HF52" s="144"/>
      <c r="HG52" s="144"/>
      <c r="HH52" s="144"/>
      <c r="HI52" s="144"/>
      <c r="HJ52" s="144"/>
      <c r="HK52" s="144"/>
    </row>
    <row r="53" spans="1:219" s="158" customFormat="1" x14ac:dyDescent="0.2">
      <c r="A53" s="630"/>
      <c r="B53" s="638" t="s">
        <v>660</v>
      </c>
      <c r="C53" s="638"/>
      <c r="D53" s="443">
        <v>0</v>
      </c>
      <c r="E53" s="199">
        <f>IF(units=0,0,'Renovation Budget'!D53/'Unit Mix-Reno Schedule'!$AI$27)</f>
        <v>0</v>
      </c>
      <c r="F53" s="640">
        <v>1</v>
      </c>
      <c r="G53" s="640">
        <v>28</v>
      </c>
      <c r="H53" s="641">
        <f t="shared" si="44"/>
        <v>27</v>
      </c>
      <c r="I53" s="642"/>
      <c r="J53" s="643" t="s">
        <v>42</v>
      </c>
      <c r="K53" s="644"/>
      <c r="L53" s="183">
        <f t="shared" si="45"/>
        <v>0</v>
      </c>
      <c r="M53" s="183">
        <f t="shared" si="45"/>
        <v>0</v>
      </c>
      <c r="N53" s="183">
        <f t="shared" si="45"/>
        <v>0</v>
      </c>
      <c r="O53" s="183">
        <f t="shared" si="45"/>
        <v>0</v>
      </c>
      <c r="P53" s="183">
        <f t="shared" si="45"/>
        <v>0</v>
      </c>
      <c r="Q53" s="183">
        <f t="shared" si="45"/>
        <v>0</v>
      </c>
      <c r="R53" s="183">
        <f t="shared" si="45"/>
        <v>0</v>
      </c>
      <c r="S53" s="183">
        <f t="shared" si="45"/>
        <v>0</v>
      </c>
      <c r="T53" s="183">
        <f t="shared" si="45"/>
        <v>0</v>
      </c>
      <c r="U53" s="183">
        <f t="shared" si="45"/>
        <v>0</v>
      </c>
      <c r="V53" s="183">
        <f t="shared" si="45"/>
        <v>0</v>
      </c>
      <c r="W53" s="644"/>
      <c r="X53" s="183">
        <f t="shared" si="46"/>
        <v>0</v>
      </c>
      <c r="Y53" s="183">
        <f t="shared" ref="Y53:BD53" si="91">IF($X53=0,$E53*X$41,0)</f>
        <v>0</v>
      </c>
      <c r="Z53" s="183">
        <f t="shared" si="91"/>
        <v>0</v>
      </c>
      <c r="AA53" s="183">
        <f t="shared" si="91"/>
        <v>0</v>
      </c>
      <c r="AB53" s="183">
        <f t="shared" si="91"/>
        <v>0</v>
      </c>
      <c r="AC53" s="183">
        <f t="shared" si="91"/>
        <v>0</v>
      </c>
      <c r="AD53" s="183">
        <f t="shared" si="91"/>
        <v>0</v>
      </c>
      <c r="AE53" s="183">
        <f t="shared" si="91"/>
        <v>0</v>
      </c>
      <c r="AF53" s="183">
        <f t="shared" si="91"/>
        <v>0</v>
      </c>
      <c r="AG53" s="183">
        <f t="shared" si="91"/>
        <v>0</v>
      </c>
      <c r="AH53" s="183">
        <f t="shared" si="91"/>
        <v>0</v>
      </c>
      <c r="AI53" s="183">
        <f t="shared" si="91"/>
        <v>0</v>
      </c>
      <c r="AJ53" s="183">
        <f t="shared" si="91"/>
        <v>0</v>
      </c>
      <c r="AK53" s="183">
        <f t="shared" si="91"/>
        <v>0</v>
      </c>
      <c r="AL53" s="183">
        <f t="shared" si="91"/>
        <v>0</v>
      </c>
      <c r="AM53" s="183">
        <f t="shared" si="91"/>
        <v>0</v>
      </c>
      <c r="AN53" s="183">
        <f t="shared" si="91"/>
        <v>0</v>
      </c>
      <c r="AO53" s="183">
        <f t="shared" si="91"/>
        <v>0</v>
      </c>
      <c r="AP53" s="183">
        <f t="shared" si="91"/>
        <v>0</v>
      </c>
      <c r="AQ53" s="183">
        <f t="shared" si="91"/>
        <v>0</v>
      </c>
      <c r="AR53" s="183">
        <f t="shared" si="91"/>
        <v>0</v>
      </c>
      <c r="AS53" s="183">
        <f t="shared" si="91"/>
        <v>0</v>
      </c>
      <c r="AT53" s="183">
        <f t="shared" si="91"/>
        <v>0</v>
      </c>
      <c r="AU53" s="183">
        <f t="shared" si="91"/>
        <v>0</v>
      </c>
      <c r="AV53" s="183">
        <f t="shared" si="91"/>
        <v>0</v>
      </c>
      <c r="AW53" s="183">
        <f t="shared" si="91"/>
        <v>0</v>
      </c>
      <c r="AX53" s="183">
        <f t="shared" si="91"/>
        <v>0</v>
      </c>
      <c r="AY53" s="183">
        <f t="shared" si="91"/>
        <v>0</v>
      </c>
      <c r="AZ53" s="183">
        <f t="shared" si="91"/>
        <v>0</v>
      </c>
      <c r="BA53" s="183">
        <f t="shared" si="91"/>
        <v>0</v>
      </c>
      <c r="BB53" s="183">
        <f t="shared" si="91"/>
        <v>0</v>
      </c>
      <c r="BC53" s="183">
        <f t="shared" si="91"/>
        <v>0</v>
      </c>
      <c r="BD53" s="183">
        <f t="shared" si="91"/>
        <v>0</v>
      </c>
      <c r="BE53" s="183">
        <f t="shared" ref="BE53:CJ53" si="92">IF($X53=0,$E53*BD$41,0)</f>
        <v>0</v>
      </c>
      <c r="BF53" s="183">
        <f t="shared" si="92"/>
        <v>0</v>
      </c>
      <c r="BG53" s="183">
        <f t="shared" si="92"/>
        <v>0</v>
      </c>
      <c r="BH53" s="183">
        <f t="shared" si="92"/>
        <v>0</v>
      </c>
      <c r="BI53" s="183">
        <f t="shared" si="92"/>
        <v>0</v>
      </c>
      <c r="BJ53" s="183">
        <f t="shared" si="92"/>
        <v>0</v>
      </c>
      <c r="BK53" s="183">
        <f t="shared" si="92"/>
        <v>0</v>
      </c>
      <c r="BL53" s="183">
        <f t="shared" si="92"/>
        <v>0</v>
      </c>
      <c r="BM53" s="183">
        <f t="shared" si="92"/>
        <v>0</v>
      </c>
      <c r="BN53" s="183">
        <f t="shared" si="92"/>
        <v>0</v>
      </c>
      <c r="BO53" s="183">
        <f t="shared" si="92"/>
        <v>0</v>
      </c>
      <c r="BP53" s="183">
        <f t="shared" si="92"/>
        <v>0</v>
      </c>
      <c r="BQ53" s="183">
        <f t="shared" si="92"/>
        <v>0</v>
      </c>
      <c r="BR53" s="183">
        <f t="shared" si="92"/>
        <v>0</v>
      </c>
      <c r="BS53" s="183">
        <f t="shared" si="92"/>
        <v>0</v>
      </c>
      <c r="BT53" s="183">
        <f t="shared" si="92"/>
        <v>0</v>
      </c>
      <c r="BU53" s="183">
        <f t="shared" si="92"/>
        <v>0</v>
      </c>
      <c r="BV53" s="183">
        <f t="shared" si="92"/>
        <v>0</v>
      </c>
      <c r="BW53" s="183">
        <f t="shared" si="92"/>
        <v>0</v>
      </c>
      <c r="BX53" s="183">
        <f t="shared" si="92"/>
        <v>0</v>
      </c>
      <c r="BY53" s="183">
        <f t="shared" si="92"/>
        <v>0</v>
      </c>
      <c r="BZ53" s="183">
        <f t="shared" si="92"/>
        <v>0</v>
      </c>
      <c r="CA53" s="183">
        <f t="shared" si="92"/>
        <v>0</v>
      </c>
      <c r="CB53" s="183">
        <f t="shared" si="92"/>
        <v>0</v>
      </c>
      <c r="CC53" s="183">
        <f t="shared" si="92"/>
        <v>0</v>
      </c>
      <c r="CD53" s="183">
        <f t="shared" si="92"/>
        <v>0</v>
      </c>
      <c r="CE53" s="183">
        <f t="shared" si="92"/>
        <v>0</v>
      </c>
      <c r="CF53" s="183">
        <f t="shared" si="92"/>
        <v>0</v>
      </c>
      <c r="CG53" s="183">
        <f t="shared" si="92"/>
        <v>0</v>
      </c>
      <c r="CH53" s="183">
        <f t="shared" si="92"/>
        <v>0</v>
      </c>
      <c r="CI53" s="183">
        <f t="shared" si="92"/>
        <v>0</v>
      </c>
      <c r="CJ53" s="183">
        <f t="shared" si="92"/>
        <v>0</v>
      </c>
      <c r="CK53" s="183">
        <f t="shared" ref="CK53:DP53" si="93">IF($X53=0,$E53*CJ$41,0)</f>
        <v>0</v>
      </c>
      <c r="CL53" s="183">
        <f t="shared" si="93"/>
        <v>0</v>
      </c>
      <c r="CM53" s="183">
        <f t="shared" si="93"/>
        <v>0</v>
      </c>
      <c r="CN53" s="183">
        <f t="shared" si="93"/>
        <v>0</v>
      </c>
      <c r="CO53" s="183">
        <f t="shared" si="93"/>
        <v>0</v>
      </c>
      <c r="CP53" s="183">
        <f t="shared" si="93"/>
        <v>0</v>
      </c>
      <c r="CQ53" s="183">
        <f t="shared" si="93"/>
        <v>0</v>
      </c>
      <c r="CR53" s="183">
        <f t="shared" si="93"/>
        <v>0</v>
      </c>
      <c r="CS53" s="183">
        <f t="shared" si="93"/>
        <v>0</v>
      </c>
      <c r="CT53" s="183">
        <f t="shared" si="93"/>
        <v>0</v>
      </c>
      <c r="CU53" s="183">
        <f t="shared" si="93"/>
        <v>0</v>
      </c>
      <c r="CV53" s="183">
        <f t="shared" si="93"/>
        <v>0</v>
      </c>
      <c r="CW53" s="183">
        <f t="shared" si="93"/>
        <v>0</v>
      </c>
      <c r="CX53" s="183">
        <f t="shared" si="93"/>
        <v>0</v>
      </c>
      <c r="CY53" s="183">
        <f t="shared" si="93"/>
        <v>0</v>
      </c>
      <c r="CZ53" s="183">
        <f t="shared" si="93"/>
        <v>0</v>
      </c>
      <c r="DA53" s="183">
        <f t="shared" si="93"/>
        <v>0</v>
      </c>
      <c r="DB53" s="183">
        <f t="shared" si="93"/>
        <v>0</v>
      </c>
      <c r="DC53" s="183">
        <f t="shared" si="93"/>
        <v>0</v>
      </c>
      <c r="DD53" s="183">
        <f t="shared" si="93"/>
        <v>0</v>
      </c>
      <c r="DE53" s="183">
        <f t="shared" si="93"/>
        <v>0</v>
      </c>
      <c r="DF53" s="183">
        <f t="shared" si="93"/>
        <v>0</v>
      </c>
      <c r="DG53" s="183">
        <f t="shared" si="93"/>
        <v>0</v>
      </c>
      <c r="DH53" s="183">
        <f t="shared" si="93"/>
        <v>0</v>
      </c>
      <c r="DI53" s="183">
        <f t="shared" si="93"/>
        <v>0</v>
      </c>
      <c r="DJ53" s="183">
        <f t="shared" si="93"/>
        <v>0</v>
      </c>
      <c r="DK53" s="183">
        <f t="shared" si="93"/>
        <v>0</v>
      </c>
      <c r="DL53" s="183">
        <f t="shared" si="93"/>
        <v>0</v>
      </c>
      <c r="DM53" s="183">
        <f t="shared" si="93"/>
        <v>0</v>
      </c>
      <c r="DN53" s="183">
        <f t="shared" si="93"/>
        <v>0</v>
      </c>
      <c r="DO53" s="183">
        <f t="shared" si="93"/>
        <v>0</v>
      </c>
      <c r="DP53" s="183">
        <f t="shared" si="93"/>
        <v>0</v>
      </c>
      <c r="DQ53" s="183">
        <f t="shared" ref="DQ53:EZ53" si="94">IF($X53=0,$E53*DP$41,0)</f>
        <v>0</v>
      </c>
      <c r="DR53" s="183">
        <f t="shared" si="94"/>
        <v>0</v>
      </c>
      <c r="DS53" s="183">
        <f t="shared" si="94"/>
        <v>0</v>
      </c>
      <c r="DT53" s="183">
        <f t="shared" si="94"/>
        <v>0</v>
      </c>
      <c r="DU53" s="183">
        <f t="shared" si="94"/>
        <v>0</v>
      </c>
      <c r="DV53" s="183">
        <f t="shared" si="94"/>
        <v>0</v>
      </c>
      <c r="DW53" s="183">
        <f t="shared" si="94"/>
        <v>0</v>
      </c>
      <c r="DX53" s="183">
        <f t="shared" si="94"/>
        <v>0</v>
      </c>
      <c r="DY53" s="183">
        <f t="shared" si="94"/>
        <v>0</v>
      </c>
      <c r="DZ53" s="183">
        <f t="shared" si="94"/>
        <v>0</v>
      </c>
      <c r="EA53" s="183">
        <f t="shared" si="94"/>
        <v>0</v>
      </c>
      <c r="EB53" s="183">
        <f t="shared" si="94"/>
        <v>0</v>
      </c>
      <c r="EC53" s="183">
        <f t="shared" si="94"/>
        <v>0</v>
      </c>
      <c r="ED53" s="183">
        <f t="shared" si="94"/>
        <v>0</v>
      </c>
      <c r="EE53" s="183">
        <f t="shared" si="94"/>
        <v>0</v>
      </c>
      <c r="EF53" s="183">
        <f t="shared" si="94"/>
        <v>0</v>
      </c>
      <c r="EG53" s="183">
        <f t="shared" si="94"/>
        <v>0</v>
      </c>
      <c r="EH53" s="183">
        <f t="shared" si="94"/>
        <v>0</v>
      </c>
      <c r="EI53" s="183">
        <f t="shared" si="94"/>
        <v>0</v>
      </c>
      <c r="EJ53" s="183">
        <f t="shared" si="94"/>
        <v>0</v>
      </c>
      <c r="EK53" s="183">
        <f t="shared" si="94"/>
        <v>0</v>
      </c>
      <c r="EL53" s="183">
        <f t="shared" si="94"/>
        <v>0</v>
      </c>
      <c r="EM53" s="183">
        <f t="shared" si="94"/>
        <v>0</v>
      </c>
      <c r="EN53" s="183">
        <f t="shared" si="94"/>
        <v>0</v>
      </c>
      <c r="EO53" s="183">
        <f t="shared" si="94"/>
        <v>0</v>
      </c>
      <c r="EP53" s="183">
        <f t="shared" si="94"/>
        <v>0</v>
      </c>
      <c r="EQ53" s="183">
        <f t="shared" si="94"/>
        <v>0</v>
      </c>
      <c r="ER53" s="183">
        <f t="shared" si="94"/>
        <v>0</v>
      </c>
      <c r="ES53" s="183">
        <f t="shared" si="94"/>
        <v>0</v>
      </c>
      <c r="ET53" s="183">
        <f t="shared" si="94"/>
        <v>0</v>
      </c>
      <c r="EU53" s="183">
        <f t="shared" si="94"/>
        <v>0</v>
      </c>
      <c r="EV53" s="183">
        <f t="shared" si="94"/>
        <v>0</v>
      </c>
      <c r="EW53" s="183">
        <f t="shared" si="94"/>
        <v>0</v>
      </c>
      <c r="EX53" s="183">
        <f t="shared" si="94"/>
        <v>0</v>
      </c>
      <c r="EY53" s="183">
        <f t="shared" si="94"/>
        <v>0</v>
      </c>
      <c r="EZ53" s="183">
        <f t="shared" si="94"/>
        <v>0</v>
      </c>
      <c r="FA53" s="144"/>
      <c r="FB53" s="609" t="s">
        <v>243</v>
      </c>
      <c r="FC53" s="144"/>
      <c r="FD53" s="144"/>
      <c r="FE53" s="144"/>
      <c r="FF53" s="144"/>
      <c r="FG53" s="144"/>
      <c r="FH53" s="144"/>
      <c r="FI53" s="144"/>
      <c r="FJ53" s="144"/>
      <c r="FK53" s="144"/>
      <c r="FL53" s="144"/>
      <c r="FM53" s="144"/>
      <c r="FN53" s="144"/>
      <c r="FO53" s="144"/>
      <c r="FP53" s="144"/>
      <c r="FQ53" s="144"/>
      <c r="FR53" s="144"/>
      <c r="FS53" s="144"/>
      <c r="FT53" s="144"/>
      <c r="FU53" s="144"/>
      <c r="FV53" s="144"/>
      <c r="FW53" s="144"/>
      <c r="FX53" s="144"/>
      <c r="FY53" s="144"/>
      <c r="FZ53" s="144"/>
      <c r="GA53" s="144"/>
      <c r="GB53" s="144"/>
      <c r="GC53" s="144"/>
      <c r="GD53" s="144"/>
      <c r="GE53" s="144"/>
      <c r="GF53" s="144"/>
      <c r="GG53" s="144"/>
      <c r="GH53" s="144"/>
      <c r="GI53" s="144"/>
      <c r="GJ53" s="144"/>
      <c r="GK53" s="144"/>
      <c r="GL53" s="144"/>
      <c r="GM53" s="144"/>
      <c r="GN53" s="144"/>
      <c r="GO53" s="144"/>
      <c r="GP53" s="144"/>
      <c r="GQ53" s="144"/>
      <c r="GR53" s="144"/>
      <c r="GS53" s="144"/>
      <c r="GT53" s="144"/>
      <c r="GU53" s="144"/>
      <c r="GV53" s="144"/>
      <c r="GW53" s="144"/>
      <c r="GX53" s="144"/>
      <c r="GY53" s="144"/>
      <c r="GZ53" s="144"/>
      <c r="HA53" s="144"/>
      <c r="HB53" s="144"/>
      <c r="HC53" s="144"/>
      <c r="HD53" s="144"/>
      <c r="HE53" s="144"/>
      <c r="HF53" s="144"/>
      <c r="HG53" s="144"/>
      <c r="HH53" s="144"/>
      <c r="HI53" s="144"/>
      <c r="HJ53" s="144"/>
      <c r="HK53" s="144"/>
    </row>
    <row r="54" spans="1:219" s="158" customFormat="1" x14ac:dyDescent="0.2">
      <c r="A54" s="630"/>
      <c r="B54" s="638" t="s">
        <v>661</v>
      </c>
      <c r="C54" s="638"/>
      <c r="D54" s="443">
        <v>0</v>
      </c>
      <c r="E54" s="199">
        <f>IF(units=0,0,'Renovation Budget'!D54/'Unit Mix-Reno Schedule'!$AI$27)</f>
        <v>0</v>
      </c>
      <c r="F54" s="640">
        <v>1</v>
      </c>
      <c r="G54" s="640">
        <v>28</v>
      </c>
      <c r="H54" s="641">
        <f t="shared" si="44"/>
        <v>27</v>
      </c>
      <c r="I54" s="642"/>
      <c r="J54" s="643" t="s">
        <v>42</v>
      </c>
      <c r="K54" s="644"/>
      <c r="L54" s="183">
        <f t="shared" si="45"/>
        <v>0</v>
      </c>
      <c r="M54" s="183">
        <f t="shared" si="45"/>
        <v>0</v>
      </c>
      <c r="N54" s="183">
        <f t="shared" si="45"/>
        <v>0</v>
      </c>
      <c r="O54" s="183">
        <f t="shared" si="45"/>
        <v>0</v>
      </c>
      <c r="P54" s="183">
        <f t="shared" si="45"/>
        <v>0</v>
      </c>
      <c r="Q54" s="183">
        <f t="shared" si="45"/>
        <v>0</v>
      </c>
      <c r="R54" s="183">
        <f t="shared" si="45"/>
        <v>0</v>
      </c>
      <c r="S54" s="183">
        <f t="shared" si="45"/>
        <v>0</v>
      </c>
      <c r="T54" s="183">
        <f t="shared" si="45"/>
        <v>0</v>
      </c>
      <c r="U54" s="183">
        <f t="shared" si="45"/>
        <v>0</v>
      </c>
      <c r="V54" s="183">
        <f t="shared" si="45"/>
        <v>0</v>
      </c>
      <c r="W54" s="644"/>
      <c r="X54" s="183">
        <f t="shared" si="46"/>
        <v>0</v>
      </c>
      <c r="Y54" s="183">
        <f t="shared" ref="Y54:BD54" si="95">IF($X54=0,$E54*X$41,0)</f>
        <v>0</v>
      </c>
      <c r="Z54" s="183">
        <f t="shared" si="95"/>
        <v>0</v>
      </c>
      <c r="AA54" s="183">
        <f t="shared" si="95"/>
        <v>0</v>
      </c>
      <c r="AB54" s="183">
        <f t="shared" si="95"/>
        <v>0</v>
      </c>
      <c r="AC54" s="183">
        <f t="shared" si="95"/>
        <v>0</v>
      </c>
      <c r="AD54" s="183">
        <f t="shared" si="95"/>
        <v>0</v>
      </c>
      <c r="AE54" s="183">
        <f t="shared" si="95"/>
        <v>0</v>
      </c>
      <c r="AF54" s="183">
        <f t="shared" si="95"/>
        <v>0</v>
      </c>
      <c r="AG54" s="183">
        <f t="shared" si="95"/>
        <v>0</v>
      </c>
      <c r="AH54" s="183">
        <f t="shared" si="95"/>
        <v>0</v>
      </c>
      <c r="AI54" s="183">
        <f t="shared" si="95"/>
        <v>0</v>
      </c>
      <c r="AJ54" s="183">
        <f t="shared" si="95"/>
        <v>0</v>
      </c>
      <c r="AK54" s="183">
        <f t="shared" si="95"/>
        <v>0</v>
      </c>
      <c r="AL54" s="183">
        <f t="shared" si="95"/>
        <v>0</v>
      </c>
      <c r="AM54" s="183">
        <f t="shared" si="95"/>
        <v>0</v>
      </c>
      <c r="AN54" s="183">
        <f t="shared" si="95"/>
        <v>0</v>
      </c>
      <c r="AO54" s="183">
        <f t="shared" si="95"/>
        <v>0</v>
      </c>
      <c r="AP54" s="183">
        <f t="shared" si="95"/>
        <v>0</v>
      </c>
      <c r="AQ54" s="183">
        <f t="shared" si="95"/>
        <v>0</v>
      </c>
      <c r="AR54" s="183">
        <f t="shared" si="95"/>
        <v>0</v>
      </c>
      <c r="AS54" s="183">
        <f t="shared" si="95"/>
        <v>0</v>
      </c>
      <c r="AT54" s="183">
        <f t="shared" si="95"/>
        <v>0</v>
      </c>
      <c r="AU54" s="183">
        <f t="shared" si="95"/>
        <v>0</v>
      </c>
      <c r="AV54" s="183">
        <f t="shared" si="95"/>
        <v>0</v>
      </c>
      <c r="AW54" s="183">
        <f t="shared" si="95"/>
        <v>0</v>
      </c>
      <c r="AX54" s="183">
        <f t="shared" si="95"/>
        <v>0</v>
      </c>
      <c r="AY54" s="183">
        <f t="shared" si="95"/>
        <v>0</v>
      </c>
      <c r="AZ54" s="183">
        <f t="shared" si="95"/>
        <v>0</v>
      </c>
      <c r="BA54" s="183">
        <f t="shared" si="95"/>
        <v>0</v>
      </c>
      <c r="BB54" s="183">
        <f t="shared" si="95"/>
        <v>0</v>
      </c>
      <c r="BC54" s="183">
        <f t="shared" si="95"/>
        <v>0</v>
      </c>
      <c r="BD54" s="183">
        <f t="shared" si="95"/>
        <v>0</v>
      </c>
      <c r="BE54" s="183">
        <f t="shared" ref="BE54:CJ54" si="96">IF($X54=0,$E54*BD$41,0)</f>
        <v>0</v>
      </c>
      <c r="BF54" s="183">
        <f t="shared" si="96"/>
        <v>0</v>
      </c>
      <c r="BG54" s="183">
        <f t="shared" si="96"/>
        <v>0</v>
      </c>
      <c r="BH54" s="183">
        <f t="shared" si="96"/>
        <v>0</v>
      </c>
      <c r="BI54" s="183">
        <f t="shared" si="96"/>
        <v>0</v>
      </c>
      <c r="BJ54" s="183">
        <f t="shared" si="96"/>
        <v>0</v>
      </c>
      <c r="BK54" s="183">
        <f t="shared" si="96"/>
        <v>0</v>
      </c>
      <c r="BL54" s="183">
        <f t="shared" si="96"/>
        <v>0</v>
      </c>
      <c r="BM54" s="183">
        <f t="shared" si="96"/>
        <v>0</v>
      </c>
      <c r="BN54" s="183">
        <f t="shared" si="96"/>
        <v>0</v>
      </c>
      <c r="BO54" s="183">
        <f t="shared" si="96"/>
        <v>0</v>
      </c>
      <c r="BP54" s="183">
        <f t="shared" si="96"/>
        <v>0</v>
      </c>
      <c r="BQ54" s="183">
        <f t="shared" si="96"/>
        <v>0</v>
      </c>
      <c r="BR54" s="183">
        <f t="shared" si="96"/>
        <v>0</v>
      </c>
      <c r="BS54" s="183">
        <f t="shared" si="96"/>
        <v>0</v>
      </c>
      <c r="BT54" s="183">
        <f t="shared" si="96"/>
        <v>0</v>
      </c>
      <c r="BU54" s="183">
        <f t="shared" si="96"/>
        <v>0</v>
      </c>
      <c r="BV54" s="183">
        <f t="shared" si="96"/>
        <v>0</v>
      </c>
      <c r="BW54" s="183">
        <f t="shared" si="96"/>
        <v>0</v>
      </c>
      <c r="BX54" s="183">
        <f t="shared" si="96"/>
        <v>0</v>
      </c>
      <c r="BY54" s="183">
        <f t="shared" si="96"/>
        <v>0</v>
      </c>
      <c r="BZ54" s="183">
        <f t="shared" si="96"/>
        <v>0</v>
      </c>
      <c r="CA54" s="183">
        <f t="shared" si="96"/>
        <v>0</v>
      </c>
      <c r="CB54" s="183">
        <f t="shared" si="96"/>
        <v>0</v>
      </c>
      <c r="CC54" s="183">
        <f t="shared" si="96"/>
        <v>0</v>
      </c>
      <c r="CD54" s="183">
        <f t="shared" si="96"/>
        <v>0</v>
      </c>
      <c r="CE54" s="183">
        <f t="shared" si="96"/>
        <v>0</v>
      </c>
      <c r="CF54" s="183">
        <f t="shared" si="96"/>
        <v>0</v>
      </c>
      <c r="CG54" s="183">
        <f t="shared" si="96"/>
        <v>0</v>
      </c>
      <c r="CH54" s="183">
        <f t="shared" si="96"/>
        <v>0</v>
      </c>
      <c r="CI54" s="183">
        <f t="shared" si="96"/>
        <v>0</v>
      </c>
      <c r="CJ54" s="183">
        <f t="shared" si="96"/>
        <v>0</v>
      </c>
      <c r="CK54" s="183">
        <f t="shared" ref="CK54:DP54" si="97">IF($X54=0,$E54*CJ$41,0)</f>
        <v>0</v>
      </c>
      <c r="CL54" s="183">
        <f t="shared" si="97"/>
        <v>0</v>
      </c>
      <c r="CM54" s="183">
        <f t="shared" si="97"/>
        <v>0</v>
      </c>
      <c r="CN54" s="183">
        <f t="shared" si="97"/>
        <v>0</v>
      </c>
      <c r="CO54" s="183">
        <f t="shared" si="97"/>
        <v>0</v>
      </c>
      <c r="CP54" s="183">
        <f t="shared" si="97"/>
        <v>0</v>
      </c>
      <c r="CQ54" s="183">
        <f t="shared" si="97"/>
        <v>0</v>
      </c>
      <c r="CR54" s="183">
        <f t="shared" si="97"/>
        <v>0</v>
      </c>
      <c r="CS54" s="183">
        <f t="shared" si="97"/>
        <v>0</v>
      </c>
      <c r="CT54" s="183">
        <f t="shared" si="97"/>
        <v>0</v>
      </c>
      <c r="CU54" s="183">
        <f t="shared" si="97"/>
        <v>0</v>
      </c>
      <c r="CV54" s="183">
        <f t="shared" si="97"/>
        <v>0</v>
      </c>
      <c r="CW54" s="183">
        <f t="shared" si="97"/>
        <v>0</v>
      </c>
      <c r="CX54" s="183">
        <f t="shared" si="97"/>
        <v>0</v>
      </c>
      <c r="CY54" s="183">
        <f t="shared" si="97"/>
        <v>0</v>
      </c>
      <c r="CZ54" s="183">
        <f t="shared" si="97"/>
        <v>0</v>
      </c>
      <c r="DA54" s="183">
        <f t="shared" si="97"/>
        <v>0</v>
      </c>
      <c r="DB54" s="183">
        <f t="shared" si="97"/>
        <v>0</v>
      </c>
      <c r="DC54" s="183">
        <f t="shared" si="97"/>
        <v>0</v>
      </c>
      <c r="DD54" s="183">
        <f t="shared" si="97"/>
        <v>0</v>
      </c>
      <c r="DE54" s="183">
        <f t="shared" si="97"/>
        <v>0</v>
      </c>
      <c r="DF54" s="183">
        <f t="shared" si="97"/>
        <v>0</v>
      </c>
      <c r="DG54" s="183">
        <f t="shared" si="97"/>
        <v>0</v>
      </c>
      <c r="DH54" s="183">
        <f t="shared" si="97"/>
        <v>0</v>
      </c>
      <c r="DI54" s="183">
        <f t="shared" si="97"/>
        <v>0</v>
      </c>
      <c r="DJ54" s="183">
        <f t="shared" si="97"/>
        <v>0</v>
      </c>
      <c r="DK54" s="183">
        <f t="shared" si="97"/>
        <v>0</v>
      </c>
      <c r="DL54" s="183">
        <f t="shared" si="97"/>
        <v>0</v>
      </c>
      <c r="DM54" s="183">
        <f t="shared" si="97"/>
        <v>0</v>
      </c>
      <c r="DN54" s="183">
        <f t="shared" si="97"/>
        <v>0</v>
      </c>
      <c r="DO54" s="183">
        <f t="shared" si="97"/>
        <v>0</v>
      </c>
      <c r="DP54" s="183">
        <f t="shared" si="97"/>
        <v>0</v>
      </c>
      <c r="DQ54" s="183">
        <f t="shared" ref="DQ54:EZ54" si="98">IF($X54=0,$E54*DP$41,0)</f>
        <v>0</v>
      </c>
      <c r="DR54" s="183">
        <f t="shared" si="98"/>
        <v>0</v>
      </c>
      <c r="DS54" s="183">
        <f t="shared" si="98"/>
        <v>0</v>
      </c>
      <c r="DT54" s="183">
        <f t="shared" si="98"/>
        <v>0</v>
      </c>
      <c r="DU54" s="183">
        <f t="shared" si="98"/>
        <v>0</v>
      </c>
      <c r="DV54" s="183">
        <f t="shared" si="98"/>
        <v>0</v>
      </c>
      <c r="DW54" s="183">
        <f t="shared" si="98"/>
        <v>0</v>
      </c>
      <c r="DX54" s="183">
        <f t="shared" si="98"/>
        <v>0</v>
      </c>
      <c r="DY54" s="183">
        <f t="shared" si="98"/>
        <v>0</v>
      </c>
      <c r="DZ54" s="183">
        <f t="shared" si="98"/>
        <v>0</v>
      </c>
      <c r="EA54" s="183">
        <f t="shared" si="98"/>
        <v>0</v>
      </c>
      <c r="EB54" s="183">
        <f t="shared" si="98"/>
        <v>0</v>
      </c>
      <c r="EC54" s="183">
        <f t="shared" si="98"/>
        <v>0</v>
      </c>
      <c r="ED54" s="183">
        <f t="shared" si="98"/>
        <v>0</v>
      </c>
      <c r="EE54" s="183">
        <f t="shared" si="98"/>
        <v>0</v>
      </c>
      <c r="EF54" s="183">
        <f t="shared" si="98"/>
        <v>0</v>
      </c>
      <c r="EG54" s="183">
        <f t="shared" si="98"/>
        <v>0</v>
      </c>
      <c r="EH54" s="183">
        <f t="shared" si="98"/>
        <v>0</v>
      </c>
      <c r="EI54" s="183">
        <f t="shared" si="98"/>
        <v>0</v>
      </c>
      <c r="EJ54" s="183">
        <f t="shared" si="98"/>
        <v>0</v>
      </c>
      <c r="EK54" s="183">
        <f t="shared" si="98"/>
        <v>0</v>
      </c>
      <c r="EL54" s="183">
        <f t="shared" si="98"/>
        <v>0</v>
      </c>
      <c r="EM54" s="183">
        <f t="shared" si="98"/>
        <v>0</v>
      </c>
      <c r="EN54" s="183">
        <f t="shared" si="98"/>
        <v>0</v>
      </c>
      <c r="EO54" s="183">
        <f t="shared" si="98"/>
        <v>0</v>
      </c>
      <c r="EP54" s="183">
        <f t="shared" si="98"/>
        <v>0</v>
      </c>
      <c r="EQ54" s="183">
        <f t="shared" si="98"/>
        <v>0</v>
      </c>
      <c r="ER54" s="183">
        <f t="shared" si="98"/>
        <v>0</v>
      </c>
      <c r="ES54" s="183">
        <f t="shared" si="98"/>
        <v>0</v>
      </c>
      <c r="ET54" s="183">
        <f t="shared" si="98"/>
        <v>0</v>
      </c>
      <c r="EU54" s="183">
        <f t="shared" si="98"/>
        <v>0</v>
      </c>
      <c r="EV54" s="183">
        <f t="shared" si="98"/>
        <v>0</v>
      </c>
      <c r="EW54" s="183">
        <f t="shared" si="98"/>
        <v>0</v>
      </c>
      <c r="EX54" s="183">
        <f t="shared" si="98"/>
        <v>0</v>
      </c>
      <c r="EY54" s="183">
        <f t="shared" si="98"/>
        <v>0</v>
      </c>
      <c r="EZ54" s="183">
        <f t="shared" si="98"/>
        <v>0</v>
      </c>
      <c r="FA54" s="144"/>
      <c r="FB54" s="609" t="s">
        <v>243</v>
      </c>
      <c r="FC54" s="144"/>
      <c r="FD54" s="144"/>
      <c r="FE54" s="144"/>
      <c r="FF54" s="144"/>
      <c r="FG54" s="144"/>
      <c r="FH54" s="144"/>
      <c r="FI54" s="144"/>
      <c r="FJ54" s="144"/>
      <c r="FK54" s="144"/>
      <c r="FL54" s="144"/>
      <c r="FM54" s="144"/>
      <c r="FN54" s="144"/>
      <c r="FO54" s="144"/>
      <c r="FP54" s="144"/>
      <c r="FQ54" s="144"/>
      <c r="FR54" s="144"/>
      <c r="FS54" s="144"/>
      <c r="FT54" s="144"/>
      <c r="FU54" s="144"/>
      <c r="FV54" s="144"/>
      <c r="FW54" s="144"/>
      <c r="FX54" s="144"/>
      <c r="FY54" s="144"/>
      <c r="FZ54" s="144"/>
      <c r="GA54" s="144"/>
      <c r="GB54" s="144"/>
      <c r="GC54" s="144"/>
      <c r="GD54" s="144"/>
      <c r="GE54" s="144"/>
      <c r="GF54" s="144"/>
      <c r="GG54" s="144"/>
      <c r="GH54" s="144"/>
      <c r="GI54" s="144"/>
      <c r="GJ54" s="144"/>
      <c r="GK54" s="144"/>
      <c r="GL54" s="144"/>
      <c r="GM54" s="144"/>
      <c r="GN54" s="144"/>
      <c r="GO54" s="144"/>
      <c r="GP54" s="144"/>
      <c r="GQ54" s="144"/>
      <c r="GR54" s="144"/>
      <c r="GS54" s="144"/>
      <c r="GT54" s="144"/>
      <c r="GU54" s="144"/>
      <c r="GV54" s="144"/>
      <c r="GW54" s="144"/>
      <c r="GX54" s="144"/>
      <c r="GY54" s="144"/>
      <c r="GZ54" s="144"/>
      <c r="HA54" s="144"/>
      <c r="HB54" s="144"/>
      <c r="HC54" s="144"/>
      <c r="HD54" s="144"/>
      <c r="HE54" s="144"/>
      <c r="HF54" s="144"/>
      <c r="HG54" s="144"/>
      <c r="HH54" s="144"/>
      <c r="HI54" s="144"/>
      <c r="HJ54" s="144"/>
      <c r="HK54" s="144"/>
    </row>
    <row r="55" spans="1:219" s="158" customFormat="1" x14ac:dyDescent="0.2">
      <c r="A55" s="630"/>
      <c r="B55" s="638" t="s">
        <v>662</v>
      </c>
      <c r="C55" s="638"/>
      <c r="D55" s="443">
        <v>0</v>
      </c>
      <c r="E55" s="199">
        <f>IF(units=0,0,'Renovation Budget'!D55/'Unit Mix-Reno Schedule'!$AI$27)</f>
        <v>0</v>
      </c>
      <c r="F55" s="640">
        <v>1</v>
      </c>
      <c r="G55" s="640">
        <v>28</v>
      </c>
      <c r="H55" s="641">
        <f t="shared" si="44"/>
        <v>27</v>
      </c>
      <c r="I55" s="642"/>
      <c r="J55" s="643" t="s">
        <v>42</v>
      </c>
      <c r="K55" s="644"/>
      <c r="L55" s="183">
        <f t="shared" si="45"/>
        <v>0</v>
      </c>
      <c r="M55" s="183">
        <f t="shared" si="45"/>
        <v>0</v>
      </c>
      <c r="N55" s="183">
        <f t="shared" si="45"/>
        <v>0</v>
      </c>
      <c r="O55" s="183">
        <f t="shared" si="45"/>
        <v>0</v>
      </c>
      <c r="P55" s="183">
        <f t="shared" si="45"/>
        <v>0</v>
      </c>
      <c r="Q55" s="183">
        <f t="shared" si="45"/>
        <v>0</v>
      </c>
      <c r="R55" s="183">
        <f t="shared" si="45"/>
        <v>0</v>
      </c>
      <c r="S55" s="183">
        <f t="shared" si="45"/>
        <v>0</v>
      </c>
      <c r="T55" s="183">
        <f t="shared" si="45"/>
        <v>0</v>
      </c>
      <c r="U55" s="183">
        <f t="shared" si="45"/>
        <v>0</v>
      </c>
      <c r="V55" s="183">
        <f t="shared" si="45"/>
        <v>0</v>
      </c>
      <c r="W55" s="644"/>
      <c r="X55" s="183">
        <f t="shared" si="46"/>
        <v>0</v>
      </c>
      <c r="Y55" s="183">
        <f t="shared" ref="Y55:BD55" si="99">IF($X55=0,$E55*X$41,0)</f>
        <v>0</v>
      </c>
      <c r="Z55" s="183">
        <f t="shared" si="99"/>
        <v>0</v>
      </c>
      <c r="AA55" s="183">
        <f t="shared" si="99"/>
        <v>0</v>
      </c>
      <c r="AB55" s="183">
        <f t="shared" si="99"/>
        <v>0</v>
      </c>
      <c r="AC55" s="183">
        <f t="shared" si="99"/>
        <v>0</v>
      </c>
      <c r="AD55" s="183">
        <f t="shared" si="99"/>
        <v>0</v>
      </c>
      <c r="AE55" s="183">
        <f t="shared" si="99"/>
        <v>0</v>
      </c>
      <c r="AF55" s="183">
        <f t="shared" si="99"/>
        <v>0</v>
      </c>
      <c r="AG55" s="183">
        <f t="shared" si="99"/>
        <v>0</v>
      </c>
      <c r="AH55" s="183">
        <f t="shared" si="99"/>
        <v>0</v>
      </c>
      <c r="AI55" s="183">
        <f t="shared" si="99"/>
        <v>0</v>
      </c>
      <c r="AJ55" s="183">
        <f t="shared" si="99"/>
        <v>0</v>
      </c>
      <c r="AK55" s="183">
        <f t="shared" si="99"/>
        <v>0</v>
      </c>
      <c r="AL55" s="183">
        <f t="shared" si="99"/>
        <v>0</v>
      </c>
      <c r="AM55" s="183">
        <f t="shared" si="99"/>
        <v>0</v>
      </c>
      <c r="AN55" s="183">
        <f t="shared" si="99"/>
        <v>0</v>
      </c>
      <c r="AO55" s="183">
        <f t="shared" si="99"/>
        <v>0</v>
      </c>
      <c r="AP55" s="183">
        <f t="shared" si="99"/>
        <v>0</v>
      </c>
      <c r="AQ55" s="183">
        <f t="shared" si="99"/>
        <v>0</v>
      </c>
      <c r="AR55" s="183">
        <f t="shared" si="99"/>
        <v>0</v>
      </c>
      <c r="AS55" s="183">
        <f t="shared" si="99"/>
        <v>0</v>
      </c>
      <c r="AT55" s="183">
        <f t="shared" si="99"/>
        <v>0</v>
      </c>
      <c r="AU55" s="183">
        <f t="shared" si="99"/>
        <v>0</v>
      </c>
      <c r="AV55" s="183">
        <f t="shared" si="99"/>
        <v>0</v>
      </c>
      <c r="AW55" s="183">
        <f t="shared" si="99"/>
        <v>0</v>
      </c>
      <c r="AX55" s="183">
        <f t="shared" si="99"/>
        <v>0</v>
      </c>
      <c r="AY55" s="183">
        <f t="shared" si="99"/>
        <v>0</v>
      </c>
      <c r="AZ55" s="183">
        <f t="shared" si="99"/>
        <v>0</v>
      </c>
      <c r="BA55" s="183">
        <f t="shared" si="99"/>
        <v>0</v>
      </c>
      <c r="BB55" s="183">
        <f t="shared" si="99"/>
        <v>0</v>
      </c>
      <c r="BC55" s="183">
        <f t="shared" si="99"/>
        <v>0</v>
      </c>
      <c r="BD55" s="183">
        <f t="shared" si="99"/>
        <v>0</v>
      </c>
      <c r="BE55" s="183">
        <f t="shared" ref="BE55:CJ55" si="100">IF($X55=0,$E55*BD$41,0)</f>
        <v>0</v>
      </c>
      <c r="BF55" s="183">
        <f t="shared" si="100"/>
        <v>0</v>
      </c>
      <c r="BG55" s="183">
        <f t="shared" si="100"/>
        <v>0</v>
      </c>
      <c r="BH55" s="183">
        <f t="shared" si="100"/>
        <v>0</v>
      </c>
      <c r="BI55" s="183">
        <f t="shared" si="100"/>
        <v>0</v>
      </c>
      <c r="BJ55" s="183">
        <f t="shared" si="100"/>
        <v>0</v>
      </c>
      <c r="BK55" s="183">
        <f t="shared" si="100"/>
        <v>0</v>
      </c>
      <c r="BL55" s="183">
        <f t="shared" si="100"/>
        <v>0</v>
      </c>
      <c r="BM55" s="183">
        <f t="shared" si="100"/>
        <v>0</v>
      </c>
      <c r="BN55" s="183">
        <f t="shared" si="100"/>
        <v>0</v>
      </c>
      <c r="BO55" s="183">
        <f t="shared" si="100"/>
        <v>0</v>
      </c>
      <c r="BP55" s="183">
        <f t="shared" si="100"/>
        <v>0</v>
      </c>
      <c r="BQ55" s="183">
        <f t="shared" si="100"/>
        <v>0</v>
      </c>
      <c r="BR55" s="183">
        <f t="shared" si="100"/>
        <v>0</v>
      </c>
      <c r="BS55" s="183">
        <f t="shared" si="100"/>
        <v>0</v>
      </c>
      <c r="BT55" s="183">
        <f t="shared" si="100"/>
        <v>0</v>
      </c>
      <c r="BU55" s="183">
        <f t="shared" si="100"/>
        <v>0</v>
      </c>
      <c r="BV55" s="183">
        <f t="shared" si="100"/>
        <v>0</v>
      </c>
      <c r="BW55" s="183">
        <f t="shared" si="100"/>
        <v>0</v>
      </c>
      <c r="BX55" s="183">
        <f t="shared" si="100"/>
        <v>0</v>
      </c>
      <c r="BY55" s="183">
        <f t="shared" si="100"/>
        <v>0</v>
      </c>
      <c r="BZ55" s="183">
        <f t="shared" si="100"/>
        <v>0</v>
      </c>
      <c r="CA55" s="183">
        <f t="shared" si="100"/>
        <v>0</v>
      </c>
      <c r="CB55" s="183">
        <f t="shared" si="100"/>
        <v>0</v>
      </c>
      <c r="CC55" s="183">
        <f t="shared" si="100"/>
        <v>0</v>
      </c>
      <c r="CD55" s="183">
        <f t="shared" si="100"/>
        <v>0</v>
      </c>
      <c r="CE55" s="183">
        <f t="shared" si="100"/>
        <v>0</v>
      </c>
      <c r="CF55" s="183">
        <f t="shared" si="100"/>
        <v>0</v>
      </c>
      <c r="CG55" s="183">
        <f t="shared" si="100"/>
        <v>0</v>
      </c>
      <c r="CH55" s="183">
        <f t="shared" si="100"/>
        <v>0</v>
      </c>
      <c r="CI55" s="183">
        <f t="shared" si="100"/>
        <v>0</v>
      </c>
      <c r="CJ55" s="183">
        <f t="shared" si="100"/>
        <v>0</v>
      </c>
      <c r="CK55" s="183">
        <f t="shared" ref="CK55:DP55" si="101">IF($X55=0,$E55*CJ$41,0)</f>
        <v>0</v>
      </c>
      <c r="CL55" s="183">
        <f t="shared" si="101"/>
        <v>0</v>
      </c>
      <c r="CM55" s="183">
        <f t="shared" si="101"/>
        <v>0</v>
      </c>
      <c r="CN55" s="183">
        <f t="shared" si="101"/>
        <v>0</v>
      </c>
      <c r="CO55" s="183">
        <f t="shared" si="101"/>
        <v>0</v>
      </c>
      <c r="CP55" s="183">
        <f t="shared" si="101"/>
        <v>0</v>
      </c>
      <c r="CQ55" s="183">
        <f t="shared" si="101"/>
        <v>0</v>
      </c>
      <c r="CR55" s="183">
        <f t="shared" si="101"/>
        <v>0</v>
      </c>
      <c r="CS55" s="183">
        <f t="shared" si="101"/>
        <v>0</v>
      </c>
      <c r="CT55" s="183">
        <f t="shared" si="101"/>
        <v>0</v>
      </c>
      <c r="CU55" s="183">
        <f t="shared" si="101"/>
        <v>0</v>
      </c>
      <c r="CV55" s="183">
        <f t="shared" si="101"/>
        <v>0</v>
      </c>
      <c r="CW55" s="183">
        <f t="shared" si="101"/>
        <v>0</v>
      </c>
      <c r="CX55" s="183">
        <f t="shared" si="101"/>
        <v>0</v>
      </c>
      <c r="CY55" s="183">
        <f t="shared" si="101"/>
        <v>0</v>
      </c>
      <c r="CZ55" s="183">
        <f t="shared" si="101"/>
        <v>0</v>
      </c>
      <c r="DA55" s="183">
        <f t="shared" si="101"/>
        <v>0</v>
      </c>
      <c r="DB55" s="183">
        <f t="shared" si="101"/>
        <v>0</v>
      </c>
      <c r="DC55" s="183">
        <f t="shared" si="101"/>
        <v>0</v>
      </c>
      <c r="DD55" s="183">
        <f t="shared" si="101"/>
        <v>0</v>
      </c>
      <c r="DE55" s="183">
        <f t="shared" si="101"/>
        <v>0</v>
      </c>
      <c r="DF55" s="183">
        <f t="shared" si="101"/>
        <v>0</v>
      </c>
      <c r="DG55" s="183">
        <f t="shared" si="101"/>
        <v>0</v>
      </c>
      <c r="DH55" s="183">
        <f t="shared" si="101"/>
        <v>0</v>
      </c>
      <c r="DI55" s="183">
        <f t="shared" si="101"/>
        <v>0</v>
      </c>
      <c r="DJ55" s="183">
        <f t="shared" si="101"/>
        <v>0</v>
      </c>
      <c r="DK55" s="183">
        <f t="shared" si="101"/>
        <v>0</v>
      </c>
      <c r="DL55" s="183">
        <f t="shared" si="101"/>
        <v>0</v>
      </c>
      <c r="DM55" s="183">
        <f t="shared" si="101"/>
        <v>0</v>
      </c>
      <c r="DN55" s="183">
        <f t="shared" si="101"/>
        <v>0</v>
      </c>
      <c r="DO55" s="183">
        <f t="shared" si="101"/>
        <v>0</v>
      </c>
      <c r="DP55" s="183">
        <f t="shared" si="101"/>
        <v>0</v>
      </c>
      <c r="DQ55" s="183">
        <f t="shared" ref="DQ55:EZ55" si="102">IF($X55=0,$E55*DP$41,0)</f>
        <v>0</v>
      </c>
      <c r="DR55" s="183">
        <f t="shared" si="102"/>
        <v>0</v>
      </c>
      <c r="DS55" s="183">
        <f t="shared" si="102"/>
        <v>0</v>
      </c>
      <c r="DT55" s="183">
        <f t="shared" si="102"/>
        <v>0</v>
      </c>
      <c r="DU55" s="183">
        <f t="shared" si="102"/>
        <v>0</v>
      </c>
      <c r="DV55" s="183">
        <f t="shared" si="102"/>
        <v>0</v>
      </c>
      <c r="DW55" s="183">
        <f t="shared" si="102"/>
        <v>0</v>
      </c>
      <c r="DX55" s="183">
        <f t="shared" si="102"/>
        <v>0</v>
      </c>
      <c r="DY55" s="183">
        <f t="shared" si="102"/>
        <v>0</v>
      </c>
      <c r="DZ55" s="183">
        <f t="shared" si="102"/>
        <v>0</v>
      </c>
      <c r="EA55" s="183">
        <f t="shared" si="102"/>
        <v>0</v>
      </c>
      <c r="EB55" s="183">
        <f t="shared" si="102"/>
        <v>0</v>
      </c>
      <c r="EC55" s="183">
        <f t="shared" si="102"/>
        <v>0</v>
      </c>
      <c r="ED55" s="183">
        <f t="shared" si="102"/>
        <v>0</v>
      </c>
      <c r="EE55" s="183">
        <f t="shared" si="102"/>
        <v>0</v>
      </c>
      <c r="EF55" s="183">
        <f t="shared" si="102"/>
        <v>0</v>
      </c>
      <c r="EG55" s="183">
        <f t="shared" si="102"/>
        <v>0</v>
      </c>
      <c r="EH55" s="183">
        <f t="shared" si="102"/>
        <v>0</v>
      </c>
      <c r="EI55" s="183">
        <f t="shared" si="102"/>
        <v>0</v>
      </c>
      <c r="EJ55" s="183">
        <f t="shared" si="102"/>
        <v>0</v>
      </c>
      <c r="EK55" s="183">
        <f t="shared" si="102"/>
        <v>0</v>
      </c>
      <c r="EL55" s="183">
        <f t="shared" si="102"/>
        <v>0</v>
      </c>
      <c r="EM55" s="183">
        <f t="shared" si="102"/>
        <v>0</v>
      </c>
      <c r="EN55" s="183">
        <f t="shared" si="102"/>
        <v>0</v>
      </c>
      <c r="EO55" s="183">
        <f t="shared" si="102"/>
        <v>0</v>
      </c>
      <c r="EP55" s="183">
        <f t="shared" si="102"/>
        <v>0</v>
      </c>
      <c r="EQ55" s="183">
        <f t="shared" si="102"/>
        <v>0</v>
      </c>
      <c r="ER55" s="183">
        <f t="shared" si="102"/>
        <v>0</v>
      </c>
      <c r="ES55" s="183">
        <f t="shared" si="102"/>
        <v>0</v>
      </c>
      <c r="ET55" s="183">
        <f t="shared" si="102"/>
        <v>0</v>
      </c>
      <c r="EU55" s="183">
        <f t="shared" si="102"/>
        <v>0</v>
      </c>
      <c r="EV55" s="183">
        <f t="shared" si="102"/>
        <v>0</v>
      </c>
      <c r="EW55" s="183">
        <f t="shared" si="102"/>
        <v>0</v>
      </c>
      <c r="EX55" s="183">
        <f t="shared" si="102"/>
        <v>0</v>
      </c>
      <c r="EY55" s="183">
        <f t="shared" si="102"/>
        <v>0</v>
      </c>
      <c r="EZ55" s="183">
        <f t="shared" si="102"/>
        <v>0</v>
      </c>
      <c r="FA55" s="144"/>
      <c r="FB55" s="609" t="s">
        <v>243</v>
      </c>
      <c r="FC55" s="144"/>
      <c r="FD55" s="144"/>
      <c r="FE55" s="144"/>
      <c r="FF55" s="144"/>
      <c r="FG55" s="144"/>
      <c r="FH55" s="144"/>
      <c r="FI55" s="144"/>
      <c r="FJ55" s="144"/>
      <c r="FK55" s="144"/>
      <c r="FL55" s="144"/>
      <c r="FM55" s="144"/>
      <c r="FN55" s="144"/>
      <c r="FO55" s="144"/>
      <c r="FP55" s="144"/>
      <c r="FQ55" s="144"/>
      <c r="FR55" s="144"/>
      <c r="FS55" s="144"/>
      <c r="FT55" s="144"/>
      <c r="FU55" s="144"/>
      <c r="FV55" s="144"/>
      <c r="FW55" s="144"/>
      <c r="FX55" s="144"/>
      <c r="FY55" s="144"/>
      <c r="FZ55" s="144"/>
      <c r="GA55" s="144"/>
      <c r="GB55" s="144"/>
      <c r="GC55" s="144"/>
      <c r="GD55" s="144"/>
      <c r="GE55" s="144"/>
      <c r="GF55" s="144"/>
      <c r="GG55" s="144"/>
      <c r="GH55" s="144"/>
      <c r="GI55" s="144"/>
      <c r="GJ55" s="144"/>
      <c r="GK55" s="144"/>
      <c r="GL55" s="144"/>
      <c r="GM55" s="144"/>
      <c r="GN55" s="144"/>
      <c r="GO55" s="144"/>
      <c r="GP55" s="144"/>
      <c r="GQ55" s="144"/>
      <c r="GR55" s="144"/>
      <c r="GS55" s="144"/>
      <c r="GT55" s="144"/>
      <c r="GU55" s="144"/>
      <c r="GV55" s="144"/>
      <c r="GW55" s="144"/>
      <c r="GX55" s="144"/>
      <c r="GY55" s="144"/>
      <c r="GZ55" s="144"/>
      <c r="HA55" s="144"/>
      <c r="HB55" s="144"/>
      <c r="HC55" s="144"/>
      <c r="HD55" s="144"/>
      <c r="HE55" s="144"/>
      <c r="HF55" s="144"/>
      <c r="HG55" s="144"/>
      <c r="HH55" s="144"/>
      <c r="HI55" s="144"/>
      <c r="HJ55" s="144"/>
      <c r="HK55" s="144"/>
    </row>
    <row r="56" spans="1:219" s="158" customFormat="1" x14ac:dyDescent="0.2">
      <c r="A56" s="630"/>
      <c r="B56" s="638" t="s">
        <v>228</v>
      </c>
      <c r="C56" s="638"/>
      <c r="D56" s="443">
        <v>0</v>
      </c>
      <c r="E56" s="199">
        <f>IF(units=0,0,'Renovation Budget'!D56/'Unit Mix-Reno Schedule'!$AI$27)</f>
        <v>0</v>
      </c>
      <c r="F56" s="640">
        <v>1</v>
      </c>
      <c r="G56" s="640">
        <v>28</v>
      </c>
      <c r="H56" s="641">
        <f t="shared" si="44"/>
        <v>27</v>
      </c>
      <c r="I56" s="642"/>
      <c r="J56" s="643" t="s">
        <v>42</v>
      </c>
      <c r="K56" s="644"/>
      <c r="L56" s="183">
        <f t="shared" si="45"/>
        <v>0</v>
      </c>
      <c r="M56" s="183">
        <f t="shared" si="45"/>
        <v>0</v>
      </c>
      <c r="N56" s="183">
        <f t="shared" si="45"/>
        <v>0</v>
      </c>
      <c r="O56" s="183">
        <f t="shared" si="45"/>
        <v>0</v>
      </c>
      <c r="P56" s="183">
        <f t="shared" si="45"/>
        <v>0</v>
      </c>
      <c r="Q56" s="183">
        <f t="shared" si="45"/>
        <v>0</v>
      </c>
      <c r="R56" s="183">
        <f t="shared" si="45"/>
        <v>0</v>
      </c>
      <c r="S56" s="183">
        <f t="shared" si="45"/>
        <v>0</v>
      </c>
      <c r="T56" s="183">
        <f t="shared" si="45"/>
        <v>0</v>
      </c>
      <c r="U56" s="183">
        <f t="shared" si="45"/>
        <v>0</v>
      </c>
      <c r="V56" s="183">
        <f t="shared" si="45"/>
        <v>0</v>
      </c>
      <c r="W56" s="644"/>
      <c r="X56" s="183">
        <f t="shared" si="46"/>
        <v>0</v>
      </c>
      <c r="Y56" s="183">
        <f t="shared" ref="Y56:BD56" si="103">IF($X56=0,$E56*X$41,0)</f>
        <v>0</v>
      </c>
      <c r="Z56" s="183">
        <f t="shared" si="103"/>
        <v>0</v>
      </c>
      <c r="AA56" s="183">
        <f t="shared" si="103"/>
        <v>0</v>
      </c>
      <c r="AB56" s="183">
        <f t="shared" si="103"/>
        <v>0</v>
      </c>
      <c r="AC56" s="183">
        <f t="shared" si="103"/>
        <v>0</v>
      </c>
      <c r="AD56" s="183">
        <f t="shared" si="103"/>
        <v>0</v>
      </c>
      <c r="AE56" s="183">
        <f t="shared" si="103"/>
        <v>0</v>
      </c>
      <c r="AF56" s="183">
        <f t="shared" si="103"/>
        <v>0</v>
      </c>
      <c r="AG56" s="183">
        <f t="shared" si="103"/>
        <v>0</v>
      </c>
      <c r="AH56" s="183">
        <f t="shared" si="103"/>
        <v>0</v>
      </c>
      <c r="AI56" s="183">
        <f t="shared" si="103"/>
        <v>0</v>
      </c>
      <c r="AJ56" s="183">
        <f t="shared" si="103"/>
        <v>0</v>
      </c>
      <c r="AK56" s="183">
        <f t="shared" si="103"/>
        <v>0</v>
      </c>
      <c r="AL56" s="183">
        <f t="shared" si="103"/>
        <v>0</v>
      </c>
      <c r="AM56" s="183">
        <f t="shared" si="103"/>
        <v>0</v>
      </c>
      <c r="AN56" s="183">
        <f t="shared" si="103"/>
        <v>0</v>
      </c>
      <c r="AO56" s="183">
        <f t="shared" si="103"/>
        <v>0</v>
      </c>
      <c r="AP56" s="183">
        <f t="shared" si="103"/>
        <v>0</v>
      </c>
      <c r="AQ56" s="183">
        <f t="shared" si="103"/>
        <v>0</v>
      </c>
      <c r="AR56" s="183">
        <f t="shared" si="103"/>
        <v>0</v>
      </c>
      <c r="AS56" s="183">
        <f t="shared" si="103"/>
        <v>0</v>
      </c>
      <c r="AT56" s="183">
        <f t="shared" si="103"/>
        <v>0</v>
      </c>
      <c r="AU56" s="183">
        <f t="shared" si="103"/>
        <v>0</v>
      </c>
      <c r="AV56" s="183">
        <f t="shared" si="103"/>
        <v>0</v>
      </c>
      <c r="AW56" s="183">
        <f t="shared" si="103"/>
        <v>0</v>
      </c>
      <c r="AX56" s="183">
        <f t="shared" si="103"/>
        <v>0</v>
      </c>
      <c r="AY56" s="183">
        <f t="shared" si="103"/>
        <v>0</v>
      </c>
      <c r="AZ56" s="183">
        <f t="shared" si="103"/>
        <v>0</v>
      </c>
      <c r="BA56" s="183">
        <f t="shared" si="103"/>
        <v>0</v>
      </c>
      <c r="BB56" s="183">
        <f t="shared" si="103"/>
        <v>0</v>
      </c>
      <c r="BC56" s="183">
        <f t="shared" si="103"/>
        <v>0</v>
      </c>
      <c r="BD56" s="183">
        <f t="shared" si="103"/>
        <v>0</v>
      </c>
      <c r="BE56" s="183">
        <f t="shared" ref="BE56:CJ56" si="104">IF($X56=0,$E56*BD$41,0)</f>
        <v>0</v>
      </c>
      <c r="BF56" s="183">
        <f t="shared" si="104"/>
        <v>0</v>
      </c>
      <c r="BG56" s="183">
        <f t="shared" si="104"/>
        <v>0</v>
      </c>
      <c r="BH56" s="183">
        <f t="shared" si="104"/>
        <v>0</v>
      </c>
      <c r="BI56" s="183">
        <f t="shared" si="104"/>
        <v>0</v>
      </c>
      <c r="BJ56" s="183">
        <f t="shared" si="104"/>
        <v>0</v>
      </c>
      <c r="BK56" s="183">
        <f t="shared" si="104"/>
        <v>0</v>
      </c>
      <c r="BL56" s="183">
        <f t="shared" si="104"/>
        <v>0</v>
      </c>
      <c r="BM56" s="183">
        <f t="shared" si="104"/>
        <v>0</v>
      </c>
      <c r="BN56" s="183">
        <f t="shared" si="104"/>
        <v>0</v>
      </c>
      <c r="BO56" s="183">
        <f t="shared" si="104"/>
        <v>0</v>
      </c>
      <c r="BP56" s="183">
        <f t="shared" si="104"/>
        <v>0</v>
      </c>
      <c r="BQ56" s="183">
        <f t="shared" si="104"/>
        <v>0</v>
      </c>
      <c r="BR56" s="183">
        <f t="shared" si="104"/>
        <v>0</v>
      </c>
      <c r="BS56" s="183">
        <f t="shared" si="104"/>
        <v>0</v>
      </c>
      <c r="BT56" s="183">
        <f t="shared" si="104"/>
        <v>0</v>
      </c>
      <c r="BU56" s="183">
        <f t="shared" si="104"/>
        <v>0</v>
      </c>
      <c r="BV56" s="183">
        <f t="shared" si="104"/>
        <v>0</v>
      </c>
      <c r="BW56" s="183">
        <f t="shared" si="104"/>
        <v>0</v>
      </c>
      <c r="BX56" s="183">
        <f t="shared" si="104"/>
        <v>0</v>
      </c>
      <c r="BY56" s="183">
        <f t="shared" si="104"/>
        <v>0</v>
      </c>
      <c r="BZ56" s="183">
        <f t="shared" si="104"/>
        <v>0</v>
      </c>
      <c r="CA56" s="183">
        <f t="shared" si="104"/>
        <v>0</v>
      </c>
      <c r="CB56" s="183">
        <f t="shared" si="104"/>
        <v>0</v>
      </c>
      <c r="CC56" s="183">
        <f t="shared" si="104"/>
        <v>0</v>
      </c>
      <c r="CD56" s="183">
        <f t="shared" si="104"/>
        <v>0</v>
      </c>
      <c r="CE56" s="183">
        <f t="shared" si="104"/>
        <v>0</v>
      </c>
      <c r="CF56" s="183">
        <f t="shared" si="104"/>
        <v>0</v>
      </c>
      <c r="CG56" s="183">
        <f t="shared" si="104"/>
        <v>0</v>
      </c>
      <c r="CH56" s="183">
        <f t="shared" si="104"/>
        <v>0</v>
      </c>
      <c r="CI56" s="183">
        <f t="shared" si="104"/>
        <v>0</v>
      </c>
      <c r="CJ56" s="183">
        <f t="shared" si="104"/>
        <v>0</v>
      </c>
      <c r="CK56" s="183">
        <f t="shared" ref="CK56:DP56" si="105">IF($X56=0,$E56*CJ$41,0)</f>
        <v>0</v>
      </c>
      <c r="CL56" s="183">
        <f t="shared" si="105"/>
        <v>0</v>
      </c>
      <c r="CM56" s="183">
        <f t="shared" si="105"/>
        <v>0</v>
      </c>
      <c r="CN56" s="183">
        <f t="shared" si="105"/>
        <v>0</v>
      </c>
      <c r="CO56" s="183">
        <f t="shared" si="105"/>
        <v>0</v>
      </c>
      <c r="CP56" s="183">
        <f t="shared" si="105"/>
        <v>0</v>
      </c>
      <c r="CQ56" s="183">
        <f t="shared" si="105"/>
        <v>0</v>
      </c>
      <c r="CR56" s="183">
        <f t="shared" si="105"/>
        <v>0</v>
      </c>
      <c r="CS56" s="183">
        <f t="shared" si="105"/>
        <v>0</v>
      </c>
      <c r="CT56" s="183">
        <f t="shared" si="105"/>
        <v>0</v>
      </c>
      <c r="CU56" s="183">
        <f t="shared" si="105"/>
        <v>0</v>
      </c>
      <c r="CV56" s="183">
        <f t="shared" si="105"/>
        <v>0</v>
      </c>
      <c r="CW56" s="183">
        <f t="shared" si="105"/>
        <v>0</v>
      </c>
      <c r="CX56" s="183">
        <f t="shared" si="105"/>
        <v>0</v>
      </c>
      <c r="CY56" s="183">
        <f t="shared" si="105"/>
        <v>0</v>
      </c>
      <c r="CZ56" s="183">
        <f t="shared" si="105"/>
        <v>0</v>
      </c>
      <c r="DA56" s="183">
        <f t="shared" si="105"/>
        <v>0</v>
      </c>
      <c r="DB56" s="183">
        <f t="shared" si="105"/>
        <v>0</v>
      </c>
      <c r="DC56" s="183">
        <f t="shared" si="105"/>
        <v>0</v>
      </c>
      <c r="DD56" s="183">
        <f t="shared" si="105"/>
        <v>0</v>
      </c>
      <c r="DE56" s="183">
        <f t="shared" si="105"/>
        <v>0</v>
      </c>
      <c r="DF56" s="183">
        <f t="shared" si="105"/>
        <v>0</v>
      </c>
      <c r="DG56" s="183">
        <f t="shared" si="105"/>
        <v>0</v>
      </c>
      <c r="DH56" s="183">
        <f t="shared" si="105"/>
        <v>0</v>
      </c>
      <c r="DI56" s="183">
        <f t="shared" si="105"/>
        <v>0</v>
      </c>
      <c r="DJ56" s="183">
        <f t="shared" si="105"/>
        <v>0</v>
      </c>
      <c r="DK56" s="183">
        <f t="shared" si="105"/>
        <v>0</v>
      </c>
      <c r="DL56" s="183">
        <f t="shared" si="105"/>
        <v>0</v>
      </c>
      <c r="DM56" s="183">
        <f t="shared" si="105"/>
        <v>0</v>
      </c>
      <c r="DN56" s="183">
        <f t="shared" si="105"/>
        <v>0</v>
      </c>
      <c r="DO56" s="183">
        <f t="shared" si="105"/>
        <v>0</v>
      </c>
      <c r="DP56" s="183">
        <f t="shared" si="105"/>
        <v>0</v>
      </c>
      <c r="DQ56" s="183">
        <f t="shared" ref="DQ56:EZ56" si="106">IF($X56=0,$E56*DP$41,0)</f>
        <v>0</v>
      </c>
      <c r="DR56" s="183">
        <f t="shared" si="106"/>
        <v>0</v>
      </c>
      <c r="DS56" s="183">
        <f t="shared" si="106"/>
        <v>0</v>
      </c>
      <c r="DT56" s="183">
        <f t="shared" si="106"/>
        <v>0</v>
      </c>
      <c r="DU56" s="183">
        <f t="shared" si="106"/>
        <v>0</v>
      </c>
      <c r="DV56" s="183">
        <f t="shared" si="106"/>
        <v>0</v>
      </c>
      <c r="DW56" s="183">
        <f t="shared" si="106"/>
        <v>0</v>
      </c>
      <c r="DX56" s="183">
        <f t="shared" si="106"/>
        <v>0</v>
      </c>
      <c r="DY56" s="183">
        <f t="shared" si="106"/>
        <v>0</v>
      </c>
      <c r="DZ56" s="183">
        <f t="shared" si="106"/>
        <v>0</v>
      </c>
      <c r="EA56" s="183">
        <f t="shared" si="106"/>
        <v>0</v>
      </c>
      <c r="EB56" s="183">
        <f t="shared" si="106"/>
        <v>0</v>
      </c>
      <c r="EC56" s="183">
        <f t="shared" si="106"/>
        <v>0</v>
      </c>
      <c r="ED56" s="183">
        <f t="shared" si="106"/>
        <v>0</v>
      </c>
      <c r="EE56" s="183">
        <f t="shared" si="106"/>
        <v>0</v>
      </c>
      <c r="EF56" s="183">
        <f t="shared" si="106"/>
        <v>0</v>
      </c>
      <c r="EG56" s="183">
        <f t="shared" si="106"/>
        <v>0</v>
      </c>
      <c r="EH56" s="183">
        <f t="shared" si="106"/>
        <v>0</v>
      </c>
      <c r="EI56" s="183">
        <f t="shared" si="106"/>
        <v>0</v>
      </c>
      <c r="EJ56" s="183">
        <f t="shared" si="106"/>
        <v>0</v>
      </c>
      <c r="EK56" s="183">
        <f t="shared" si="106"/>
        <v>0</v>
      </c>
      <c r="EL56" s="183">
        <f t="shared" si="106"/>
        <v>0</v>
      </c>
      <c r="EM56" s="183">
        <f t="shared" si="106"/>
        <v>0</v>
      </c>
      <c r="EN56" s="183">
        <f t="shared" si="106"/>
        <v>0</v>
      </c>
      <c r="EO56" s="183">
        <f t="shared" si="106"/>
        <v>0</v>
      </c>
      <c r="EP56" s="183">
        <f t="shared" si="106"/>
        <v>0</v>
      </c>
      <c r="EQ56" s="183">
        <f t="shared" si="106"/>
        <v>0</v>
      </c>
      <c r="ER56" s="183">
        <f t="shared" si="106"/>
        <v>0</v>
      </c>
      <c r="ES56" s="183">
        <f t="shared" si="106"/>
        <v>0</v>
      </c>
      <c r="ET56" s="183">
        <f t="shared" si="106"/>
        <v>0</v>
      </c>
      <c r="EU56" s="183">
        <f t="shared" si="106"/>
        <v>0</v>
      </c>
      <c r="EV56" s="183">
        <f t="shared" si="106"/>
        <v>0</v>
      </c>
      <c r="EW56" s="183">
        <f t="shared" si="106"/>
        <v>0</v>
      </c>
      <c r="EX56" s="183">
        <f t="shared" si="106"/>
        <v>0</v>
      </c>
      <c r="EY56" s="183">
        <f t="shared" si="106"/>
        <v>0</v>
      </c>
      <c r="EZ56" s="183">
        <f t="shared" si="106"/>
        <v>0</v>
      </c>
      <c r="FA56" s="144"/>
      <c r="FB56" s="609" t="s">
        <v>243</v>
      </c>
      <c r="FC56" s="144"/>
      <c r="FD56" s="144"/>
      <c r="FE56" s="144"/>
      <c r="FF56" s="144"/>
      <c r="FG56" s="144"/>
      <c r="FH56" s="144"/>
      <c r="FI56" s="144"/>
      <c r="FJ56" s="144"/>
      <c r="FK56" s="144"/>
      <c r="FL56" s="144"/>
      <c r="FM56" s="144"/>
      <c r="FN56" s="144"/>
      <c r="FO56" s="144"/>
      <c r="FP56" s="144"/>
      <c r="FQ56" s="144"/>
      <c r="FR56" s="144"/>
      <c r="FS56" s="144"/>
      <c r="FT56" s="144"/>
      <c r="FU56" s="144"/>
      <c r="FV56" s="144"/>
      <c r="FW56" s="144"/>
      <c r="FX56" s="144"/>
      <c r="FY56" s="144"/>
      <c r="FZ56" s="144"/>
      <c r="GA56" s="144"/>
      <c r="GB56" s="144"/>
      <c r="GC56" s="144"/>
      <c r="GD56" s="144"/>
      <c r="GE56" s="144"/>
      <c r="GF56" s="144"/>
      <c r="GG56" s="144"/>
      <c r="GH56" s="144"/>
      <c r="GI56" s="144"/>
      <c r="GJ56" s="144"/>
      <c r="GK56" s="144"/>
      <c r="GL56" s="144"/>
      <c r="GM56" s="144"/>
      <c r="GN56" s="144"/>
      <c r="GO56" s="144"/>
      <c r="GP56" s="144"/>
      <c r="GQ56" s="144"/>
      <c r="GR56" s="144"/>
      <c r="GS56" s="144"/>
      <c r="GT56" s="144"/>
      <c r="GU56" s="144"/>
      <c r="GV56" s="144"/>
      <c r="GW56" s="144"/>
      <c r="GX56" s="144"/>
      <c r="GY56" s="144"/>
      <c r="GZ56" s="144"/>
      <c r="HA56" s="144"/>
      <c r="HB56" s="144"/>
      <c r="HC56" s="144"/>
      <c r="HD56" s="144"/>
      <c r="HE56" s="144"/>
      <c r="HF56" s="144"/>
      <c r="HG56" s="144"/>
      <c r="HH56" s="144"/>
      <c r="HI56" s="144"/>
      <c r="HJ56" s="144"/>
      <c r="HK56" s="144"/>
    </row>
    <row r="57" spans="1:219" s="158" customFormat="1" x14ac:dyDescent="0.2">
      <c r="A57" s="630"/>
      <c r="B57" s="638" t="s">
        <v>663</v>
      </c>
      <c r="C57" s="638"/>
      <c r="D57" s="443">
        <v>0</v>
      </c>
      <c r="E57" s="199">
        <f>IF(units=0,0,'Renovation Budget'!D57/'Unit Mix-Reno Schedule'!$AI$27)</f>
        <v>0</v>
      </c>
      <c r="F57" s="640">
        <v>1</v>
      </c>
      <c r="G57" s="640">
        <v>28</v>
      </c>
      <c r="H57" s="641">
        <f t="shared" si="44"/>
        <v>27</v>
      </c>
      <c r="I57" s="642"/>
      <c r="J57" s="643" t="s">
        <v>42</v>
      </c>
      <c r="K57" s="644"/>
      <c r="L57" s="183">
        <f t="shared" si="45"/>
        <v>0</v>
      </c>
      <c r="M57" s="183">
        <f t="shared" si="45"/>
        <v>0</v>
      </c>
      <c r="N57" s="183">
        <f t="shared" si="45"/>
        <v>0</v>
      </c>
      <c r="O57" s="183">
        <f t="shared" si="45"/>
        <v>0</v>
      </c>
      <c r="P57" s="183">
        <f t="shared" si="45"/>
        <v>0</v>
      </c>
      <c r="Q57" s="183">
        <f t="shared" si="45"/>
        <v>0</v>
      </c>
      <c r="R57" s="183">
        <f t="shared" si="45"/>
        <v>0</v>
      </c>
      <c r="S57" s="183">
        <f t="shared" si="45"/>
        <v>0</v>
      </c>
      <c r="T57" s="183">
        <f t="shared" si="45"/>
        <v>0</v>
      </c>
      <c r="U57" s="183">
        <f t="shared" si="45"/>
        <v>0</v>
      </c>
      <c r="V57" s="183">
        <f t="shared" si="45"/>
        <v>0</v>
      </c>
      <c r="W57" s="644"/>
      <c r="X57" s="183">
        <f t="shared" si="46"/>
        <v>0</v>
      </c>
      <c r="Y57" s="183">
        <f t="shared" ref="Y57:BD57" si="107">IF($X57=0,$E57*X$41,0)</f>
        <v>0</v>
      </c>
      <c r="Z57" s="183">
        <f t="shared" si="107"/>
        <v>0</v>
      </c>
      <c r="AA57" s="183">
        <f t="shared" si="107"/>
        <v>0</v>
      </c>
      <c r="AB57" s="183">
        <f t="shared" si="107"/>
        <v>0</v>
      </c>
      <c r="AC57" s="183">
        <f t="shared" si="107"/>
        <v>0</v>
      </c>
      <c r="AD57" s="183">
        <f t="shared" si="107"/>
        <v>0</v>
      </c>
      <c r="AE57" s="183">
        <f t="shared" si="107"/>
        <v>0</v>
      </c>
      <c r="AF57" s="183">
        <f t="shared" si="107"/>
        <v>0</v>
      </c>
      <c r="AG57" s="183">
        <f t="shared" si="107"/>
        <v>0</v>
      </c>
      <c r="AH57" s="183">
        <f t="shared" si="107"/>
        <v>0</v>
      </c>
      <c r="AI57" s="183">
        <f t="shared" si="107"/>
        <v>0</v>
      </c>
      <c r="AJ57" s="183">
        <f t="shared" si="107"/>
        <v>0</v>
      </c>
      <c r="AK57" s="183">
        <f t="shared" si="107"/>
        <v>0</v>
      </c>
      <c r="AL57" s="183">
        <f t="shared" si="107"/>
        <v>0</v>
      </c>
      <c r="AM57" s="183">
        <f t="shared" si="107"/>
        <v>0</v>
      </c>
      <c r="AN57" s="183">
        <f t="shared" si="107"/>
        <v>0</v>
      </c>
      <c r="AO57" s="183">
        <f t="shared" si="107"/>
        <v>0</v>
      </c>
      <c r="AP57" s="183">
        <f t="shared" si="107"/>
        <v>0</v>
      </c>
      <c r="AQ57" s="183">
        <f t="shared" si="107"/>
        <v>0</v>
      </c>
      <c r="AR57" s="183">
        <f t="shared" si="107"/>
        <v>0</v>
      </c>
      <c r="AS57" s="183">
        <f t="shared" si="107"/>
        <v>0</v>
      </c>
      <c r="AT57" s="183">
        <f t="shared" si="107"/>
        <v>0</v>
      </c>
      <c r="AU57" s="183">
        <f t="shared" si="107"/>
        <v>0</v>
      </c>
      <c r="AV57" s="183">
        <f t="shared" si="107"/>
        <v>0</v>
      </c>
      <c r="AW57" s="183">
        <f t="shared" si="107"/>
        <v>0</v>
      </c>
      <c r="AX57" s="183">
        <f t="shared" si="107"/>
        <v>0</v>
      </c>
      <c r="AY57" s="183">
        <f t="shared" si="107"/>
        <v>0</v>
      </c>
      <c r="AZ57" s="183">
        <f t="shared" si="107"/>
        <v>0</v>
      </c>
      <c r="BA57" s="183">
        <f t="shared" si="107"/>
        <v>0</v>
      </c>
      <c r="BB57" s="183">
        <f t="shared" si="107"/>
        <v>0</v>
      </c>
      <c r="BC57" s="183">
        <f t="shared" si="107"/>
        <v>0</v>
      </c>
      <c r="BD57" s="183">
        <f t="shared" si="107"/>
        <v>0</v>
      </c>
      <c r="BE57" s="183">
        <f t="shared" ref="BE57:CJ57" si="108">IF($X57=0,$E57*BD$41,0)</f>
        <v>0</v>
      </c>
      <c r="BF57" s="183">
        <f t="shared" si="108"/>
        <v>0</v>
      </c>
      <c r="BG57" s="183">
        <f t="shared" si="108"/>
        <v>0</v>
      </c>
      <c r="BH57" s="183">
        <f t="shared" si="108"/>
        <v>0</v>
      </c>
      <c r="BI57" s="183">
        <f t="shared" si="108"/>
        <v>0</v>
      </c>
      <c r="BJ57" s="183">
        <f t="shared" si="108"/>
        <v>0</v>
      </c>
      <c r="BK57" s="183">
        <f t="shared" si="108"/>
        <v>0</v>
      </c>
      <c r="BL57" s="183">
        <f t="shared" si="108"/>
        <v>0</v>
      </c>
      <c r="BM57" s="183">
        <f t="shared" si="108"/>
        <v>0</v>
      </c>
      <c r="BN57" s="183">
        <f t="shared" si="108"/>
        <v>0</v>
      </c>
      <c r="BO57" s="183">
        <f t="shared" si="108"/>
        <v>0</v>
      </c>
      <c r="BP57" s="183">
        <f t="shared" si="108"/>
        <v>0</v>
      </c>
      <c r="BQ57" s="183">
        <f t="shared" si="108"/>
        <v>0</v>
      </c>
      <c r="BR57" s="183">
        <f t="shared" si="108"/>
        <v>0</v>
      </c>
      <c r="BS57" s="183">
        <f t="shared" si="108"/>
        <v>0</v>
      </c>
      <c r="BT57" s="183">
        <f t="shared" si="108"/>
        <v>0</v>
      </c>
      <c r="BU57" s="183">
        <f t="shared" si="108"/>
        <v>0</v>
      </c>
      <c r="BV57" s="183">
        <f t="shared" si="108"/>
        <v>0</v>
      </c>
      <c r="BW57" s="183">
        <f t="shared" si="108"/>
        <v>0</v>
      </c>
      <c r="BX57" s="183">
        <f t="shared" si="108"/>
        <v>0</v>
      </c>
      <c r="BY57" s="183">
        <f t="shared" si="108"/>
        <v>0</v>
      </c>
      <c r="BZ57" s="183">
        <f t="shared" si="108"/>
        <v>0</v>
      </c>
      <c r="CA57" s="183">
        <f t="shared" si="108"/>
        <v>0</v>
      </c>
      <c r="CB57" s="183">
        <f t="shared" si="108"/>
        <v>0</v>
      </c>
      <c r="CC57" s="183">
        <f t="shared" si="108"/>
        <v>0</v>
      </c>
      <c r="CD57" s="183">
        <f t="shared" si="108"/>
        <v>0</v>
      </c>
      <c r="CE57" s="183">
        <f t="shared" si="108"/>
        <v>0</v>
      </c>
      <c r="CF57" s="183">
        <f t="shared" si="108"/>
        <v>0</v>
      </c>
      <c r="CG57" s="183">
        <f t="shared" si="108"/>
        <v>0</v>
      </c>
      <c r="CH57" s="183">
        <f t="shared" si="108"/>
        <v>0</v>
      </c>
      <c r="CI57" s="183">
        <f t="shared" si="108"/>
        <v>0</v>
      </c>
      <c r="CJ57" s="183">
        <f t="shared" si="108"/>
        <v>0</v>
      </c>
      <c r="CK57" s="183">
        <f t="shared" ref="CK57:DP57" si="109">IF($X57=0,$E57*CJ$41,0)</f>
        <v>0</v>
      </c>
      <c r="CL57" s="183">
        <f t="shared" si="109"/>
        <v>0</v>
      </c>
      <c r="CM57" s="183">
        <f t="shared" si="109"/>
        <v>0</v>
      </c>
      <c r="CN57" s="183">
        <f t="shared" si="109"/>
        <v>0</v>
      </c>
      <c r="CO57" s="183">
        <f t="shared" si="109"/>
        <v>0</v>
      </c>
      <c r="CP57" s="183">
        <f t="shared" si="109"/>
        <v>0</v>
      </c>
      <c r="CQ57" s="183">
        <f t="shared" si="109"/>
        <v>0</v>
      </c>
      <c r="CR57" s="183">
        <f t="shared" si="109"/>
        <v>0</v>
      </c>
      <c r="CS57" s="183">
        <f t="shared" si="109"/>
        <v>0</v>
      </c>
      <c r="CT57" s="183">
        <f t="shared" si="109"/>
        <v>0</v>
      </c>
      <c r="CU57" s="183">
        <f t="shared" si="109"/>
        <v>0</v>
      </c>
      <c r="CV57" s="183">
        <f t="shared" si="109"/>
        <v>0</v>
      </c>
      <c r="CW57" s="183">
        <f t="shared" si="109"/>
        <v>0</v>
      </c>
      <c r="CX57" s="183">
        <f t="shared" si="109"/>
        <v>0</v>
      </c>
      <c r="CY57" s="183">
        <f t="shared" si="109"/>
        <v>0</v>
      </c>
      <c r="CZ57" s="183">
        <f t="shared" si="109"/>
        <v>0</v>
      </c>
      <c r="DA57" s="183">
        <f t="shared" si="109"/>
        <v>0</v>
      </c>
      <c r="DB57" s="183">
        <f t="shared" si="109"/>
        <v>0</v>
      </c>
      <c r="DC57" s="183">
        <f t="shared" si="109"/>
        <v>0</v>
      </c>
      <c r="DD57" s="183">
        <f t="shared" si="109"/>
        <v>0</v>
      </c>
      <c r="DE57" s="183">
        <f t="shared" si="109"/>
        <v>0</v>
      </c>
      <c r="DF57" s="183">
        <f t="shared" si="109"/>
        <v>0</v>
      </c>
      <c r="DG57" s="183">
        <f t="shared" si="109"/>
        <v>0</v>
      </c>
      <c r="DH57" s="183">
        <f t="shared" si="109"/>
        <v>0</v>
      </c>
      <c r="DI57" s="183">
        <f t="shared" si="109"/>
        <v>0</v>
      </c>
      <c r="DJ57" s="183">
        <f t="shared" si="109"/>
        <v>0</v>
      </c>
      <c r="DK57" s="183">
        <f t="shared" si="109"/>
        <v>0</v>
      </c>
      <c r="DL57" s="183">
        <f t="shared" si="109"/>
        <v>0</v>
      </c>
      <c r="DM57" s="183">
        <f t="shared" si="109"/>
        <v>0</v>
      </c>
      <c r="DN57" s="183">
        <f t="shared" si="109"/>
        <v>0</v>
      </c>
      <c r="DO57" s="183">
        <f t="shared" si="109"/>
        <v>0</v>
      </c>
      <c r="DP57" s="183">
        <f t="shared" si="109"/>
        <v>0</v>
      </c>
      <c r="DQ57" s="183">
        <f t="shared" ref="DQ57:EZ57" si="110">IF($X57=0,$E57*DP$41,0)</f>
        <v>0</v>
      </c>
      <c r="DR57" s="183">
        <f t="shared" si="110"/>
        <v>0</v>
      </c>
      <c r="DS57" s="183">
        <f t="shared" si="110"/>
        <v>0</v>
      </c>
      <c r="DT57" s="183">
        <f t="shared" si="110"/>
        <v>0</v>
      </c>
      <c r="DU57" s="183">
        <f t="shared" si="110"/>
        <v>0</v>
      </c>
      <c r="DV57" s="183">
        <f t="shared" si="110"/>
        <v>0</v>
      </c>
      <c r="DW57" s="183">
        <f t="shared" si="110"/>
        <v>0</v>
      </c>
      <c r="DX57" s="183">
        <f t="shared" si="110"/>
        <v>0</v>
      </c>
      <c r="DY57" s="183">
        <f t="shared" si="110"/>
        <v>0</v>
      </c>
      <c r="DZ57" s="183">
        <f t="shared" si="110"/>
        <v>0</v>
      </c>
      <c r="EA57" s="183">
        <f t="shared" si="110"/>
        <v>0</v>
      </c>
      <c r="EB57" s="183">
        <f t="shared" si="110"/>
        <v>0</v>
      </c>
      <c r="EC57" s="183">
        <f t="shared" si="110"/>
        <v>0</v>
      </c>
      <c r="ED57" s="183">
        <f t="shared" si="110"/>
        <v>0</v>
      </c>
      <c r="EE57" s="183">
        <f t="shared" si="110"/>
        <v>0</v>
      </c>
      <c r="EF57" s="183">
        <f t="shared" si="110"/>
        <v>0</v>
      </c>
      <c r="EG57" s="183">
        <f t="shared" si="110"/>
        <v>0</v>
      </c>
      <c r="EH57" s="183">
        <f t="shared" si="110"/>
        <v>0</v>
      </c>
      <c r="EI57" s="183">
        <f t="shared" si="110"/>
        <v>0</v>
      </c>
      <c r="EJ57" s="183">
        <f t="shared" si="110"/>
        <v>0</v>
      </c>
      <c r="EK57" s="183">
        <f t="shared" si="110"/>
        <v>0</v>
      </c>
      <c r="EL57" s="183">
        <f t="shared" si="110"/>
        <v>0</v>
      </c>
      <c r="EM57" s="183">
        <f t="shared" si="110"/>
        <v>0</v>
      </c>
      <c r="EN57" s="183">
        <f t="shared" si="110"/>
        <v>0</v>
      </c>
      <c r="EO57" s="183">
        <f t="shared" si="110"/>
        <v>0</v>
      </c>
      <c r="EP57" s="183">
        <f t="shared" si="110"/>
        <v>0</v>
      </c>
      <c r="EQ57" s="183">
        <f t="shared" si="110"/>
        <v>0</v>
      </c>
      <c r="ER57" s="183">
        <f t="shared" si="110"/>
        <v>0</v>
      </c>
      <c r="ES57" s="183">
        <f t="shared" si="110"/>
        <v>0</v>
      </c>
      <c r="ET57" s="183">
        <f t="shared" si="110"/>
        <v>0</v>
      </c>
      <c r="EU57" s="183">
        <f t="shared" si="110"/>
        <v>0</v>
      </c>
      <c r="EV57" s="183">
        <f t="shared" si="110"/>
        <v>0</v>
      </c>
      <c r="EW57" s="183">
        <f t="shared" si="110"/>
        <v>0</v>
      </c>
      <c r="EX57" s="183">
        <f t="shared" si="110"/>
        <v>0</v>
      </c>
      <c r="EY57" s="183">
        <f t="shared" si="110"/>
        <v>0</v>
      </c>
      <c r="EZ57" s="183">
        <f t="shared" si="110"/>
        <v>0</v>
      </c>
      <c r="FA57" s="144"/>
      <c r="FB57" s="609" t="s">
        <v>243</v>
      </c>
      <c r="FC57" s="144"/>
      <c r="FD57" s="144"/>
      <c r="FE57" s="144"/>
      <c r="FF57" s="144"/>
      <c r="FG57" s="144"/>
      <c r="FH57" s="144"/>
      <c r="FI57" s="144"/>
      <c r="FJ57" s="144"/>
      <c r="FK57" s="144"/>
      <c r="FL57" s="144"/>
      <c r="FM57" s="144"/>
      <c r="FN57" s="144"/>
      <c r="FO57" s="144"/>
      <c r="FP57" s="144"/>
      <c r="FQ57" s="144"/>
      <c r="FR57" s="144"/>
      <c r="FS57" s="144"/>
      <c r="FT57" s="144"/>
      <c r="FU57" s="144"/>
      <c r="FV57" s="144"/>
      <c r="FW57" s="144"/>
      <c r="FX57" s="144"/>
      <c r="FY57" s="144"/>
      <c r="FZ57" s="144"/>
      <c r="GA57" s="144"/>
      <c r="GB57" s="144"/>
      <c r="GC57" s="144"/>
      <c r="GD57" s="144"/>
      <c r="GE57" s="144"/>
      <c r="GF57" s="144"/>
      <c r="GG57" s="144"/>
      <c r="GH57" s="144"/>
      <c r="GI57" s="144"/>
      <c r="GJ57" s="144"/>
      <c r="GK57" s="144"/>
      <c r="GL57" s="144"/>
      <c r="GM57" s="144"/>
      <c r="GN57" s="144"/>
      <c r="GO57" s="144"/>
      <c r="GP57" s="144"/>
      <c r="GQ57" s="144"/>
      <c r="GR57" s="144"/>
      <c r="GS57" s="144"/>
      <c r="GT57" s="144"/>
      <c r="GU57" s="144"/>
      <c r="GV57" s="144"/>
      <c r="GW57" s="144"/>
      <c r="GX57" s="144"/>
      <c r="GY57" s="144"/>
      <c r="GZ57" s="144"/>
      <c r="HA57" s="144"/>
      <c r="HB57" s="144"/>
      <c r="HC57" s="144"/>
      <c r="HD57" s="144"/>
      <c r="HE57" s="144"/>
      <c r="HF57" s="144"/>
      <c r="HG57" s="144"/>
      <c r="HH57" s="144"/>
      <c r="HI57" s="144"/>
      <c r="HJ57" s="144"/>
      <c r="HK57" s="144"/>
    </row>
    <row r="58" spans="1:219" s="158" customFormat="1" x14ac:dyDescent="0.2">
      <c r="A58" s="630"/>
      <c r="B58" s="638" t="s">
        <v>664</v>
      </c>
      <c r="C58" s="638"/>
      <c r="D58" s="443">
        <v>0</v>
      </c>
      <c r="E58" s="199">
        <f>IF(units=0,0,'Renovation Budget'!D58/'Unit Mix-Reno Schedule'!$AI$27)</f>
        <v>0</v>
      </c>
      <c r="F58" s="640">
        <v>1</v>
      </c>
      <c r="G58" s="640">
        <v>28</v>
      </c>
      <c r="H58" s="641">
        <f t="shared" si="44"/>
        <v>27</v>
      </c>
      <c r="I58" s="642"/>
      <c r="J58" s="643" t="s">
        <v>42</v>
      </c>
      <c r="K58" s="644"/>
      <c r="L58" s="183">
        <f t="shared" ref="L58:V61" si="111">SUMIF($X$4:$EZ$4,L$4,$X58:$EZ58)</f>
        <v>0</v>
      </c>
      <c r="M58" s="183">
        <f t="shared" si="111"/>
        <v>0</v>
      </c>
      <c r="N58" s="183">
        <f t="shared" si="111"/>
        <v>0</v>
      </c>
      <c r="O58" s="183">
        <f t="shared" si="111"/>
        <v>0</v>
      </c>
      <c r="P58" s="183">
        <f t="shared" si="111"/>
        <v>0</v>
      </c>
      <c r="Q58" s="183">
        <f t="shared" si="111"/>
        <v>0</v>
      </c>
      <c r="R58" s="183">
        <f t="shared" si="111"/>
        <v>0</v>
      </c>
      <c r="S58" s="183">
        <f t="shared" si="111"/>
        <v>0</v>
      </c>
      <c r="T58" s="183">
        <f t="shared" si="111"/>
        <v>0</v>
      </c>
      <c r="U58" s="183">
        <f t="shared" si="111"/>
        <v>0</v>
      </c>
      <c r="V58" s="183">
        <f t="shared" si="111"/>
        <v>0</v>
      </c>
      <c r="W58" s="644"/>
      <c r="X58" s="183">
        <f t="shared" si="46"/>
        <v>0</v>
      </c>
      <c r="Y58" s="183">
        <f t="shared" ref="Y58:BD58" si="112">IF($X58=0,$E58*X$41,0)</f>
        <v>0</v>
      </c>
      <c r="Z58" s="183">
        <f t="shared" si="112"/>
        <v>0</v>
      </c>
      <c r="AA58" s="183">
        <f t="shared" si="112"/>
        <v>0</v>
      </c>
      <c r="AB58" s="183">
        <f t="shared" si="112"/>
        <v>0</v>
      </c>
      <c r="AC58" s="183">
        <f t="shared" si="112"/>
        <v>0</v>
      </c>
      <c r="AD58" s="183">
        <f t="shared" si="112"/>
        <v>0</v>
      </c>
      <c r="AE58" s="183">
        <f t="shared" si="112"/>
        <v>0</v>
      </c>
      <c r="AF58" s="183">
        <f t="shared" si="112"/>
        <v>0</v>
      </c>
      <c r="AG58" s="183">
        <f t="shared" si="112"/>
        <v>0</v>
      </c>
      <c r="AH58" s="183">
        <f t="shared" si="112"/>
        <v>0</v>
      </c>
      <c r="AI58" s="183">
        <f t="shared" si="112"/>
        <v>0</v>
      </c>
      <c r="AJ58" s="183">
        <f t="shared" si="112"/>
        <v>0</v>
      </c>
      <c r="AK58" s="183">
        <f t="shared" si="112"/>
        <v>0</v>
      </c>
      <c r="AL58" s="183">
        <f t="shared" si="112"/>
        <v>0</v>
      </c>
      <c r="AM58" s="183">
        <f t="shared" si="112"/>
        <v>0</v>
      </c>
      <c r="AN58" s="183">
        <f t="shared" si="112"/>
        <v>0</v>
      </c>
      <c r="AO58" s="183">
        <f t="shared" si="112"/>
        <v>0</v>
      </c>
      <c r="AP58" s="183">
        <f t="shared" si="112"/>
        <v>0</v>
      </c>
      <c r="AQ58" s="183">
        <f t="shared" si="112"/>
        <v>0</v>
      </c>
      <c r="AR58" s="183">
        <f t="shared" si="112"/>
        <v>0</v>
      </c>
      <c r="AS58" s="183">
        <f t="shared" si="112"/>
        <v>0</v>
      </c>
      <c r="AT58" s="183">
        <f t="shared" si="112"/>
        <v>0</v>
      </c>
      <c r="AU58" s="183">
        <f t="shared" si="112"/>
        <v>0</v>
      </c>
      <c r="AV58" s="183">
        <f t="shared" si="112"/>
        <v>0</v>
      </c>
      <c r="AW58" s="183">
        <f t="shared" si="112"/>
        <v>0</v>
      </c>
      <c r="AX58" s="183">
        <f t="shared" si="112"/>
        <v>0</v>
      </c>
      <c r="AY58" s="183">
        <f t="shared" si="112"/>
        <v>0</v>
      </c>
      <c r="AZ58" s="183">
        <f t="shared" si="112"/>
        <v>0</v>
      </c>
      <c r="BA58" s="183">
        <f t="shared" si="112"/>
        <v>0</v>
      </c>
      <c r="BB58" s="183">
        <f t="shared" si="112"/>
        <v>0</v>
      </c>
      <c r="BC58" s="183">
        <f t="shared" si="112"/>
        <v>0</v>
      </c>
      <c r="BD58" s="183">
        <f t="shared" si="112"/>
        <v>0</v>
      </c>
      <c r="BE58" s="183">
        <f t="shared" ref="BE58:CJ58" si="113">IF($X58=0,$E58*BD$41,0)</f>
        <v>0</v>
      </c>
      <c r="BF58" s="183">
        <f t="shared" si="113"/>
        <v>0</v>
      </c>
      <c r="BG58" s="183">
        <f t="shared" si="113"/>
        <v>0</v>
      </c>
      <c r="BH58" s="183">
        <f t="shared" si="113"/>
        <v>0</v>
      </c>
      <c r="BI58" s="183">
        <f t="shared" si="113"/>
        <v>0</v>
      </c>
      <c r="BJ58" s="183">
        <f t="shared" si="113"/>
        <v>0</v>
      </c>
      <c r="BK58" s="183">
        <f t="shared" si="113"/>
        <v>0</v>
      </c>
      <c r="BL58" s="183">
        <f t="shared" si="113"/>
        <v>0</v>
      </c>
      <c r="BM58" s="183">
        <f t="shared" si="113"/>
        <v>0</v>
      </c>
      <c r="BN58" s="183">
        <f t="shared" si="113"/>
        <v>0</v>
      </c>
      <c r="BO58" s="183">
        <f t="shared" si="113"/>
        <v>0</v>
      </c>
      <c r="BP58" s="183">
        <f t="shared" si="113"/>
        <v>0</v>
      </c>
      <c r="BQ58" s="183">
        <f t="shared" si="113"/>
        <v>0</v>
      </c>
      <c r="BR58" s="183">
        <f t="shared" si="113"/>
        <v>0</v>
      </c>
      <c r="BS58" s="183">
        <f t="shared" si="113"/>
        <v>0</v>
      </c>
      <c r="BT58" s="183">
        <f t="shared" si="113"/>
        <v>0</v>
      </c>
      <c r="BU58" s="183">
        <f t="shared" si="113"/>
        <v>0</v>
      </c>
      <c r="BV58" s="183">
        <f t="shared" si="113"/>
        <v>0</v>
      </c>
      <c r="BW58" s="183">
        <f t="shared" si="113"/>
        <v>0</v>
      </c>
      <c r="BX58" s="183">
        <f t="shared" si="113"/>
        <v>0</v>
      </c>
      <c r="BY58" s="183">
        <f t="shared" si="113"/>
        <v>0</v>
      </c>
      <c r="BZ58" s="183">
        <f t="shared" si="113"/>
        <v>0</v>
      </c>
      <c r="CA58" s="183">
        <f t="shared" si="113"/>
        <v>0</v>
      </c>
      <c r="CB58" s="183">
        <f t="shared" si="113"/>
        <v>0</v>
      </c>
      <c r="CC58" s="183">
        <f t="shared" si="113"/>
        <v>0</v>
      </c>
      <c r="CD58" s="183">
        <f t="shared" si="113"/>
        <v>0</v>
      </c>
      <c r="CE58" s="183">
        <f t="shared" si="113"/>
        <v>0</v>
      </c>
      <c r="CF58" s="183">
        <f t="shared" si="113"/>
        <v>0</v>
      </c>
      <c r="CG58" s="183">
        <f t="shared" si="113"/>
        <v>0</v>
      </c>
      <c r="CH58" s="183">
        <f t="shared" si="113"/>
        <v>0</v>
      </c>
      <c r="CI58" s="183">
        <f t="shared" si="113"/>
        <v>0</v>
      </c>
      <c r="CJ58" s="183">
        <f t="shared" si="113"/>
        <v>0</v>
      </c>
      <c r="CK58" s="183">
        <f t="shared" ref="CK58:DP58" si="114">IF($X58=0,$E58*CJ$41,0)</f>
        <v>0</v>
      </c>
      <c r="CL58" s="183">
        <f t="shared" si="114"/>
        <v>0</v>
      </c>
      <c r="CM58" s="183">
        <f t="shared" si="114"/>
        <v>0</v>
      </c>
      <c r="CN58" s="183">
        <f t="shared" si="114"/>
        <v>0</v>
      </c>
      <c r="CO58" s="183">
        <f t="shared" si="114"/>
        <v>0</v>
      </c>
      <c r="CP58" s="183">
        <f t="shared" si="114"/>
        <v>0</v>
      </c>
      <c r="CQ58" s="183">
        <f t="shared" si="114"/>
        <v>0</v>
      </c>
      <c r="CR58" s="183">
        <f t="shared" si="114"/>
        <v>0</v>
      </c>
      <c r="CS58" s="183">
        <f t="shared" si="114"/>
        <v>0</v>
      </c>
      <c r="CT58" s="183">
        <f t="shared" si="114"/>
        <v>0</v>
      </c>
      <c r="CU58" s="183">
        <f t="shared" si="114"/>
        <v>0</v>
      </c>
      <c r="CV58" s="183">
        <f t="shared" si="114"/>
        <v>0</v>
      </c>
      <c r="CW58" s="183">
        <f t="shared" si="114"/>
        <v>0</v>
      </c>
      <c r="CX58" s="183">
        <f t="shared" si="114"/>
        <v>0</v>
      </c>
      <c r="CY58" s="183">
        <f t="shared" si="114"/>
        <v>0</v>
      </c>
      <c r="CZ58" s="183">
        <f t="shared" si="114"/>
        <v>0</v>
      </c>
      <c r="DA58" s="183">
        <f t="shared" si="114"/>
        <v>0</v>
      </c>
      <c r="DB58" s="183">
        <f t="shared" si="114"/>
        <v>0</v>
      </c>
      <c r="DC58" s="183">
        <f t="shared" si="114"/>
        <v>0</v>
      </c>
      <c r="DD58" s="183">
        <f t="shared" si="114"/>
        <v>0</v>
      </c>
      <c r="DE58" s="183">
        <f t="shared" si="114"/>
        <v>0</v>
      </c>
      <c r="DF58" s="183">
        <f t="shared" si="114"/>
        <v>0</v>
      </c>
      <c r="DG58" s="183">
        <f t="shared" si="114"/>
        <v>0</v>
      </c>
      <c r="DH58" s="183">
        <f t="shared" si="114"/>
        <v>0</v>
      </c>
      <c r="DI58" s="183">
        <f t="shared" si="114"/>
        <v>0</v>
      </c>
      <c r="DJ58" s="183">
        <f t="shared" si="114"/>
        <v>0</v>
      </c>
      <c r="DK58" s="183">
        <f t="shared" si="114"/>
        <v>0</v>
      </c>
      <c r="DL58" s="183">
        <f t="shared" si="114"/>
        <v>0</v>
      </c>
      <c r="DM58" s="183">
        <f t="shared" si="114"/>
        <v>0</v>
      </c>
      <c r="DN58" s="183">
        <f t="shared" si="114"/>
        <v>0</v>
      </c>
      <c r="DO58" s="183">
        <f t="shared" si="114"/>
        <v>0</v>
      </c>
      <c r="DP58" s="183">
        <f t="shared" si="114"/>
        <v>0</v>
      </c>
      <c r="DQ58" s="183">
        <f t="shared" ref="DQ58:EZ58" si="115">IF($X58=0,$E58*DP$41,0)</f>
        <v>0</v>
      </c>
      <c r="DR58" s="183">
        <f t="shared" si="115"/>
        <v>0</v>
      </c>
      <c r="DS58" s="183">
        <f t="shared" si="115"/>
        <v>0</v>
      </c>
      <c r="DT58" s="183">
        <f t="shared" si="115"/>
        <v>0</v>
      </c>
      <c r="DU58" s="183">
        <f t="shared" si="115"/>
        <v>0</v>
      </c>
      <c r="DV58" s="183">
        <f t="shared" si="115"/>
        <v>0</v>
      </c>
      <c r="DW58" s="183">
        <f t="shared" si="115"/>
        <v>0</v>
      </c>
      <c r="DX58" s="183">
        <f t="shared" si="115"/>
        <v>0</v>
      </c>
      <c r="DY58" s="183">
        <f t="shared" si="115"/>
        <v>0</v>
      </c>
      <c r="DZ58" s="183">
        <f t="shared" si="115"/>
        <v>0</v>
      </c>
      <c r="EA58" s="183">
        <f t="shared" si="115"/>
        <v>0</v>
      </c>
      <c r="EB58" s="183">
        <f t="shared" si="115"/>
        <v>0</v>
      </c>
      <c r="EC58" s="183">
        <f t="shared" si="115"/>
        <v>0</v>
      </c>
      <c r="ED58" s="183">
        <f t="shared" si="115"/>
        <v>0</v>
      </c>
      <c r="EE58" s="183">
        <f t="shared" si="115"/>
        <v>0</v>
      </c>
      <c r="EF58" s="183">
        <f t="shared" si="115"/>
        <v>0</v>
      </c>
      <c r="EG58" s="183">
        <f t="shared" si="115"/>
        <v>0</v>
      </c>
      <c r="EH58" s="183">
        <f t="shared" si="115"/>
        <v>0</v>
      </c>
      <c r="EI58" s="183">
        <f t="shared" si="115"/>
        <v>0</v>
      </c>
      <c r="EJ58" s="183">
        <f t="shared" si="115"/>
        <v>0</v>
      </c>
      <c r="EK58" s="183">
        <f t="shared" si="115"/>
        <v>0</v>
      </c>
      <c r="EL58" s="183">
        <f t="shared" si="115"/>
        <v>0</v>
      </c>
      <c r="EM58" s="183">
        <f t="shared" si="115"/>
        <v>0</v>
      </c>
      <c r="EN58" s="183">
        <f t="shared" si="115"/>
        <v>0</v>
      </c>
      <c r="EO58" s="183">
        <f t="shared" si="115"/>
        <v>0</v>
      </c>
      <c r="EP58" s="183">
        <f t="shared" si="115"/>
        <v>0</v>
      </c>
      <c r="EQ58" s="183">
        <f t="shared" si="115"/>
        <v>0</v>
      </c>
      <c r="ER58" s="183">
        <f t="shared" si="115"/>
        <v>0</v>
      </c>
      <c r="ES58" s="183">
        <f t="shared" si="115"/>
        <v>0</v>
      </c>
      <c r="ET58" s="183">
        <f t="shared" si="115"/>
        <v>0</v>
      </c>
      <c r="EU58" s="183">
        <f t="shared" si="115"/>
        <v>0</v>
      </c>
      <c r="EV58" s="183">
        <f t="shared" si="115"/>
        <v>0</v>
      </c>
      <c r="EW58" s="183">
        <f t="shared" si="115"/>
        <v>0</v>
      </c>
      <c r="EX58" s="183">
        <f t="shared" si="115"/>
        <v>0</v>
      </c>
      <c r="EY58" s="183">
        <f t="shared" si="115"/>
        <v>0</v>
      </c>
      <c r="EZ58" s="183">
        <f t="shared" si="115"/>
        <v>0</v>
      </c>
      <c r="FA58" s="144"/>
      <c r="FB58" s="609" t="s">
        <v>243</v>
      </c>
      <c r="FC58" s="144"/>
      <c r="FD58" s="144"/>
      <c r="FE58" s="144"/>
      <c r="FF58" s="144"/>
      <c r="FG58" s="144"/>
      <c r="FH58" s="144"/>
      <c r="FI58" s="144"/>
      <c r="FJ58" s="144"/>
      <c r="FK58" s="144"/>
      <c r="FL58" s="144"/>
      <c r="FM58" s="144"/>
      <c r="FN58" s="144"/>
      <c r="FO58" s="144"/>
      <c r="FP58" s="144"/>
      <c r="FQ58" s="144"/>
      <c r="FR58" s="144"/>
      <c r="FS58" s="144"/>
      <c r="FT58" s="144"/>
      <c r="FU58" s="144"/>
      <c r="FV58" s="144"/>
      <c r="FW58" s="144"/>
      <c r="FX58" s="144"/>
      <c r="FY58" s="144"/>
      <c r="FZ58" s="144"/>
      <c r="GA58" s="144"/>
      <c r="GB58" s="144"/>
      <c r="GC58" s="144"/>
      <c r="GD58" s="144"/>
      <c r="GE58" s="144"/>
      <c r="GF58" s="144"/>
      <c r="GG58" s="144"/>
      <c r="GH58" s="144"/>
      <c r="GI58" s="144"/>
      <c r="GJ58" s="144"/>
      <c r="GK58" s="144"/>
      <c r="GL58" s="144"/>
      <c r="GM58" s="144"/>
      <c r="GN58" s="144"/>
      <c r="GO58" s="144"/>
      <c r="GP58" s="144"/>
      <c r="GQ58" s="144"/>
      <c r="GR58" s="144"/>
      <c r="GS58" s="144"/>
      <c r="GT58" s="144"/>
      <c r="GU58" s="144"/>
      <c r="GV58" s="144"/>
      <c r="GW58" s="144"/>
      <c r="GX58" s="144"/>
      <c r="GY58" s="144"/>
      <c r="GZ58" s="144"/>
      <c r="HA58" s="144"/>
      <c r="HB58" s="144"/>
      <c r="HC58" s="144"/>
      <c r="HD58" s="144"/>
      <c r="HE58" s="144"/>
      <c r="HF58" s="144"/>
      <c r="HG58" s="144"/>
      <c r="HH58" s="144"/>
      <c r="HI58" s="144"/>
      <c r="HJ58" s="144"/>
      <c r="HK58" s="144"/>
    </row>
    <row r="59" spans="1:219" s="158" customFormat="1" x14ac:dyDescent="0.2">
      <c r="A59" s="630"/>
      <c r="B59" s="638" t="s">
        <v>694</v>
      </c>
      <c r="C59" s="638"/>
      <c r="D59" s="443">
        <v>0</v>
      </c>
      <c r="E59" s="199">
        <f>IF(units=0,0,'Renovation Budget'!D59/'Unit Mix-Reno Schedule'!$AI$27)</f>
        <v>0</v>
      </c>
      <c r="F59" s="640">
        <v>1</v>
      </c>
      <c r="G59" s="640">
        <v>28</v>
      </c>
      <c r="H59" s="641">
        <f t="shared" si="44"/>
        <v>27</v>
      </c>
      <c r="I59" s="642"/>
      <c r="J59" s="643" t="s">
        <v>42</v>
      </c>
      <c r="K59" s="644"/>
      <c r="L59" s="183">
        <f t="shared" si="111"/>
        <v>0</v>
      </c>
      <c r="M59" s="183">
        <f t="shared" si="111"/>
        <v>0</v>
      </c>
      <c r="N59" s="183">
        <f t="shared" si="111"/>
        <v>0</v>
      </c>
      <c r="O59" s="183">
        <f t="shared" si="111"/>
        <v>0</v>
      </c>
      <c r="P59" s="183">
        <f t="shared" si="111"/>
        <v>0</v>
      </c>
      <c r="Q59" s="183">
        <f t="shared" si="111"/>
        <v>0</v>
      </c>
      <c r="R59" s="183">
        <f t="shared" si="111"/>
        <v>0</v>
      </c>
      <c r="S59" s="183">
        <f t="shared" si="111"/>
        <v>0</v>
      </c>
      <c r="T59" s="183">
        <f t="shared" si="111"/>
        <v>0</v>
      </c>
      <c r="U59" s="183">
        <f t="shared" si="111"/>
        <v>0</v>
      </c>
      <c r="V59" s="183">
        <f t="shared" si="111"/>
        <v>0</v>
      </c>
      <c r="W59" s="644"/>
      <c r="X59" s="183">
        <f t="shared" si="46"/>
        <v>0</v>
      </c>
      <c r="Y59" s="183">
        <f t="shared" ref="Y59:BD59" si="116">IF($X59=0,$E59*X$41,0)</f>
        <v>0</v>
      </c>
      <c r="Z59" s="183">
        <f t="shared" si="116"/>
        <v>0</v>
      </c>
      <c r="AA59" s="183">
        <f t="shared" si="116"/>
        <v>0</v>
      </c>
      <c r="AB59" s="183">
        <f t="shared" si="116"/>
        <v>0</v>
      </c>
      <c r="AC59" s="183">
        <f t="shared" si="116"/>
        <v>0</v>
      </c>
      <c r="AD59" s="183">
        <f t="shared" si="116"/>
        <v>0</v>
      </c>
      <c r="AE59" s="183">
        <f t="shared" si="116"/>
        <v>0</v>
      </c>
      <c r="AF59" s="183">
        <f t="shared" si="116"/>
        <v>0</v>
      </c>
      <c r="AG59" s="183">
        <f t="shared" si="116"/>
        <v>0</v>
      </c>
      <c r="AH59" s="183">
        <f t="shared" si="116"/>
        <v>0</v>
      </c>
      <c r="AI59" s="183">
        <f t="shared" si="116"/>
        <v>0</v>
      </c>
      <c r="AJ59" s="183">
        <f t="shared" si="116"/>
        <v>0</v>
      </c>
      <c r="AK59" s="183">
        <f t="shared" si="116"/>
        <v>0</v>
      </c>
      <c r="AL59" s="183">
        <f t="shared" si="116"/>
        <v>0</v>
      </c>
      <c r="AM59" s="183">
        <f t="shared" si="116"/>
        <v>0</v>
      </c>
      <c r="AN59" s="183">
        <f t="shared" si="116"/>
        <v>0</v>
      </c>
      <c r="AO59" s="183">
        <f t="shared" si="116"/>
        <v>0</v>
      </c>
      <c r="AP59" s="183">
        <f t="shared" si="116"/>
        <v>0</v>
      </c>
      <c r="AQ59" s="183">
        <f t="shared" si="116"/>
        <v>0</v>
      </c>
      <c r="AR59" s="183">
        <f t="shared" si="116"/>
        <v>0</v>
      </c>
      <c r="AS59" s="183">
        <f t="shared" si="116"/>
        <v>0</v>
      </c>
      <c r="AT59" s="183">
        <f t="shared" si="116"/>
        <v>0</v>
      </c>
      <c r="AU59" s="183">
        <f t="shared" si="116"/>
        <v>0</v>
      </c>
      <c r="AV59" s="183">
        <f t="shared" si="116"/>
        <v>0</v>
      </c>
      <c r="AW59" s="183">
        <f t="shared" si="116"/>
        <v>0</v>
      </c>
      <c r="AX59" s="183">
        <f t="shared" si="116"/>
        <v>0</v>
      </c>
      <c r="AY59" s="183">
        <f t="shared" si="116"/>
        <v>0</v>
      </c>
      <c r="AZ59" s="183">
        <f t="shared" si="116"/>
        <v>0</v>
      </c>
      <c r="BA59" s="183">
        <f t="shared" si="116"/>
        <v>0</v>
      </c>
      <c r="BB59" s="183">
        <f t="shared" si="116"/>
        <v>0</v>
      </c>
      <c r="BC59" s="183">
        <f t="shared" si="116"/>
        <v>0</v>
      </c>
      <c r="BD59" s="183">
        <f t="shared" si="116"/>
        <v>0</v>
      </c>
      <c r="BE59" s="183">
        <f t="shared" ref="BE59:CJ59" si="117">IF($X59=0,$E59*BD$41,0)</f>
        <v>0</v>
      </c>
      <c r="BF59" s="183">
        <f t="shared" si="117"/>
        <v>0</v>
      </c>
      <c r="BG59" s="183">
        <f t="shared" si="117"/>
        <v>0</v>
      </c>
      <c r="BH59" s="183">
        <f t="shared" si="117"/>
        <v>0</v>
      </c>
      <c r="BI59" s="183">
        <f t="shared" si="117"/>
        <v>0</v>
      </c>
      <c r="BJ59" s="183">
        <f t="shared" si="117"/>
        <v>0</v>
      </c>
      <c r="BK59" s="183">
        <f t="shared" si="117"/>
        <v>0</v>
      </c>
      <c r="BL59" s="183">
        <f t="shared" si="117"/>
        <v>0</v>
      </c>
      <c r="BM59" s="183">
        <f t="shared" si="117"/>
        <v>0</v>
      </c>
      <c r="BN59" s="183">
        <f t="shared" si="117"/>
        <v>0</v>
      </c>
      <c r="BO59" s="183">
        <f t="shared" si="117"/>
        <v>0</v>
      </c>
      <c r="BP59" s="183">
        <f t="shared" si="117"/>
        <v>0</v>
      </c>
      <c r="BQ59" s="183">
        <f t="shared" si="117"/>
        <v>0</v>
      </c>
      <c r="BR59" s="183">
        <f t="shared" si="117"/>
        <v>0</v>
      </c>
      <c r="BS59" s="183">
        <f t="shared" si="117"/>
        <v>0</v>
      </c>
      <c r="BT59" s="183">
        <f t="shared" si="117"/>
        <v>0</v>
      </c>
      <c r="BU59" s="183">
        <f t="shared" si="117"/>
        <v>0</v>
      </c>
      <c r="BV59" s="183">
        <f t="shared" si="117"/>
        <v>0</v>
      </c>
      <c r="BW59" s="183">
        <f t="shared" si="117"/>
        <v>0</v>
      </c>
      <c r="BX59" s="183">
        <f t="shared" si="117"/>
        <v>0</v>
      </c>
      <c r="BY59" s="183">
        <f t="shared" si="117"/>
        <v>0</v>
      </c>
      <c r="BZ59" s="183">
        <f t="shared" si="117"/>
        <v>0</v>
      </c>
      <c r="CA59" s="183">
        <f t="shared" si="117"/>
        <v>0</v>
      </c>
      <c r="CB59" s="183">
        <f t="shared" si="117"/>
        <v>0</v>
      </c>
      <c r="CC59" s="183">
        <f t="shared" si="117"/>
        <v>0</v>
      </c>
      <c r="CD59" s="183">
        <f t="shared" si="117"/>
        <v>0</v>
      </c>
      <c r="CE59" s="183">
        <f t="shared" si="117"/>
        <v>0</v>
      </c>
      <c r="CF59" s="183">
        <f t="shared" si="117"/>
        <v>0</v>
      </c>
      <c r="CG59" s="183">
        <f t="shared" si="117"/>
        <v>0</v>
      </c>
      <c r="CH59" s="183">
        <f t="shared" si="117"/>
        <v>0</v>
      </c>
      <c r="CI59" s="183">
        <f t="shared" si="117"/>
        <v>0</v>
      </c>
      <c r="CJ59" s="183">
        <f t="shared" si="117"/>
        <v>0</v>
      </c>
      <c r="CK59" s="183">
        <f t="shared" ref="CK59:DP59" si="118">IF($X59=0,$E59*CJ$41,0)</f>
        <v>0</v>
      </c>
      <c r="CL59" s="183">
        <f t="shared" si="118"/>
        <v>0</v>
      </c>
      <c r="CM59" s="183">
        <f t="shared" si="118"/>
        <v>0</v>
      </c>
      <c r="CN59" s="183">
        <f t="shared" si="118"/>
        <v>0</v>
      </c>
      <c r="CO59" s="183">
        <f t="shared" si="118"/>
        <v>0</v>
      </c>
      <c r="CP59" s="183">
        <f t="shared" si="118"/>
        <v>0</v>
      </c>
      <c r="CQ59" s="183">
        <f t="shared" si="118"/>
        <v>0</v>
      </c>
      <c r="CR59" s="183">
        <f t="shared" si="118"/>
        <v>0</v>
      </c>
      <c r="CS59" s="183">
        <f t="shared" si="118"/>
        <v>0</v>
      </c>
      <c r="CT59" s="183">
        <f t="shared" si="118"/>
        <v>0</v>
      </c>
      <c r="CU59" s="183">
        <f t="shared" si="118"/>
        <v>0</v>
      </c>
      <c r="CV59" s="183">
        <f t="shared" si="118"/>
        <v>0</v>
      </c>
      <c r="CW59" s="183">
        <f t="shared" si="118"/>
        <v>0</v>
      </c>
      <c r="CX59" s="183">
        <f t="shared" si="118"/>
        <v>0</v>
      </c>
      <c r="CY59" s="183">
        <f t="shared" si="118"/>
        <v>0</v>
      </c>
      <c r="CZ59" s="183">
        <f t="shared" si="118"/>
        <v>0</v>
      </c>
      <c r="DA59" s="183">
        <f t="shared" si="118"/>
        <v>0</v>
      </c>
      <c r="DB59" s="183">
        <f t="shared" si="118"/>
        <v>0</v>
      </c>
      <c r="DC59" s="183">
        <f t="shared" si="118"/>
        <v>0</v>
      </c>
      <c r="DD59" s="183">
        <f t="shared" si="118"/>
        <v>0</v>
      </c>
      <c r="DE59" s="183">
        <f t="shared" si="118"/>
        <v>0</v>
      </c>
      <c r="DF59" s="183">
        <f t="shared" si="118"/>
        <v>0</v>
      </c>
      <c r="DG59" s="183">
        <f t="shared" si="118"/>
        <v>0</v>
      </c>
      <c r="DH59" s="183">
        <f t="shared" si="118"/>
        <v>0</v>
      </c>
      <c r="DI59" s="183">
        <f t="shared" si="118"/>
        <v>0</v>
      </c>
      <c r="DJ59" s="183">
        <f t="shared" si="118"/>
        <v>0</v>
      </c>
      <c r="DK59" s="183">
        <f t="shared" si="118"/>
        <v>0</v>
      </c>
      <c r="DL59" s="183">
        <f t="shared" si="118"/>
        <v>0</v>
      </c>
      <c r="DM59" s="183">
        <f t="shared" si="118"/>
        <v>0</v>
      </c>
      <c r="DN59" s="183">
        <f t="shared" si="118"/>
        <v>0</v>
      </c>
      <c r="DO59" s="183">
        <f t="shared" si="118"/>
        <v>0</v>
      </c>
      <c r="DP59" s="183">
        <f t="shared" si="118"/>
        <v>0</v>
      </c>
      <c r="DQ59" s="183">
        <f t="shared" ref="DQ59:EZ59" si="119">IF($X59=0,$E59*DP$41,0)</f>
        <v>0</v>
      </c>
      <c r="DR59" s="183">
        <f t="shared" si="119"/>
        <v>0</v>
      </c>
      <c r="DS59" s="183">
        <f t="shared" si="119"/>
        <v>0</v>
      </c>
      <c r="DT59" s="183">
        <f t="shared" si="119"/>
        <v>0</v>
      </c>
      <c r="DU59" s="183">
        <f t="shared" si="119"/>
        <v>0</v>
      </c>
      <c r="DV59" s="183">
        <f t="shared" si="119"/>
        <v>0</v>
      </c>
      <c r="DW59" s="183">
        <f t="shared" si="119"/>
        <v>0</v>
      </c>
      <c r="DX59" s="183">
        <f t="shared" si="119"/>
        <v>0</v>
      </c>
      <c r="DY59" s="183">
        <f t="shared" si="119"/>
        <v>0</v>
      </c>
      <c r="DZ59" s="183">
        <f t="shared" si="119"/>
        <v>0</v>
      </c>
      <c r="EA59" s="183">
        <f t="shared" si="119"/>
        <v>0</v>
      </c>
      <c r="EB59" s="183">
        <f t="shared" si="119"/>
        <v>0</v>
      </c>
      <c r="EC59" s="183">
        <f t="shared" si="119"/>
        <v>0</v>
      </c>
      <c r="ED59" s="183">
        <f t="shared" si="119"/>
        <v>0</v>
      </c>
      <c r="EE59" s="183">
        <f t="shared" si="119"/>
        <v>0</v>
      </c>
      <c r="EF59" s="183">
        <f t="shared" si="119"/>
        <v>0</v>
      </c>
      <c r="EG59" s="183">
        <f t="shared" si="119"/>
        <v>0</v>
      </c>
      <c r="EH59" s="183">
        <f t="shared" si="119"/>
        <v>0</v>
      </c>
      <c r="EI59" s="183">
        <f t="shared" si="119"/>
        <v>0</v>
      </c>
      <c r="EJ59" s="183">
        <f t="shared" si="119"/>
        <v>0</v>
      </c>
      <c r="EK59" s="183">
        <f t="shared" si="119"/>
        <v>0</v>
      </c>
      <c r="EL59" s="183">
        <f t="shared" si="119"/>
        <v>0</v>
      </c>
      <c r="EM59" s="183">
        <f t="shared" si="119"/>
        <v>0</v>
      </c>
      <c r="EN59" s="183">
        <f t="shared" si="119"/>
        <v>0</v>
      </c>
      <c r="EO59" s="183">
        <f t="shared" si="119"/>
        <v>0</v>
      </c>
      <c r="EP59" s="183">
        <f t="shared" si="119"/>
        <v>0</v>
      </c>
      <c r="EQ59" s="183">
        <f t="shared" si="119"/>
        <v>0</v>
      </c>
      <c r="ER59" s="183">
        <f t="shared" si="119"/>
        <v>0</v>
      </c>
      <c r="ES59" s="183">
        <f t="shared" si="119"/>
        <v>0</v>
      </c>
      <c r="ET59" s="183">
        <f t="shared" si="119"/>
        <v>0</v>
      </c>
      <c r="EU59" s="183">
        <f t="shared" si="119"/>
        <v>0</v>
      </c>
      <c r="EV59" s="183">
        <f t="shared" si="119"/>
        <v>0</v>
      </c>
      <c r="EW59" s="183">
        <f t="shared" si="119"/>
        <v>0</v>
      </c>
      <c r="EX59" s="183">
        <f t="shared" si="119"/>
        <v>0</v>
      </c>
      <c r="EY59" s="183">
        <f t="shared" si="119"/>
        <v>0</v>
      </c>
      <c r="EZ59" s="183">
        <f t="shared" si="119"/>
        <v>0</v>
      </c>
      <c r="FA59" s="144"/>
      <c r="FB59" s="609" t="s">
        <v>243</v>
      </c>
      <c r="FC59" s="144"/>
      <c r="FD59" s="144"/>
      <c r="FE59" s="144"/>
      <c r="FF59" s="144"/>
      <c r="FG59" s="144"/>
      <c r="FH59" s="144"/>
      <c r="FI59" s="144"/>
      <c r="FJ59" s="144"/>
      <c r="FK59" s="144"/>
      <c r="FL59" s="144"/>
      <c r="FM59" s="144"/>
      <c r="FN59" s="144"/>
      <c r="FO59" s="144"/>
      <c r="FP59" s="144"/>
      <c r="FQ59" s="144"/>
      <c r="FR59" s="144"/>
      <c r="FS59" s="144"/>
      <c r="FT59" s="144"/>
      <c r="FU59" s="144"/>
      <c r="FV59" s="144"/>
      <c r="FW59" s="144"/>
      <c r="FX59" s="144"/>
      <c r="FY59" s="144"/>
      <c r="FZ59" s="144"/>
      <c r="GA59" s="144"/>
      <c r="GB59" s="144"/>
      <c r="GC59" s="144"/>
      <c r="GD59" s="144"/>
      <c r="GE59" s="144"/>
      <c r="GF59" s="144"/>
      <c r="GG59" s="144"/>
      <c r="GH59" s="144"/>
      <c r="GI59" s="144"/>
      <c r="GJ59" s="144"/>
      <c r="GK59" s="144"/>
      <c r="GL59" s="144"/>
      <c r="GM59" s="144"/>
      <c r="GN59" s="144"/>
      <c r="GO59" s="144"/>
      <c r="GP59" s="144"/>
      <c r="GQ59" s="144"/>
      <c r="GR59" s="144"/>
      <c r="GS59" s="144"/>
      <c r="GT59" s="144"/>
      <c r="GU59" s="144"/>
      <c r="GV59" s="144"/>
      <c r="GW59" s="144"/>
      <c r="GX59" s="144"/>
      <c r="GY59" s="144"/>
      <c r="GZ59" s="144"/>
      <c r="HA59" s="144"/>
      <c r="HB59" s="144"/>
      <c r="HC59" s="144"/>
      <c r="HD59" s="144"/>
      <c r="HE59" s="144"/>
      <c r="HF59" s="144"/>
      <c r="HG59" s="144"/>
      <c r="HH59" s="144"/>
      <c r="HI59" s="144"/>
      <c r="HJ59" s="144"/>
      <c r="HK59" s="144"/>
    </row>
    <row r="60" spans="1:219" s="158" customFormat="1" x14ac:dyDescent="0.2">
      <c r="A60" s="630"/>
      <c r="B60" s="638" t="s">
        <v>695</v>
      </c>
      <c r="C60" s="638"/>
      <c r="D60" s="443">
        <v>0</v>
      </c>
      <c r="E60" s="199">
        <f>IF(units=0,0,'Renovation Budget'!D60/'Unit Mix-Reno Schedule'!$AI$27)</f>
        <v>0</v>
      </c>
      <c r="F60" s="640">
        <v>1</v>
      </c>
      <c r="G60" s="640">
        <v>28</v>
      </c>
      <c r="H60" s="641">
        <f t="shared" si="44"/>
        <v>27</v>
      </c>
      <c r="I60" s="642"/>
      <c r="J60" s="643" t="s">
        <v>42</v>
      </c>
      <c r="K60" s="644"/>
      <c r="L60" s="183">
        <f t="shared" si="111"/>
        <v>0</v>
      </c>
      <c r="M60" s="183">
        <f t="shared" si="111"/>
        <v>0</v>
      </c>
      <c r="N60" s="183">
        <f t="shared" si="111"/>
        <v>0</v>
      </c>
      <c r="O60" s="183">
        <f t="shared" si="111"/>
        <v>0</v>
      </c>
      <c r="P60" s="183">
        <f t="shared" si="111"/>
        <v>0</v>
      </c>
      <c r="Q60" s="183">
        <f t="shared" si="111"/>
        <v>0</v>
      </c>
      <c r="R60" s="183">
        <f t="shared" si="111"/>
        <v>0</v>
      </c>
      <c r="S60" s="183">
        <f t="shared" si="111"/>
        <v>0</v>
      </c>
      <c r="T60" s="183">
        <f t="shared" si="111"/>
        <v>0</v>
      </c>
      <c r="U60" s="183">
        <f t="shared" si="111"/>
        <v>0</v>
      </c>
      <c r="V60" s="183">
        <f t="shared" si="111"/>
        <v>0</v>
      </c>
      <c r="W60" s="644"/>
      <c r="X60" s="183">
        <f t="shared" si="46"/>
        <v>0</v>
      </c>
      <c r="Y60" s="183">
        <f t="shared" ref="Y60:BD60" si="120">IF($X60=0,$E60*X$41,0)</f>
        <v>0</v>
      </c>
      <c r="Z60" s="183">
        <f t="shared" si="120"/>
        <v>0</v>
      </c>
      <c r="AA60" s="183">
        <f t="shared" si="120"/>
        <v>0</v>
      </c>
      <c r="AB60" s="183">
        <f t="shared" si="120"/>
        <v>0</v>
      </c>
      <c r="AC60" s="183">
        <f t="shared" si="120"/>
        <v>0</v>
      </c>
      <c r="AD60" s="183">
        <f t="shared" si="120"/>
        <v>0</v>
      </c>
      <c r="AE60" s="183">
        <f t="shared" si="120"/>
        <v>0</v>
      </c>
      <c r="AF60" s="183">
        <f t="shared" si="120"/>
        <v>0</v>
      </c>
      <c r="AG60" s="183">
        <f t="shared" si="120"/>
        <v>0</v>
      </c>
      <c r="AH60" s="183">
        <f t="shared" si="120"/>
        <v>0</v>
      </c>
      <c r="AI60" s="183">
        <f t="shared" si="120"/>
        <v>0</v>
      </c>
      <c r="AJ60" s="183">
        <f t="shared" si="120"/>
        <v>0</v>
      </c>
      <c r="AK60" s="183">
        <f t="shared" si="120"/>
        <v>0</v>
      </c>
      <c r="AL60" s="183">
        <f t="shared" si="120"/>
        <v>0</v>
      </c>
      <c r="AM60" s="183">
        <f t="shared" si="120"/>
        <v>0</v>
      </c>
      <c r="AN60" s="183">
        <f t="shared" si="120"/>
        <v>0</v>
      </c>
      <c r="AO60" s="183">
        <f t="shared" si="120"/>
        <v>0</v>
      </c>
      <c r="AP60" s="183">
        <f t="shared" si="120"/>
        <v>0</v>
      </c>
      <c r="AQ60" s="183">
        <f t="shared" si="120"/>
        <v>0</v>
      </c>
      <c r="AR60" s="183">
        <f t="shared" si="120"/>
        <v>0</v>
      </c>
      <c r="AS60" s="183">
        <f t="shared" si="120"/>
        <v>0</v>
      </c>
      <c r="AT60" s="183">
        <f t="shared" si="120"/>
        <v>0</v>
      </c>
      <c r="AU60" s="183">
        <f t="shared" si="120"/>
        <v>0</v>
      </c>
      <c r="AV60" s="183">
        <f t="shared" si="120"/>
        <v>0</v>
      </c>
      <c r="AW60" s="183">
        <f t="shared" si="120"/>
        <v>0</v>
      </c>
      <c r="AX60" s="183">
        <f t="shared" si="120"/>
        <v>0</v>
      </c>
      <c r="AY60" s="183">
        <f t="shared" si="120"/>
        <v>0</v>
      </c>
      <c r="AZ60" s="183">
        <f t="shared" si="120"/>
        <v>0</v>
      </c>
      <c r="BA60" s="183">
        <f t="shared" si="120"/>
        <v>0</v>
      </c>
      <c r="BB60" s="183">
        <f t="shared" si="120"/>
        <v>0</v>
      </c>
      <c r="BC60" s="183">
        <f t="shared" si="120"/>
        <v>0</v>
      </c>
      <c r="BD60" s="183">
        <f t="shared" si="120"/>
        <v>0</v>
      </c>
      <c r="BE60" s="183">
        <f t="shared" ref="BE60:CJ60" si="121">IF($X60=0,$E60*BD$41,0)</f>
        <v>0</v>
      </c>
      <c r="BF60" s="183">
        <f t="shared" si="121"/>
        <v>0</v>
      </c>
      <c r="BG60" s="183">
        <f t="shared" si="121"/>
        <v>0</v>
      </c>
      <c r="BH60" s="183">
        <f t="shared" si="121"/>
        <v>0</v>
      </c>
      <c r="BI60" s="183">
        <f t="shared" si="121"/>
        <v>0</v>
      </c>
      <c r="BJ60" s="183">
        <f t="shared" si="121"/>
        <v>0</v>
      </c>
      <c r="BK60" s="183">
        <f t="shared" si="121"/>
        <v>0</v>
      </c>
      <c r="BL60" s="183">
        <f t="shared" si="121"/>
        <v>0</v>
      </c>
      <c r="BM60" s="183">
        <f t="shared" si="121"/>
        <v>0</v>
      </c>
      <c r="BN60" s="183">
        <f t="shared" si="121"/>
        <v>0</v>
      </c>
      <c r="BO60" s="183">
        <f t="shared" si="121"/>
        <v>0</v>
      </c>
      <c r="BP60" s="183">
        <f t="shared" si="121"/>
        <v>0</v>
      </c>
      <c r="BQ60" s="183">
        <f t="shared" si="121"/>
        <v>0</v>
      </c>
      <c r="BR60" s="183">
        <f t="shared" si="121"/>
        <v>0</v>
      </c>
      <c r="BS60" s="183">
        <f t="shared" si="121"/>
        <v>0</v>
      </c>
      <c r="BT60" s="183">
        <f t="shared" si="121"/>
        <v>0</v>
      </c>
      <c r="BU60" s="183">
        <f t="shared" si="121"/>
        <v>0</v>
      </c>
      <c r="BV60" s="183">
        <f t="shared" si="121"/>
        <v>0</v>
      </c>
      <c r="BW60" s="183">
        <f t="shared" si="121"/>
        <v>0</v>
      </c>
      <c r="BX60" s="183">
        <f t="shared" si="121"/>
        <v>0</v>
      </c>
      <c r="BY60" s="183">
        <f t="shared" si="121"/>
        <v>0</v>
      </c>
      <c r="BZ60" s="183">
        <f t="shared" si="121"/>
        <v>0</v>
      </c>
      <c r="CA60" s="183">
        <f t="shared" si="121"/>
        <v>0</v>
      </c>
      <c r="CB60" s="183">
        <f t="shared" si="121"/>
        <v>0</v>
      </c>
      <c r="CC60" s="183">
        <f t="shared" si="121"/>
        <v>0</v>
      </c>
      <c r="CD60" s="183">
        <f t="shared" si="121"/>
        <v>0</v>
      </c>
      <c r="CE60" s="183">
        <f t="shared" si="121"/>
        <v>0</v>
      </c>
      <c r="CF60" s="183">
        <f t="shared" si="121"/>
        <v>0</v>
      </c>
      <c r="CG60" s="183">
        <f t="shared" si="121"/>
        <v>0</v>
      </c>
      <c r="CH60" s="183">
        <f t="shared" si="121"/>
        <v>0</v>
      </c>
      <c r="CI60" s="183">
        <f t="shared" si="121"/>
        <v>0</v>
      </c>
      <c r="CJ60" s="183">
        <f t="shared" si="121"/>
        <v>0</v>
      </c>
      <c r="CK60" s="183">
        <f t="shared" ref="CK60:DP60" si="122">IF($X60=0,$E60*CJ$41,0)</f>
        <v>0</v>
      </c>
      <c r="CL60" s="183">
        <f t="shared" si="122"/>
        <v>0</v>
      </c>
      <c r="CM60" s="183">
        <f t="shared" si="122"/>
        <v>0</v>
      </c>
      <c r="CN60" s="183">
        <f t="shared" si="122"/>
        <v>0</v>
      </c>
      <c r="CO60" s="183">
        <f t="shared" si="122"/>
        <v>0</v>
      </c>
      <c r="CP60" s="183">
        <f t="shared" si="122"/>
        <v>0</v>
      </c>
      <c r="CQ60" s="183">
        <f t="shared" si="122"/>
        <v>0</v>
      </c>
      <c r="CR60" s="183">
        <f t="shared" si="122"/>
        <v>0</v>
      </c>
      <c r="CS60" s="183">
        <f t="shared" si="122"/>
        <v>0</v>
      </c>
      <c r="CT60" s="183">
        <f t="shared" si="122"/>
        <v>0</v>
      </c>
      <c r="CU60" s="183">
        <f t="shared" si="122"/>
        <v>0</v>
      </c>
      <c r="CV60" s="183">
        <f t="shared" si="122"/>
        <v>0</v>
      </c>
      <c r="CW60" s="183">
        <f t="shared" si="122"/>
        <v>0</v>
      </c>
      <c r="CX60" s="183">
        <f t="shared" si="122"/>
        <v>0</v>
      </c>
      <c r="CY60" s="183">
        <f t="shared" si="122"/>
        <v>0</v>
      </c>
      <c r="CZ60" s="183">
        <f t="shared" si="122"/>
        <v>0</v>
      </c>
      <c r="DA60" s="183">
        <f t="shared" si="122"/>
        <v>0</v>
      </c>
      <c r="DB60" s="183">
        <f t="shared" si="122"/>
        <v>0</v>
      </c>
      <c r="DC60" s="183">
        <f t="shared" si="122"/>
        <v>0</v>
      </c>
      <c r="DD60" s="183">
        <f t="shared" si="122"/>
        <v>0</v>
      </c>
      <c r="DE60" s="183">
        <f t="shared" si="122"/>
        <v>0</v>
      </c>
      <c r="DF60" s="183">
        <f t="shared" si="122"/>
        <v>0</v>
      </c>
      <c r="DG60" s="183">
        <f t="shared" si="122"/>
        <v>0</v>
      </c>
      <c r="DH60" s="183">
        <f t="shared" si="122"/>
        <v>0</v>
      </c>
      <c r="DI60" s="183">
        <f t="shared" si="122"/>
        <v>0</v>
      </c>
      <c r="DJ60" s="183">
        <f t="shared" si="122"/>
        <v>0</v>
      </c>
      <c r="DK60" s="183">
        <f t="shared" si="122"/>
        <v>0</v>
      </c>
      <c r="DL60" s="183">
        <f t="shared" si="122"/>
        <v>0</v>
      </c>
      <c r="DM60" s="183">
        <f t="shared" si="122"/>
        <v>0</v>
      </c>
      <c r="DN60" s="183">
        <f t="shared" si="122"/>
        <v>0</v>
      </c>
      <c r="DO60" s="183">
        <f t="shared" si="122"/>
        <v>0</v>
      </c>
      <c r="DP60" s="183">
        <f t="shared" si="122"/>
        <v>0</v>
      </c>
      <c r="DQ60" s="183">
        <f t="shared" ref="DQ60:EZ60" si="123">IF($X60=0,$E60*DP$41,0)</f>
        <v>0</v>
      </c>
      <c r="DR60" s="183">
        <f t="shared" si="123"/>
        <v>0</v>
      </c>
      <c r="DS60" s="183">
        <f t="shared" si="123"/>
        <v>0</v>
      </c>
      <c r="DT60" s="183">
        <f t="shared" si="123"/>
        <v>0</v>
      </c>
      <c r="DU60" s="183">
        <f t="shared" si="123"/>
        <v>0</v>
      </c>
      <c r="DV60" s="183">
        <f t="shared" si="123"/>
        <v>0</v>
      </c>
      <c r="DW60" s="183">
        <f t="shared" si="123"/>
        <v>0</v>
      </c>
      <c r="DX60" s="183">
        <f t="shared" si="123"/>
        <v>0</v>
      </c>
      <c r="DY60" s="183">
        <f t="shared" si="123"/>
        <v>0</v>
      </c>
      <c r="DZ60" s="183">
        <f t="shared" si="123"/>
        <v>0</v>
      </c>
      <c r="EA60" s="183">
        <f t="shared" si="123"/>
        <v>0</v>
      </c>
      <c r="EB60" s="183">
        <f t="shared" si="123"/>
        <v>0</v>
      </c>
      <c r="EC60" s="183">
        <f t="shared" si="123"/>
        <v>0</v>
      </c>
      <c r="ED60" s="183">
        <f t="shared" si="123"/>
        <v>0</v>
      </c>
      <c r="EE60" s="183">
        <f t="shared" si="123"/>
        <v>0</v>
      </c>
      <c r="EF60" s="183">
        <f t="shared" si="123"/>
        <v>0</v>
      </c>
      <c r="EG60" s="183">
        <f t="shared" si="123"/>
        <v>0</v>
      </c>
      <c r="EH60" s="183">
        <f t="shared" si="123"/>
        <v>0</v>
      </c>
      <c r="EI60" s="183">
        <f t="shared" si="123"/>
        <v>0</v>
      </c>
      <c r="EJ60" s="183">
        <f t="shared" si="123"/>
        <v>0</v>
      </c>
      <c r="EK60" s="183">
        <f t="shared" si="123"/>
        <v>0</v>
      </c>
      <c r="EL60" s="183">
        <f t="shared" si="123"/>
        <v>0</v>
      </c>
      <c r="EM60" s="183">
        <f t="shared" si="123"/>
        <v>0</v>
      </c>
      <c r="EN60" s="183">
        <f t="shared" si="123"/>
        <v>0</v>
      </c>
      <c r="EO60" s="183">
        <f t="shared" si="123"/>
        <v>0</v>
      </c>
      <c r="EP60" s="183">
        <f t="shared" si="123"/>
        <v>0</v>
      </c>
      <c r="EQ60" s="183">
        <f t="shared" si="123"/>
        <v>0</v>
      </c>
      <c r="ER60" s="183">
        <f t="shared" si="123"/>
        <v>0</v>
      </c>
      <c r="ES60" s="183">
        <f t="shared" si="123"/>
        <v>0</v>
      </c>
      <c r="ET60" s="183">
        <f t="shared" si="123"/>
        <v>0</v>
      </c>
      <c r="EU60" s="183">
        <f t="shared" si="123"/>
        <v>0</v>
      </c>
      <c r="EV60" s="183">
        <f t="shared" si="123"/>
        <v>0</v>
      </c>
      <c r="EW60" s="183">
        <f t="shared" si="123"/>
        <v>0</v>
      </c>
      <c r="EX60" s="183">
        <f t="shared" si="123"/>
        <v>0</v>
      </c>
      <c r="EY60" s="183">
        <f t="shared" si="123"/>
        <v>0</v>
      </c>
      <c r="EZ60" s="183">
        <f t="shared" si="123"/>
        <v>0</v>
      </c>
      <c r="FA60" s="144"/>
      <c r="FB60" s="609" t="s">
        <v>243</v>
      </c>
      <c r="FC60" s="144"/>
      <c r="FD60" s="144"/>
      <c r="FE60" s="144"/>
      <c r="FF60" s="144"/>
      <c r="FG60" s="144"/>
      <c r="FH60" s="144"/>
      <c r="FI60" s="144"/>
      <c r="FJ60" s="144"/>
      <c r="FK60" s="144"/>
      <c r="FL60" s="144"/>
      <c r="FM60" s="144"/>
      <c r="FN60" s="144"/>
      <c r="FO60" s="144"/>
      <c r="FP60" s="144"/>
      <c r="FQ60" s="144"/>
      <c r="FR60" s="144"/>
      <c r="FS60" s="144"/>
      <c r="FT60" s="144"/>
      <c r="FU60" s="144"/>
      <c r="FV60" s="144"/>
      <c r="FW60" s="144"/>
      <c r="FX60" s="144"/>
      <c r="FY60" s="144"/>
      <c r="FZ60" s="144"/>
      <c r="GA60" s="144"/>
      <c r="GB60" s="144"/>
      <c r="GC60" s="144"/>
      <c r="GD60" s="144"/>
      <c r="GE60" s="144"/>
      <c r="GF60" s="144"/>
      <c r="GG60" s="144"/>
      <c r="GH60" s="144"/>
      <c r="GI60" s="144"/>
      <c r="GJ60" s="144"/>
      <c r="GK60" s="144"/>
      <c r="GL60" s="144"/>
      <c r="GM60" s="144"/>
      <c r="GN60" s="144"/>
      <c r="GO60" s="144"/>
      <c r="GP60" s="144"/>
      <c r="GQ60" s="144"/>
      <c r="GR60" s="144"/>
      <c r="GS60" s="144"/>
      <c r="GT60" s="144"/>
      <c r="GU60" s="144"/>
      <c r="GV60" s="144"/>
      <c r="GW60" s="144"/>
      <c r="GX60" s="144"/>
      <c r="GY60" s="144"/>
      <c r="GZ60" s="144"/>
      <c r="HA60" s="144"/>
      <c r="HB60" s="144"/>
      <c r="HC60" s="144"/>
      <c r="HD60" s="144"/>
      <c r="HE60" s="144"/>
      <c r="HF60" s="144"/>
      <c r="HG60" s="144"/>
      <c r="HH60" s="144"/>
      <c r="HI60" s="144"/>
      <c r="HJ60" s="144"/>
      <c r="HK60" s="144"/>
    </row>
    <row r="61" spans="1:219" s="158" customFormat="1" x14ac:dyDescent="0.2">
      <c r="A61" s="630"/>
      <c r="B61" s="638" t="s">
        <v>82</v>
      </c>
      <c r="C61" s="638"/>
      <c r="D61" s="443">
        <v>1100000</v>
      </c>
      <c r="E61" s="199">
        <f>IF(units=0,0,'Renovation Budget'!D61/'Unit Mix-Reno Schedule'!$AI$27)</f>
        <v>5641.0256410256407</v>
      </c>
      <c r="F61" s="640">
        <v>2</v>
      </c>
      <c r="G61" s="640">
        <v>33</v>
      </c>
      <c r="H61" s="641">
        <f t="shared" si="44"/>
        <v>31</v>
      </c>
      <c r="I61" s="642"/>
      <c r="J61" s="643" t="s">
        <v>42</v>
      </c>
      <c r="K61" s="644"/>
      <c r="L61" s="183">
        <f t="shared" si="111"/>
        <v>0</v>
      </c>
      <c r="M61" s="183">
        <f t="shared" si="111"/>
        <v>310256.41025641013</v>
      </c>
      <c r="N61" s="183">
        <f t="shared" si="111"/>
        <v>502051.28205128206</v>
      </c>
      <c r="O61" s="183">
        <f t="shared" si="111"/>
        <v>287692.30769230763</v>
      </c>
      <c r="P61" s="183">
        <f t="shared" si="111"/>
        <v>0</v>
      </c>
      <c r="Q61" s="183">
        <f t="shared" si="111"/>
        <v>0</v>
      </c>
      <c r="R61" s="183">
        <f t="shared" si="111"/>
        <v>0</v>
      </c>
      <c r="S61" s="183">
        <f t="shared" si="111"/>
        <v>0</v>
      </c>
      <c r="T61" s="183">
        <f t="shared" si="111"/>
        <v>0</v>
      </c>
      <c r="U61" s="183">
        <f t="shared" si="111"/>
        <v>0</v>
      </c>
      <c r="V61" s="183">
        <f t="shared" si="111"/>
        <v>0</v>
      </c>
      <c r="W61" s="644"/>
      <c r="X61" s="183">
        <f t="shared" si="46"/>
        <v>0</v>
      </c>
      <c r="Y61" s="183">
        <f t="shared" ref="Y61:BD61" si="124">IF($X61=0,$E61*X$41,0)</f>
        <v>0</v>
      </c>
      <c r="Z61" s="183">
        <f t="shared" si="124"/>
        <v>28205.128205128203</v>
      </c>
      <c r="AA61" s="183">
        <f t="shared" si="124"/>
        <v>28205.128205128203</v>
      </c>
      <c r="AB61" s="183">
        <f t="shared" si="124"/>
        <v>28205.128205128203</v>
      </c>
      <c r="AC61" s="183">
        <f t="shared" si="124"/>
        <v>28205.128205128203</v>
      </c>
      <c r="AD61" s="183">
        <f t="shared" si="124"/>
        <v>28205.128205128203</v>
      </c>
      <c r="AE61" s="183">
        <f t="shared" si="124"/>
        <v>28205.128205128203</v>
      </c>
      <c r="AF61" s="183">
        <f t="shared" si="124"/>
        <v>28205.128205128203</v>
      </c>
      <c r="AG61" s="183">
        <f t="shared" si="124"/>
        <v>28205.128205128203</v>
      </c>
      <c r="AH61" s="183">
        <f t="shared" si="124"/>
        <v>28205.128205128203</v>
      </c>
      <c r="AI61" s="183">
        <f t="shared" si="124"/>
        <v>28205.128205128203</v>
      </c>
      <c r="AJ61" s="183">
        <f t="shared" si="124"/>
        <v>28205.128205128203</v>
      </c>
      <c r="AK61" s="183">
        <f t="shared" si="124"/>
        <v>28205.128205128203</v>
      </c>
      <c r="AL61" s="183">
        <f t="shared" si="124"/>
        <v>45128.205128205125</v>
      </c>
      <c r="AM61" s="183">
        <f t="shared" si="124"/>
        <v>45128.205128205125</v>
      </c>
      <c r="AN61" s="183">
        <f t="shared" si="124"/>
        <v>45128.205128205125</v>
      </c>
      <c r="AO61" s="183">
        <f t="shared" si="124"/>
        <v>45128.205128205125</v>
      </c>
      <c r="AP61" s="183">
        <f t="shared" si="124"/>
        <v>45128.205128205125</v>
      </c>
      <c r="AQ61" s="183">
        <f t="shared" si="124"/>
        <v>45128.205128205125</v>
      </c>
      <c r="AR61" s="183">
        <f t="shared" si="124"/>
        <v>45128.205128205125</v>
      </c>
      <c r="AS61" s="183">
        <f t="shared" si="124"/>
        <v>39487.179487179485</v>
      </c>
      <c r="AT61" s="183">
        <f t="shared" si="124"/>
        <v>39487.179487179485</v>
      </c>
      <c r="AU61" s="183">
        <f t="shared" si="124"/>
        <v>39487.179487179485</v>
      </c>
      <c r="AV61" s="183">
        <f t="shared" si="124"/>
        <v>39487.179487179485</v>
      </c>
      <c r="AW61" s="183">
        <f t="shared" si="124"/>
        <v>39487.179487179485</v>
      </c>
      <c r="AX61" s="183">
        <f t="shared" si="124"/>
        <v>39487.179487179485</v>
      </c>
      <c r="AY61" s="183">
        <f t="shared" si="124"/>
        <v>39487.179487179485</v>
      </c>
      <c r="AZ61" s="183">
        <f t="shared" si="124"/>
        <v>28205.128205128203</v>
      </c>
      <c r="BA61" s="183">
        <f t="shared" si="124"/>
        <v>28205.128205128203</v>
      </c>
      <c r="BB61" s="183">
        <f t="shared" si="124"/>
        <v>28205.128205128203</v>
      </c>
      <c r="BC61" s="183">
        <f t="shared" si="124"/>
        <v>28205.128205128203</v>
      </c>
      <c r="BD61" s="183">
        <f t="shared" si="124"/>
        <v>28205.128205128203</v>
      </c>
      <c r="BE61" s="183">
        <f t="shared" ref="BE61:CJ61" si="125">IF($X61=0,$E61*BD$41,0)</f>
        <v>28205.128205128203</v>
      </c>
      <c r="BF61" s="183">
        <f t="shared" si="125"/>
        <v>0</v>
      </c>
      <c r="BG61" s="183">
        <f t="shared" si="125"/>
        <v>0</v>
      </c>
      <c r="BH61" s="183">
        <f t="shared" si="125"/>
        <v>0</v>
      </c>
      <c r="BI61" s="183">
        <f t="shared" si="125"/>
        <v>0</v>
      </c>
      <c r="BJ61" s="183">
        <f t="shared" si="125"/>
        <v>0</v>
      </c>
      <c r="BK61" s="183">
        <f t="shared" si="125"/>
        <v>0</v>
      </c>
      <c r="BL61" s="183">
        <f t="shared" si="125"/>
        <v>0</v>
      </c>
      <c r="BM61" s="183">
        <f t="shared" si="125"/>
        <v>0</v>
      </c>
      <c r="BN61" s="183">
        <f t="shared" si="125"/>
        <v>0</v>
      </c>
      <c r="BO61" s="183">
        <f t="shared" si="125"/>
        <v>0</v>
      </c>
      <c r="BP61" s="183">
        <f t="shared" si="125"/>
        <v>0</v>
      </c>
      <c r="BQ61" s="183">
        <f t="shared" si="125"/>
        <v>0</v>
      </c>
      <c r="BR61" s="183">
        <f t="shared" si="125"/>
        <v>0</v>
      </c>
      <c r="BS61" s="183">
        <f t="shared" si="125"/>
        <v>0</v>
      </c>
      <c r="BT61" s="183">
        <f t="shared" si="125"/>
        <v>0</v>
      </c>
      <c r="BU61" s="183">
        <f t="shared" si="125"/>
        <v>0</v>
      </c>
      <c r="BV61" s="183">
        <f t="shared" si="125"/>
        <v>0</v>
      </c>
      <c r="BW61" s="183">
        <f t="shared" si="125"/>
        <v>0</v>
      </c>
      <c r="BX61" s="183">
        <f t="shared" si="125"/>
        <v>0</v>
      </c>
      <c r="BY61" s="183">
        <f t="shared" si="125"/>
        <v>0</v>
      </c>
      <c r="BZ61" s="183">
        <f t="shared" si="125"/>
        <v>0</v>
      </c>
      <c r="CA61" s="183">
        <f t="shared" si="125"/>
        <v>0</v>
      </c>
      <c r="CB61" s="183">
        <f t="shared" si="125"/>
        <v>0</v>
      </c>
      <c r="CC61" s="183">
        <f t="shared" si="125"/>
        <v>0</v>
      </c>
      <c r="CD61" s="183">
        <f t="shared" si="125"/>
        <v>0</v>
      </c>
      <c r="CE61" s="183">
        <f t="shared" si="125"/>
        <v>0</v>
      </c>
      <c r="CF61" s="183">
        <f t="shared" si="125"/>
        <v>0</v>
      </c>
      <c r="CG61" s="183">
        <f t="shared" si="125"/>
        <v>0</v>
      </c>
      <c r="CH61" s="183">
        <f t="shared" si="125"/>
        <v>0</v>
      </c>
      <c r="CI61" s="183">
        <f t="shared" si="125"/>
        <v>0</v>
      </c>
      <c r="CJ61" s="183">
        <f t="shared" si="125"/>
        <v>0</v>
      </c>
      <c r="CK61" s="183">
        <f t="shared" ref="CK61:DP61" si="126">IF($X61=0,$E61*CJ$41,0)</f>
        <v>0</v>
      </c>
      <c r="CL61" s="183">
        <f t="shared" si="126"/>
        <v>0</v>
      </c>
      <c r="CM61" s="183">
        <f t="shared" si="126"/>
        <v>0</v>
      </c>
      <c r="CN61" s="183">
        <f t="shared" si="126"/>
        <v>0</v>
      </c>
      <c r="CO61" s="183">
        <f t="shared" si="126"/>
        <v>0</v>
      </c>
      <c r="CP61" s="183">
        <f t="shared" si="126"/>
        <v>0</v>
      </c>
      <c r="CQ61" s="183">
        <f t="shared" si="126"/>
        <v>0</v>
      </c>
      <c r="CR61" s="183">
        <f t="shared" si="126"/>
        <v>0</v>
      </c>
      <c r="CS61" s="183">
        <f t="shared" si="126"/>
        <v>0</v>
      </c>
      <c r="CT61" s="183">
        <f t="shared" si="126"/>
        <v>0</v>
      </c>
      <c r="CU61" s="183">
        <f t="shared" si="126"/>
        <v>0</v>
      </c>
      <c r="CV61" s="183">
        <f t="shared" si="126"/>
        <v>0</v>
      </c>
      <c r="CW61" s="183">
        <f t="shared" si="126"/>
        <v>0</v>
      </c>
      <c r="CX61" s="183">
        <f t="shared" si="126"/>
        <v>0</v>
      </c>
      <c r="CY61" s="183">
        <f t="shared" si="126"/>
        <v>0</v>
      </c>
      <c r="CZ61" s="183">
        <f t="shared" si="126"/>
        <v>0</v>
      </c>
      <c r="DA61" s="183">
        <f t="shared" si="126"/>
        <v>0</v>
      </c>
      <c r="DB61" s="183">
        <f t="shared" si="126"/>
        <v>0</v>
      </c>
      <c r="DC61" s="183">
        <f t="shared" si="126"/>
        <v>0</v>
      </c>
      <c r="DD61" s="183">
        <f t="shared" si="126"/>
        <v>0</v>
      </c>
      <c r="DE61" s="183">
        <f t="shared" si="126"/>
        <v>0</v>
      </c>
      <c r="DF61" s="183">
        <f t="shared" si="126"/>
        <v>0</v>
      </c>
      <c r="DG61" s="183">
        <f t="shared" si="126"/>
        <v>0</v>
      </c>
      <c r="DH61" s="183">
        <f t="shared" si="126"/>
        <v>0</v>
      </c>
      <c r="DI61" s="183">
        <f t="shared" si="126"/>
        <v>0</v>
      </c>
      <c r="DJ61" s="183">
        <f t="shared" si="126"/>
        <v>0</v>
      </c>
      <c r="DK61" s="183">
        <f t="shared" si="126"/>
        <v>0</v>
      </c>
      <c r="DL61" s="183">
        <f t="shared" si="126"/>
        <v>0</v>
      </c>
      <c r="DM61" s="183">
        <f t="shared" si="126"/>
        <v>0</v>
      </c>
      <c r="DN61" s="183">
        <f t="shared" si="126"/>
        <v>0</v>
      </c>
      <c r="DO61" s="183">
        <f t="shared" si="126"/>
        <v>0</v>
      </c>
      <c r="DP61" s="183">
        <f t="shared" si="126"/>
        <v>0</v>
      </c>
      <c r="DQ61" s="183">
        <f t="shared" ref="DQ61:EZ61" si="127">IF($X61=0,$E61*DP$41,0)</f>
        <v>0</v>
      </c>
      <c r="DR61" s="183">
        <f t="shared" si="127"/>
        <v>0</v>
      </c>
      <c r="DS61" s="183">
        <f t="shared" si="127"/>
        <v>0</v>
      </c>
      <c r="DT61" s="183">
        <f t="shared" si="127"/>
        <v>0</v>
      </c>
      <c r="DU61" s="183">
        <f t="shared" si="127"/>
        <v>0</v>
      </c>
      <c r="DV61" s="183">
        <f t="shared" si="127"/>
        <v>0</v>
      </c>
      <c r="DW61" s="183">
        <f t="shared" si="127"/>
        <v>0</v>
      </c>
      <c r="DX61" s="183">
        <f t="shared" si="127"/>
        <v>0</v>
      </c>
      <c r="DY61" s="183">
        <f t="shared" si="127"/>
        <v>0</v>
      </c>
      <c r="DZ61" s="183">
        <f t="shared" si="127"/>
        <v>0</v>
      </c>
      <c r="EA61" s="183">
        <f t="shared" si="127"/>
        <v>0</v>
      </c>
      <c r="EB61" s="183">
        <f t="shared" si="127"/>
        <v>0</v>
      </c>
      <c r="EC61" s="183">
        <f t="shared" si="127"/>
        <v>0</v>
      </c>
      <c r="ED61" s="183">
        <f t="shared" si="127"/>
        <v>0</v>
      </c>
      <c r="EE61" s="183">
        <f t="shared" si="127"/>
        <v>0</v>
      </c>
      <c r="EF61" s="183">
        <f t="shared" si="127"/>
        <v>0</v>
      </c>
      <c r="EG61" s="183">
        <f t="shared" si="127"/>
        <v>0</v>
      </c>
      <c r="EH61" s="183">
        <f t="shared" si="127"/>
        <v>0</v>
      </c>
      <c r="EI61" s="183">
        <f t="shared" si="127"/>
        <v>0</v>
      </c>
      <c r="EJ61" s="183">
        <f t="shared" si="127"/>
        <v>0</v>
      </c>
      <c r="EK61" s="183">
        <f t="shared" si="127"/>
        <v>0</v>
      </c>
      <c r="EL61" s="183">
        <f t="shared" si="127"/>
        <v>0</v>
      </c>
      <c r="EM61" s="183">
        <f t="shared" si="127"/>
        <v>0</v>
      </c>
      <c r="EN61" s="183">
        <f t="shared" si="127"/>
        <v>0</v>
      </c>
      <c r="EO61" s="183">
        <f t="shared" si="127"/>
        <v>0</v>
      </c>
      <c r="EP61" s="183">
        <f t="shared" si="127"/>
        <v>0</v>
      </c>
      <c r="EQ61" s="183">
        <f t="shared" si="127"/>
        <v>0</v>
      </c>
      <c r="ER61" s="183">
        <f t="shared" si="127"/>
        <v>0</v>
      </c>
      <c r="ES61" s="183">
        <f t="shared" si="127"/>
        <v>0</v>
      </c>
      <c r="ET61" s="183">
        <f t="shared" si="127"/>
        <v>0</v>
      </c>
      <c r="EU61" s="183">
        <f t="shared" si="127"/>
        <v>0</v>
      </c>
      <c r="EV61" s="183">
        <f t="shared" si="127"/>
        <v>0</v>
      </c>
      <c r="EW61" s="183">
        <f t="shared" si="127"/>
        <v>0</v>
      </c>
      <c r="EX61" s="183">
        <f t="shared" si="127"/>
        <v>0</v>
      </c>
      <c r="EY61" s="183">
        <f t="shared" si="127"/>
        <v>0</v>
      </c>
      <c r="EZ61" s="183">
        <f t="shared" si="127"/>
        <v>0</v>
      </c>
      <c r="FA61" s="144"/>
      <c r="FB61" s="609" t="s">
        <v>243</v>
      </c>
      <c r="FC61" s="144"/>
      <c r="FD61" s="144"/>
      <c r="FE61" s="144"/>
      <c r="FF61" s="144"/>
      <c r="FG61" s="144"/>
      <c r="FH61" s="144"/>
      <c r="FI61" s="144"/>
      <c r="FJ61" s="144"/>
      <c r="FK61" s="144"/>
      <c r="FL61" s="144"/>
      <c r="FM61" s="144"/>
      <c r="FN61" s="144"/>
      <c r="FO61" s="144"/>
      <c r="FP61" s="144"/>
      <c r="FQ61" s="144"/>
      <c r="FR61" s="144"/>
      <c r="FS61" s="144"/>
      <c r="FT61" s="144"/>
      <c r="FU61" s="144"/>
      <c r="FV61" s="144"/>
      <c r="FW61" s="144"/>
      <c r="FX61" s="144"/>
      <c r="FY61" s="144"/>
      <c r="FZ61" s="144"/>
      <c r="GA61" s="144"/>
      <c r="GB61" s="144"/>
      <c r="GC61" s="144"/>
      <c r="GD61" s="144"/>
      <c r="GE61" s="144"/>
      <c r="GF61" s="144"/>
      <c r="GG61" s="144"/>
      <c r="GH61" s="144"/>
      <c r="GI61" s="144"/>
      <c r="GJ61" s="144"/>
      <c r="GK61" s="144"/>
      <c r="GL61" s="144"/>
      <c r="GM61" s="144"/>
      <c r="GN61" s="144"/>
      <c r="GO61" s="144"/>
      <c r="GP61" s="144"/>
      <c r="GQ61" s="144"/>
      <c r="GR61" s="144"/>
      <c r="GS61" s="144"/>
      <c r="GT61" s="144"/>
      <c r="GU61" s="144"/>
      <c r="GV61" s="144"/>
      <c r="GW61" s="144"/>
      <c r="GX61" s="144"/>
      <c r="GY61" s="144"/>
      <c r="GZ61" s="144"/>
      <c r="HA61" s="144"/>
      <c r="HB61" s="144"/>
      <c r="HC61" s="144"/>
      <c r="HD61" s="144"/>
      <c r="HE61" s="144"/>
      <c r="HF61" s="144"/>
      <c r="HG61" s="144"/>
      <c r="HH61" s="144"/>
      <c r="HI61" s="144"/>
      <c r="HJ61" s="144"/>
      <c r="HK61" s="144"/>
    </row>
    <row r="62" spans="1:219" s="629" customFormat="1" x14ac:dyDescent="0.2">
      <c r="A62" s="630"/>
      <c r="B62" s="218" t="s">
        <v>698</v>
      </c>
      <c r="C62" s="218"/>
      <c r="D62" s="645">
        <f>SUBTOTAL(9,D42:D61)</f>
        <v>1100000</v>
      </c>
      <c r="E62" s="239">
        <f>IF(units=0,0,'Renovation Budget'!D62/units)</f>
        <v>4508.1967213114758</v>
      </c>
      <c r="F62" s="296">
        <f>MIN(F42:F61)</f>
        <v>1</v>
      </c>
      <c r="G62" s="296">
        <f>MAX(G42:G61)</f>
        <v>33</v>
      </c>
      <c r="H62" s="647">
        <f t="shared" si="44"/>
        <v>32</v>
      </c>
      <c r="I62" s="645"/>
      <c r="J62" s="648"/>
      <c r="K62" s="627"/>
      <c r="L62" s="645">
        <f>SUBTOTAL(9,L42:L61)</f>
        <v>0</v>
      </c>
      <c r="M62" s="645">
        <f t="shared" ref="M62:V62" si="128">SUBTOTAL(9,M42:M61)</f>
        <v>310256.41025641013</v>
      </c>
      <c r="N62" s="645">
        <f t="shared" si="128"/>
        <v>502051.28205128206</v>
      </c>
      <c r="O62" s="645">
        <f t="shared" si="128"/>
        <v>287692.30769230763</v>
      </c>
      <c r="P62" s="645">
        <f t="shared" si="128"/>
        <v>0</v>
      </c>
      <c r="Q62" s="645">
        <f t="shared" si="128"/>
        <v>0</v>
      </c>
      <c r="R62" s="645">
        <f t="shared" si="128"/>
        <v>0</v>
      </c>
      <c r="S62" s="645">
        <f t="shared" si="128"/>
        <v>0</v>
      </c>
      <c r="T62" s="645">
        <f t="shared" si="128"/>
        <v>0</v>
      </c>
      <c r="U62" s="645">
        <f t="shared" si="128"/>
        <v>0</v>
      </c>
      <c r="V62" s="645">
        <f t="shared" si="128"/>
        <v>0</v>
      </c>
      <c r="W62" s="627"/>
      <c r="X62" s="645">
        <f>SUBTOTAL(9,X42:X61)</f>
        <v>0</v>
      </c>
      <c r="Y62" s="645">
        <f t="shared" ref="Y62:CJ62" si="129">SUBTOTAL(9,Y42:Y61)</f>
        <v>0</v>
      </c>
      <c r="Z62" s="645">
        <f t="shared" si="129"/>
        <v>28205.128205128203</v>
      </c>
      <c r="AA62" s="645">
        <f t="shared" si="129"/>
        <v>28205.128205128203</v>
      </c>
      <c r="AB62" s="645">
        <f t="shared" si="129"/>
        <v>28205.128205128203</v>
      </c>
      <c r="AC62" s="645">
        <f t="shared" si="129"/>
        <v>28205.128205128203</v>
      </c>
      <c r="AD62" s="645">
        <f t="shared" si="129"/>
        <v>28205.128205128203</v>
      </c>
      <c r="AE62" s="645">
        <f t="shared" si="129"/>
        <v>28205.128205128203</v>
      </c>
      <c r="AF62" s="645">
        <f t="shared" si="129"/>
        <v>28205.128205128203</v>
      </c>
      <c r="AG62" s="645">
        <f t="shared" si="129"/>
        <v>28205.128205128203</v>
      </c>
      <c r="AH62" s="645">
        <f t="shared" si="129"/>
        <v>28205.128205128203</v>
      </c>
      <c r="AI62" s="645">
        <f t="shared" si="129"/>
        <v>28205.128205128203</v>
      </c>
      <c r="AJ62" s="645">
        <f t="shared" si="129"/>
        <v>28205.128205128203</v>
      </c>
      <c r="AK62" s="645">
        <f t="shared" si="129"/>
        <v>28205.128205128203</v>
      </c>
      <c r="AL62" s="645">
        <f t="shared" si="129"/>
        <v>45128.205128205125</v>
      </c>
      <c r="AM62" s="645">
        <f t="shared" si="129"/>
        <v>45128.205128205125</v>
      </c>
      <c r="AN62" s="645">
        <f t="shared" si="129"/>
        <v>45128.205128205125</v>
      </c>
      <c r="AO62" s="645">
        <f t="shared" si="129"/>
        <v>45128.205128205125</v>
      </c>
      <c r="AP62" s="645">
        <f t="shared" si="129"/>
        <v>45128.205128205125</v>
      </c>
      <c r="AQ62" s="645">
        <f t="shared" si="129"/>
        <v>45128.205128205125</v>
      </c>
      <c r="AR62" s="645">
        <f t="shared" si="129"/>
        <v>45128.205128205125</v>
      </c>
      <c r="AS62" s="645">
        <f t="shared" si="129"/>
        <v>39487.179487179485</v>
      </c>
      <c r="AT62" s="645">
        <f t="shared" si="129"/>
        <v>39487.179487179485</v>
      </c>
      <c r="AU62" s="645">
        <f t="shared" si="129"/>
        <v>39487.179487179485</v>
      </c>
      <c r="AV62" s="645">
        <f t="shared" si="129"/>
        <v>39487.179487179485</v>
      </c>
      <c r="AW62" s="645">
        <f t="shared" si="129"/>
        <v>39487.179487179485</v>
      </c>
      <c r="AX62" s="645">
        <f t="shared" si="129"/>
        <v>39487.179487179485</v>
      </c>
      <c r="AY62" s="645">
        <f t="shared" si="129"/>
        <v>39487.179487179485</v>
      </c>
      <c r="AZ62" s="645">
        <f t="shared" si="129"/>
        <v>28205.128205128203</v>
      </c>
      <c r="BA62" s="645">
        <f t="shared" si="129"/>
        <v>28205.128205128203</v>
      </c>
      <c r="BB62" s="645">
        <f t="shared" si="129"/>
        <v>28205.128205128203</v>
      </c>
      <c r="BC62" s="645">
        <f t="shared" si="129"/>
        <v>28205.128205128203</v>
      </c>
      <c r="BD62" s="645">
        <f t="shared" si="129"/>
        <v>28205.128205128203</v>
      </c>
      <c r="BE62" s="645">
        <f t="shared" si="129"/>
        <v>28205.128205128203</v>
      </c>
      <c r="BF62" s="645">
        <f t="shared" si="129"/>
        <v>0</v>
      </c>
      <c r="BG62" s="645">
        <f t="shared" si="129"/>
        <v>0</v>
      </c>
      <c r="BH62" s="645">
        <f t="shared" si="129"/>
        <v>0</v>
      </c>
      <c r="BI62" s="645">
        <f t="shared" si="129"/>
        <v>0</v>
      </c>
      <c r="BJ62" s="645">
        <f t="shared" si="129"/>
        <v>0</v>
      </c>
      <c r="BK62" s="645">
        <f t="shared" si="129"/>
        <v>0</v>
      </c>
      <c r="BL62" s="645">
        <f t="shared" si="129"/>
        <v>0</v>
      </c>
      <c r="BM62" s="645">
        <f t="shared" si="129"/>
        <v>0</v>
      </c>
      <c r="BN62" s="645">
        <f t="shared" si="129"/>
        <v>0</v>
      </c>
      <c r="BO62" s="645">
        <f t="shared" si="129"/>
        <v>0</v>
      </c>
      <c r="BP62" s="645">
        <f t="shared" si="129"/>
        <v>0</v>
      </c>
      <c r="BQ62" s="645">
        <f t="shared" si="129"/>
        <v>0</v>
      </c>
      <c r="BR62" s="645">
        <f t="shared" si="129"/>
        <v>0</v>
      </c>
      <c r="BS62" s="645">
        <f t="shared" si="129"/>
        <v>0</v>
      </c>
      <c r="BT62" s="645">
        <f t="shared" si="129"/>
        <v>0</v>
      </c>
      <c r="BU62" s="645">
        <f t="shared" si="129"/>
        <v>0</v>
      </c>
      <c r="BV62" s="645">
        <f t="shared" si="129"/>
        <v>0</v>
      </c>
      <c r="BW62" s="645">
        <f t="shared" si="129"/>
        <v>0</v>
      </c>
      <c r="BX62" s="645">
        <f t="shared" si="129"/>
        <v>0</v>
      </c>
      <c r="BY62" s="645">
        <f t="shared" si="129"/>
        <v>0</v>
      </c>
      <c r="BZ62" s="645">
        <f t="shared" si="129"/>
        <v>0</v>
      </c>
      <c r="CA62" s="645">
        <f t="shared" si="129"/>
        <v>0</v>
      </c>
      <c r="CB62" s="645">
        <f t="shared" si="129"/>
        <v>0</v>
      </c>
      <c r="CC62" s="645">
        <f t="shared" si="129"/>
        <v>0</v>
      </c>
      <c r="CD62" s="645">
        <f t="shared" si="129"/>
        <v>0</v>
      </c>
      <c r="CE62" s="645">
        <f t="shared" si="129"/>
        <v>0</v>
      </c>
      <c r="CF62" s="645">
        <f t="shared" si="129"/>
        <v>0</v>
      </c>
      <c r="CG62" s="645">
        <f t="shared" si="129"/>
        <v>0</v>
      </c>
      <c r="CH62" s="645">
        <f t="shared" si="129"/>
        <v>0</v>
      </c>
      <c r="CI62" s="645">
        <f t="shared" si="129"/>
        <v>0</v>
      </c>
      <c r="CJ62" s="645">
        <f t="shared" si="129"/>
        <v>0</v>
      </c>
      <c r="CK62" s="645">
        <f t="shared" ref="CK62:EV62" si="130">SUBTOTAL(9,CK42:CK61)</f>
        <v>0</v>
      </c>
      <c r="CL62" s="645">
        <f t="shared" si="130"/>
        <v>0</v>
      </c>
      <c r="CM62" s="645">
        <f t="shared" si="130"/>
        <v>0</v>
      </c>
      <c r="CN62" s="645">
        <f t="shared" si="130"/>
        <v>0</v>
      </c>
      <c r="CO62" s="645">
        <f t="shared" si="130"/>
        <v>0</v>
      </c>
      <c r="CP62" s="645">
        <f t="shared" si="130"/>
        <v>0</v>
      </c>
      <c r="CQ62" s="645">
        <f t="shared" si="130"/>
        <v>0</v>
      </c>
      <c r="CR62" s="645">
        <f t="shared" si="130"/>
        <v>0</v>
      </c>
      <c r="CS62" s="645">
        <f t="shared" si="130"/>
        <v>0</v>
      </c>
      <c r="CT62" s="645">
        <f t="shared" si="130"/>
        <v>0</v>
      </c>
      <c r="CU62" s="645">
        <f t="shared" si="130"/>
        <v>0</v>
      </c>
      <c r="CV62" s="645">
        <f t="shared" si="130"/>
        <v>0</v>
      </c>
      <c r="CW62" s="645">
        <f t="shared" si="130"/>
        <v>0</v>
      </c>
      <c r="CX62" s="645">
        <f t="shared" si="130"/>
        <v>0</v>
      </c>
      <c r="CY62" s="645">
        <f t="shared" si="130"/>
        <v>0</v>
      </c>
      <c r="CZ62" s="645">
        <f t="shared" si="130"/>
        <v>0</v>
      </c>
      <c r="DA62" s="645">
        <f t="shared" si="130"/>
        <v>0</v>
      </c>
      <c r="DB62" s="645">
        <f t="shared" si="130"/>
        <v>0</v>
      </c>
      <c r="DC62" s="645">
        <f t="shared" si="130"/>
        <v>0</v>
      </c>
      <c r="DD62" s="645">
        <f t="shared" si="130"/>
        <v>0</v>
      </c>
      <c r="DE62" s="645">
        <f t="shared" si="130"/>
        <v>0</v>
      </c>
      <c r="DF62" s="645">
        <f t="shared" si="130"/>
        <v>0</v>
      </c>
      <c r="DG62" s="645">
        <f t="shared" si="130"/>
        <v>0</v>
      </c>
      <c r="DH62" s="645">
        <f t="shared" si="130"/>
        <v>0</v>
      </c>
      <c r="DI62" s="645">
        <f t="shared" si="130"/>
        <v>0</v>
      </c>
      <c r="DJ62" s="645">
        <f t="shared" si="130"/>
        <v>0</v>
      </c>
      <c r="DK62" s="645">
        <f t="shared" si="130"/>
        <v>0</v>
      </c>
      <c r="DL62" s="645">
        <f t="shared" si="130"/>
        <v>0</v>
      </c>
      <c r="DM62" s="645">
        <f t="shared" si="130"/>
        <v>0</v>
      </c>
      <c r="DN62" s="645">
        <f t="shared" si="130"/>
        <v>0</v>
      </c>
      <c r="DO62" s="645">
        <f t="shared" si="130"/>
        <v>0</v>
      </c>
      <c r="DP62" s="645">
        <f t="shared" si="130"/>
        <v>0</v>
      </c>
      <c r="DQ62" s="645">
        <f t="shared" si="130"/>
        <v>0</v>
      </c>
      <c r="DR62" s="645">
        <f t="shared" si="130"/>
        <v>0</v>
      </c>
      <c r="DS62" s="645">
        <f t="shared" si="130"/>
        <v>0</v>
      </c>
      <c r="DT62" s="645">
        <f t="shared" si="130"/>
        <v>0</v>
      </c>
      <c r="DU62" s="645">
        <f t="shared" si="130"/>
        <v>0</v>
      </c>
      <c r="DV62" s="645">
        <f t="shared" si="130"/>
        <v>0</v>
      </c>
      <c r="DW62" s="645">
        <f t="shared" si="130"/>
        <v>0</v>
      </c>
      <c r="DX62" s="645">
        <f t="shared" si="130"/>
        <v>0</v>
      </c>
      <c r="DY62" s="645">
        <f t="shared" si="130"/>
        <v>0</v>
      </c>
      <c r="DZ62" s="645">
        <f t="shared" si="130"/>
        <v>0</v>
      </c>
      <c r="EA62" s="645">
        <f t="shared" si="130"/>
        <v>0</v>
      </c>
      <c r="EB62" s="645">
        <f t="shared" si="130"/>
        <v>0</v>
      </c>
      <c r="EC62" s="645">
        <f t="shared" si="130"/>
        <v>0</v>
      </c>
      <c r="ED62" s="645">
        <f t="shared" si="130"/>
        <v>0</v>
      </c>
      <c r="EE62" s="645">
        <f t="shared" si="130"/>
        <v>0</v>
      </c>
      <c r="EF62" s="645">
        <f t="shared" si="130"/>
        <v>0</v>
      </c>
      <c r="EG62" s="645">
        <f t="shared" si="130"/>
        <v>0</v>
      </c>
      <c r="EH62" s="645">
        <f t="shared" si="130"/>
        <v>0</v>
      </c>
      <c r="EI62" s="645">
        <f t="shared" si="130"/>
        <v>0</v>
      </c>
      <c r="EJ62" s="645">
        <f t="shared" si="130"/>
        <v>0</v>
      </c>
      <c r="EK62" s="645">
        <f t="shared" si="130"/>
        <v>0</v>
      </c>
      <c r="EL62" s="645">
        <f t="shared" si="130"/>
        <v>0</v>
      </c>
      <c r="EM62" s="645">
        <f t="shared" si="130"/>
        <v>0</v>
      </c>
      <c r="EN62" s="645">
        <f t="shared" si="130"/>
        <v>0</v>
      </c>
      <c r="EO62" s="645">
        <f t="shared" si="130"/>
        <v>0</v>
      </c>
      <c r="EP62" s="645">
        <f t="shared" si="130"/>
        <v>0</v>
      </c>
      <c r="EQ62" s="645">
        <f t="shared" si="130"/>
        <v>0</v>
      </c>
      <c r="ER62" s="645">
        <f t="shared" si="130"/>
        <v>0</v>
      </c>
      <c r="ES62" s="645">
        <f t="shared" si="130"/>
        <v>0</v>
      </c>
      <c r="ET62" s="645">
        <f t="shared" si="130"/>
        <v>0</v>
      </c>
      <c r="EU62" s="645">
        <f t="shared" si="130"/>
        <v>0</v>
      </c>
      <c r="EV62" s="645">
        <f t="shared" si="130"/>
        <v>0</v>
      </c>
      <c r="EW62" s="645">
        <f t="shared" ref="EW62:EZ62" si="131">SUBTOTAL(9,EW42:EW61)</f>
        <v>0</v>
      </c>
      <c r="EX62" s="645">
        <f t="shared" si="131"/>
        <v>0</v>
      </c>
      <c r="EY62" s="645">
        <f t="shared" si="131"/>
        <v>0</v>
      </c>
      <c r="EZ62" s="645">
        <f t="shared" si="131"/>
        <v>0</v>
      </c>
      <c r="FB62" s="609" t="s">
        <v>243</v>
      </c>
    </row>
    <row r="63" spans="1:219" s="629" customFormat="1" x14ac:dyDescent="0.2">
      <c r="A63" s="177"/>
      <c r="B63" s="649"/>
      <c r="C63" s="649"/>
      <c r="D63" s="650"/>
      <c r="E63" s="651"/>
      <c r="F63" s="652"/>
      <c r="G63" s="652"/>
      <c r="H63" s="653"/>
      <c r="I63" s="650"/>
      <c r="J63" s="654"/>
      <c r="K63" s="627"/>
      <c r="L63" s="655"/>
      <c r="M63" s="655"/>
      <c r="N63" s="655"/>
      <c r="O63" s="655"/>
      <c r="P63" s="655"/>
      <c r="Q63" s="655"/>
      <c r="R63" s="655"/>
      <c r="S63" s="655"/>
      <c r="T63" s="655"/>
      <c r="U63" s="655"/>
      <c r="V63" s="655"/>
      <c r="W63" s="627"/>
      <c r="X63" s="655"/>
      <c r="Y63" s="655"/>
      <c r="Z63" s="655"/>
      <c r="AA63" s="655"/>
      <c r="AB63" s="655"/>
      <c r="AC63" s="655"/>
      <c r="AD63" s="655"/>
      <c r="AE63" s="655"/>
      <c r="AF63" s="655"/>
      <c r="AG63" s="655"/>
      <c r="AH63" s="655"/>
      <c r="AI63" s="655"/>
      <c r="AJ63" s="655"/>
      <c r="AK63" s="655"/>
      <c r="AL63" s="655"/>
      <c r="AM63" s="655"/>
      <c r="AN63" s="655"/>
      <c r="AO63" s="655"/>
      <c r="AP63" s="655"/>
      <c r="AQ63" s="655"/>
      <c r="AR63" s="655"/>
      <c r="AS63" s="655"/>
      <c r="AT63" s="655"/>
      <c r="AU63" s="655"/>
      <c r="AV63" s="655"/>
      <c r="AW63" s="655"/>
      <c r="AX63" s="655"/>
      <c r="AY63" s="655"/>
      <c r="AZ63" s="655"/>
      <c r="BA63" s="655"/>
      <c r="BB63" s="655"/>
      <c r="BC63" s="655"/>
      <c r="BD63" s="655"/>
      <c r="BE63" s="655"/>
      <c r="BF63" s="655"/>
      <c r="BG63" s="655"/>
      <c r="BH63" s="655"/>
      <c r="BI63" s="655"/>
      <c r="BJ63" s="655"/>
      <c r="BK63" s="655"/>
      <c r="BL63" s="655"/>
      <c r="BM63" s="655"/>
      <c r="BN63" s="655"/>
      <c r="BO63" s="655"/>
      <c r="BP63" s="655"/>
      <c r="BQ63" s="655"/>
      <c r="BR63" s="655"/>
      <c r="BS63" s="655"/>
      <c r="BT63" s="655"/>
      <c r="BU63" s="655"/>
      <c r="BV63" s="655"/>
      <c r="BW63" s="655"/>
      <c r="BX63" s="655"/>
      <c r="BY63" s="655"/>
      <c r="BZ63" s="655"/>
      <c r="CA63" s="655"/>
      <c r="CB63" s="655"/>
      <c r="CC63" s="655"/>
      <c r="CD63" s="655"/>
      <c r="CE63" s="655"/>
      <c r="CF63" s="655"/>
      <c r="CG63" s="655"/>
      <c r="CH63" s="655"/>
      <c r="CI63" s="655"/>
      <c r="CJ63" s="655"/>
      <c r="CK63" s="655"/>
      <c r="CL63" s="655"/>
      <c r="CM63" s="655"/>
      <c r="CN63" s="655"/>
      <c r="CO63" s="655"/>
      <c r="CP63" s="655"/>
      <c r="CQ63" s="655"/>
      <c r="CR63" s="655"/>
      <c r="CS63" s="655"/>
      <c r="CT63" s="655"/>
      <c r="CU63" s="655"/>
      <c r="CV63" s="655"/>
      <c r="CW63" s="655"/>
      <c r="CX63" s="655"/>
      <c r="CY63" s="655"/>
      <c r="CZ63" s="655"/>
      <c r="DA63" s="655"/>
      <c r="DB63" s="655"/>
      <c r="DC63" s="655"/>
      <c r="DD63" s="655"/>
      <c r="DE63" s="655"/>
      <c r="DF63" s="655"/>
      <c r="DG63" s="655"/>
      <c r="DH63" s="655"/>
      <c r="DI63" s="655"/>
      <c r="DJ63" s="655"/>
      <c r="DK63" s="655"/>
      <c r="DL63" s="655"/>
      <c r="DM63" s="655"/>
      <c r="DN63" s="655"/>
      <c r="DO63" s="655"/>
      <c r="DP63" s="655"/>
      <c r="DQ63" s="655"/>
      <c r="DR63" s="655"/>
      <c r="DS63" s="655"/>
      <c r="DT63" s="655"/>
      <c r="DU63" s="655"/>
      <c r="DV63" s="655"/>
      <c r="DW63" s="655"/>
      <c r="DX63" s="655"/>
      <c r="DY63" s="655"/>
      <c r="DZ63" s="655"/>
      <c r="EA63" s="655"/>
      <c r="EB63" s="655"/>
      <c r="EC63" s="655"/>
      <c r="ED63" s="655"/>
      <c r="EE63" s="655"/>
      <c r="EF63" s="655"/>
      <c r="EG63" s="655"/>
      <c r="EH63" s="655"/>
      <c r="EI63" s="655"/>
      <c r="EJ63" s="655"/>
      <c r="EK63" s="655"/>
      <c r="EL63" s="655"/>
      <c r="EM63" s="655"/>
      <c r="EN63" s="655"/>
      <c r="EO63" s="655"/>
      <c r="EP63" s="655"/>
      <c r="EQ63" s="655"/>
      <c r="ER63" s="655"/>
      <c r="ES63" s="655"/>
      <c r="ET63" s="655"/>
      <c r="EU63" s="655"/>
      <c r="EV63" s="655"/>
      <c r="EW63" s="655"/>
      <c r="EX63" s="655"/>
      <c r="EY63" s="655"/>
      <c r="EZ63" s="655"/>
      <c r="FB63" s="609" t="s">
        <v>243</v>
      </c>
    </row>
    <row r="64" spans="1:219" s="158" customFormat="1" ht="15" x14ac:dyDescent="0.2">
      <c r="A64" s="630"/>
      <c r="B64" s="631" t="s">
        <v>631</v>
      </c>
      <c r="C64" s="255"/>
      <c r="D64" s="632"/>
      <c r="E64" s="633"/>
      <c r="F64" s="634"/>
      <c r="G64" s="634"/>
      <c r="H64" s="635"/>
      <c r="I64" s="632"/>
      <c r="J64" s="636"/>
      <c r="K64" s="637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637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  <c r="BX64" s="183"/>
      <c r="BY64" s="183"/>
      <c r="BZ64" s="183"/>
      <c r="CA64" s="183"/>
      <c r="CB64" s="183"/>
      <c r="CC64" s="183"/>
      <c r="CD64" s="183"/>
      <c r="CE64" s="183"/>
      <c r="CF64" s="183"/>
      <c r="CG64" s="183"/>
      <c r="CH64" s="183"/>
      <c r="CI64" s="183"/>
      <c r="CJ64" s="183"/>
      <c r="CK64" s="183"/>
      <c r="CL64" s="183"/>
      <c r="CM64" s="183"/>
      <c r="CN64" s="183"/>
      <c r="CO64" s="183"/>
      <c r="CP64" s="183"/>
      <c r="CQ64" s="183"/>
      <c r="CR64" s="183"/>
      <c r="CS64" s="183"/>
      <c r="CT64" s="183"/>
      <c r="CU64" s="183"/>
      <c r="CV64" s="183"/>
      <c r="CW64" s="183"/>
      <c r="CX64" s="183"/>
      <c r="CY64" s="183"/>
      <c r="CZ64" s="183"/>
      <c r="DA64" s="183"/>
      <c r="DB64" s="183"/>
      <c r="DC64" s="183"/>
      <c r="DD64" s="183"/>
      <c r="DE64" s="183"/>
      <c r="DF64" s="183"/>
      <c r="DG64" s="183"/>
      <c r="DH64" s="183"/>
      <c r="DI64" s="183"/>
      <c r="DJ64" s="183"/>
      <c r="DK64" s="183"/>
      <c r="DL64" s="183"/>
      <c r="DM64" s="183"/>
      <c r="DN64" s="183"/>
      <c r="DO64" s="183"/>
      <c r="DP64" s="183"/>
      <c r="DQ64" s="183"/>
      <c r="DR64" s="183"/>
      <c r="DS64" s="183"/>
      <c r="DT64" s="183"/>
      <c r="DU64" s="183"/>
      <c r="DV64" s="183"/>
      <c r="DW64" s="183"/>
      <c r="DX64" s="183"/>
      <c r="DY64" s="183"/>
      <c r="DZ64" s="183"/>
      <c r="EA64" s="183"/>
      <c r="EB64" s="183"/>
      <c r="EC64" s="183"/>
      <c r="ED64" s="183"/>
      <c r="EE64" s="183"/>
      <c r="EF64" s="183"/>
      <c r="EG64" s="183"/>
      <c r="EH64" s="183"/>
      <c r="EI64" s="183"/>
      <c r="EJ64" s="183"/>
      <c r="EK64" s="183"/>
      <c r="EL64" s="183"/>
      <c r="EM64" s="183"/>
      <c r="EN64" s="183"/>
      <c r="EO64" s="183"/>
      <c r="EP64" s="183"/>
      <c r="EQ64" s="183"/>
      <c r="ER64" s="183"/>
      <c r="ES64" s="183"/>
      <c r="ET64" s="183"/>
      <c r="EU64" s="183"/>
      <c r="EV64" s="183"/>
      <c r="EW64" s="183"/>
      <c r="EX64" s="183"/>
      <c r="EY64" s="183"/>
      <c r="EZ64" s="183"/>
      <c r="FB64" s="609" t="s">
        <v>243</v>
      </c>
      <c r="FC64" s="144"/>
      <c r="FD64" s="144"/>
      <c r="FE64" s="144"/>
      <c r="FF64" s="144"/>
      <c r="FG64" s="144"/>
      <c r="FH64" s="144"/>
      <c r="FI64" s="144"/>
      <c r="FJ64" s="144"/>
      <c r="FK64" s="144"/>
      <c r="FL64" s="144"/>
      <c r="FM64" s="144"/>
      <c r="FN64" s="144"/>
      <c r="FO64" s="144"/>
      <c r="FP64" s="144"/>
      <c r="FQ64" s="144"/>
      <c r="FR64" s="144"/>
      <c r="FS64" s="144"/>
      <c r="FT64" s="144"/>
      <c r="FU64" s="144"/>
      <c r="FV64" s="144"/>
      <c r="FW64" s="144"/>
      <c r="FX64" s="144"/>
      <c r="FY64" s="144"/>
      <c r="FZ64" s="144"/>
      <c r="GA64" s="144"/>
      <c r="GB64" s="144"/>
      <c r="GC64" s="144"/>
      <c r="GD64" s="144"/>
      <c r="GE64" s="144"/>
      <c r="GF64" s="144"/>
      <c r="GG64" s="144"/>
      <c r="GH64" s="144"/>
      <c r="GI64" s="144"/>
      <c r="GJ64" s="144"/>
      <c r="GK64" s="144"/>
      <c r="GL64" s="144"/>
      <c r="GM64" s="144"/>
      <c r="GN64" s="144"/>
      <c r="GO64" s="144"/>
      <c r="GP64" s="144"/>
      <c r="GQ64" s="144"/>
      <c r="GR64" s="144"/>
      <c r="GS64" s="144"/>
      <c r="GT64" s="144"/>
      <c r="GU64" s="144"/>
      <c r="GV64" s="144"/>
      <c r="GW64" s="144"/>
      <c r="GX64" s="144"/>
      <c r="GY64" s="144"/>
      <c r="GZ64" s="144"/>
      <c r="HA64" s="144"/>
      <c r="HB64" s="144"/>
      <c r="HC64" s="144"/>
      <c r="HD64" s="144"/>
      <c r="HE64" s="144"/>
      <c r="HF64" s="144"/>
      <c r="HG64" s="144"/>
      <c r="HH64" s="144"/>
      <c r="HI64" s="144"/>
      <c r="HJ64" s="144"/>
      <c r="HK64" s="144"/>
    </row>
    <row r="65" spans="1:219" s="158" customFormat="1" x14ac:dyDescent="0.2">
      <c r="A65" s="630"/>
      <c r="B65" s="638" t="s">
        <v>82</v>
      </c>
      <c r="C65" s="162"/>
      <c r="D65" s="443">
        <v>0</v>
      </c>
      <c r="E65" s="199">
        <f>IF(units=0,0,'Renovation Budget'!D65/units)</f>
        <v>0</v>
      </c>
      <c r="F65" s="640">
        <v>0</v>
      </c>
      <c r="G65" s="640">
        <v>0</v>
      </c>
      <c r="H65" s="641">
        <f t="shared" ref="H65:H93" si="132">IF(G65+F65=0,0,G65-F65)</f>
        <v>0</v>
      </c>
      <c r="I65" s="642" t="s">
        <v>107</v>
      </c>
      <c r="J65" s="643" t="s">
        <v>42</v>
      </c>
      <c r="K65" s="644"/>
      <c r="L65" s="183">
        <f t="shared" ref="L65:V68" si="133">SUMIF($X$4:$EZ$4,L$4,$X65:$EZ65)</f>
        <v>0</v>
      </c>
      <c r="M65" s="183">
        <f t="shared" si="133"/>
        <v>0</v>
      </c>
      <c r="N65" s="183">
        <f t="shared" si="133"/>
        <v>0</v>
      </c>
      <c r="O65" s="183">
        <f t="shared" si="133"/>
        <v>0</v>
      </c>
      <c r="P65" s="183">
        <f t="shared" si="133"/>
        <v>0</v>
      </c>
      <c r="Q65" s="183">
        <f t="shared" si="133"/>
        <v>0</v>
      </c>
      <c r="R65" s="183">
        <f t="shared" si="133"/>
        <v>0</v>
      </c>
      <c r="S65" s="183">
        <f t="shared" si="133"/>
        <v>0</v>
      </c>
      <c r="T65" s="183">
        <f t="shared" si="133"/>
        <v>0</v>
      </c>
      <c r="U65" s="183">
        <f t="shared" si="133"/>
        <v>0</v>
      </c>
      <c r="V65" s="183">
        <f t="shared" si="133"/>
        <v>0</v>
      </c>
      <c r="W65" s="644"/>
      <c r="X65" s="183">
        <f t="shared" ref="X65:X92" si="134">IF(G65+F65=0,D65,0)</f>
        <v>0</v>
      </c>
      <c r="Y65" s="183">
        <f t="shared" ref="Y65:AN92" si="135">IF(OR(Y$3&gt;=$G65,Y$3&lt;$F65),0,(_xlfn.NORM.DIST(Y$3-$F65+1,$H65/2,INDEX($E$115:$E$118,MATCH($I65,$D$115:$D$118,0)),TRUE)-_xlfn.NORM.DIST(X$3-$F65+1,$H65/2,INDEX($E$115:$E$118,MATCH($I65,$D$115:$D$118,0)),TRUE))/(1-2*_xlfn.NORM.DIST(0,$H65/2,INDEX($E$115:$E$118,MATCH($I65,$D$115:$D$118,0)),TRUE))*$D65)</f>
        <v>0</v>
      </c>
      <c r="Z65" s="183">
        <f t="shared" si="135"/>
        <v>0</v>
      </c>
      <c r="AA65" s="183">
        <f t="shared" si="135"/>
        <v>0</v>
      </c>
      <c r="AB65" s="183">
        <f t="shared" si="135"/>
        <v>0</v>
      </c>
      <c r="AC65" s="183">
        <f t="shared" si="135"/>
        <v>0</v>
      </c>
      <c r="AD65" s="183">
        <f t="shared" si="135"/>
        <v>0</v>
      </c>
      <c r="AE65" s="183">
        <f t="shared" si="135"/>
        <v>0</v>
      </c>
      <c r="AF65" s="183">
        <f t="shared" si="135"/>
        <v>0</v>
      </c>
      <c r="AG65" s="183">
        <f t="shared" si="135"/>
        <v>0</v>
      </c>
      <c r="AH65" s="183">
        <f t="shared" si="135"/>
        <v>0</v>
      </c>
      <c r="AI65" s="183">
        <f t="shared" si="135"/>
        <v>0</v>
      </c>
      <c r="AJ65" s="183">
        <f t="shared" si="135"/>
        <v>0</v>
      </c>
      <c r="AK65" s="183">
        <f t="shared" si="135"/>
        <v>0</v>
      </c>
      <c r="AL65" s="183">
        <f t="shared" si="135"/>
        <v>0</v>
      </c>
      <c r="AM65" s="183">
        <f t="shared" si="135"/>
        <v>0</v>
      </c>
      <c r="AN65" s="183">
        <f t="shared" si="135"/>
        <v>0</v>
      </c>
      <c r="AO65" s="183">
        <f t="shared" ref="AO65:CZ68" si="136">IF(OR(AO$3&gt;=$G65,AO$3&lt;$F65),0,(_xlfn.NORM.DIST(AO$3-$F65+1,$H65/2,INDEX($E$115:$E$118,MATCH($I65,$D$115:$D$118,0)),TRUE)-_xlfn.NORM.DIST(AN$3-$F65+1,$H65/2,INDEX($E$115:$E$118,MATCH($I65,$D$115:$D$118,0)),TRUE))/(1-2*_xlfn.NORM.DIST(0,$H65/2,INDEX($E$115:$E$118,MATCH($I65,$D$115:$D$118,0)),TRUE))*$D65)</f>
        <v>0</v>
      </c>
      <c r="AP65" s="183">
        <f t="shared" si="136"/>
        <v>0</v>
      </c>
      <c r="AQ65" s="183">
        <f t="shared" si="136"/>
        <v>0</v>
      </c>
      <c r="AR65" s="183">
        <f t="shared" si="136"/>
        <v>0</v>
      </c>
      <c r="AS65" s="183">
        <f t="shared" si="136"/>
        <v>0</v>
      </c>
      <c r="AT65" s="183">
        <f t="shared" si="136"/>
        <v>0</v>
      </c>
      <c r="AU65" s="183">
        <f t="shared" si="136"/>
        <v>0</v>
      </c>
      <c r="AV65" s="183">
        <f t="shared" si="136"/>
        <v>0</v>
      </c>
      <c r="AW65" s="183">
        <f t="shared" si="136"/>
        <v>0</v>
      </c>
      <c r="AX65" s="183">
        <f t="shared" si="136"/>
        <v>0</v>
      </c>
      <c r="AY65" s="183">
        <f t="shared" si="136"/>
        <v>0</v>
      </c>
      <c r="AZ65" s="183">
        <f t="shared" si="136"/>
        <v>0</v>
      </c>
      <c r="BA65" s="183">
        <f t="shared" si="136"/>
        <v>0</v>
      </c>
      <c r="BB65" s="183">
        <f t="shared" si="136"/>
        <v>0</v>
      </c>
      <c r="BC65" s="183">
        <f t="shared" si="136"/>
        <v>0</v>
      </c>
      <c r="BD65" s="183">
        <f t="shared" si="136"/>
        <v>0</v>
      </c>
      <c r="BE65" s="183">
        <f t="shared" si="136"/>
        <v>0</v>
      </c>
      <c r="BF65" s="183">
        <f t="shared" si="136"/>
        <v>0</v>
      </c>
      <c r="BG65" s="183">
        <f t="shared" si="136"/>
        <v>0</v>
      </c>
      <c r="BH65" s="183">
        <f t="shared" si="136"/>
        <v>0</v>
      </c>
      <c r="BI65" s="183">
        <f t="shared" si="136"/>
        <v>0</v>
      </c>
      <c r="BJ65" s="183">
        <f t="shared" si="136"/>
        <v>0</v>
      </c>
      <c r="BK65" s="183">
        <f t="shared" si="136"/>
        <v>0</v>
      </c>
      <c r="BL65" s="183">
        <f t="shared" si="136"/>
        <v>0</v>
      </c>
      <c r="BM65" s="183">
        <f t="shared" si="136"/>
        <v>0</v>
      </c>
      <c r="BN65" s="183">
        <f t="shared" si="136"/>
        <v>0</v>
      </c>
      <c r="BO65" s="183">
        <f t="shared" si="136"/>
        <v>0</v>
      </c>
      <c r="BP65" s="183">
        <f t="shared" si="136"/>
        <v>0</v>
      </c>
      <c r="BQ65" s="183">
        <f t="shared" si="136"/>
        <v>0</v>
      </c>
      <c r="BR65" s="183">
        <f t="shared" si="136"/>
        <v>0</v>
      </c>
      <c r="BS65" s="183">
        <f t="shared" si="136"/>
        <v>0</v>
      </c>
      <c r="BT65" s="183">
        <f t="shared" si="136"/>
        <v>0</v>
      </c>
      <c r="BU65" s="183">
        <f t="shared" si="136"/>
        <v>0</v>
      </c>
      <c r="BV65" s="183">
        <f t="shared" si="136"/>
        <v>0</v>
      </c>
      <c r="BW65" s="183">
        <f t="shared" si="136"/>
        <v>0</v>
      </c>
      <c r="BX65" s="183">
        <f t="shared" si="136"/>
        <v>0</v>
      </c>
      <c r="BY65" s="183">
        <f t="shared" si="136"/>
        <v>0</v>
      </c>
      <c r="BZ65" s="183">
        <f t="shared" si="136"/>
        <v>0</v>
      </c>
      <c r="CA65" s="183">
        <f t="shared" si="136"/>
        <v>0</v>
      </c>
      <c r="CB65" s="183">
        <f t="shared" si="136"/>
        <v>0</v>
      </c>
      <c r="CC65" s="183">
        <f t="shared" si="136"/>
        <v>0</v>
      </c>
      <c r="CD65" s="183">
        <f t="shared" si="136"/>
        <v>0</v>
      </c>
      <c r="CE65" s="183">
        <f t="shared" si="136"/>
        <v>0</v>
      </c>
      <c r="CF65" s="183">
        <f t="shared" si="136"/>
        <v>0</v>
      </c>
      <c r="CG65" s="183">
        <f t="shared" si="136"/>
        <v>0</v>
      </c>
      <c r="CH65" s="183">
        <f t="shared" si="136"/>
        <v>0</v>
      </c>
      <c r="CI65" s="183">
        <f t="shared" si="136"/>
        <v>0</v>
      </c>
      <c r="CJ65" s="183">
        <f t="shared" si="136"/>
        <v>0</v>
      </c>
      <c r="CK65" s="183">
        <f t="shared" si="136"/>
        <v>0</v>
      </c>
      <c r="CL65" s="183">
        <f t="shared" si="136"/>
        <v>0</v>
      </c>
      <c r="CM65" s="183">
        <f t="shared" si="136"/>
        <v>0</v>
      </c>
      <c r="CN65" s="183">
        <f t="shared" si="136"/>
        <v>0</v>
      </c>
      <c r="CO65" s="183">
        <f t="shared" si="136"/>
        <v>0</v>
      </c>
      <c r="CP65" s="183">
        <f t="shared" si="136"/>
        <v>0</v>
      </c>
      <c r="CQ65" s="183">
        <f t="shared" si="136"/>
        <v>0</v>
      </c>
      <c r="CR65" s="183">
        <f t="shared" si="136"/>
        <v>0</v>
      </c>
      <c r="CS65" s="183">
        <f t="shared" si="136"/>
        <v>0</v>
      </c>
      <c r="CT65" s="183">
        <f t="shared" si="136"/>
        <v>0</v>
      </c>
      <c r="CU65" s="183">
        <f t="shared" si="136"/>
        <v>0</v>
      </c>
      <c r="CV65" s="183">
        <f t="shared" si="136"/>
        <v>0</v>
      </c>
      <c r="CW65" s="183">
        <f t="shared" si="136"/>
        <v>0</v>
      </c>
      <c r="CX65" s="183">
        <f t="shared" si="136"/>
        <v>0</v>
      </c>
      <c r="CY65" s="183">
        <f t="shared" si="136"/>
        <v>0</v>
      </c>
      <c r="CZ65" s="183">
        <f t="shared" si="136"/>
        <v>0</v>
      </c>
      <c r="DA65" s="183">
        <f t="shared" ref="DA65:EZ80" si="137">IF(OR(DA$3&gt;=$G65,DA$3&lt;$F65),0,(_xlfn.NORM.DIST(DA$3-$F65+1,$H65/2,INDEX($E$115:$E$118,MATCH($I65,$D$115:$D$118,0)),TRUE)-_xlfn.NORM.DIST(CZ$3-$F65+1,$H65/2,INDEX($E$115:$E$118,MATCH($I65,$D$115:$D$118,0)),TRUE))/(1-2*_xlfn.NORM.DIST(0,$H65/2,INDEX($E$115:$E$118,MATCH($I65,$D$115:$D$118,0)),TRUE))*$D65)</f>
        <v>0</v>
      </c>
      <c r="DB65" s="183">
        <f t="shared" si="137"/>
        <v>0</v>
      </c>
      <c r="DC65" s="183">
        <f t="shared" si="137"/>
        <v>0</v>
      </c>
      <c r="DD65" s="183">
        <f t="shared" si="137"/>
        <v>0</v>
      </c>
      <c r="DE65" s="183">
        <f t="shared" si="137"/>
        <v>0</v>
      </c>
      <c r="DF65" s="183">
        <f t="shared" si="137"/>
        <v>0</v>
      </c>
      <c r="DG65" s="183">
        <f t="shared" si="137"/>
        <v>0</v>
      </c>
      <c r="DH65" s="183">
        <f t="shared" si="137"/>
        <v>0</v>
      </c>
      <c r="DI65" s="183">
        <f t="shared" si="137"/>
        <v>0</v>
      </c>
      <c r="DJ65" s="183">
        <f t="shared" si="137"/>
        <v>0</v>
      </c>
      <c r="DK65" s="183">
        <f t="shared" si="137"/>
        <v>0</v>
      </c>
      <c r="DL65" s="183">
        <f t="shared" si="137"/>
        <v>0</v>
      </c>
      <c r="DM65" s="183">
        <f t="shared" si="137"/>
        <v>0</v>
      </c>
      <c r="DN65" s="183">
        <f t="shared" si="137"/>
        <v>0</v>
      </c>
      <c r="DO65" s="183">
        <f t="shared" si="137"/>
        <v>0</v>
      </c>
      <c r="DP65" s="183">
        <f t="shared" si="137"/>
        <v>0</v>
      </c>
      <c r="DQ65" s="183">
        <f t="shared" si="137"/>
        <v>0</v>
      </c>
      <c r="DR65" s="183">
        <f t="shared" si="137"/>
        <v>0</v>
      </c>
      <c r="DS65" s="183">
        <f t="shared" si="137"/>
        <v>0</v>
      </c>
      <c r="DT65" s="183">
        <f t="shared" si="137"/>
        <v>0</v>
      </c>
      <c r="DU65" s="183">
        <f t="shared" si="137"/>
        <v>0</v>
      </c>
      <c r="DV65" s="183">
        <f t="shared" si="137"/>
        <v>0</v>
      </c>
      <c r="DW65" s="183">
        <f t="shared" si="137"/>
        <v>0</v>
      </c>
      <c r="DX65" s="183">
        <f t="shared" si="137"/>
        <v>0</v>
      </c>
      <c r="DY65" s="183">
        <f t="shared" si="137"/>
        <v>0</v>
      </c>
      <c r="DZ65" s="183">
        <f t="shared" si="137"/>
        <v>0</v>
      </c>
      <c r="EA65" s="183">
        <f t="shared" si="137"/>
        <v>0</v>
      </c>
      <c r="EB65" s="183">
        <f t="shared" si="137"/>
        <v>0</v>
      </c>
      <c r="EC65" s="183">
        <f t="shared" si="137"/>
        <v>0</v>
      </c>
      <c r="ED65" s="183">
        <f t="shared" si="137"/>
        <v>0</v>
      </c>
      <c r="EE65" s="183">
        <f t="shared" si="137"/>
        <v>0</v>
      </c>
      <c r="EF65" s="183">
        <f t="shared" si="137"/>
        <v>0</v>
      </c>
      <c r="EG65" s="183">
        <f t="shared" si="137"/>
        <v>0</v>
      </c>
      <c r="EH65" s="183">
        <f t="shared" si="137"/>
        <v>0</v>
      </c>
      <c r="EI65" s="183">
        <f t="shared" si="137"/>
        <v>0</v>
      </c>
      <c r="EJ65" s="183">
        <f t="shared" si="137"/>
        <v>0</v>
      </c>
      <c r="EK65" s="183">
        <f t="shared" si="137"/>
        <v>0</v>
      </c>
      <c r="EL65" s="183">
        <f t="shared" si="137"/>
        <v>0</v>
      </c>
      <c r="EM65" s="183">
        <f t="shared" si="137"/>
        <v>0</v>
      </c>
      <c r="EN65" s="183">
        <f t="shared" si="137"/>
        <v>0</v>
      </c>
      <c r="EO65" s="183">
        <f t="shared" si="137"/>
        <v>0</v>
      </c>
      <c r="EP65" s="183">
        <f t="shared" si="137"/>
        <v>0</v>
      </c>
      <c r="EQ65" s="183">
        <f t="shared" si="137"/>
        <v>0</v>
      </c>
      <c r="ER65" s="183">
        <f t="shared" si="137"/>
        <v>0</v>
      </c>
      <c r="ES65" s="183">
        <f t="shared" si="137"/>
        <v>0</v>
      </c>
      <c r="ET65" s="183">
        <f t="shared" si="137"/>
        <v>0</v>
      </c>
      <c r="EU65" s="183">
        <f t="shared" si="137"/>
        <v>0</v>
      </c>
      <c r="EV65" s="183">
        <f t="shared" si="137"/>
        <v>0</v>
      </c>
      <c r="EW65" s="183">
        <f t="shared" si="137"/>
        <v>0</v>
      </c>
      <c r="EX65" s="183">
        <f t="shared" si="137"/>
        <v>0</v>
      </c>
      <c r="EY65" s="183">
        <f t="shared" si="137"/>
        <v>0</v>
      </c>
      <c r="EZ65" s="183">
        <f t="shared" si="137"/>
        <v>0</v>
      </c>
      <c r="FB65" s="609" t="s">
        <v>243</v>
      </c>
      <c r="FC65" s="144"/>
      <c r="FD65" s="144"/>
      <c r="FE65" s="144"/>
      <c r="FF65" s="144"/>
      <c r="FG65" s="144"/>
      <c r="FH65" s="144"/>
      <c r="FI65" s="144"/>
      <c r="FJ65" s="144"/>
      <c r="FK65" s="144"/>
      <c r="FL65" s="144"/>
      <c r="FM65" s="144"/>
      <c r="FN65" s="144"/>
      <c r="FO65" s="144"/>
      <c r="FP65" s="144"/>
      <c r="FQ65" s="144"/>
      <c r="FR65" s="144"/>
      <c r="FS65" s="144"/>
      <c r="FT65" s="144"/>
      <c r="FU65" s="144"/>
      <c r="FV65" s="144"/>
      <c r="FW65" s="144"/>
      <c r="FX65" s="144"/>
      <c r="FY65" s="144"/>
      <c r="FZ65" s="144"/>
      <c r="GA65" s="144"/>
      <c r="GB65" s="144"/>
      <c r="GC65" s="144"/>
      <c r="GD65" s="144"/>
      <c r="GE65" s="144"/>
      <c r="GF65" s="144"/>
      <c r="GG65" s="144"/>
      <c r="GH65" s="144"/>
      <c r="GI65" s="144"/>
      <c r="GJ65" s="144"/>
      <c r="GK65" s="144"/>
      <c r="GL65" s="144"/>
      <c r="GM65" s="144"/>
      <c r="GN65" s="144"/>
      <c r="GO65" s="144"/>
      <c r="GP65" s="144"/>
      <c r="GQ65" s="144"/>
      <c r="GR65" s="144"/>
      <c r="GS65" s="144"/>
      <c r="GT65" s="144"/>
      <c r="GU65" s="144"/>
      <c r="GV65" s="144"/>
      <c r="GW65" s="144"/>
      <c r="GX65" s="144"/>
      <c r="GY65" s="144"/>
      <c r="GZ65" s="144"/>
      <c r="HA65" s="144"/>
      <c r="HB65" s="144"/>
      <c r="HC65" s="144"/>
      <c r="HD65" s="144"/>
      <c r="HE65" s="144"/>
      <c r="HF65" s="144"/>
      <c r="HG65" s="144"/>
      <c r="HH65" s="144"/>
      <c r="HI65" s="144"/>
      <c r="HJ65" s="144"/>
      <c r="HK65" s="144"/>
    </row>
    <row r="66" spans="1:219" s="158" customFormat="1" x14ac:dyDescent="0.2">
      <c r="A66" s="630"/>
      <c r="B66" s="638" t="s">
        <v>82</v>
      </c>
      <c r="C66" s="162"/>
      <c r="D66" s="443">
        <v>0</v>
      </c>
      <c r="E66" s="199">
        <f>IF(units=0,0,'Renovation Budget'!D66/units)</f>
        <v>0</v>
      </c>
      <c r="F66" s="640">
        <v>0</v>
      </c>
      <c r="G66" s="640">
        <v>0</v>
      </c>
      <c r="H66" s="641">
        <f t="shared" si="132"/>
        <v>0</v>
      </c>
      <c r="I66" s="642" t="s">
        <v>107</v>
      </c>
      <c r="J66" s="643" t="s">
        <v>42</v>
      </c>
      <c r="K66" s="644"/>
      <c r="L66" s="183">
        <f t="shared" si="133"/>
        <v>0</v>
      </c>
      <c r="M66" s="183">
        <f t="shared" si="133"/>
        <v>0</v>
      </c>
      <c r="N66" s="183">
        <f t="shared" si="133"/>
        <v>0</v>
      </c>
      <c r="O66" s="183">
        <f t="shared" si="133"/>
        <v>0</v>
      </c>
      <c r="P66" s="183">
        <f t="shared" si="133"/>
        <v>0</v>
      </c>
      <c r="Q66" s="183">
        <f t="shared" si="133"/>
        <v>0</v>
      </c>
      <c r="R66" s="183">
        <f t="shared" si="133"/>
        <v>0</v>
      </c>
      <c r="S66" s="183">
        <f t="shared" si="133"/>
        <v>0</v>
      </c>
      <c r="T66" s="183">
        <f t="shared" si="133"/>
        <v>0</v>
      </c>
      <c r="U66" s="183">
        <f t="shared" si="133"/>
        <v>0</v>
      </c>
      <c r="V66" s="183">
        <f t="shared" si="133"/>
        <v>0</v>
      </c>
      <c r="W66" s="644"/>
      <c r="X66" s="183">
        <f t="shared" si="134"/>
        <v>0</v>
      </c>
      <c r="Y66" s="183">
        <f t="shared" si="135"/>
        <v>0</v>
      </c>
      <c r="Z66" s="183">
        <f t="shared" ref="Z66:CK69" si="138">IF(OR(Z$3&gt;=$G66,Z$3&lt;$F66),0,(_xlfn.NORM.DIST(Z$3-$F66+1,$H66/2,INDEX($E$115:$E$118,MATCH($I66,$D$115:$D$118,0)),TRUE)-_xlfn.NORM.DIST(Y$3-$F66+1,$H66/2,INDEX($E$115:$E$118,MATCH($I66,$D$115:$D$118,0)),TRUE))/(1-2*_xlfn.NORM.DIST(0,$H66/2,INDEX($E$115:$E$118,MATCH($I66,$D$115:$D$118,0)),TRUE))*$D66)</f>
        <v>0</v>
      </c>
      <c r="AA66" s="183">
        <f t="shared" si="138"/>
        <v>0</v>
      </c>
      <c r="AB66" s="183">
        <f t="shared" si="138"/>
        <v>0</v>
      </c>
      <c r="AC66" s="183">
        <f t="shared" si="138"/>
        <v>0</v>
      </c>
      <c r="AD66" s="183">
        <f t="shared" si="138"/>
        <v>0</v>
      </c>
      <c r="AE66" s="183">
        <f t="shared" si="138"/>
        <v>0</v>
      </c>
      <c r="AF66" s="183">
        <f t="shared" si="138"/>
        <v>0</v>
      </c>
      <c r="AG66" s="183">
        <f t="shared" si="138"/>
        <v>0</v>
      </c>
      <c r="AH66" s="183">
        <f t="shared" si="138"/>
        <v>0</v>
      </c>
      <c r="AI66" s="183">
        <f t="shared" si="138"/>
        <v>0</v>
      </c>
      <c r="AJ66" s="183">
        <f t="shared" si="138"/>
        <v>0</v>
      </c>
      <c r="AK66" s="183">
        <f t="shared" si="138"/>
        <v>0</v>
      </c>
      <c r="AL66" s="183">
        <f t="shared" si="138"/>
        <v>0</v>
      </c>
      <c r="AM66" s="183">
        <f t="shared" si="138"/>
        <v>0</v>
      </c>
      <c r="AN66" s="183">
        <f t="shared" si="138"/>
        <v>0</v>
      </c>
      <c r="AO66" s="183">
        <f t="shared" si="138"/>
        <v>0</v>
      </c>
      <c r="AP66" s="183">
        <f t="shared" si="138"/>
        <v>0</v>
      </c>
      <c r="AQ66" s="183">
        <f t="shared" si="138"/>
        <v>0</v>
      </c>
      <c r="AR66" s="183">
        <f t="shared" si="138"/>
        <v>0</v>
      </c>
      <c r="AS66" s="183">
        <f t="shared" si="138"/>
        <v>0</v>
      </c>
      <c r="AT66" s="183">
        <f t="shared" si="138"/>
        <v>0</v>
      </c>
      <c r="AU66" s="183">
        <f t="shared" si="138"/>
        <v>0</v>
      </c>
      <c r="AV66" s="183">
        <f t="shared" si="138"/>
        <v>0</v>
      </c>
      <c r="AW66" s="183">
        <f t="shared" si="138"/>
        <v>0</v>
      </c>
      <c r="AX66" s="183">
        <f t="shared" si="138"/>
        <v>0</v>
      </c>
      <c r="AY66" s="183">
        <f t="shared" si="138"/>
        <v>0</v>
      </c>
      <c r="AZ66" s="183">
        <f t="shared" si="138"/>
        <v>0</v>
      </c>
      <c r="BA66" s="183">
        <f t="shared" si="138"/>
        <v>0</v>
      </c>
      <c r="BB66" s="183">
        <f t="shared" si="138"/>
        <v>0</v>
      </c>
      <c r="BC66" s="183">
        <f t="shared" si="138"/>
        <v>0</v>
      </c>
      <c r="BD66" s="183">
        <f t="shared" si="138"/>
        <v>0</v>
      </c>
      <c r="BE66" s="183">
        <f t="shared" si="138"/>
        <v>0</v>
      </c>
      <c r="BF66" s="183">
        <f t="shared" si="138"/>
        <v>0</v>
      </c>
      <c r="BG66" s="183">
        <f t="shared" si="138"/>
        <v>0</v>
      </c>
      <c r="BH66" s="183">
        <f t="shared" si="138"/>
        <v>0</v>
      </c>
      <c r="BI66" s="183">
        <f t="shared" si="138"/>
        <v>0</v>
      </c>
      <c r="BJ66" s="183">
        <f t="shared" si="138"/>
        <v>0</v>
      </c>
      <c r="BK66" s="183">
        <f t="shared" si="138"/>
        <v>0</v>
      </c>
      <c r="BL66" s="183">
        <f t="shared" si="138"/>
        <v>0</v>
      </c>
      <c r="BM66" s="183">
        <f t="shared" si="138"/>
        <v>0</v>
      </c>
      <c r="BN66" s="183">
        <f t="shared" si="138"/>
        <v>0</v>
      </c>
      <c r="BO66" s="183">
        <f t="shared" si="138"/>
        <v>0</v>
      </c>
      <c r="BP66" s="183">
        <f t="shared" si="138"/>
        <v>0</v>
      </c>
      <c r="BQ66" s="183">
        <f t="shared" si="138"/>
        <v>0</v>
      </c>
      <c r="BR66" s="183">
        <f t="shared" si="138"/>
        <v>0</v>
      </c>
      <c r="BS66" s="183">
        <f t="shared" si="138"/>
        <v>0</v>
      </c>
      <c r="BT66" s="183">
        <f t="shared" si="138"/>
        <v>0</v>
      </c>
      <c r="BU66" s="183">
        <f t="shared" si="138"/>
        <v>0</v>
      </c>
      <c r="BV66" s="183">
        <f t="shared" si="138"/>
        <v>0</v>
      </c>
      <c r="BW66" s="183">
        <f t="shared" si="138"/>
        <v>0</v>
      </c>
      <c r="BX66" s="183">
        <f t="shared" si="138"/>
        <v>0</v>
      </c>
      <c r="BY66" s="183">
        <f t="shared" si="138"/>
        <v>0</v>
      </c>
      <c r="BZ66" s="183">
        <f t="shared" si="138"/>
        <v>0</v>
      </c>
      <c r="CA66" s="183">
        <f t="shared" si="138"/>
        <v>0</v>
      </c>
      <c r="CB66" s="183">
        <f t="shared" si="138"/>
        <v>0</v>
      </c>
      <c r="CC66" s="183">
        <f t="shared" si="138"/>
        <v>0</v>
      </c>
      <c r="CD66" s="183">
        <f t="shared" si="138"/>
        <v>0</v>
      </c>
      <c r="CE66" s="183">
        <f t="shared" si="138"/>
        <v>0</v>
      </c>
      <c r="CF66" s="183">
        <f t="shared" si="138"/>
        <v>0</v>
      </c>
      <c r="CG66" s="183">
        <f t="shared" si="138"/>
        <v>0</v>
      </c>
      <c r="CH66" s="183">
        <f t="shared" si="138"/>
        <v>0</v>
      </c>
      <c r="CI66" s="183">
        <f t="shared" si="138"/>
        <v>0</v>
      </c>
      <c r="CJ66" s="183">
        <f t="shared" si="138"/>
        <v>0</v>
      </c>
      <c r="CK66" s="183">
        <f t="shared" si="138"/>
        <v>0</v>
      </c>
      <c r="CL66" s="183">
        <f t="shared" si="136"/>
        <v>0</v>
      </c>
      <c r="CM66" s="183">
        <f t="shared" si="136"/>
        <v>0</v>
      </c>
      <c r="CN66" s="183">
        <f t="shared" si="136"/>
        <v>0</v>
      </c>
      <c r="CO66" s="183">
        <f t="shared" si="136"/>
        <v>0</v>
      </c>
      <c r="CP66" s="183">
        <f t="shared" si="136"/>
        <v>0</v>
      </c>
      <c r="CQ66" s="183">
        <f t="shared" si="136"/>
        <v>0</v>
      </c>
      <c r="CR66" s="183">
        <f t="shared" si="136"/>
        <v>0</v>
      </c>
      <c r="CS66" s="183">
        <f t="shared" si="136"/>
        <v>0</v>
      </c>
      <c r="CT66" s="183">
        <f t="shared" si="136"/>
        <v>0</v>
      </c>
      <c r="CU66" s="183">
        <f t="shared" si="136"/>
        <v>0</v>
      </c>
      <c r="CV66" s="183">
        <f t="shared" si="136"/>
        <v>0</v>
      </c>
      <c r="CW66" s="183">
        <f t="shared" si="136"/>
        <v>0</v>
      </c>
      <c r="CX66" s="183">
        <f t="shared" si="136"/>
        <v>0</v>
      </c>
      <c r="CY66" s="183">
        <f t="shared" si="136"/>
        <v>0</v>
      </c>
      <c r="CZ66" s="183">
        <f t="shared" si="136"/>
        <v>0</v>
      </c>
      <c r="DA66" s="183">
        <f t="shared" si="137"/>
        <v>0</v>
      </c>
      <c r="DB66" s="183">
        <f t="shared" si="137"/>
        <v>0</v>
      </c>
      <c r="DC66" s="183">
        <f t="shared" si="137"/>
        <v>0</v>
      </c>
      <c r="DD66" s="183">
        <f t="shared" si="137"/>
        <v>0</v>
      </c>
      <c r="DE66" s="183">
        <f t="shared" si="137"/>
        <v>0</v>
      </c>
      <c r="DF66" s="183">
        <f t="shared" si="137"/>
        <v>0</v>
      </c>
      <c r="DG66" s="183">
        <f t="shared" si="137"/>
        <v>0</v>
      </c>
      <c r="DH66" s="183">
        <f t="shared" si="137"/>
        <v>0</v>
      </c>
      <c r="DI66" s="183">
        <f t="shared" si="137"/>
        <v>0</v>
      </c>
      <c r="DJ66" s="183">
        <f t="shared" si="137"/>
        <v>0</v>
      </c>
      <c r="DK66" s="183">
        <f t="shared" si="137"/>
        <v>0</v>
      </c>
      <c r="DL66" s="183">
        <f t="shared" si="137"/>
        <v>0</v>
      </c>
      <c r="DM66" s="183">
        <f t="shared" si="137"/>
        <v>0</v>
      </c>
      <c r="DN66" s="183">
        <f t="shared" si="137"/>
        <v>0</v>
      </c>
      <c r="DO66" s="183">
        <f t="shared" si="137"/>
        <v>0</v>
      </c>
      <c r="DP66" s="183">
        <f t="shared" si="137"/>
        <v>0</v>
      </c>
      <c r="DQ66" s="183">
        <f t="shared" si="137"/>
        <v>0</v>
      </c>
      <c r="DR66" s="183">
        <f t="shared" si="137"/>
        <v>0</v>
      </c>
      <c r="DS66" s="183">
        <f t="shared" si="137"/>
        <v>0</v>
      </c>
      <c r="DT66" s="183">
        <f t="shared" si="137"/>
        <v>0</v>
      </c>
      <c r="DU66" s="183">
        <f t="shared" si="137"/>
        <v>0</v>
      </c>
      <c r="DV66" s="183">
        <f t="shared" si="137"/>
        <v>0</v>
      </c>
      <c r="DW66" s="183">
        <f t="shared" si="137"/>
        <v>0</v>
      </c>
      <c r="DX66" s="183">
        <f t="shared" si="137"/>
        <v>0</v>
      </c>
      <c r="DY66" s="183">
        <f t="shared" si="137"/>
        <v>0</v>
      </c>
      <c r="DZ66" s="183">
        <f t="shared" si="137"/>
        <v>0</v>
      </c>
      <c r="EA66" s="183">
        <f t="shared" si="137"/>
        <v>0</v>
      </c>
      <c r="EB66" s="183">
        <f t="shared" si="137"/>
        <v>0</v>
      </c>
      <c r="EC66" s="183">
        <f t="shared" si="137"/>
        <v>0</v>
      </c>
      <c r="ED66" s="183">
        <f t="shared" si="137"/>
        <v>0</v>
      </c>
      <c r="EE66" s="183">
        <f t="shared" si="137"/>
        <v>0</v>
      </c>
      <c r="EF66" s="183">
        <f t="shared" si="137"/>
        <v>0</v>
      </c>
      <c r="EG66" s="183">
        <f t="shared" si="137"/>
        <v>0</v>
      </c>
      <c r="EH66" s="183">
        <f t="shared" si="137"/>
        <v>0</v>
      </c>
      <c r="EI66" s="183">
        <f t="shared" si="137"/>
        <v>0</v>
      </c>
      <c r="EJ66" s="183">
        <f t="shared" si="137"/>
        <v>0</v>
      </c>
      <c r="EK66" s="183">
        <f t="shared" si="137"/>
        <v>0</v>
      </c>
      <c r="EL66" s="183">
        <f t="shared" si="137"/>
        <v>0</v>
      </c>
      <c r="EM66" s="183">
        <f t="shared" si="137"/>
        <v>0</v>
      </c>
      <c r="EN66" s="183">
        <f t="shared" si="137"/>
        <v>0</v>
      </c>
      <c r="EO66" s="183">
        <f t="shared" si="137"/>
        <v>0</v>
      </c>
      <c r="EP66" s="183">
        <f t="shared" si="137"/>
        <v>0</v>
      </c>
      <c r="EQ66" s="183">
        <f t="shared" si="137"/>
        <v>0</v>
      </c>
      <c r="ER66" s="183">
        <f t="shared" si="137"/>
        <v>0</v>
      </c>
      <c r="ES66" s="183">
        <f t="shared" si="137"/>
        <v>0</v>
      </c>
      <c r="ET66" s="183">
        <f t="shared" si="137"/>
        <v>0</v>
      </c>
      <c r="EU66" s="183">
        <f t="shared" si="137"/>
        <v>0</v>
      </c>
      <c r="EV66" s="183">
        <f t="shared" si="137"/>
        <v>0</v>
      </c>
      <c r="EW66" s="183">
        <f t="shared" si="137"/>
        <v>0</v>
      </c>
      <c r="EX66" s="183">
        <f t="shared" si="137"/>
        <v>0</v>
      </c>
      <c r="EY66" s="183">
        <f t="shared" si="137"/>
        <v>0</v>
      </c>
      <c r="EZ66" s="183">
        <f t="shared" si="137"/>
        <v>0</v>
      </c>
      <c r="FB66" s="609" t="s">
        <v>243</v>
      </c>
      <c r="FC66" s="144"/>
      <c r="FD66" s="144"/>
      <c r="FE66" s="144"/>
      <c r="FF66" s="144"/>
      <c r="FG66" s="144"/>
      <c r="FH66" s="144"/>
      <c r="FI66" s="144"/>
      <c r="FJ66" s="144"/>
      <c r="FK66" s="144"/>
      <c r="FL66" s="144"/>
      <c r="FM66" s="144"/>
      <c r="FN66" s="144"/>
      <c r="FO66" s="144"/>
      <c r="FP66" s="144"/>
      <c r="FQ66" s="144"/>
      <c r="FR66" s="144"/>
      <c r="FS66" s="144"/>
      <c r="FT66" s="144"/>
      <c r="FU66" s="144"/>
      <c r="FV66" s="144"/>
      <c r="FW66" s="144"/>
      <c r="FX66" s="144"/>
      <c r="FY66" s="144"/>
      <c r="FZ66" s="144"/>
      <c r="GA66" s="144"/>
      <c r="GB66" s="144"/>
      <c r="GC66" s="144"/>
      <c r="GD66" s="144"/>
      <c r="GE66" s="144"/>
      <c r="GF66" s="144"/>
      <c r="GG66" s="144"/>
      <c r="GH66" s="144"/>
      <c r="GI66" s="144"/>
      <c r="GJ66" s="144"/>
      <c r="GK66" s="144"/>
      <c r="GL66" s="144"/>
      <c r="GM66" s="144"/>
      <c r="GN66" s="144"/>
      <c r="GO66" s="144"/>
      <c r="GP66" s="144"/>
      <c r="GQ66" s="144"/>
      <c r="GR66" s="144"/>
      <c r="GS66" s="144"/>
      <c r="GT66" s="144"/>
      <c r="GU66" s="144"/>
      <c r="GV66" s="144"/>
      <c r="GW66" s="144"/>
      <c r="GX66" s="144"/>
      <c r="GY66" s="144"/>
      <c r="GZ66" s="144"/>
      <c r="HA66" s="144"/>
      <c r="HB66" s="144"/>
      <c r="HC66" s="144"/>
      <c r="HD66" s="144"/>
      <c r="HE66" s="144"/>
      <c r="HF66" s="144"/>
      <c r="HG66" s="144"/>
      <c r="HH66" s="144"/>
      <c r="HI66" s="144"/>
      <c r="HJ66" s="144"/>
      <c r="HK66" s="144"/>
    </row>
    <row r="67" spans="1:219" s="158" customFormat="1" x14ac:dyDescent="0.2">
      <c r="A67" s="630"/>
      <c r="B67" s="638" t="s">
        <v>82</v>
      </c>
      <c r="C67" s="162"/>
      <c r="D67" s="443">
        <v>0</v>
      </c>
      <c r="E67" s="199">
        <f>IF(units=0,0,'Renovation Budget'!D67/units)</f>
        <v>0</v>
      </c>
      <c r="F67" s="640">
        <v>0</v>
      </c>
      <c r="G67" s="640">
        <v>0</v>
      </c>
      <c r="H67" s="641">
        <f t="shared" si="132"/>
        <v>0</v>
      </c>
      <c r="I67" s="642" t="s">
        <v>107</v>
      </c>
      <c r="J67" s="643" t="s">
        <v>42</v>
      </c>
      <c r="K67" s="644"/>
      <c r="L67" s="183">
        <f t="shared" si="133"/>
        <v>0</v>
      </c>
      <c r="M67" s="183">
        <f t="shared" si="133"/>
        <v>0</v>
      </c>
      <c r="N67" s="183">
        <f t="shared" si="133"/>
        <v>0</v>
      </c>
      <c r="O67" s="183">
        <f t="shared" si="133"/>
        <v>0</v>
      </c>
      <c r="P67" s="183">
        <f t="shared" si="133"/>
        <v>0</v>
      </c>
      <c r="Q67" s="183">
        <f t="shared" si="133"/>
        <v>0</v>
      </c>
      <c r="R67" s="183">
        <f t="shared" si="133"/>
        <v>0</v>
      </c>
      <c r="S67" s="183">
        <f t="shared" si="133"/>
        <v>0</v>
      </c>
      <c r="T67" s="183">
        <f t="shared" si="133"/>
        <v>0</v>
      </c>
      <c r="U67" s="183">
        <f t="shared" si="133"/>
        <v>0</v>
      </c>
      <c r="V67" s="183">
        <f t="shared" si="133"/>
        <v>0</v>
      </c>
      <c r="W67" s="644"/>
      <c r="X67" s="183">
        <f t="shared" si="134"/>
        <v>0</v>
      </c>
      <c r="Y67" s="183">
        <f t="shared" si="135"/>
        <v>0</v>
      </c>
      <c r="Z67" s="183">
        <f t="shared" si="138"/>
        <v>0</v>
      </c>
      <c r="AA67" s="183">
        <f t="shared" si="138"/>
        <v>0</v>
      </c>
      <c r="AB67" s="183">
        <f t="shared" si="138"/>
        <v>0</v>
      </c>
      <c r="AC67" s="183">
        <f t="shared" si="138"/>
        <v>0</v>
      </c>
      <c r="AD67" s="183">
        <f t="shared" si="138"/>
        <v>0</v>
      </c>
      <c r="AE67" s="183">
        <f t="shared" si="138"/>
        <v>0</v>
      </c>
      <c r="AF67" s="183">
        <f t="shared" si="138"/>
        <v>0</v>
      </c>
      <c r="AG67" s="183">
        <f t="shared" si="138"/>
        <v>0</v>
      </c>
      <c r="AH67" s="183">
        <f t="shared" si="138"/>
        <v>0</v>
      </c>
      <c r="AI67" s="183">
        <f t="shared" si="138"/>
        <v>0</v>
      </c>
      <c r="AJ67" s="183">
        <f t="shared" si="138"/>
        <v>0</v>
      </c>
      <c r="AK67" s="183">
        <f t="shared" si="138"/>
        <v>0</v>
      </c>
      <c r="AL67" s="183">
        <f t="shared" si="138"/>
        <v>0</v>
      </c>
      <c r="AM67" s="183">
        <f t="shared" si="138"/>
        <v>0</v>
      </c>
      <c r="AN67" s="183">
        <f t="shared" si="138"/>
        <v>0</v>
      </c>
      <c r="AO67" s="183">
        <f t="shared" si="138"/>
        <v>0</v>
      </c>
      <c r="AP67" s="183">
        <f t="shared" si="138"/>
        <v>0</v>
      </c>
      <c r="AQ67" s="183">
        <f t="shared" si="138"/>
        <v>0</v>
      </c>
      <c r="AR67" s="183">
        <f t="shared" si="138"/>
        <v>0</v>
      </c>
      <c r="AS67" s="183">
        <f t="shared" si="138"/>
        <v>0</v>
      </c>
      <c r="AT67" s="183">
        <f t="shared" si="138"/>
        <v>0</v>
      </c>
      <c r="AU67" s="183">
        <f t="shared" si="138"/>
        <v>0</v>
      </c>
      <c r="AV67" s="183">
        <f t="shared" si="138"/>
        <v>0</v>
      </c>
      <c r="AW67" s="183">
        <f t="shared" si="138"/>
        <v>0</v>
      </c>
      <c r="AX67" s="183">
        <f t="shared" si="138"/>
        <v>0</v>
      </c>
      <c r="AY67" s="183">
        <f t="shared" si="138"/>
        <v>0</v>
      </c>
      <c r="AZ67" s="183">
        <f t="shared" si="138"/>
        <v>0</v>
      </c>
      <c r="BA67" s="183">
        <f t="shared" si="138"/>
        <v>0</v>
      </c>
      <c r="BB67" s="183">
        <f t="shared" si="138"/>
        <v>0</v>
      </c>
      <c r="BC67" s="183">
        <f t="shared" si="138"/>
        <v>0</v>
      </c>
      <c r="BD67" s="183">
        <f t="shared" si="138"/>
        <v>0</v>
      </c>
      <c r="BE67" s="183">
        <f t="shared" si="138"/>
        <v>0</v>
      </c>
      <c r="BF67" s="183">
        <f t="shared" si="138"/>
        <v>0</v>
      </c>
      <c r="BG67" s="183">
        <f t="shared" si="138"/>
        <v>0</v>
      </c>
      <c r="BH67" s="183">
        <f t="shared" si="138"/>
        <v>0</v>
      </c>
      <c r="BI67" s="183">
        <f t="shared" si="138"/>
        <v>0</v>
      </c>
      <c r="BJ67" s="183">
        <f t="shared" si="138"/>
        <v>0</v>
      </c>
      <c r="BK67" s="183">
        <f t="shared" si="138"/>
        <v>0</v>
      </c>
      <c r="BL67" s="183">
        <f t="shared" si="138"/>
        <v>0</v>
      </c>
      <c r="BM67" s="183">
        <f t="shared" si="138"/>
        <v>0</v>
      </c>
      <c r="BN67" s="183">
        <f t="shared" si="138"/>
        <v>0</v>
      </c>
      <c r="BO67" s="183">
        <f t="shared" si="138"/>
        <v>0</v>
      </c>
      <c r="BP67" s="183">
        <f t="shared" si="138"/>
        <v>0</v>
      </c>
      <c r="BQ67" s="183">
        <f t="shared" si="138"/>
        <v>0</v>
      </c>
      <c r="BR67" s="183">
        <f t="shared" si="138"/>
        <v>0</v>
      </c>
      <c r="BS67" s="183">
        <f t="shared" si="138"/>
        <v>0</v>
      </c>
      <c r="BT67" s="183">
        <f t="shared" si="138"/>
        <v>0</v>
      </c>
      <c r="BU67" s="183">
        <f t="shared" si="138"/>
        <v>0</v>
      </c>
      <c r="BV67" s="183">
        <f t="shared" si="138"/>
        <v>0</v>
      </c>
      <c r="BW67" s="183">
        <f t="shared" si="138"/>
        <v>0</v>
      </c>
      <c r="BX67" s="183">
        <f t="shared" si="138"/>
        <v>0</v>
      </c>
      <c r="BY67" s="183">
        <f t="shared" si="138"/>
        <v>0</v>
      </c>
      <c r="BZ67" s="183">
        <f t="shared" si="138"/>
        <v>0</v>
      </c>
      <c r="CA67" s="183">
        <f t="shared" si="138"/>
        <v>0</v>
      </c>
      <c r="CB67" s="183">
        <f t="shared" si="138"/>
        <v>0</v>
      </c>
      <c r="CC67" s="183">
        <f t="shared" si="138"/>
        <v>0</v>
      </c>
      <c r="CD67" s="183">
        <f t="shared" si="138"/>
        <v>0</v>
      </c>
      <c r="CE67" s="183">
        <f t="shared" si="138"/>
        <v>0</v>
      </c>
      <c r="CF67" s="183">
        <f t="shared" si="138"/>
        <v>0</v>
      </c>
      <c r="CG67" s="183">
        <f t="shared" si="138"/>
        <v>0</v>
      </c>
      <c r="CH67" s="183">
        <f t="shared" si="138"/>
        <v>0</v>
      </c>
      <c r="CI67" s="183">
        <f t="shared" si="138"/>
        <v>0</v>
      </c>
      <c r="CJ67" s="183">
        <f t="shared" si="138"/>
        <v>0</v>
      </c>
      <c r="CK67" s="183">
        <f t="shared" si="138"/>
        <v>0</v>
      </c>
      <c r="CL67" s="183">
        <f t="shared" si="136"/>
        <v>0</v>
      </c>
      <c r="CM67" s="183">
        <f t="shared" si="136"/>
        <v>0</v>
      </c>
      <c r="CN67" s="183">
        <f t="shared" si="136"/>
        <v>0</v>
      </c>
      <c r="CO67" s="183">
        <f t="shared" si="136"/>
        <v>0</v>
      </c>
      <c r="CP67" s="183">
        <f t="shared" si="136"/>
        <v>0</v>
      </c>
      <c r="CQ67" s="183">
        <f t="shared" si="136"/>
        <v>0</v>
      </c>
      <c r="CR67" s="183">
        <f t="shared" si="136"/>
        <v>0</v>
      </c>
      <c r="CS67" s="183">
        <f t="shared" si="136"/>
        <v>0</v>
      </c>
      <c r="CT67" s="183">
        <f t="shared" si="136"/>
        <v>0</v>
      </c>
      <c r="CU67" s="183">
        <f t="shared" si="136"/>
        <v>0</v>
      </c>
      <c r="CV67" s="183">
        <f t="shared" si="136"/>
        <v>0</v>
      </c>
      <c r="CW67" s="183">
        <f t="shared" si="136"/>
        <v>0</v>
      </c>
      <c r="CX67" s="183">
        <f t="shared" si="136"/>
        <v>0</v>
      </c>
      <c r="CY67" s="183">
        <f t="shared" si="136"/>
        <v>0</v>
      </c>
      <c r="CZ67" s="183">
        <f t="shared" si="136"/>
        <v>0</v>
      </c>
      <c r="DA67" s="183">
        <f t="shared" si="137"/>
        <v>0</v>
      </c>
      <c r="DB67" s="183">
        <f t="shared" si="137"/>
        <v>0</v>
      </c>
      <c r="DC67" s="183">
        <f t="shared" si="137"/>
        <v>0</v>
      </c>
      <c r="DD67" s="183">
        <f t="shared" si="137"/>
        <v>0</v>
      </c>
      <c r="DE67" s="183">
        <f t="shared" si="137"/>
        <v>0</v>
      </c>
      <c r="DF67" s="183">
        <f t="shared" si="137"/>
        <v>0</v>
      </c>
      <c r="DG67" s="183">
        <f t="shared" si="137"/>
        <v>0</v>
      </c>
      <c r="DH67" s="183">
        <f t="shared" si="137"/>
        <v>0</v>
      </c>
      <c r="DI67" s="183">
        <f t="shared" si="137"/>
        <v>0</v>
      </c>
      <c r="DJ67" s="183">
        <f t="shared" si="137"/>
        <v>0</v>
      </c>
      <c r="DK67" s="183">
        <f t="shared" si="137"/>
        <v>0</v>
      </c>
      <c r="DL67" s="183">
        <f t="shared" si="137"/>
        <v>0</v>
      </c>
      <c r="DM67" s="183">
        <f t="shared" si="137"/>
        <v>0</v>
      </c>
      <c r="DN67" s="183">
        <f t="shared" si="137"/>
        <v>0</v>
      </c>
      <c r="DO67" s="183">
        <f t="shared" si="137"/>
        <v>0</v>
      </c>
      <c r="DP67" s="183">
        <f t="shared" si="137"/>
        <v>0</v>
      </c>
      <c r="DQ67" s="183">
        <f t="shared" si="137"/>
        <v>0</v>
      </c>
      <c r="DR67" s="183">
        <f t="shared" si="137"/>
        <v>0</v>
      </c>
      <c r="DS67" s="183">
        <f t="shared" si="137"/>
        <v>0</v>
      </c>
      <c r="DT67" s="183">
        <f t="shared" si="137"/>
        <v>0</v>
      </c>
      <c r="DU67" s="183">
        <f t="shared" si="137"/>
        <v>0</v>
      </c>
      <c r="DV67" s="183">
        <f t="shared" si="137"/>
        <v>0</v>
      </c>
      <c r="DW67" s="183">
        <f t="shared" si="137"/>
        <v>0</v>
      </c>
      <c r="DX67" s="183">
        <f t="shared" si="137"/>
        <v>0</v>
      </c>
      <c r="DY67" s="183">
        <f t="shared" si="137"/>
        <v>0</v>
      </c>
      <c r="DZ67" s="183">
        <f t="shared" si="137"/>
        <v>0</v>
      </c>
      <c r="EA67" s="183">
        <f t="shared" si="137"/>
        <v>0</v>
      </c>
      <c r="EB67" s="183">
        <f t="shared" si="137"/>
        <v>0</v>
      </c>
      <c r="EC67" s="183">
        <f t="shared" si="137"/>
        <v>0</v>
      </c>
      <c r="ED67" s="183">
        <f t="shared" si="137"/>
        <v>0</v>
      </c>
      <c r="EE67" s="183">
        <f t="shared" si="137"/>
        <v>0</v>
      </c>
      <c r="EF67" s="183">
        <f t="shared" si="137"/>
        <v>0</v>
      </c>
      <c r="EG67" s="183">
        <f t="shared" si="137"/>
        <v>0</v>
      </c>
      <c r="EH67" s="183">
        <f t="shared" si="137"/>
        <v>0</v>
      </c>
      <c r="EI67" s="183">
        <f t="shared" si="137"/>
        <v>0</v>
      </c>
      <c r="EJ67" s="183">
        <f t="shared" si="137"/>
        <v>0</v>
      </c>
      <c r="EK67" s="183">
        <f t="shared" si="137"/>
        <v>0</v>
      </c>
      <c r="EL67" s="183">
        <f t="shared" si="137"/>
        <v>0</v>
      </c>
      <c r="EM67" s="183">
        <f t="shared" si="137"/>
        <v>0</v>
      </c>
      <c r="EN67" s="183">
        <f t="shared" si="137"/>
        <v>0</v>
      </c>
      <c r="EO67" s="183">
        <f t="shared" si="137"/>
        <v>0</v>
      </c>
      <c r="EP67" s="183">
        <f t="shared" si="137"/>
        <v>0</v>
      </c>
      <c r="EQ67" s="183">
        <f t="shared" si="137"/>
        <v>0</v>
      </c>
      <c r="ER67" s="183">
        <f t="shared" si="137"/>
        <v>0</v>
      </c>
      <c r="ES67" s="183">
        <f t="shared" si="137"/>
        <v>0</v>
      </c>
      <c r="ET67" s="183">
        <f t="shared" si="137"/>
        <v>0</v>
      </c>
      <c r="EU67" s="183">
        <f t="shared" si="137"/>
        <v>0</v>
      </c>
      <c r="EV67" s="183">
        <f t="shared" si="137"/>
        <v>0</v>
      </c>
      <c r="EW67" s="183">
        <f t="shared" si="137"/>
        <v>0</v>
      </c>
      <c r="EX67" s="183">
        <f t="shared" si="137"/>
        <v>0</v>
      </c>
      <c r="EY67" s="183">
        <f t="shared" si="137"/>
        <v>0</v>
      </c>
      <c r="EZ67" s="183">
        <f t="shared" si="137"/>
        <v>0</v>
      </c>
      <c r="FB67" s="609" t="s">
        <v>243</v>
      </c>
      <c r="FC67" s="144"/>
      <c r="FD67" s="144"/>
      <c r="FE67" s="144"/>
      <c r="FF67" s="144"/>
      <c r="FG67" s="144"/>
      <c r="FH67" s="144"/>
      <c r="FI67" s="144"/>
      <c r="FJ67" s="144"/>
      <c r="FK67" s="144"/>
      <c r="FL67" s="144"/>
      <c r="FM67" s="144"/>
      <c r="FN67" s="144"/>
      <c r="FO67" s="144"/>
      <c r="FP67" s="144"/>
      <c r="FQ67" s="144"/>
      <c r="FR67" s="144"/>
      <c r="FS67" s="144"/>
      <c r="FT67" s="144"/>
      <c r="FU67" s="144"/>
      <c r="FV67" s="144"/>
      <c r="FW67" s="144"/>
      <c r="FX67" s="144"/>
      <c r="FY67" s="144"/>
      <c r="FZ67" s="144"/>
      <c r="GA67" s="144"/>
      <c r="GB67" s="144"/>
      <c r="GC67" s="144"/>
      <c r="GD67" s="144"/>
      <c r="GE67" s="144"/>
      <c r="GF67" s="144"/>
      <c r="GG67" s="144"/>
      <c r="GH67" s="144"/>
      <c r="GI67" s="144"/>
      <c r="GJ67" s="144"/>
      <c r="GK67" s="144"/>
      <c r="GL67" s="144"/>
      <c r="GM67" s="144"/>
      <c r="GN67" s="144"/>
      <c r="GO67" s="144"/>
      <c r="GP67" s="144"/>
      <c r="GQ67" s="144"/>
      <c r="GR67" s="144"/>
      <c r="GS67" s="144"/>
      <c r="GT67" s="144"/>
      <c r="GU67" s="144"/>
      <c r="GV67" s="144"/>
      <c r="GW67" s="144"/>
      <c r="GX67" s="144"/>
      <c r="GY67" s="144"/>
      <c r="GZ67" s="144"/>
      <c r="HA67" s="144"/>
      <c r="HB67" s="144"/>
      <c r="HC67" s="144"/>
      <c r="HD67" s="144"/>
      <c r="HE67" s="144"/>
      <c r="HF67" s="144"/>
      <c r="HG67" s="144"/>
      <c r="HH67" s="144"/>
      <c r="HI67" s="144"/>
      <c r="HJ67" s="144"/>
      <c r="HK67" s="144"/>
    </row>
    <row r="68" spans="1:219" s="158" customFormat="1" x14ac:dyDescent="0.2">
      <c r="A68" s="630"/>
      <c r="B68" s="638" t="s">
        <v>82</v>
      </c>
      <c r="C68" s="162"/>
      <c r="D68" s="443">
        <v>0</v>
      </c>
      <c r="E68" s="199">
        <f>IF(units=0,0,'Renovation Budget'!D68/units)</f>
        <v>0</v>
      </c>
      <c r="F68" s="640">
        <v>0</v>
      </c>
      <c r="G68" s="640">
        <v>0</v>
      </c>
      <c r="H68" s="641">
        <f t="shared" si="132"/>
        <v>0</v>
      </c>
      <c r="I68" s="642" t="s">
        <v>107</v>
      </c>
      <c r="J68" s="643" t="s">
        <v>42</v>
      </c>
      <c r="K68" s="644"/>
      <c r="L68" s="183">
        <f t="shared" si="133"/>
        <v>0</v>
      </c>
      <c r="M68" s="183">
        <f t="shared" si="133"/>
        <v>0</v>
      </c>
      <c r="N68" s="183">
        <f t="shared" si="133"/>
        <v>0</v>
      </c>
      <c r="O68" s="183">
        <f t="shared" si="133"/>
        <v>0</v>
      </c>
      <c r="P68" s="183">
        <f t="shared" si="133"/>
        <v>0</v>
      </c>
      <c r="Q68" s="183">
        <f t="shared" si="133"/>
        <v>0</v>
      </c>
      <c r="R68" s="183">
        <f t="shared" si="133"/>
        <v>0</v>
      </c>
      <c r="S68" s="183">
        <f t="shared" si="133"/>
        <v>0</v>
      </c>
      <c r="T68" s="183">
        <f t="shared" si="133"/>
        <v>0</v>
      </c>
      <c r="U68" s="183">
        <f t="shared" si="133"/>
        <v>0</v>
      </c>
      <c r="V68" s="183">
        <f t="shared" si="133"/>
        <v>0</v>
      </c>
      <c r="W68" s="644"/>
      <c r="X68" s="183">
        <f t="shared" si="134"/>
        <v>0</v>
      </c>
      <c r="Y68" s="183">
        <f t="shared" si="135"/>
        <v>0</v>
      </c>
      <c r="Z68" s="183">
        <f t="shared" si="138"/>
        <v>0</v>
      </c>
      <c r="AA68" s="183">
        <f t="shared" si="138"/>
        <v>0</v>
      </c>
      <c r="AB68" s="183">
        <f t="shared" si="138"/>
        <v>0</v>
      </c>
      <c r="AC68" s="183">
        <f t="shared" si="138"/>
        <v>0</v>
      </c>
      <c r="AD68" s="183">
        <f t="shared" si="138"/>
        <v>0</v>
      </c>
      <c r="AE68" s="183">
        <f t="shared" si="138"/>
        <v>0</v>
      </c>
      <c r="AF68" s="183">
        <f t="shared" si="138"/>
        <v>0</v>
      </c>
      <c r="AG68" s="183">
        <f t="shared" si="138"/>
        <v>0</v>
      </c>
      <c r="AH68" s="183">
        <f t="shared" si="138"/>
        <v>0</v>
      </c>
      <c r="AI68" s="183">
        <f t="shared" si="138"/>
        <v>0</v>
      </c>
      <c r="AJ68" s="183">
        <f t="shared" si="138"/>
        <v>0</v>
      </c>
      <c r="AK68" s="183">
        <f t="shared" si="138"/>
        <v>0</v>
      </c>
      <c r="AL68" s="183">
        <f t="shared" si="138"/>
        <v>0</v>
      </c>
      <c r="AM68" s="183">
        <f t="shared" si="138"/>
        <v>0</v>
      </c>
      <c r="AN68" s="183">
        <f t="shared" si="138"/>
        <v>0</v>
      </c>
      <c r="AO68" s="183">
        <f t="shared" si="138"/>
        <v>0</v>
      </c>
      <c r="AP68" s="183">
        <f t="shared" si="138"/>
        <v>0</v>
      </c>
      <c r="AQ68" s="183">
        <f t="shared" si="138"/>
        <v>0</v>
      </c>
      <c r="AR68" s="183">
        <f t="shared" si="138"/>
        <v>0</v>
      </c>
      <c r="AS68" s="183">
        <f t="shared" si="138"/>
        <v>0</v>
      </c>
      <c r="AT68" s="183">
        <f t="shared" si="138"/>
        <v>0</v>
      </c>
      <c r="AU68" s="183">
        <f t="shared" si="138"/>
        <v>0</v>
      </c>
      <c r="AV68" s="183">
        <f t="shared" si="138"/>
        <v>0</v>
      </c>
      <c r="AW68" s="183">
        <f t="shared" si="138"/>
        <v>0</v>
      </c>
      <c r="AX68" s="183">
        <f t="shared" si="138"/>
        <v>0</v>
      </c>
      <c r="AY68" s="183">
        <f t="shared" si="138"/>
        <v>0</v>
      </c>
      <c r="AZ68" s="183">
        <f t="shared" si="138"/>
        <v>0</v>
      </c>
      <c r="BA68" s="183">
        <f t="shared" si="138"/>
        <v>0</v>
      </c>
      <c r="BB68" s="183">
        <f t="shared" si="138"/>
        <v>0</v>
      </c>
      <c r="BC68" s="183">
        <f t="shared" si="138"/>
        <v>0</v>
      </c>
      <c r="BD68" s="183">
        <f t="shared" si="138"/>
        <v>0</v>
      </c>
      <c r="BE68" s="183">
        <f t="shared" si="138"/>
        <v>0</v>
      </c>
      <c r="BF68" s="183">
        <f t="shared" si="138"/>
        <v>0</v>
      </c>
      <c r="BG68" s="183">
        <f t="shared" si="138"/>
        <v>0</v>
      </c>
      <c r="BH68" s="183">
        <f t="shared" si="138"/>
        <v>0</v>
      </c>
      <c r="BI68" s="183">
        <f t="shared" si="138"/>
        <v>0</v>
      </c>
      <c r="BJ68" s="183">
        <f t="shared" si="138"/>
        <v>0</v>
      </c>
      <c r="BK68" s="183">
        <f t="shared" si="138"/>
        <v>0</v>
      </c>
      <c r="BL68" s="183">
        <f t="shared" si="138"/>
        <v>0</v>
      </c>
      <c r="BM68" s="183">
        <f t="shared" si="138"/>
        <v>0</v>
      </c>
      <c r="BN68" s="183">
        <f t="shared" si="138"/>
        <v>0</v>
      </c>
      <c r="BO68" s="183">
        <f t="shared" si="138"/>
        <v>0</v>
      </c>
      <c r="BP68" s="183">
        <f t="shared" si="138"/>
        <v>0</v>
      </c>
      <c r="BQ68" s="183">
        <f t="shared" si="138"/>
        <v>0</v>
      </c>
      <c r="BR68" s="183">
        <f t="shared" si="138"/>
        <v>0</v>
      </c>
      <c r="BS68" s="183">
        <f t="shared" si="138"/>
        <v>0</v>
      </c>
      <c r="BT68" s="183">
        <f t="shared" si="138"/>
        <v>0</v>
      </c>
      <c r="BU68" s="183">
        <f t="shared" si="138"/>
        <v>0</v>
      </c>
      <c r="BV68" s="183">
        <f t="shared" si="138"/>
        <v>0</v>
      </c>
      <c r="BW68" s="183">
        <f t="shared" si="138"/>
        <v>0</v>
      </c>
      <c r="BX68" s="183">
        <f t="shared" si="138"/>
        <v>0</v>
      </c>
      <c r="BY68" s="183">
        <f t="shared" si="138"/>
        <v>0</v>
      </c>
      <c r="BZ68" s="183">
        <f t="shared" si="138"/>
        <v>0</v>
      </c>
      <c r="CA68" s="183">
        <f t="shared" si="138"/>
        <v>0</v>
      </c>
      <c r="CB68" s="183">
        <f t="shared" si="138"/>
        <v>0</v>
      </c>
      <c r="CC68" s="183">
        <f t="shared" si="138"/>
        <v>0</v>
      </c>
      <c r="CD68" s="183">
        <f t="shared" si="138"/>
        <v>0</v>
      </c>
      <c r="CE68" s="183">
        <f t="shared" si="138"/>
        <v>0</v>
      </c>
      <c r="CF68" s="183">
        <f t="shared" si="138"/>
        <v>0</v>
      </c>
      <c r="CG68" s="183">
        <f t="shared" si="138"/>
        <v>0</v>
      </c>
      <c r="CH68" s="183">
        <f t="shared" si="138"/>
        <v>0</v>
      </c>
      <c r="CI68" s="183">
        <f t="shared" si="138"/>
        <v>0</v>
      </c>
      <c r="CJ68" s="183">
        <f t="shared" si="138"/>
        <v>0</v>
      </c>
      <c r="CK68" s="183">
        <f t="shared" si="138"/>
        <v>0</v>
      </c>
      <c r="CL68" s="183">
        <f t="shared" si="136"/>
        <v>0</v>
      </c>
      <c r="CM68" s="183">
        <f t="shared" si="136"/>
        <v>0</v>
      </c>
      <c r="CN68" s="183">
        <f t="shared" si="136"/>
        <v>0</v>
      </c>
      <c r="CO68" s="183">
        <f t="shared" si="136"/>
        <v>0</v>
      </c>
      <c r="CP68" s="183">
        <f t="shared" si="136"/>
        <v>0</v>
      </c>
      <c r="CQ68" s="183">
        <f t="shared" si="136"/>
        <v>0</v>
      </c>
      <c r="CR68" s="183">
        <f t="shared" si="136"/>
        <v>0</v>
      </c>
      <c r="CS68" s="183">
        <f t="shared" si="136"/>
        <v>0</v>
      </c>
      <c r="CT68" s="183">
        <f t="shared" si="136"/>
        <v>0</v>
      </c>
      <c r="CU68" s="183">
        <f t="shared" si="136"/>
        <v>0</v>
      </c>
      <c r="CV68" s="183">
        <f t="shared" si="136"/>
        <v>0</v>
      </c>
      <c r="CW68" s="183">
        <f t="shared" si="136"/>
        <v>0</v>
      </c>
      <c r="CX68" s="183">
        <f t="shared" si="136"/>
        <v>0</v>
      </c>
      <c r="CY68" s="183">
        <f t="shared" si="136"/>
        <v>0</v>
      </c>
      <c r="CZ68" s="183">
        <f t="shared" si="136"/>
        <v>0</v>
      </c>
      <c r="DA68" s="183">
        <f t="shared" si="137"/>
        <v>0</v>
      </c>
      <c r="DB68" s="183">
        <f t="shared" si="137"/>
        <v>0</v>
      </c>
      <c r="DC68" s="183">
        <f t="shared" si="137"/>
        <v>0</v>
      </c>
      <c r="DD68" s="183">
        <f t="shared" si="137"/>
        <v>0</v>
      </c>
      <c r="DE68" s="183">
        <f t="shared" si="137"/>
        <v>0</v>
      </c>
      <c r="DF68" s="183">
        <f t="shared" si="137"/>
        <v>0</v>
      </c>
      <c r="DG68" s="183">
        <f t="shared" si="137"/>
        <v>0</v>
      </c>
      <c r="DH68" s="183">
        <f t="shared" si="137"/>
        <v>0</v>
      </c>
      <c r="DI68" s="183">
        <f t="shared" si="137"/>
        <v>0</v>
      </c>
      <c r="DJ68" s="183">
        <f t="shared" si="137"/>
        <v>0</v>
      </c>
      <c r="DK68" s="183">
        <f t="shared" si="137"/>
        <v>0</v>
      </c>
      <c r="DL68" s="183">
        <f t="shared" si="137"/>
        <v>0</v>
      </c>
      <c r="DM68" s="183">
        <f t="shared" si="137"/>
        <v>0</v>
      </c>
      <c r="DN68" s="183">
        <f t="shared" si="137"/>
        <v>0</v>
      </c>
      <c r="DO68" s="183">
        <f t="shared" si="137"/>
        <v>0</v>
      </c>
      <c r="DP68" s="183">
        <f t="shared" si="137"/>
        <v>0</v>
      </c>
      <c r="DQ68" s="183">
        <f t="shared" si="137"/>
        <v>0</v>
      </c>
      <c r="DR68" s="183">
        <f t="shared" si="137"/>
        <v>0</v>
      </c>
      <c r="DS68" s="183">
        <f t="shared" si="137"/>
        <v>0</v>
      </c>
      <c r="DT68" s="183">
        <f t="shared" si="137"/>
        <v>0</v>
      </c>
      <c r="DU68" s="183">
        <f t="shared" si="137"/>
        <v>0</v>
      </c>
      <c r="DV68" s="183">
        <f t="shared" si="137"/>
        <v>0</v>
      </c>
      <c r="DW68" s="183">
        <f t="shared" si="137"/>
        <v>0</v>
      </c>
      <c r="DX68" s="183">
        <f t="shared" si="137"/>
        <v>0</v>
      </c>
      <c r="DY68" s="183">
        <f t="shared" si="137"/>
        <v>0</v>
      </c>
      <c r="DZ68" s="183">
        <f t="shared" si="137"/>
        <v>0</v>
      </c>
      <c r="EA68" s="183">
        <f t="shared" si="137"/>
        <v>0</v>
      </c>
      <c r="EB68" s="183">
        <f t="shared" si="137"/>
        <v>0</v>
      </c>
      <c r="EC68" s="183">
        <f t="shared" si="137"/>
        <v>0</v>
      </c>
      <c r="ED68" s="183">
        <f t="shared" si="137"/>
        <v>0</v>
      </c>
      <c r="EE68" s="183">
        <f t="shared" si="137"/>
        <v>0</v>
      </c>
      <c r="EF68" s="183">
        <f t="shared" si="137"/>
        <v>0</v>
      </c>
      <c r="EG68" s="183">
        <f t="shared" si="137"/>
        <v>0</v>
      </c>
      <c r="EH68" s="183">
        <f t="shared" si="137"/>
        <v>0</v>
      </c>
      <c r="EI68" s="183">
        <f t="shared" si="137"/>
        <v>0</v>
      </c>
      <c r="EJ68" s="183">
        <f t="shared" si="137"/>
        <v>0</v>
      </c>
      <c r="EK68" s="183">
        <f t="shared" si="137"/>
        <v>0</v>
      </c>
      <c r="EL68" s="183">
        <f t="shared" si="137"/>
        <v>0</v>
      </c>
      <c r="EM68" s="183">
        <f t="shared" si="137"/>
        <v>0</v>
      </c>
      <c r="EN68" s="183">
        <f t="shared" si="137"/>
        <v>0</v>
      </c>
      <c r="EO68" s="183">
        <f t="shared" si="137"/>
        <v>0</v>
      </c>
      <c r="EP68" s="183">
        <f t="shared" si="137"/>
        <v>0</v>
      </c>
      <c r="EQ68" s="183">
        <f t="shared" si="137"/>
        <v>0</v>
      </c>
      <c r="ER68" s="183">
        <f t="shared" si="137"/>
        <v>0</v>
      </c>
      <c r="ES68" s="183">
        <f t="shared" si="137"/>
        <v>0</v>
      </c>
      <c r="ET68" s="183">
        <f t="shared" si="137"/>
        <v>0</v>
      </c>
      <c r="EU68" s="183">
        <f t="shared" si="137"/>
        <v>0</v>
      </c>
      <c r="EV68" s="183">
        <f t="shared" si="137"/>
        <v>0</v>
      </c>
      <c r="EW68" s="183">
        <f t="shared" si="137"/>
        <v>0</v>
      </c>
      <c r="EX68" s="183">
        <f t="shared" si="137"/>
        <v>0</v>
      </c>
      <c r="EY68" s="183">
        <f t="shared" si="137"/>
        <v>0</v>
      </c>
      <c r="EZ68" s="183">
        <f t="shared" si="137"/>
        <v>0</v>
      </c>
      <c r="FB68" s="609" t="s">
        <v>243</v>
      </c>
      <c r="FC68" s="144"/>
      <c r="FD68" s="144"/>
      <c r="FE68" s="144"/>
      <c r="FF68" s="144"/>
      <c r="FG68" s="144"/>
      <c r="FH68" s="144"/>
      <c r="FI68" s="144"/>
      <c r="FJ68" s="144"/>
      <c r="FK68" s="144"/>
      <c r="FL68" s="144"/>
      <c r="FM68" s="144"/>
      <c r="FN68" s="144"/>
      <c r="FO68" s="144"/>
      <c r="FP68" s="144"/>
      <c r="FQ68" s="144"/>
      <c r="FR68" s="144"/>
      <c r="FS68" s="144"/>
      <c r="FT68" s="144"/>
      <c r="FU68" s="144"/>
      <c r="FV68" s="144"/>
      <c r="FW68" s="144"/>
      <c r="FX68" s="144"/>
      <c r="FY68" s="144"/>
      <c r="FZ68" s="144"/>
      <c r="GA68" s="144"/>
      <c r="GB68" s="144"/>
      <c r="GC68" s="144"/>
      <c r="GD68" s="144"/>
      <c r="GE68" s="144"/>
      <c r="GF68" s="144"/>
      <c r="GG68" s="144"/>
      <c r="GH68" s="144"/>
      <c r="GI68" s="144"/>
      <c r="GJ68" s="144"/>
      <c r="GK68" s="144"/>
      <c r="GL68" s="144"/>
      <c r="GM68" s="144"/>
      <c r="GN68" s="144"/>
      <c r="GO68" s="144"/>
      <c r="GP68" s="144"/>
      <c r="GQ68" s="144"/>
      <c r="GR68" s="144"/>
      <c r="GS68" s="144"/>
      <c r="GT68" s="144"/>
      <c r="GU68" s="144"/>
      <c r="GV68" s="144"/>
      <c r="GW68" s="144"/>
      <c r="GX68" s="144"/>
      <c r="GY68" s="144"/>
      <c r="GZ68" s="144"/>
      <c r="HA68" s="144"/>
      <c r="HB68" s="144"/>
      <c r="HC68" s="144"/>
      <c r="HD68" s="144"/>
      <c r="HE68" s="144"/>
      <c r="HF68" s="144"/>
      <c r="HG68" s="144"/>
      <c r="HH68" s="144"/>
      <c r="HI68" s="144"/>
      <c r="HJ68" s="144"/>
      <c r="HK68" s="144"/>
    </row>
    <row r="69" spans="1:219" s="158" customFormat="1" x14ac:dyDescent="0.2">
      <c r="A69" s="630"/>
      <c r="B69" s="638" t="s">
        <v>82</v>
      </c>
      <c r="C69" s="162"/>
      <c r="D69" s="443">
        <v>0</v>
      </c>
      <c r="E69" s="199">
        <f>IF(units=0,0,'Renovation Budget'!D69/units)</f>
        <v>0</v>
      </c>
      <c r="F69" s="640">
        <v>0</v>
      </c>
      <c r="G69" s="640">
        <v>0</v>
      </c>
      <c r="H69" s="641">
        <f t="shared" si="132"/>
        <v>0</v>
      </c>
      <c r="I69" s="642" t="s">
        <v>107</v>
      </c>
      <c r="J69" s="643" t="s">
        <v>42</v>
      </c>
      <c r="K69" s="644"/>
      <c r="L69" s="183">
        <f t="shared" ref="L69:V103" si="139">SUMIF($X$4:$EZ$4,L$4,$X69:$EZ69)</f>
        <v>0</v>
      </c>
      <c r="M69" s="183">
        <f t="shared" si="139"/>
        <v>0</v>
      </c>
      <c r="N69" s="183">
        <f t="shared" si="139"/>
        <v>0</v>
      </c>
      <c r="O69" s="183">
        <f t="shared" si="139"/>
        <v>0</v>
      </c>
      <c r="P69" s="183">
        <f t="shared" si="139"/>
        <v>0</v>
      </c>
      <c r="Q69" s="183">
        <f t="shared" si="139"/>
        <v>0</v>
      </c>
      <c r="R69" s="183">
        <f t="shared" si="139"/>
        <v>0</v>
      </c>
      <c r="S69" s="183">
        <f t="shared" si="139"/>
        <v>0</v>
      </c>
      <c r="T69" s="183">
        <f t="shared" si="139"/>
        <v>0</v>
      </c>
      <c r="U69" s="183">
        <f t="shared" si="139"/>
        <v>0</v>
      </c>
      <c r="V69" s="183">
        <f t="shared" si="139"/>
        <v>0</v>
      </c>
      <c r="W69" s="644"/>
      <c r="X69" s="183">
        <f t="shared" si="134"/>
        <v>0</v>
      </c>
      <c r="Y69" s="183">
        <f t="shared" si="135"/>
        <v>0</v>
      </c>
      <c r="Z69" s="183">
        <f t="shared" si="138"/>
        <v>0</v>
      </c>
      <c r="AA69" s="183">
        <f t="shared" si="138"/>
        <v>0</v>
      </c>
      <c r="AB69" s="183">
        <f t="shared" si="138"/>
        <v>0</v>
      </c>
      <c r="AC69" s="183">
        <f t="shared" si="138"/>
        <v>0</v>
      </c>
      <c r="AD69" s="183">
        <f t="shared" si="138"/>
        <v>0</v>
      </c>
      <c r="AE69" s="183">
        <f t="shared" si="138"/>
        <v>0</v>
      </c>
      <c r="AF69" s="183">
        <f t="shared" si="138"/>
        <v>0</v>
      </c>
      <c r="AG69" s="183">
        <f t="shared" si="138"/>
        <v>0</v>
      </c>
      <c r="AH69" s="183">
        <f t="shared" si="138"/>
        <v>0</v>
      </c>
      <c r="AI69" s="183">
        <f t="shared" si="138"/>
        <v>0</v>
      </c>
      <c r="AJ69" s="183">
        <f t="shared" si="138"/>
        <v>0</v>
      </c>
      <c r="AK69" s="183">
        <f t="shared" si="138"/>
        <v>0</v>
      </c>
      <c r="AL69" s="183">
        <f t="shared" si="138"/>
        <v>0</v>
      </c>
      <c r="AM69" s="183">
        <f t="shared" si="138"/>
        <v>0</v>
      </c>
      <c r="AN69" s="183">
        <f t="shared" si="138"/>
        <v>0</v>
      </c>
      <c r="AO69" s="183">
        <f t="shared" si="138"/>
        <v>0</v>
      </c>
      <c r="AP69" s="183">
        <f t="shared" si="138"/>
        <v>0</v>
      </c>
      <c r="AQ69" s="183">
        <f t="shared" si="138"/>
        <v>0</v>
      </c>
      <c r="AR69" s="183">
        <f t="shared" si="138"/>
        <v>0</v>
      </c>
      <c r="AS69" s="183">
        <f t="shared" si="138"/>
        <v>0</v>
      </c>
      <c r="AT69" s="183">
        <f t="shared" si="138"/>
        <v>0</v>
      </c>
      <c r="AU69" s="183">
        <f t="shared" si="138"/>
        <v>0</v>
      </c>
      <c r="AV69" s="183">
        <f t="shared" si="138"/>
        <v>0</v>
      </c>
      <c r="AW69" s="183">
        <f t="shared" si="138"/>
        <v>0</v>
      </c>
      <c r="AX69" s="183">
        <f t="shared" si="138"/>
        <v>0</v>
      </c>
      <c r="AY69" s="183">
        <f t="shared" si="138"/>
        <v>0</v>
      </c>
      <c r="AZ69" s="183">
        <f t="shared" si="138"/>
        <v>0</v>
      </c>
      <c r="BA69" s="183">
        <f t="shared" si="138"/>
        <v>0</v>
      </c>
      <c r="BB69" s="183">
        <f t="shared" si="138"/>
        <v>0</v>
      </c>
      <c r="BC69" s="183">
        <f t="shared" si="138"/>
        <v>0</v>
      </c>
      <c r="BD69" s="183">
        <f t="shared" si="138"/>
        <v>0</v>
      </c>
      <c r="BE69" s="183">
        <f t="shared" si="138"/>
        <v>0</v>
      </c>
      <c r="BF69" s="183">
        <f t="shared" si="138"/>
        <v>0</v>
      </c>
      <c r="BG69" s="183">
        <f t="shared" si="138"/>
        <v>0</v>
      </c>
      <c r="BH69" s="183">
        <f t="shared" si="138"/>
        <v>0</v>
      </c>
      <c r="BI69" s="183">
        <f t="shared" si="138"/>
        <v>0</v>
      </c>
      <c r="BJ69" s="183">
        <f t="shared" si="138"/>
        <v>0</v>
      </c>
      <c r="BK69" s="183">
        <f t="shared" si="138"/>
        <v>0</v>
      </c>
      <c r="BL69" s="183">
        <f t="shared" si="138"/>
        <v>0</v>
      </c>
      <c r="BM69" s="183">
        <f t="shared" si="138"/>
        <v>0</v>
      </c>
      <c r="BN69" s="183">
        <f t="shared" si="138"/>
        <v>0</v>
      </c>
      <c r="BO69" s="183">
        <f t="shared" si="138"/>
        <v>0</v>
      </c>
      <c r="BP69" s="183">
        <f t="shared" si="138"/>
        <v>0</v>
      </c>
      <c r="BQ69" s="183">
        <f t="shared" si="138"/>
        <v>0</v>
      </c>
      <c r="BR69" s="183">
        <f t="shared" si="138"/>
        <v>0</v>
      </c>
      <c r="BS69" s="183">
        <f t="shared" si="138"/>
        <v>0</v>
      </c>
      <c r="BT69" s="183">
        <f t="shared" si="138"/>
        <v>0</v>
      </c>
      <c r="BU69" s="183">
        <f t="shared" si="138"/>
        <v>0</v>
      </c>
      <c r="BV69" s="183">
        <f t="shared" si="138"/>
        <v>0</v>
      </c>
      <c r="BW69" s="183">
        <f t="shared" si="138"/>
        <v>0</v>
      </c>
      <c r="BX69" s="183">
        <f t="shared" si="138"/>
        <v>0</v>
      </c>
      <c r="BY69" s="183">
        <f t="shared" si="138"/>
        <v>0</v>
      </c>
      <c r="BZ69" s="183">
        <f t="shared" si="138"/>
        <v>0</v>
      </c>
      <c r="CA69" s="183">
        <f t="shared" si="138"/>
        <v>0</v>
      </c>
      <c r="CB69" s="183">
        <f t="shared" si="138"/>
        <v>0</v>
      </c>
      <c r="CC69" s="183">
        <f t="shared" si="138"/>
        <v>0</v>
      </c>
      <c r="CD69" s="183">
        <f t="shared" si="138"/>
        <v>0</v>
      </c>
      <c r="CE69" s="183">
        <f t="shared" si="138"/>
        <v>0</v>
      </c>
      <c r="CF69" s="183">
        <f t="shared" si="138"/>
        <v>0</v>
      </c>
      <c r="CG69" s="183">
        <f t="shared" si="138"/>
        <v>0</v>
      </c>
      <c r="CH69" s="183">
        <f t="shared" si="138"/>
        <v>0</v>
      </c>
      <c r="CI69" s="183">
        <f t="shared" si="138"/>
        <v>0</v>
      </c>
      <c r="CJ69" s="183">
        <f t="shared" si="138"/>
        <v>0</v>
      </c>
      <c r="CK69" s="183">
        <f t="shared" ref="CK69:EV72" si="140">IF(OR(CK$3&gt;=$G69,CK$3&lt;$F69),0,(_xlfn.NORM.DIST(CK$3-$F69+1,$H69/2,INDEX($E$115:$E$118,MATCH($I69,$D$115:$D$118,0)),TRUE)-_xlfn.NORM.DIST(CJ$3-$F69+1,$H69/2,INDEX($E$115:$E$118,MATCH($I69,$D$115:$D$118,0)),TRUE))/(1-2*_xlfn.NORM.DIST(0,$H69/2,INDEX($E$115:$E$118,MATCH($I69,$D$115:$D$118,0)),TRUE))*$D69)</f>
        <v>0</v>
      </c>
      <c r="CL69" s="183">
        <f t="shared" si="140"/>
        <v>0</v>
      </c>
      <c r="CM69" s="183">
        <f t="shared" si="140"/>
        <v>0</v>
      </c>
      <c r="CN69" s="183">
        <f t="shared" si="140"/>
        <v>0</v>
      </c>
      <c r="CO69" s="183">
        <f t="shared" si="140"/>
        <v>0</v>
      </c>
      <c r="CP69" s="183">
        <f t="shared" si="140"/>
        <v>0</v>
      </c>
      <c r="CQ69" s="183">
        <f t="shared" si="140"/>
        <v>0</v>
      </c>
      <c r="CR69" s="183">
        <f t="shared" si="140"/>
        <v>0</v>
      </c>
      <c r="CS69" s="183">
        <f t="shared" si="140"/>
        <v>0</v>
      </c>
      <c r="CT69" s="183">
        <f t="shared" si="140"/>
        <v>0</v>
      </c>
      <c r="CU69" s="183">
        <f t="shared" si="140"/>
        <v>0</v>
      </c>
      <c r="CV69" s="183">
        <f t="shared" si="140"/>
        <v>0</v>
      </c>
      <c r="CW69" s="183">
        <f t="shared" si="140"/>
        <v>0</v>
      </c>
      <c r="CX69" s="183">
        <f t="shared" si="140"/>
        <v>0</v>
      </c>
      <c r="CY69" s="183">
        <f t="shared" si="140"/>
        <v>0</v>
      </c>
      <c r="CZ69" s="183">
        <f t="shared" si="140"/>
        <v>0</v>
      </c>
      <c r="DA69" s="183">
        <f t="shared" si="140"/>
        <v>0</v>
      </c>
      <c r="DB69" s="183">
        <f t="shared" si="140"/>
        <v>0</v>
      </c>
      <c r="DC69" s="183">
        <f t="shared" si="140"/>
        <v>0</v>
      </c>
      <c r="DD69" s="183">
        <f t="shared" si="140"/>
        <v>0</v>
      </c>
      <c r="DE69" s="183">
        <f t="shared" si="140"/>
        <v>0</v>
      </c>
      <c r="DF69" s="183">
        <f t="shared" si="140"/>
        <v>0</v>
      </c>
      <c r="DG69" s="183">
        <f t="shared" si="140"/>
        <v>0</v>
      </c>
      <c r="DH69" s="183">
        <f t="shared" si="140"/>
        <v>0</v>
      </c>
      <c r="DI69" s="183">
        <f t="shared" si="140"/>
        <v>0</v>
      </c>
      <c r="DJ69" s="183">
        <f t="shared" si="140"/>
        <v>0</v>
      </c>
      <c r="DK69" s="183">
        <f t="shared" si="140"/>
        <v>0</v>
      </c>
      <c r="DL69" s="183">
        <f t="shared" si="140"/>
        <v>0</v>
      </c>
      <c r="DM69" s="183">
        <f t="shared" si="140"/>
        <v>0</v>
      </c>
      <c r="DN69" s="183">
        <f t="shared" si="140"/>
        <v>0</v>
      </c>
      <c r="DO69" s="183">
        <f t="shared" si="140"/>
        <v>0</v>
      </c>
      <c r="DP69" s="183">
        <f t="shared" si="140"/>
        <v>0</v>
      </c>
      <c r="DQ69" s="183">
        <f t="shared" si="140"/>
        <v>0</v>
      </c>
      <c r="DR69" s="183">
        <f t="shared" si="140"/>
        <v>0</v>
      </c>
      <c r="DS69" s="183">
        <f t="shared" si="140"/>
        <v>0</v>
      </c>
      <c r="DT69" s="183">
        <f t="shared" si="140"/>
        <v>0</v>
      </c>
      <c r="DU69" s="183">
        <f t="shared" si="140"/>
        <v>0</v>
      </c>
      <c r="DV69" s="183">
        <f t="shared" si="140"/>
        <v>0</v>
      </c>
      <c r="DW69" s="183">
        <f t="shared" si="140"/>
        <v>0</v>
      </c>
      <c r="DX69" s="183">
        <f t="shared" si="140"/>
        <v>0</v>
      </c>
      <c r="DY69" s="183">
        <f t="shared" si="140"/>
        <v>0</v>
      </c>
      <c r="DZ69" s="183">
        <f t="shared" si="140"/>
        <v>0</v>
      </c>
      <c r="EA69" s="183">
        <f t="shared" si="140"/>
        <v>0</v>
      </c>
      <c r="EB69" s="183">
        <f t="shared" si="140"/>
        <v>0</v>
      </c>
      <c r="EC69" s="183">
        <f t="shared" si="140"/>
        <v>0</v>
      </c>
      <c r="ED69" s="183">
        <f t="shared" si="140"/>
        <v>0</v>
      </c>
      <c r="EE69" s="183">
        <f t="shared" si="140"/>
        <v>0</v>
      </c>
      <c r="EF69" s="183">
        <f t="shared" si="140"/>
        <v>0</v>
      </c>
      <c r="EG69" s="183">
        <f t="shared" si="140"/>
        <v>0</v>
      </c>
      <c r="EH69" s="183">
        <f t="shared" si="140"/>
        <v>0</v>
      </c>
      <c r="EI69" s="183">
        <f t="shared" si="140"/>
        <v>0</v>
      </c>
      <c r="EJ69" s="183">
        <f t="shared" si="140"/>
        <v>0</v>
      </c>
      <c r="EK69" s="183">
        <f t="shared" si="140"/>
        <v>0</v>
      </c>
      <c r="EL69" s="183">
        <f t="shared" si="140"/>
        <v>0</v>
      </c>
      <c r="EM69" s="183">
        <f t="shared" si="140"/>
        <v>0</v>
      </c>
      <c r="EN69" s="183">
        <f t="shared" si="140"/>
        <v>0</v>
      </c>
      <c r="EO69" s="183">
        <f t="shared" si="140"/>
        <v>0</v>
      </c>
      <c r="EP69" s="183">
        <f t="shared" si="140"/>
        <v>0</v>
      </c>
      <c r="EQ69" s="183">
        <f t="shared" si="140"/>
        <v>0</v>
      </c>
      <c r="ER69" s="183">
        <f t="shared" si="140"/>
        <v>0</v>
      </c>
      <c r="ES69" s="183">
        <f t="shared" si="140"/>
        <v>0</v>
      </c>
      <c r="ET69" s="183">
        <f t="shared" si="140"/>
        <v>0</v>
      </c>
      <c r="EU69" s="183">
        <f t="shared" si="140"/>
        <v>0</v>
      </c>
      <c r="EV69" s="183">
        <f t="shared" si="140"/>
        <v>0</v>
      </c>
      <c r="EW69" s="183">
        <f t="shared" si="137"/>
        <v>0</v>
      </c>
      <c r="EX69" s="183">
        <f t="shared" si="137"/>
        <v>0</v>
      </c>
      <c r="EY69" s="183">
        <f t="shared" si="137"/>
        <v>0</v>
      </c>
      <c r="EZ69" s="183">
        <f t="shared" si="137"/>
        <v>0</v>
      </c>
      <c r="FB69" s="609" t="s">
        <v>243</v>
      </c>
      <c r="FC69" s="144"/>
      <c r="FD69" s="144"/>
      <c r="FE69" s="144"/>
      <c r="FF69" s="144"/>
      <c r="FG69" s="144"/>
      <c r="FH69" s="144"/>
      <c r="FI69" s="144"/>
      <c r="FJ69" s="144"/>
      <c r="FK69" s="144"/>
      <c r="FL69" s="144"/>
      <c r="FM69" s="144"/>
      <c r="FN69" s="144"/>
      <c r="FO69" s="144"/>
      <c r="FP69" s="144"/>
      <c r="FQ69" s="144"/>
      <c r="FR69" s="144"/>
      <c r="FS69" s="144"/>
      <c r="FT69" s="144"/>
      <c r="FU69" s="144"/>
      <c r="FV69" s="144"/>
      <c r="FW69" s="144"/>
      <c r="FX69" s="144"/>
      <c r="FY69" s="144"/>
      <c r="FZ69" s="144"/>
      <c r="GA69" s="144"/>
      <c r="GB69" s="144"/>
      <c r="GC69" s="144"/>
      <c r="GD69" s="144"/>
      <c r="GE69" s="144"/>
      <c r="GF69" s="144"/>
      <c r="GG69" s="144"/>
      <c r="GH69" s="144"/>
      <c r="GI69" s="144"/>
      <c r="GJ69" s="144"/>
      <c r="GK69" s="144"/>
      <c r="GL69" s="144"/>
      <c r="GM69" s="144"/>
      <c r="GN69" s="144"/>
      <c r="GO69" s="144"/>
      <c r="GP69" s="144"/>
      <c r="GQ69" s="144"/>
      <c r="GR69" s="144"/>
      <c r="GS69" s="144"/>
      <c r="GT69" s="144"/>
      <c r="GU69" s="144"/>
      <c r="GV69" s="144"/>
      <c r="GW69" s="144"/>
      <c r="GX69" s="144"/>
      <c r="GY69" s="144"/>
      <c r="GZ69" s="144"/>
      <c r="HA69" s="144"/>
      <c r="HB69" s="144"/>
      <c r="HC69" s="144"/>
      <c r="HD69" s="144"/>
      <c r="HE69" s="144"/>
      <c r="HF69" s="144"/>
      <c r="HG69" s="144"/>
      <c r="HH69" s="144"/>
      <c r="HI69" s="144"/>
      <c r="HJ69" s="144"/>
      <c r="HK69" s="144"/>
    </row>
    <row r="70" spans="1:219" s="158" customFormat="1" x14ac:dyDescent="0.2">
      <c r="A70" s="630"/>
      <c r="B70" s="638" t="s">
        <v>665</v>
      </c>
      <c r="C70" s="162"/>
      <c r="D70" s="443">
        <v>0</v>
      </c>
      <c r="E70" s="199">
        <f>IF(units=0,0,'Renovation Budget'!D70/units)</f>
        <v>0</v>
      </c>
      <c r="F70" s="640">
        <v>0</v>
      </c>
      <c r="G70" s="640">
        <v>0</v>
      </c>
      <c r="H70" s="641">
        <f t="shared" si="132"/>
        <v>0</v>
      </c>
      <c r="I70" s="642" t="s">
        <v>107</v>
      </c>
      <c r="J70" s="643" t="s">
        <v>42</v>
      </c>
      <c r="K70" s="644"/>
      <c r="L70" s="183">
        <f t="shared" si="139"/>
        <v>0</v>
      </c>
      <c r="M70" s="183">
        <f t="shared" si="139"/>
        <v>0</v>
      </c>
      <c r="N70" s="183">
        <f t="shared" si="139"/>
        <v>0</v>
      </c>
      <c r="O70" s="183">
        <f t="shared" si="139"/>
        <v>0</v>
      </c>
      <c r="P70" s="183">
        <f t="shared" si="139"/>
        <v>0</v>
      </c>
      <c r="Q70" s="183">
        <f t="shared" si="139"/>
        <v>0</v>
      </c>
      <c r="R70" s="183">
        <f t="shared" si="139"/>
        <v>0</v>
      </c>
      <c r="S70" s="183">
        <f t="shared" si="139"/>
        <v>0</v>
      </c>
      <c r="T70" s="183">
        <f t="shared" si="139"/>
        <v>0</v>
      </c>
      <c r="U70" s="183">
        <f t="shared" si="139"/>
        <v>0</v>
      </c>
      <c r="V70" s="183">
        <f t="shared" si="139"/>
        <v>0</v>
      </c>
      <c r="W70" s="644"/>
      <c r="X70" s="183">
        <f t="shared" si="134"/>
        <v>0</v>
      </c>
      <c r="Y70" s="183">
        <f t="shared" si="135"/>
        <v>0</v>
      </c>
      <c r="Z70" s="183">
        <f t="shared" ref="Z70:CK73" si="141">IF(OR(Z$3&gt;=$G70,Z$3&lt;$F70),0,(_xlfn.NORM.DIST(Z$3-$F70+1,$H70/2,INDEX($E$115:$E$118,MATCH($I70,$D$115:$D$118,0)),TRUE)-_xlfn.NORM.DIST(Y$3-$F70+1,$H70/2,INDEX($E$115:$E$118,MATCH($I70,$D$115:$D$118,0)),TRUE))/(1-2*_xlfn.NORM.DIST(0,$H70/2,INDEX($E$115:$E$118,MATCH($I70,$D$115:$D$118,0)),TRUE))*$D70)</f>
        <v>0</v>
      </c>
      <c r="AA70" s="183">
        <f t="shared" si="141"/>
        <v>0</v>
      </c>
      <c r="AB70" s="183">
        <f t="shared" si="141"/>
        <v>0</v>
      </c>
      <c r="AC70" s="183">
        <f t="shared" si="141"/>
        <v>0</v>
      </c>
      <c r="AD70" s="183">
        <f t="shared" si="141"/>
        <v>0</v>
      </c>
      <c r="AE70" s="183">
        <f t="shared" si="141"/>
        <v>0</v>
      </c>
      <c r="AF70" s="183">
        <f t="shared" si="141"/>
        <v>0</v>
      </c>
      <c r="AG70" s="183">
        <f t="shared" si="141"/>
        <v>0</v>
      </c>
      <c r="AH70" s="183">
        <f t="shared" si="141"/>
        <v>0</v>
      </c>
      <c r="AI70" s="183">
        <f t="shared" si="141"/>
        <v>0</v>
      </c>
      <c r="AJ70" s="183">
        <f t="shared" si="141"/>
        <v>0</v>
      </c>
      <c r="AK70" s="183">
        <f t="shared" si="141"/>
        <v>0</v>
      </c>
      <c r="AL70" s="183">
        <f t="shared" si="141"/>
        <v>0</v>
      </c>
      <c r="AM70" s="183">
        <f t="shared" si="141"/>
        <v>0</v>
      </c>
      <c r="AN70" s="183">
        <f t="shared" si="141"/>
        <v>0</v>
      </c>
      <c r="AO70" s="183">
        <f t="shared" si="141"/>
        <v>0</v>
      </c>
      <c r="AP70" s="183">
        <f t="shared" si="141"/>
        <v>0</v>
      </c>
      <c r="AQ70" s="183">
        <f t="shared" si="141"/>
        <v>0</v>
      </c>
      <c r="AR70" s="183">
        <f t="shared" si="141"/>
        <v>0</v>
      </c>
      <c r="AS70" s="183">
        <f t="shared" si="141"/>
        <v>0</v>
      </c>
      <c r="AT70" s="183">
        <f t="shared" si="141"/>
        <v>0</v>
      </c>
      <c r="AU70" s="183">
        <f t="shared" si="141"/>
        <v>0</v>
      </c>
      <c r="AV70" s="183">
        <f t="shared" si="141"/>
        <v>0</v>
      </c>
      <c r="AW70" s="183">
        <f t="shared" si="141"/>
        <v>0</v>
      </c>
      <c r="AX70" s="183">
        <f t="shared" si="141"/>
        <v>0</v>
      </c>
      <c r="AY70" s="183">
        <f t="shared" si="141"/>
        <v>0</v>
      </c>
      <c r="AZ70" s="183">
        <f t="shared" si="141"/>
        <v>0</v>
      </c>
      <c r="BA70" s="183">
        <f t="shared" si="141"/>
        <v>0</v>
      </c>
      <c r="BB70" s="183">
        <f t="shared" si="141"/>
        <v>0</v>
      </c>
      <c r="BC70" s="183">
        <f t="shared" si="141"/>
        <v>0</v>
      </c>
      <c r="BD70" s="183">
        <f t="shared" si="141"/>
        <v>0</v>
      </c>
      <c r="BE70" s="183">
        <f t="shared" si="141"/>
        <v>0</v>
      </c>
      <c r="BF70" s="183">
        <f t="shared" si="141"/>
        <v>0</v>
      </c>
      <c r="BG70" s="183">
        <f t="shared" si="141"/>
        <v>0</v>
      </c>
      <c r="BH70" s="183">
        <f t="shared" si="141"/>
        <v>0</v>
      </c>
      <c r="BI70" s="183">
        <f t="shared" si="141"/>
        <v>0</v>
      </c>
      <c r="BJ70" s="183">
        <f t="shared" si="141"/>
        <v>0</v>
      </c>
      <c r="BK70" s="183">
        <f t="shared" si="141"/>
        <v>0</v>
      </c>
      <c r="BL70" s="183">
        <f t="shared" si="141"/>
        <v>0</v>
      </c>
      <c r="BM70" s="183">
        <f t="shared" si="141"/>
        <v>0</v>
      </c>
      <c r="BN70" s="183">
        <f t="shared" si="141"/>
        <v>0</v>
      </c>
      <c r="BO70" s="183">
        <f t="shared" si="141"/>
        <v>0</v>
      </c>
      <c r="BP70" s="183">
        <f t="shared" si="141"/>
        <v>0</v>
      </c>
      <c r="BQ70" s="183">
        <f t="shared" si="141"/>
        <v>0</v>
      </c>
      <c r="BR70" s="183">
        <f t="shared" si="141"/>
        <v>0</v>
      </c>
      <c r="BS70" s="183">
        <f t="shared" si="141"/>
        <v>0</v>
      </c>
      <c r="BT70" s="183">
        <f t="shared" si="141"/>
        <v>0</v>
      </c>
      <c r="BU70" s="183">
        <f t="shared" si="141"/>
        <v>0</v>
      </c>
      <c r="BV70" s="183">
        <f t="shared" si="141"/>
        <v>0</v>
      </c>
      <c r="BW70" s="183">
        <f t="shared" si="141"/>
        <v>0</v>
      </c>
      <c r="BX70" s="183">
        <f t="shared" si="141"/>
        <v>0</v>
      </c>
      <c r="BY70" s="183">
        <f t="shared" si="141"/>
        <v>0</v>
      </c>
      <c r="BZ70" s="183">
        <f t="shared" si="141"/>
        <v>0</v>
      </c>
      <c r="CA70" s="183">
        <f t="shared" si="141"/>
        <v>0</v>
      </c>
      <c r="CB70" s="183">
        <f t="shared" si="141"/>
        <v>0</v>
      </c>
      <c r="CC70" s="183">
        <f t="shared" si="141"/>
        <v>0</v>
      </c>
      <c r="CD70" s="183">
        <f t="shared" si="141"/>
        <v>0</v>
      </c>
      <c r="CE70" s="183">
        <f t="shared" si="141"/>
        <v>0</v>
      </c>
      <c r="CF70" s="183">
        <f t="shared" si="141"/>
        <v>0</v>
      </c>
      <c r="CG70" s="183">
        <f t="shared" si="141"/>
        <v>0</v>
      </c>
      <c r="CH70" s="183">
        <f t="shared" si="141"/>
        <v>0</v>
      </c>
      <c r="CI70" s="183">
        <f t="shared" si="141"/>
        <v>0</v>
      </c>
      <c r="CJ70" s="183">
        <f t="shared" si="141"/>
        <v>0</v>
      </c>
      <c r="CK70" s="183">
        <f t="shared" si="141"/>
        <v>0</v>
      </c>
      <c r="CL70" s="183">
        <f t="shared" si="140"/>
        <v>0</v>
      </c>
      <c r="CM70" s="183">
        <f t="shared" si="140"/>
        <v>0</v>
      </c>
      <c r="CN70" s="183">
        <f t="shared" si="140"/>
        <v>0</v>
      </c>
      <c r="CO70" s="183">
        <f t="shared" si="140"/>
        <v>0</v>
      </c>
      <c r="CP70" s="183">
        <f t="shared" si="140"/>
        <v>0</v>
      </c>
      <c r="CQ70" s="183">
        <f t="shared" si="140"/>
        <v>0</v>
      </c>
      <c r="CR70" s="183">
        <f t="shared" si="140"/>
        <v>0</v>
      </c>
      <c r="CS70" s="183">
        <f t="shared" si="140"/>
        <v>0</v>
      </c>
      <c r="CT70" s="183">
        <f t="shared" si="140"/>
        <v>0</v>
      </c>
      <c r="CU70" s="183">
        <f t="shared" si="140"/>
        <v>0</v>
      </c>
      <c r="CV70" s="183">
        <f t="shared" si="140"/>
        <v>0</v>
      </c>
      <c r="CW70" s="183">
        <f t="shared" si="140"/>
        <v>0</v>
      </c>
      <c r="CX70" s="183">
        <f t="shared" si="140"/>
        <v>0</v>
      </c>
      <c r="CY70" s="183">
        <f t="shared" si="140"/>
        <v>0</v>
      </c>
      <c r="CZ70" s="183">
        <f t="shared" si="140"/>
        <v>0</v>
      </c>
      <c r="DA70" s="183">
        <f t="shared" si="140"/>
        <v>0</v>
      </c>
      <c r="DB70" s="183">
        <f t="shared" si="140"/>
        <v>0</v>
      </c>
      <c r="DC70" s="183">
        <f t="shared" si="140"/>
        <v>0</v>
      </c>
      <c r="DD70" s="183">
        <f t="shared" si="140"/>
        <v>0</v>
      </c>
      <c r="DE70" s="183">
        <f t="shared" si="140"/>
        <v>0</v>
      </c>
      <c r="DF70" s="183">
        <f t="shared" si="140"/>
        <v>0</v>
      </c>
      <c r="DG70" s="183">
        <f t="shared" si="140"/>
        <v>0</v>
      </c>
      <c r="DH70" s="183">
        <f t="shared" si="140"/>
        <v>0</v>
      </c>
      <c r="DI70" s="183">
        <f t="shared" si="140"/>
        <v>0</v>
      </c>
      <c r="DJ70" s="183">
        <f t="shared" si="140"/>
        <v>0</v>
      </c>
      <c r="DK70" s="183">
        <f t="shared" si="140"/>
        <v>0</v>
      </c>
      <c r="DL70" s="183">
        <f t="shared" si="140"/>
        <v>0</v>
      </c>
      <c r="DM70" s="183">
        <f t="shared" si="140"/>
        <v>0</v>
      </c>
      <c r="DN70" s="183">
        <f t="shared" si="140"/>
        <v>0</v>
      </c>
      <c r="DO70" s="183">
        <f t="shared" si="140"/>
        <v>0</v>
      </c>
      <c r="DP70" s="183">
        <f t="shared" si="140"/>
        <v>0</v>
      </c>
      <c r="DQ70" s="183">
        <f t="shared" si="140"/>
        <v>0</v>
      </c>
      <c r="DR70" s="183">
        <f t="shared" si="140"/>
        <v>0</v>
      </c>
      <c r="DS70" s="183">
        <f t="shared" si="140"/>
        <v>0</v>
      </c>
      <c r="DT70" s="183">
        <f t="shared" si="140"/>
        <v>0</v>
      </c>
      <c r="DU70" s="183">
        <f t="shared" si="140"/>
        <v>0</v>
      </c>
      <c r="DV70" s="183">
        <f t="shared" si="140"/>
        <v>0</v>
      </c>
      <c r="DW70" s="183">
        <f t="shared" si="140"/>
        <v>0</v>
      </c>
      <c r="DX70" s="183">
        <f t="shared" si="140"/>
        <v>0</v>
      </c>
      <c r="DY70" s="183">
        <f t="shared" si="140"/>
        <v>0</v>
      </c>
      <c r="DZ70" s="183">
        <f t="shared" si="140"/>
        <v>0</v>
      </c>
      <c r="EA70" s="183">
        <f t="shared" si="140"/>
        <v>0</v>
      </c>
      <c r="EB70" s="183">
        <f t="shared" si="140"/>
        <v>0</v>
      </c>
      <c r="EC70" s="183">
        <f t="shared" si="140"/>
        <v>0</v>
      </c>
      <c r="ED70" s="183">
        <f t="shared" si="140"/>
        <v>0</v>
      </c>
      <c r="EE70" s="183">
        <f t="shared" si="140"/>
        <v>0</v>
      </c>
      <c r="EF70" s="183">
        <f t="shared" si="140"/>
        <v>0</v>
      </c>
      <c r="EG70" s="183">
        <f t="shared" si="140"/>
        <v>0</v>
      </c>
      <c r="EH70" s="183">
        <f t="shared" si="140"/>
        <v>0</v>
      </c>
      <c r="EI70" s="183">
        <f t="shared" si="140"/>
        <v>0</v>
      </c>
      <c r="EJ70" s="183">
        <f t="shared" si="140"/>
        <v>0</v>
      </c>
      <c r="EK70" s="183">
        <f t="shared" si="140"/>
        <v>0</v>
      </c>
      <c r="EL70" s="183">
        <f t="shared" si="140"/>
        <v>0</v>
      </c>
      <c r="EM70" s="183">
        <f t="shared" si="140"/>
        <v>0</v>
      </c>
      <c r="EN70" s="183">
        <f t="shared" si="140"/>
        <v>0</v>
      </c>
      <c r="EO70" s="183">
        <f t="shared" si="140"/>
        <v>0</v>
      </c>
      <c r="EP70" s="183">
        <f t="shared" si="140"/>
        <v>0</v>
      </c>
      <c r="EQ70" s="183">
        <f t="shared" si="140"/>
        <v>0</v>
      </c>
      <c r="ER70" s="183">
        <f t="shared" si="140"/>
        <v>0</v>
      </c>
      <c r="ES70" s="183">
        <f t="shared" si="140"/>
        <v>0</v>
      </c>
      <c r="ET70" s="183">
        <f t="shared" si="140"/>
        <v>0</v>
      </c>
      <c r="EU70" s="183">
        <f t="shared" si="140"/>
        <v>0</v>
      </c>
      <c r="EV70" s="183">
        <f t="shared" si="140"/>
        <v>0</v>
      </c>
      <c r="EW70" s="183">
        <f t="shared" si="137"/>
        <v>0</v>
      </c>
      <c r="EX70" s="183">
        <f t="shared" si="137"/>
        <v>0</v>
      </c>
      <c r="EY70" s="183">
        <f t="shared" si="137"/>
        <v>0</v>
      </c>
      <c r="EZ70" s="183">
        <f t="shared" si="137"/>
        <v>0</v>
      </c>
      <c r="FB70" s="609" t="s">
        <v>243</v>
      </c>
      <c r="FC70" s="144"/>
      <c r="FD70" s="144"/>
      <c r="FE70" s="144"/>
      <c r="FF70" s="144"/>
      <c r="FG70" s="144"/>
      <c r="FH70" s="144"/>
      <c r="FI70" s="144"/>
      <c r="FJ70" s="144"/>
      <c r="FK70" s="144"/>
      <c r="FL70" s="144"/>
      <c r="FM70" s="144"/>
      <c r="FN70" s="144"/>
      <c r="FO70" s="144"/>
      <c r="FP70" s="144"/>
      <c r="FQ70" s="144"/>
      <c r="FR70" s="144"/>
      <c r="FS70" s="144"/>
      <c r="FT70" s="144"/>
      <c r="FU70" s="144"/>
      <c r="FV70" s="144"/>
      <c r="FW70" s="144"/>
      <c r="FX70" s="144"/>
      <c r="FY70" s="144"/>
      <c r="FZ70" s="144"/>
      <c r="GA70" s="144"/>
      <c r="GB70" s="144"/>
      <c r="GC70" s="144"/>
      <c r="GD70" s="144"/>
      <c r="GE70" s="144"/>
      <c r="GF70" s="144"/>
      <c r="GG70" s="144"/>
      <c r="GH70" s="144"/>
      <c r="GI70" s="144"/>
      <c r="GJ70" s="144"/>
      <c r="GK70" s="144"/>
      <c r="GL70" s="144"/>
      <c r="GM70" s="144"/>
      <c r="GN70" s="144"/>
      <c r="GO70" s="144"/>
      <c r="GP70" s="144"/>
      <c r="GQ70" s="144"/>
      <c r="GR70" s="144"/>
      <c r="GS70" s="144"/>
      <c r="GT70" s="144"/>
      <c r="GU70" s="144"/>
      <c r="GV70" s="144"/>
      <c r="GW70" s="144"/>
      <c r="GX70" s="144"/>
      <c r="GY70" s="144"/>
      <c r="GZ70" s="144"/>
      <c r="HA70" s="144"/>
      <c r="HB70" s="144"/>
      <c r="HC70" s="144"/>
      <c r="HD70" s="144"/>
      <c r="HE70" s="144"/>
      <c r="HF70" s="144"/>
      <c r="HG70" s="144"/>
      <c r="HH70" s="144"/>
      <c r="HI70" s="144"/>
      <c r="HJ70" s="144"/>
      <c r="HK70" s="144"/>
    </row>
    <row r="71" spans="1:219" s="158" customFormat="1" x14ac:dyDescent="0.2">
      <c r="A71" s="630"/>
      <c r="B71" s="638" t="s">
        <v>666</v>
      </c>
      <c r="C71" s="162"/>
      <c r="D71" s="443">
        <v>0</v>
      </c>
      <c r="E71" s="199">
        <f>IF(units=0,0,'Renovation Budget'!D71/units)</f>
        <v>0</v>
      </c>
      <c r="F71" s="640">
        <v>0</v>
      </c>
      <c r="G71" s="640">
        <v>0</v>
      </c>
      <c r="H71" s="641">
        <f t="shared" si="132"/>
        <v>0</v>
      </c>
      <c r="I71" s="642" t="s">
        <v>107</v>
      </c>
      <c r="J71" s="643" t="s">
        <v>42</v>
      </c>
      <c r="K71" s="644"/>
      <c r="L71" s="183">
        <f t="shared" si="139"/>
        <v>0</v>
      </c>
      <c r="M71" s="183">
        <f t="shared" si="139"/>
        <v>0</v>
      </c>
      <c r="N71" s="183">
        <f t="shared" si="139"/>
        <v>0</v>
      </c>
      <c r="O71" s="183">
        <f t="shared" si="139"/>
        <v>0</v>
      </c>
      <c r="P71" s="183">
        <f t="shared" si="139"/>
        <v>0</v>
      </c>
      <c r="Q71" s="183">
        <f t="shared" si="139"/>
        <v>0</v>
      </c>
      <c r="R71" s="183">
        <f t="shared" si="139"/>
        <v>0</v>
      </c>
      <c r="S71" s="183">
        <f t="shared" si="139"/>
        <v>0</v>
      </c>
      <c r="T71" s="183">
        <f t="shared" si="139"/>
        <v>0</v>
      </c>
      <c r="U71" s="183">
        <f t="shared" si="139"/>
        <v>0</v>
      </c>
      <c r="V71" s="183">
        <f t="shared" si="139"/>
        <v>0</v>
      </c>
      <c r="W71" s="644"/>
      <c r="X71" s="183">
        <f t="shared" si="134"/>
        <v>0</v>
      </c>
      <c r="Y71" s="183">
        <f t="shared" si="135"/>
        <v>0</v>
      </c>
      <c r="Z71" s="183">
        <f t="shared" si="141"/>
        <v>0</v>
      </c>
      <c r="AA71" s="183">
        <f t="shared" si="141"/>
        <v>0</v>
      </c>
      <c r="AB71" s="183">
        <f t="shared" si="141"/>
        <v>0</v>
      </c>
      <c r="AC71" s="183">
        <f t="shared" si="141"/>
        <v>0</v>
      </c>
      <c r="AD71" s="183">
        <f t="shared" si="141"/>
        <v>0</v>
      </c>
      <c r="AE71" s="183">
        <f t="shared" si="141"/>
        <v>0</v>
      </c>
      <c r="AF71" s="183">
        <f t="shared" si="141"/>
        <v>0</v>
      </c>
      <c r="AG71" s="183">
        <f t="shared" si="141"/>
        <v>0</v>
      </c>
      <c r="AH71" s="183">
        <f t="shared" si="141"/>
        <v>0</v>
      </c>
      <c r="AI71" s="183">
        <f t="shared" si="141"/>
        <v>0</v>
      </c>
      <c r="AJ71" s="183">
        <f t="shared" si="141"/>
        <v>0</v>
      </c>
      <c r="AK71" s="183">
        <f t="shared" si="141"/>
        <v>0</v>
      </c>
      <c r="AL71" s="183">
        <f t="shared" si="141"/>
        <v>0</v>
      </c>
      <c r="AM71" s="183">
        <f t="shared" si="141"/>
        <v>0</v>
      </c>
      <c r="AN71" s="183">
        <f t="shared" si="141"/>
        <v>0</v>
      </c>
      <c r="AO71" s="183">
        <f t="shared" si="141"/>
        <v>0</v>
      </c>
      <c r="AP71" s="183">
        <f t="shared" si="141"/>
        <v>0</v>
      </c>
      <c r="AQ71" s="183">
        <f t="shared" si="141"/>
        <v>0</v>
      </c>
      <c r="AR71" s="183">
        <f t="shared" si="141"/>
        <v>0</v>
      </c>
      <c r="AS71" s="183">
        <f t="shared" si="141"/>
        <v>0</v>
      </c>
      <c r="AT71" s="183">
        <f t="shared" si="141"/>
        <v>0</v>
      </c>
      <c r="AU71" s="183">
        <f t="shared" si="141"/>
        <v>0</v>
      </c>
      <c r="AV71" s="183">
        <f t="shared" si="141"/>
        <v>0</v>
      </c>
      <c r="AW71" s="183">
        <f t="shared" si="141"/>
        <v>0</v>
      </c>
      <c r="AX71" s="183">
        <f t="shared" si="141"/>
        <v>0</v>
      </c>
      <c r="AY71" s="183">
        <f t="shared" si="141"/>
        <v>0</v>
      </c>
      <c r="AZ71" s="183">
        <f t="shared" si="141"/>
        <v>0</v>
      </c>
      <c r="BA71" s="183">
        <f t="shared" si="141"/>
        <v>0</v>
      </c>
      <c r="BB71" s="183">
        <f t="shared" si="141"/>
        <v>0</v>
      </c>
      <c r="BC71" s="183">
        <f t="shared" si="141"/>
        <v>0</v>
      </c>
      <c r="BD71" s="183">
        <f t="shared" si="141"/>
        <v>0</v>
      </c>
      <c r="BE71" s="183">
        <f t="shared" si="141"/>
        <v>0</v>
      </c>
      <c r="BF71" s="183">
        <f t="shared" si="141"/>
        <v>0</v>
      </c>
      <c r="BG71" s="183">
        <f t="shared" si="141"/>
        <v>0</v>
      </c>
      <c r="BH71" s="183">
        <f t="shared" si="141"/>
        <v>0</v>
      </c>
      <c r="BI71" s="183">
        <f t="shared" si="141"/>
        <v>0</v>
      </c>
      <c r="BJ71" s="183">
        <f t="shared" si="141"/>
        <v>0</v>
      </c>
      <c r="BK71" s="183">
        <f t="shared" si="141"/>
        <v>0</v>
      </c>
      <c r="BL71" s="183">
        <f t="shared" si="141"/>
        <v>0</v>
      </c>
      <c r="BM71" s="183">
        <f t="shared" si="141"/>
        <v>0</v>
      </c>
      <c r="BN71" s="183">
        <f t="shared" si="141"/>
        <v>0</v>
      </c>
      <c r="BO71" s="183">
        <f t="shared" si="141"/>
        <v>0</v>
      </c>
      <c r="BP71" s="183">
        <f t="shared" si="141"/>
        <v>0</v>
      </c>
      <c r="BQ71" s="183">
        <f t="shared" si="141"/>
        <v>0</v>
      </c>
      <c r="BR71" s="183">
        <f t="shared" si="141"/>
        <v>0</v>
      </c>
      <c r="BS71" s="183">
        <f t="shared" si="141"/>
        <v>0</v>
      </c>
      <c r="BT71" s="183">
        <f t="shared" si="141"/>
        <v>0</v>
      </c>
      <c r="BU71" s="183">
        <f t="shared" si="141"/>
        <v>0</v>
      </c>
      <c r="BV71" s="183">
        <f t="shared" si="141"/>
        <v>0</v>
      </c>
      <c r="BW71" s="183">
        <f t="shared" si="141"/>
        <v>0</v>
      </c>
      <c r="BX71" s="183">
        <f t="shared" si="141"/>
        <v>0</v>
      </c>
      <c r="BY71" s="183">
        <f t="shared" si="141"/>
        <v>0</v>
      </c>
      <c r="BZ71" s="183">
        <f t="shared" si="141"/>
        <v>0</v>
      </c>
      <c r="CA71" s="183">
        <f t="shared" si="141"/>
        <v>0</v>
      </c>
      <c r="CB71" s="183">
        <f t="shared" si="141"/>
        <v>0</v>
      </c>
      <c r="CC71" s="183">
        <f t="shared" si="141"/>
        <v>0</v>
      </c>
      <c r="CD71" s="183">
        <f t="shared" si="141"/>
        <v>0</v>
      </c>
      <c r="CE71" s="183">
        <f t="shared" si="141"/>
        <v>0</v>
      </c>
      <c r="CF71" s="183">
        <f t="shared" si="141"/>
        <v>0</v>
      </c>
      <c r="CG71" s="183">
        <f t="shared" si="141"/>
        <v>0</v>
      </c>
      <c r="CH71" s="183">
        <f t="shared" si="141"/>
        <v>0</v>
      </c>
      <c r="CI71" s="183">
        <f t="shared" si="141"/>
        <v>0</v>
      </c>
      <c r="CJ71" s="183">
        <f t="shared" si="141"/>
        <v>0</v>
      </c>
      <c r="CK71" s="183">
        <f t="shared" si="141"/>
        <v>0</v>
      </c>
      <c r="CL71" s="183">
        <f t="shared" si="140"/>
        <v>0</v>
      </c>
      <c r="CM71" s="183">
        <f t="shared" si="140"/>
        <v>0</v>
      </c>
      <c r="CN71" s="183">
        <f t="shared" si="140"/>
        <v>0</v>
      </c>
      <c r="CO71" s="183">
        <f t="shared" si="140"/>
        <v>0</v>
      </c>
      <c r="CP71" s="183">
        <f t="shared" si="140"/>
        <v>0</v>
      </c>
      <c r="CQ71" s="183">
        <f t="shared" si="140"/>
        <v>0</v>
      </c>
      <c r="CR71" s="183">
        <f t="shared" si="140"/>
        <v>0</v>
      </c>
      <c r="CS71" s="183">
        <f t="shared" si="140"/>
        <v>0</v>
      </c>
      <c r="CT71" s="183">
        <f t="shared" si="140"/>
        <v>0</v>
      </c>
      <c r="CU71" s="183">
        <f t="shared" si="140"/>
        <v>0</v>
      </c>
      <c r="CV71" s="183">
        <f t="shared" si="140"/>
        <v>0</v>
      </c>
      <c r="CW71" s="183">
        <f t="shared" si="140"/>
        <v>0</v>
      </c>
      <c r="CX71" s="183">
        <f t="shared" si="140"/>
        <v>0</v>
      </c>
      <c r="CY71" s="183">
        <f t="shared" si="140"/>
        <v>0</v>
      </c>
      <c r="CZ71" s="183">
        <f t="shared" si="140"/>
        <v>0</v>
      </c>
      <c r="DA71" s="183">
        <f t="shared" si="140"/>
        <v>0</v>
      </c>
      <c r="DB71" s="183">
        <f t="shared" si="140"/>
        <v>0</v>
      </c>
      <c r="DC71" s="183">
        <f t="shared" si="140"/>
        <v>0</v>
      </c>
      <c r="DD71" s="183">
        <f t="shared" si="140"/>
        <v>0</v>
      </c>
      <c r="DE71" s="183">
        <f t="shared" si="140"/>
        <v>0</v>
      </c>
      <c r="DF71" s="183">
        <f t="shared" si="140"/>
        <v>0</v>
      </c>
      <c r="DG71" s="183">
        <f t="shared" si="140"/>
        <v>0</v>
      </c>
      <c r="DH71" s="183">
        <f t="shared" si="140"/>
        <v>0</v>
      </c>
      <c r="DI71" s="183">
        <f t="shared" si="140"/>
        <v>0</v>
      </c>
      <c r="DJ71" s="183">
        <f t="shared" si="140"/>
        <v>0</v>
      </c>
      <c r="DK71" s="183">
        <f t="shared" si="140"/>
        <v>0</v>
      </c>
      <c r="DL71" s="183">
        <f t="shared" si="140"/>
        <v>0</v>
      </c>
      <c r="DM71" s="183">
        <f t="shared" si="140"/>
        <v>0</v>
      </c>
      <c r="DN71" s="183">
        <f t="shared" si="140"/>
        <v>0</v>
      </c>
      <c r="DO71" s="183">
        <f t="shared" si="140"/>
        <v>0</v>
      </c>
      <c r="DP71" s="183">
        <f t="shared" si="140"/>
        <v>0</v>
      </c>
      <c r="DQ71" s="183">
        <f t="shared" si="140"/>
        <v>0</v>
      </c>
      <c r="DR71" s="183">
        <f t="shared" si="140"/>
        <v>0</v>
      </c>
      <c r="DS71" s="183">
        <f t="shared" si="140"/>
        <v>0</v>
      </c>
      <c r="DT71" s="183">
        <f t="shared" si="140"/>
        <v>0</v>
      </c>
      <c r="DU71" s="183">
        <f t="shared" si="140"/>
        <v>0</v>
      </c>
      <c r="DV71" s="183">
        <f t="shared" si="140"/>
        <v>0</v>
      </c>
      <c r="DW71" s="183">
        <f t="shared" si="140"/>
        <v>0</v>
      </c>
      <c r="DX71" s="183">
        <f t="shared" si="140"/>
        <v>0</v>
      </c>
      <c r="DY71" s="183">
        <f t="shared" si="140"/>
        <v>0</v>
      </c>
      <c r="DZ71" s="183">
        <f t="shared" si="140"/>
        <v>0</v>
      </c>
      <c r="EA71" s="183">
        <f t="shared" si="140"/>
        <v>0</v>
      </c>
      <c r="EB71" s="183">
        <f t="shared" si="140"/>
        <v>0</v>
      </c>
      <c r="EC71" s="183">
        <f t="shared" si="140"/>
        <v>0</v>
      </c>
      <c r="ED71" s="183">
        <f t="shared" si="140"/>
        <v>0</v>
      </c>
      <c r="EE71" s="183">
        <f t="shared" si="140"/>
        <v>0</v>
      </c>
      <c r="EF71" s="183">
        <f t="shared" si="140"/>
        <v>0</v>
      </c>
      <c r="EG71" s="183">
        <f t="shared" si="140"/>
        <v>0</v>
      </c>
      <c r="EH71" s="183">
        <f t="shared" si="140"/>
        <v>0</v>
      </c>
      <c r="EI71" s="183">
        <f t="shared" si="140"/>
        <v>0</v>
      </c>
      <c r="EJ71" s="183">
        <f t="shared" si="140"/>
        <v>0</v>
      </c>
      <c r="EK71" s="183">
        <f t="shared" si="140"/>
        <v>0</v>
      </c>
      <c r="EL71" s="183">
        <f t="shared" si="140"/>
        <v>0</v>
      </c>
      <c r="EM71" s="183">
        <f t="shared" si="140"/>
        <v>0</v>
      </c>
      <c r="EN71" s="183">
        <f t="shared" si="140"/>
        <v>0</v>
      </c>
      <c r="EO71" s="183">
        <f t="shared" si="140"/>
        <v>0</v>
      </c>
      <c r="EP71" s="183">
        <f t="shared" si="140"/>
        <v>0</v>
      </c>
      <c r="EQ71" s="183">
        <f t="shared" si="140"/>
        <v>0</v>
      </c>
      <c r="ER71" s="183">
        <f t="shared" si="140"/>
        <v>0</v>
      </c>
      <c r="ES71" s="183">
        <f t="shared" si="140"/>
        <v>0</v>
      </c>
      <c r="ET71" s="183">
        <f t="shared" si="140"/>
        <v>0</v>
      </c>
      <c r="EU71" s="183">
        <f t="shared" si="140"/>
        <v>0</v>
      </c>
      <c r="EV71" s="183">
        <f t="shared" si="140"/>
        <v>0</v>
      </c>
      <c r="EW71" s="183">
        <f t="shared" si="137"/>
        <v>0</v>
      </c>
      <c r="EX71" s="183">
        <f t="shared" si="137"/>
        <v>0</v>
      </c>
      <c r="EY71" s="183">
        <f t="shared" si="137"/>
        <v>0</v>
      </c>
      <c r="EZ71" s="183">
        <f t="shared" si="137"/>
        <v>0</v>
      </c>
      <c r="FB71" s="609" t="s">
        <v>243</v>
      </c>
      <c r="FC71" s="144"/>
      <c r="FD71" s="144"/>
      <c r="FE71" s="144"/>
      <c r="FF71" s="144"/>
      <c r="FG71" s="144"/>
      <c r="FH71" s="144"/>
      <c r="FI71" s="144"/>
      <c r="FJ71" s="144"/>
      <c r="FK71" s="144"/>
      <c r="FL71" s="144"/>
      <c r="FM71" s="144"/>
      <c r="FN71" s="144"/>
      <c r="FO71" s="144"/>
      <c r="FP71" s="144"/>
      <c r="FQ71" s="144"/>
      <c r="FR71" s="144"/>
      <c r="FS71" s="144"/>
      <c r="FT71" s="144"/>
      <c r="FU71" s="144"/>
      <c r="FV71" s="144"/>
      <c r="FW71" s="144"/>
      <c r="FX71" s="144"/>
      <c r="FY71" s="144"/>
      <c r="FZ71" s="144"/>
      <c r="GA71" s="144"/>
      <c r="GB71" s="144"/>
      <c r="GC71" s="144"/>
      <c r="GD71" s="144"/>
      <c r="GE71" s="144"/>
      <c r="GF71" s="144"/>
      <c r="GG71" s="144"/>
      <c r="GH71" s="144"/>
      <c r="GI71" s="144"/>
      <c r="GJ71" s="144"/>
      <c r="GK71" s="144"/>
      <c r="GL71" s="144"/>
      <c r="GM71" s="144"/>
      <c r="GN71" s="144"/>
      <c r="GO71" s="144"/>
      <c r="GP71" s="144"/>
      <c r="GQ71" s="144"/>
      <c r="GR71" s="144"/>
      <c r="GS71" s="144"/>
      <c r="GT71" s="144"/>
      <c r="GU71" s="144"/>
      <c r="GV71" s="144"/>
      <c r="GW71" s="144"/>
      <c r="GX71" s="144"/>
      <c r="GY71" s="144"/>
      <c r="GZ71" s="144"/>
      <c r="HA71" s="144"/>
      <c r="HB71" s="144"/>
      <c r="HC71" s="144"/>
      <c r="HD71" s="144"/>
      <c r="HE71" s="144"/>
      <c r="HF71" s="144"/>
      <c r="HG71" s="144"/>
      <c r="HH71" s="144"/>
      <c r="HI71" s="144"/>
      <c r="HJ71" s="144"/>
      <c r="HK71" s="144"/>
    </row>
    <row r="72" spans="1:219" s="158" customFormat="1" x14ac:dyDescent="0.2">
      <c r="A72" s="630"/>
      <c r="B72" s="638" t="s">
        <v>667</v>
      </c>
      <c r="C72" s="162"/>
      <c r="D72" s="443">
        <v>0</v>
      </c>
      <c r="E72" s="199">
        <f>IF(units=0,0,'Renovation Budget'!D72/units)</f>
        <v>0</v>
      </c>
      <c r="F72" s="640">
        <v>0</v>
      </c>
      <c r="G72" s="640">
        <v>0</v>
      </c>
      <c r="H72" s="641">
        <f t="shared" si="132"/>
        <v>0</v>
      </c>
      <c r="I72" s="642" t="s">
        <v>107</v>
      </c>
      <c r="J72" s="643" t="s">
        <v>42</v>
      </c>
      <c r="K72" s="644"/>
      <c r="L72" s="183">
        <f t="shared" si="139"/>
        <v>0</v>
      </c>
      <c r="M72" s="183">
        <f t="shared" si="139"/>
        <v>0</v>
      </c>
      <c r="N72" s="183">
        <f t="shared" si="139"/>
        <v>0</v>
      </c>
      <c r="O72" s="183">
        <f t="shared" si="139"/>
        <v>0</v>
      </c>
      <c r="P72" s="183">
        <f t="shared" si="139"/>
        <v>0</v>
      </c>
      <c r="Q72" s="183">
        <f t="shared" si="139"/>
        <v>0</v>
      </c>
      <c r="R72" s="183">
        <f t="shared" si="139"/>
        <v>0</v>
      </c>
      <c r="S72" s="183">
        <f t="shared" si="139"/>
        <v>0</v>
      </c>
      <c r="T72" s="183">
        <f t="shared" si="139"/>
        <v>0</v>
      </c>
      <c r="U72" s="183">
        <f t="shared" si="139"/>
        <v>0</v>
      </c>
      <c r="V72" s="183">
        <f t="shared" si="139"/>
        <v>0</v>
      </c>
      <c r="W72" s="644"/>
      <c r="X72" s="183">
        <f t="shared" si="134"/>
        <v>0</v>
      </c>
      <c r="Y72" s="183">
        <f t="shared" si="135"/>
        <v>0</v>
      </c>
      <c r="Z72" s="183">
        <f t="shared" si="141"/>
        <v>0</v>
      </c>
      <c r="AA72" s="183">
        <f t="shared" si="141"/>
        <v>0</v>
      </c>
      <c r="AB72" s="183">
        <f t="shared" si="141"/>
        <v>0</v>
      </c>
      <c r="AC72" s="183">
        <f t="shared" si="141"/>
        <v>0</v>
      </c>
      <c r="AD72" s="183">
        <f t="shared" si="141"/>
        <v>0</v>
      </c>
      <c r="AE72" s="183">
        <f t="shared" si="141"/>
        <v>0</v>
      </c>
      <c r="AF72" s="183">
        <f t="shared" si="141"/>
        <v>0</v>
      </c>
      <c r="AG72" s="183">
        <f t="shared" si="141"/>
        <v>0</v>
      </c>
      <c r="AH72" s="183">
        <f t="shared" si="141"/>
        <v>0</v>
      </c>
      <c r="AI72" s="183">
        <f t="shared" si="141"/>
        <v>0</v>
      </c>
      <c r="AJ72" s="183">
        <f t="shared" si="141"/>
        <v>0</v>
      </c>
      <c r="AK72" s="183">
        <f t="shared" si="141"/>
        <v>0</v>
      </c>
      <c r="AL72" s="183">
        <f t="shared" si="141"/>
        <v>0</v>
      </c>
      <c r="AM72" s="183">
        <f t="shared" si="141"/>
        <v>0</v>
      </c>
      <c r="AN72" s="183">
        <f t="shared" si="141"/>
        <v>0</v>
      </c>
      <c r="AO72" s="183">
        <f t="shared" si="141"/>
        <v>0</v>
      </c>
      <c r="AP72" s="183">
        <f t="shared" si="141"/>
        <v>0</v>
      </c>
      <c r="AQ72" s="183">
        <f t="shared" si="141"/>
        <v>0</v>
      </c>
      <c r="AR72" s="183">
        <f t="shared" si="141"/>
        <v>0</v>
      </c>
      <c r="AS72" s="183">
        <f t="shared" si="141"/>
        <v>0</v>
      </c>
      <c r="AT72" s="183">
        <f t="shared" si="141"/>
        <v>0</v>
      </c>
      <c r="AU72" s="183">
        <f t="shared" si="141"/>
        <v>0</v>
      </c>
      <c r="AV72" s="183">
        <f t="shared" si="141"/>
        <v>0</v>
      </c>
      <c r="AW72" s="183">
        <f t="shared" si="141"/>
        <v>0</v>
      </c>
      <c r="AX72" s="183">
        <f t="shared" si="141"/>
        <v>0</v>
      </c>
      <c r="AY72" s="183">
        <f t="shared" si="141"/>
        <v>0</v>
      </c>
      <c r="AZ72" s="183">
        <f t="shared" si="141"/>
        <v>0</v>
      </c>
      <c r="BA72" s="183">
        <f t="shared" si="141"/>
        <v>0</v>
      </c>
      <c r="BB72" s="183">
        <f t="shared" si="141"/>
        <v>0</v>
      </c>
      <c r="BC72" s="183">
        <f t="shared" si="141"/>
        <v>0</v>
      </c>
      <c r="BD72" s="183">
        <f t="shared" si="141"/>
        <v>0</v>
      </c>
      <c r="BE72" s="183">
        <f t="shared" si="141"/>
        <v>0</v>
      </c>
      <c r="BF72" s="183">
        <f t="shared" si="141"/>
        <v>0</v>
      </c>
      <c r="BG72" s="183">
        <f t="shared" si="141"/>
        <v>0</v>
      </c>
      <c r="BH72" s="183">
        <f t="shared" si="141"/>
        <v>0</v>
      </c>
      <c r="BI72" s="183">
        <f t="shared" si="141"/>
        <v>0</v>
      </c>
      <c r="BJ72" s="183">
        <f t="shared" si="141"/>
        <v>0</v>
      </c>
      <c r="BK72" s="183">
        <f t="shared" si="141"/>
        <v>0</v>
      </c>
      <c r="BL72" s="183">
        <f t="shared" si="141"/>
        <v>0</v>
      </c>
      <c r="BM72" s="183">
        <f t="shared" si="141"/>
        <v>0</v>
      </c>
      <c r="BN72" s="183">
        <f t="shared" si="141"/>
        <v>0</v>
      </c>
      <c r="BO72" s="183">
        <f t="shared" si="141"/>
        <v>0</v>
      </c>
      <c r="BP72" s="183">
        <f t="shared" si="141"/>
        <v>0</v>
      </c>
      <c r="BQ72" s="183">
        <f t="shared" si="141"/>
        <v>0</v>
      </c>
      <c r="BR72" s="183">
        <f t="shared" si="141"/>
        <v>0</v>
      </c>
      <c r="BS72" s="183">
        <f t="shared" si="141"/>
        <v>0</v>
      </c>
      <c r="BT72" s="183">
        <f t="shared" si="141"/>
        <v>0</v>
      </c>
      <c r="BU72" s="183">
        <f t="shared" si="141"/>
        <v>0</v>
      </c>
      <c r="BV72" s="183">
        <f t="shared" si="141"/>
        <v>0</v>
      </c>
      <c r="BW72" s="183">
        <f t="shared" si="141"/>
        <v>0</v>
      </c>
      <c r="BX72" s="183">
        <f t="shared" si="141"/>
        <v>0</v>
      </c>
      <c r="BY72" s="183">
        <f t="shared" si="141"/>
        <v>0</v>
      </c>
      <c r="BZ72" s="183">
        <f t="shared" si="141"/>
        <v>0</v>
      </c>
      <c r="CA72" s="183">
        <f t="shared" si="141"/>
        <v>0</v>
      </c>
      <c r="CB72" s="183">
        <f t="shared" si="141"/>
        <v>0</v>
      </c>
      <c r="CC72" s="183">
        <f t="shared" si="141"/>
        <v>0</v>
      </c>
      <c r="CD72" s="183">
        <f t="shared" si="141"/>
        <v>0</v>
      </c>
      <c r="CE72" s="183">
        <f t="shared" si="141"/>
        <v>0</v>
      </c>
      <c r="CF72" s="183">
        <f t="shared" si="141"/>
        <v>0</v>
      </c>
      <c r="CG72" s="183">
        <f t="shared" si="141"/>
        <v>0</v>
      </c>
      <c r="CH72" s="183">
        <f t="shared" si="141"/>
        <v>0</v>
      </c>
      <c r="CI72" s="183">
        <f t="shared" si="141"/>
        <v>0</v>
      </c>
      <c r="CJ72" s="183">
        <f t="shared" si="141"/>
        <v>0</v>
      </c>
      <c r="CK72" s="183">
        <f t="shared" si="141"/>
        <v>0</v>
      </c>
      <c r="CL72" s="183">
        <f t="shared" si="140"/>
        <v>0</v>
      </c>
      <c r="CM72" s="183">
        <f t="shared" si="140"/>
        <v>0</v>
      </c>
      <c r="CN72" s="183">
        <f t="shared" si="140"/>
        <v>0</v>
      </c>
      <c r="CO72" s="183">
        <f t="shared" si="140"/>
        <v>0</v>
      </c>
      <c r="CP72" s="183">
        <f t="shared" si="140"/>
        <v>0</v>
      </c>
      <c r="CQ72" s="183">
        <f t="shared" si="140"/>
        <v>0</v>
      </c>
      <c r="CR72" s="183">
        <f t="shared" si="140"/>
        <v>0</v>
      </c>
      <c r="CS72" s="183">
        <f t="shared" si="140"/>
        <v>0</v>
      </c>
      <c r="CT72" s="183">
        <f t="shared" si="140"/>
        <v>0</v>
      </c>
      <c r="CU72" s="183">
        <f t="shared" si="140"/>
        <v>0</v>
      </c>
      <c r="CV72" s="183">
        <f t="shared" si="140"/>
        <v>0</v>
      </c>
      <c r="CW72" s="183">
        <f t="shared" si="140"/>
        <v>0</v>
      </c>
      <c r="CX72" s="183">
        <f t="shared" si="140"/>
        <v>0</v>
      </c>
      <c r="CY72" s="183">
        <f t="shared" si="140"/>
        <v>0</v>
      </c>
      <c r="CZ72" s="183">
        <f t="shared" si="140"/>
        <v>0</v>
      </c>
      <c r="DA72" s="183">
        <f t="shared" si="140"/>
        <v>0</v>
      </c>
      <c r="DB72" s="183">
        <f t="shared" si="140"/>
        <v>0</v>
      </c>
      <c r="DC72" s="183">
        <f t="shared" si="140"/>
        <v>0</v>
      </c>
      <c r="DD72" s="183">
        <f t="shared" si="140"/>
        <v>0</v>
      </c>
      <c r="DE72" s="183">
        <f t="shared" si="140"/>
        <v>0</v>
      </c>
      <c r="DF72" s="183">
        <f t="shared" si="140"/>
        <v>0</v>
      </c>
      <c r="DG72" s="183">
        <f t="shared" si="140"/>
        <v>0</v>
      </c>
      <c r="DH72" s="183">
        <f t="shared" si="140"/>
        <v>0</v>
      </c>
      <c r="DI72" s="183">
        <f t="shared" si="140"/>
        <v>0</v>
      </c>
      <c r="DJ72" s="183">
        <f t="shared" si="140"/>
        <v>0</v>
      </c>
      <c r="DK72" s="183">
        <f t="shared" si="140"/>
        <v>0</v>
      </c>
      <c r="DL72" s="183">
        <f t="shared" si="140"/>
        <v>0</v>
      </c>
      <c r="DM72" s="183">
        <f t="shared" si="140"/>
        <v>0</v>
      </c>
      <c r="DN72" s="183">
        <f t="shared" si="140"/>
        <v>0</v>
      </c>
      <c r="DO72" s="183">
        <f t="shared" si="140"/>
        <v>0</v>
      </c>
      <c r="DP72" s="183">
        <f t="shared" si="140"/>
        <v>0</v>
      </c>
      <c r="DQ72" s="183">
        <f t="shared" si="140"/>
        <v>0</v>
      </c>
      <c r="DR72" s="183">
        <f t="shared" si="140"/>
        <v>0</v>
      </c>
      <c r="DS72" s="183">
        <f t="shared" si="140"/>
        <v>0</v>
      </c>
      <c r="DT72" s="183">
        <f t="shared" si="140"/>
        <v>0</v>
      </c>
      <c r="DU72" s="183">
        <f t="shared" si="140"/>
        <v>0</v>
      </c>
      <c r="DV72" s="183">
        <f t="shared" si="140"/>
        <v>0</v>
      </c>
      <c r="DW72" s="183">
        <f t="shared" si="140"/>
        <v>0</v>
      </c>
      <c r="DX72" s="183">
        <f t="shared" si="140"/>
        <v>0</v>
      </c>
      <c r="DY72" s="183">
        <f t="shared" si="140"/>
        <v>0</v>
      </c>
      <c r="DZ72" s="183">
        <f t="shared" si="140"/>
        <v>0</v>
      </c>
      <c r="EA72" s="183">
        <f t="shared" si="140"/>
        <v>0</v>
      </c>
      <c r="EB72" s="183">
        <f t="shared" si="140"/>
        <v>0</v>
      </c>
      <c r="EC72" s="183">
        <f t="shared" si="140"/>
        <v>0</v>
      </c>
      <c r="ED72" s="183">
        <f t="shared" si="140"/>
        <v>0</v>
      </c>
      <c r="EE72" s="183">
        <f t="shared" si="140"/>
        <v>0</v>
      </c>
      <c r="EF72" s="183">
        <f t="shared" si="140"/>
        <v>0</v>
      </c>
      <c r="EG72" s="183">
        <f t="shared" si="140"/>
        <v>0</v>
      </c>
      <c r="EH72" s="183">
        <f t="shared" si="140"/>
        <v>0</v>
      </c>
      <c r="EI72" s="183">
        <f t="shared" si="140"/>
        <v>0</v>
      </c>
      <c r="EJ72" s="183">
        <f t="shared" si="140"/>
        <v>0</v>
      </c>
      <c r="EK72" s="183">
        <f t="shared" si="140"/>
        <v>0</v>
      </c>
      <c r="EL72" s="183">
        <f t="shared" si="140"/>
        <v>0</v>
      </c>
      <c r="EM72" s="183">
        <f t="shared" si="140"/>
        <v>0</v>
      </c>
      <c r="EN72" s="183">
        <f t="shared" si="140"/>
        <v>0</v>
      </c>
      <c r="EO72" s="183">
        <f t="shared" si="140"/>
        <v>0</v>
      </c>
      <c r="EP72" s="183">
        <f t="shared" si="140"/>
        <v>0</v>
      </c>
      <c r="EQ72" s="183">
        <f t="shared" si="140"/>
        <v>0</v>
      </c>
      <c r="ER72" s="183">
        <f t="shared" si="140"/>
        <v>0</v>
      </c>
      <c r="ES72" s="183">
        <f t="shared" si="140"/>
        <v>0</v>
      </c>
      <c r="ET72" s="183">
        <f t="shared" si="140"/>
        <v>0</v>
      </c>
      <c r="EU72" s="183">
        <f t="shared" si="140"/>
        <v>0</v>
      </c>
      <c r="EV72" s="183">
        <f t="shared" si="140"/>
        <v>0</v>
      </c>
      <c r="EW72" s="183">
        <f t="shared" si="137"/>
        <v>0</v>
      </c>
      <c r="EX72" s="183">
        <f t="shared" si="137"/>
        <v>0</v>
      </c>
      <c r="EY72" s="183">
        <f t="shared" si="137"/>
        <v>0</v>
      </c>
      <c r="EZ72" s="183">
        <f t="shared" si="137"/>
        <v>0</v>
      </c>
      <c r="FB72" s="609" t="s">
        <v>243</v>
      </c>
      <c r="FC72" s="144"/>
      <c r="FD72" s="144"/>
      <c r="FE72" s="144"/>
      <c r="FF72" s="144"/>
      <c r="FG72" s="144"/>
      <c r="FH72" s="144"/>
      <c r="FI72" s="144"/>
      <c r="FJ72" s="144"/>
      <c r="FK72" s="144"/>
      <c r="FL72" s="144"/>
      <c r="FM72" s="144"/>
      <c r="FN72" s="144"/>
      <c r="FO72" s="144"/>
      <c r="FP72" s="144"/>
      <c r="FQ72" s="144"/>
      <c r="FR72" s="144"/>
      <c r="FS72" s="144"/>
      <c r="FT72" s="144"/>
      <c r="FU72" s="144"/>
      <c r="FV72" s="144"/>
      <c r="FW72" s="144"/>
      <c r="FX72" s="144"/>
      <c r="FY72" s="144"/>
      <c r="FZ72" s="144"/>
      <c r="GA72" s="144"/>
      <c r="GB72" s="144"/>
      <c r="GC72" s="144"/>
      <c r="GD72" s="144"/>
      <c r="GE72" s="144"/>
      <c r="GF72" s="144"/>
      <c r="GG72" s="144"/>
      <c r="GH72" s="144"/>
      <c r="GI72" s="144"/>
      <c r="GJ72" s="144"/>
      <c r="GK72" s="144"/>
      <c r="GL72" s="144"/>
      <c r="GM72" s="144"/>
      <c r="GN72" s="144"/>
      <c r="GO72" s="144"/>
      <c r="GP72" s="144"/>
      <c r="GQ72" s="144"/>
      <c r="GR72" s="144"/>
      <c r="GS72" s="144"/>
      <c r="GT72" s="144"/>
      <c r="GU72" s="144"/>
      <c r="GV72" s="144"/>
      <c r="GW72" s="144"/>
      <c r="GX72" s="144"/>
      <c r="GY72" s="144"/>
      <c r="GZ72" s="144"/>
      <c r="HA72" s="144"/>
      <c r="HB72" s="144"/>
      <c r="HC72" s="144"/>
      <c r="HD72" s="144"/>
      <c r="HE72" s="144"/>
      <c r="HF72" s="144"/>
      <c r="HG72" s="144"/>
      <c r="HH72" s="144"/>
      <c r="HI72" s="144"/>
      <c r="HJ72" s="144"/>
      <c r="HK72" s="144"/>
    </row>
    <row r="73" spans="1:219" s="158" customFormat="1" x14ac:dyDescent="0.2">
      <c r="A73" s="630"/>
      <c r="B73" s="638" t="s">
        <v>668</v>
      </c>
      <c r="C73" s="162"/>
      <c r="D73" s="443">
        <v>0</v>
      </c>
      <c r="E73" s="199">
        <f>IF(units=0,0,'Renovation Budget'!D73/units)</f>
        <v>0</v>
      </c>
      <c r="F73" s="640">
        <v>0</v>
      </c>
      <c r="G73" s="640">
        <v>0</v>
      </c>
      <c r="H73" s="641">
        <f t="shared" si="132"/>
        <v>0</v>
      </c>
      <c r="I73" s="642" t="s">
        <v>107</v>
      </c>
      <c r="J73" s="643" t="s">
        <v>42</v>
      </c>
      <c r="K73" s="644"/>
      <c r="L73" s="183">
        <f t="shared" si="139"/>
        <v>0</v>
      </c>
      <c r="M73" s="183">
        <f t="shared" si="139"/>
        <v>0</v>
      </c>
      <c r="N73" s="183">
        <f t="shared" si="139"/>
        <v>0</v>
      </c>
      <c r="O73" s="183">
        <f t="shared" si="139"/>
        <v>0</v>
      </c>
      <c r="P73" s="183">
        <f t="shared" si="139"/>
        <v>0</v>
      </c>
      <c r="Q73" s="183">
        <f t="shared" si="139"/>
        <v>0</v>
      </c>
      <c r="R73" s="183">
        <f t="shared" si="139"/>
        <v>0</v>
      </c>
      <c r="S73" s="183">
        <f t="shared" si="139"/>
        <v>0</v>
      </c>
      <c r="T73" s="183">
        <f t="shared" si="139"/>
        <v>0</v>
      </c>
      <c r="U73" s="183">
        <f t="shared" si="139"/>
        <v>0</v>
      </c>
      <c r="V73" s="183">
        <f t="shared" si="139"/>
        <v>0</v>
      </c>
      <c r="W73" s="644"/>
      <c r="X73" s="183">
        <f t="shared" si="134"/>
        <v>0</v>
      </c>
      <c r="Y73" s="183">
        <f t="shared" si="135"/>
        <v>0</v>
      </c>
      <c r="Z73" s="183">
        <f t="shared" si="141"/>
        <v>0</v>
      </c>
      <c r="AA73" s="183">
        <f t="shared" si="141"/>
        <v>0</v>
      </c>
      <c r="AB73" s="183">
        <f t="shared" si="141"/>
        <v>0</v>
      </c>
      <c r="AC73" s="183">
        <f t="shared" si="141"/>
        <v>0</v>
      </c>
      <c r="AD73" s="183">
        <f t="shared" si="141"/>
        <v>0</v>
      </c>
      <c r="AE73" s="183">
        <f t="shared" si="141"/>
        <v>0</v>
      </c>
      <c r="AF73" s="183">
        <f t="shared" si="141"/>
        <v>0</v>
      </c>
      <c r="AG73" s="183">
        <f t="shared" si="141"/>
        <v>0</v>
      </c>
      <c r="AH73" s="183">
        <f t="shared" si="141"/>
        <v>0</v>
      </c>
      <c r="AI73" s="183">
        <f t="shared" si="141"/>
        <v>0</v>
      </c>
      <c r="AJ73" s="183">
        <f t="shared" si="141"/>
        <v>0</v>
      </c>
      <c r="AK73" s="183">
        <f t="shared" si="141"/>
        <v>0</v>
      </c>
      <c r="AL73" s="183">
        <f t="shared" si="141"/>
        <v>0</v>
      </c>
      <c r="AM73" s="183">
        <f t="shared" si="141"/>
        <v>0</v>
      </c>
      <c r="AN73" s="183">
        <f t="shared" si="141"/>
        <v>0</v>
      </c>
      <c r="AO73" s="183">
        <f t="shared" si="141"/>
        <v>0</v>
      </c>
      <c r="AP73" s="183">
        <f t="shared" si="141"/>
        <v>0</v>
      </c>
      <c r="AQ73" s="183">
        <f t="shared" si="141"/>
        <v>0</v>
      </c>
      <c r="AR73" s="183">
        <f t="shared" si="141"/>
        <v>0</v>
      </c>
      <c r="AS73" s="183">
        <f t="shared" si="141"/>
        <v>0</v>
      </c>
      <c r="AT73" s="183">
        <f t="shared" si="141"/>
        <v>0</v>
      </c>
      <c r="AU73" s="183">
        <f t="shared" si="141"/>
        <v>0</v>
      </c>
      <c r="AV73" s="183">
        <f t="shared" si="141"/>
        <v>0</v>
      </c>
      <c r="AW73" s="183">
        <f t="shared" si="141"/>
        <v>0</v>
      </c>
      <c r="AX73" s="183">
        <f t="shared" si="141"/>
        <v>0</v>
      </c>
      <c r="AY73" s="183">
        <f t="shared" si="141"/>
        <v>0</v>
      </c>
      <c r="AZ73" s="183">
        <f t="shared" si="141"/>
        <v>0</v>
      </c>
      <c r="BA73" s="183">
        <f t="shared" si="141"/>
        <v>0</v>
      </c>
      <c r="BB73" s="183">
        <f t="shared" si="141"/>
        <v>0</v>
      </c>
      <c r="BC73" s="183">
        <f t="shared" si="141"/>
        <v>0</v>
      </c>
      <c r="BD73" s="183">
        <f t="shared" si="141"/>
        <v>0</v>
      </c>
      <c r="BE73" s="183">
        <f t="shared" si="141"/>
        <v>0</v>
      </c>
      <c r="BF73" s="183">
        <f t="shared" si="141"/>
        <v>0</v>
      </c>
      <c r="BG73" s="183">
        <f t="shared" si="141"/>
        <v>0</v>
      </c>
      <c r="BH73" s="183">
        <f t="shared" si="141"/>
        <v>0</v>
      </c>
      <c r="BI73" s="183">
        <f t="shared" si="141"/>
        <v>0</v>
      </c>
      <c r="BJ73" s="183">
        <f t="shared" si="141"/>
        <v>0</v>
      </c>
      <c r="BK73" s="183">
        <f t="shared" si="141"/>
        <v>0</v>
      </c>
      <c r="BL73" s="183">
        <f t="shared" si="141"/>
        <v>0</v>
      </c>
      <c r="BM73" s="183">
        <f t="shared" si="141"/>
        <v>0</v>
      </c>
      <c r="BN73" s="183">
        <f t="shared" si="141"/>
        <v>0</v>
      </c>
      <c r="BO73" s="183">
        <f t="shared" si="141"/>
        <v>0</v>
      </c>
      <c r="BP73" s="183">
        <f t="shared" si="141"/>
        <v>0</v>
      </c>
      <c r="BQ73" s="183">
        <f t="shared" si="141"/>
        <v>0</v>
      </c>
      <c r="BR73" s="183">
        <f t="shared" si="141"/>
        <v>0</v>
      </c>
      <c r="BS73" s="183">
        <f t="shared" si="141"/>
        <v>0</v>
      </c>
      <c r="BT73" s="183">
        <f t="shared" si="141"/>
        <v>0</v>
      </c>
      <c r="BU73" s="183">
        <f t="shared" si="141"/>
        <v>0</v>
      </c>
      <c r="BV73" s="183">
        <f t="shared" si="141"/>
        <v>0</v>
      </c>
      <c r="BW73" s="183">
        <f t="shared" si="141"/>
        <v>0</v>
      </c>
      <c r="BX73" s="183">
        <f t="shared" si="141"/>
        <v>0</v>
      </c>
      <c r="BY73" s="183">
        <f t="shared" si="141"/>
        <v>0</v>
      </c>
      <c r="BZ73" s="183">
        <f t="shared" si="141"/>
        <v>0</v>
      </c>
      <c r="CA73" s="183">
        <f t="shared" si="141"/>
        <v>0</v>
      </c>
      <c r="CB73" s="183">
        <f t="shared" si="141"/>
        <v>0</v>
      </c>
      <c r="CC73" s="183">
        <f t="shared" si="141"/>
        <v>0</v>
      </c>
      <c r="CD73" s="183">
        <f t="shared" si="141"/>
        <v>0</v>
      </c>
      <c r="CE73" s="183">
        <f t="shared" si="141"/>
        <v>0</v>
      </c>
      <c r="CF73" s="183">
        <f t="shared" si="141"/>
        <v>0</v>
      </c>
      <c r="CG73" s="183">
        <f t="shared" si="141"/>
        <v>0</v>
      </c>
      <c r="CH73" s="183">
        <f t="shared" si="141"/>
        <v>0</v>
      </c>
      <c r="CI73" s="183">
        <f t="shared" si="141"/>
        <v>0</v>
      </c>
      <c r="CJ73" s="183">
        <f t="shared" si="141"/>
        <v>0</v>
      </c>
      <c r="CK73" s="183">
        <f t="shared" ref="CK73:EV76" si="142">IF(OR(CK$3&gt;=$G73,CK$3&lt;$F73),0,(_xlfn.NORM.DIST(CK$3-$F73+1,$H73/2,INDEX($E$115:$E$118,MATCH($I73,$D$115:$D$118,0)),TRUE)-_xlfn.NORM.DIST(CJ$3-$F73+1,$H73/2,INDEX($E$115:$E$118,MATCH($I73,$D$115:$D$118,0)),TRUE))/(1-2*_xlfn.NORM.DIST(0,$H73/2,INDEX($E$115:$E$118,MATCH($I73,$D$115:$D$118,0)),TRUE))*$D73)</f>
        <v>0</v>
      </c>
      <c r="CL73" s="183">
        <f t="shared" si="142"/>
        <v>0</v>
      </c>
      <c r="CM73" s="183">
        <f t="shared" si="142"/>
        <v>0</v>
      </c>
      <c r="CN73" s="183">
        <f t="shared" si="142"/>
        <v>0</v>
      </c>
      <c r="CO73" s="183">
        <f t="shared" si="142"/>
        <v>0</v>
      </c>
      <c r="CP73" s="183">
        <f t="shared" si="142"/>
        <v>0</v>
      </c>
      <c r="CQ73" s="183">
        <f t="shared" si="142"/>
        <v>0</v>
      </c>
      <c r="CR73" s="183">
        <f t="shared" si="142"/>
        <v>0</v>
      </c>
      <c r="CS73" s="183">
        <f t="shared" si="142"/>
        <v>0</v>
      </c>
      <c r="CT73" s="183">
        <f t="shared" si="142"/>
        <v>0</v>
      </c>
      <c r="CU73" s="183">
        <f t="shared" si="142"/>
        <v>0</v>
      </c>
      <c r="CV73" s="183">
        <f t="shared" si="142"/>
        <v>0</v>
      </c>
      <c r="CW73" s="183">
        <f t="shared" si="142"/>
        <v>0</v>
      </c>
      <c r="CX73" s="183">
        <f t="shared" si="142"/>
        <v>0</v>
      </c>
      <c r="CY73" s="183">
        <f t="shared" si="142"/>
        <v>0</v>
      </c>
      <c r="CZ73" s="183">
        <f t="shared" si="142"/>
        <v>0</v>
      </c>
      <c r="DA73" s="183">
        <f t="shared" si="142"/>
        <v>0</v>
      </c>
      <c r="DB73" s="183">
        <f t="shared" si="142"/>
        <v>0</v>
      </c>
      <c r="DC73" s="183">
        <f t="shared" si="142"/>
        <v>0</v>
      </c>
      <c r="DD73" s="183">
        <f t="shared" si="142"/>
        <v>0</v>
      </c>
      <c r="DE73" s="183">
        <f t="shared" si="142"/>
        <v>0</v>
      </c>
      <c r="DF73" s="183">
        <f t="shared" si="142"/>
        <v>0</v>
      </c>
      <c r="DG73" s="183">
        <f t="shared" si="142"/>
        <v>0</v>
      </c>
      <c r="DH73" s="183">
        <f t="shared" si="142"/>
        <v>0</v>
      </c>
      <c r="DI73" s="183">
        <f t="shared" si="142"/>
        <v>0</v>
      </c>
      <c r="DJ73" s="183">
        <f t="shared" si="142"/>
        <v>0</v>
      </c>
      <c r="DK73" s="183">
        <f t="shared" si="142"/>
        <v>0</v>
      </c>
      <c r="DL73" s="183">
        <f t="shared" si="142"/>
        <v>0</v>
      </c>
      <c r="DM73" s="183">
        <f t="shared" si="142"/>
        <v>0</v>
      </c>
      <c r="DN73" s="183">
        <f t="shared" si="142"/>
        <v>0</v>
      </c>
      <c r="DO73" s="183">
        <f t="shared" si="142"/>
        <v>0</v>
      </c>
      <c r="DP73" s="183">
        <f t="shared" si="142"/>
        <v>0</v>
      </c>
      <c r="DQ73" s="183">
        <f t="shared" si="142"/>
        <v>0</v>
      </c>
      <c r="DR73" s="183">
        <f t="shared" si="142"/>
        <v>0</v>
      </c>
      <c r="DS73" s="183">
        <f t="shared" si="142"/>
        <v>0</v>
      </c>
      <c r="DT73" s="183">
        <f t="shared" si="142"/>
        <v>0</v>
      </c>
      <c r="DU73" s="183">
        <f t="shared" si="142"/>
        <v>0</v>
      </c>
      <c r="DV73" s="183">
        <f t="shared" si="142"/>
        <v>0</v>
      </c>
      <c r="DW73" s="183">
        <f t="shared" si="142"/>
        <v>0</v>
      </c>
      <c r="DX73" s="183">
        <f t="shared" si="142"/>
        <v>0</v>
      </c>
      <c r="DY73" s="183">
        <f t="shared" si="142"/>
        <v>0</v>
      </c>
      <c r="DZ73" s="183">
        <f t="shared" si="142"/>
        <v>0</v>
      </c>
      <c r="EA73" s="183">
        <f t="shared" si="142"/>
        <v>0</v>
      </c>
      <c r="EB73" s="183">
        <f t="shared" si="142"/>
        <v>0</v>
      </c>
      <c r="EC73" s="183">
        <f t="shared" si="142"/>
        <v>0</v>
      </c>
      <c r="ED73" s="183">
        <f t="shared" si="142"/>
        <v>0</v>
      </c>
      <c r="EE73" s="183">
        <f t="shared" si="142"/>
        <v>0</v>
      </c>
      <c r="EF73" s="183">
        <f t="shared" si="142"/>
        <v>0</v>
      </c>
      <c r="EG73" s="183">
        <f t="shared" si="142"/>
        <v>0</v>
      </c>
      <c r="EH73" s="183">
        <f t="shared" si="142"/>
        <v>0</v>
      </c>
      <c r="EI73" s="183">
        <f t="shared" si="142"/>
        <v>0</v>
      </c>
      <c r="EJ73" s="183">
        <f t="shared" si="142"/>
        <v>0</v>
      </c>
      <c r="EK73" s="183">
        <f t="shared" si="142"/>
        <v>0</v>
      </c>
      <c r="EL73" s="183">
        <f t="shared" si="142"/>
        <v>0</v>
      </c>
      <c r="EM73" s="183">
        <f t="shared" si="142"/>
        <v>0</v>
      </c>
      <c r="EN73" s="183">
        <f t="shared" si="142"/>
        <v>0</v>
      </c>
      <c r="EO73" s="183">
        <f t="shared" si="142"/>
        <v>0</v>
      </c>
      <c r="EP73" s="183">
        <f t="shared" si="142"/>
        <v>0</v>
      </c>
      <c r="EQ73" s="183">
        <f t="shared" si="142"/>
        <v>0</v>
      </c>
      <c r="ER73" s="183">
        <f t="shared" si="142"/>
        <v>0</v>
      </c>
      <c r="ES73" s="183">
        <f t="shared" si="142"/>
        <v>0</v>
      </c>
      <c r="ET73" s="183">
        <f t="shared" si="142"/>
        <v>0</v>
      </c>
      <c r="EU73" s="183">
        <f t="shared" si="142"/>
        <v>0</v>
      </c>
      <c r="EV73" s="183">
        <f t="shared" si="142"/>
        <v>0</v>
      </c>
      <c r="EW73" s="183">
        <f t="shared" si="137"/>
        <v>0</v>
      </c>
      <c r="EX73" s="183">
        <f t="shared" si="137"/>
        <v>0</v>
      </c>
      <c r="EY73" s="183">
        <f t="shared" si="137"/>
        <v>0</v>
      </c>
      <c r="EZ73" s="183">
        <f t="shared" si="137"/>
        <v>0</v>
      </c>
      <c r="FB73" s="609" t="s">
        <v>243</v>
      </c>
      <c r="FC73" s="144"/>
      <c r="FD73" s="144"/>
      <c r="FE73" s="144"/>
      <c r="FF73" s="144"/>
      <c r="FG73" s="144"/>
      <c r="FH73" s="144"/>
      <c r="FI73" s="144"/>
      <c r="FJ73" s="144"/>
      <c r="FK73" s="144"/>
      <c r="FL73" s="144"/>
      <c r="FM73" s="144"/>
      <c r="FN73" s="144"/>
      <c r="FO73" s="144"/>
      <c r="FP73" s="144"/>
      <c r="FQ73" s="144"/>
      <c r="FR73" s="144"/>
      <c r="FS73" s="144"/>
      <c r="FT73" s="144"/>
      <c r="FU73" s="144"/>
      <c r="FV73" s="144"/>
      <c r="FW73" s="144"/>
      <c r="FX73" s="144"/>
      <c r="FY73" s="144"/>
      <c r="FZ73" s="144"/>
      <c r="GA73" s="144"/>
      <c r="GB73" s="144"/>
      <c r="GC73" s="144"/>
      <c r="GD73" s="144"/>
      <c r="GE73" s="144"/>
      <c r="GF73" s="144"/>
      <c r="GG73" s="144"/>
      <c r="GH73" s="144"/>
      <c r="GI73" s="144"/>
      <c r="GJ73" s="144"/>
      <c r="GK73" s="144"/>
      <c r="GL73" s="144"/>
      <c r="GM73" s="144"/>
      <c r="GN73" s="144"/>
      <c r="GO73" s="144"/>
      <c r="GP73" s="144"/>
      <c r="GQ73" s="144"/>
      <c r="GR73" s="144"/>
      <c r="GS73" s="144"/>
      <c r="GT73" s="144"/>
      <c r="GU73" s="144"/>
      <c r="GV73" s="144"/>
      <c r="GW73" s="144"/>
      <c r="GX73" s="144"/>
      <c r="GY73" s="144"/>
      <c r="GZ73" s="144"/>
      <c r="HA73" s="144"/>
      <c r="HB73" s="144"/>
      <c r="HC73" s="144"/>
      <c r="HD73" s="144"/>
      <c r="HE73" s="144"/>
      <c r="HF73" s="144"/>
      <c r="HG73" s="144"/>
      <c r="HH73" s="144"/>
      <c r="HI73" s="144"/>
      <c r="HJ73" s="144"/>
      <c r="HK73" s="144"/>
    </row>
    <row r="74" spans="1:219" s="158" customFormat="1" x14ac:dyDescent="0.2">
      <c r="A74" s="630"/>
      <c r="B74" s="638" t="s">
        <v>669</v>
      </c>
      <c r="C74" s="162"/>
      <c r="D74" s="443">
        <v>0</v>
      </c>
      <c r="E74" s="199">
        <f>IF(units=0,0,'Renovation Budget'!D74/units)</f>
        <v>0</v>
      </c>
      <c r="F74" s="640">
        <v>0</v>
      </c>
      <c r="G74" s="640">
        <v>0</v>
      </c>
      <c r="H74" s="641">
        <f t="shared" si="132"/>
        <v>0</v>
      </c>
      <c r="I74" s="642" t="s">
        <v>107</v>
      </c>
      <c r="J74" s="643" t="s">
        <v>42</v>
      </c>
      <c r="K74" s="644"/>
      <c r="L74" s="183">
        <f t="shared" si="139"/>
        <v>0</v>
      </c>
      <c r="M74" s="183">
        <f t="shared" si="139"/>
        <v>0</v>
      </c>
      <c r="N74" s="183">
        <f t="shared" si="139"/>
        <v>0</v>
      </c>
      <c r="O74" s="183">
        <f t="shared" si="139"/>
        <v>0</v>
      </c>
      <c r="P74" s="183">
        <f t="shared" si="139"/>
        <v>0</v>
      </c>
      <c r="Q74" s="183">
        <f t="shared" si="139"/>
        <v>0</v>
      </c>
      <c r="R74" s="183">
        <f t="shared" si="139"/>
        <v>0</v>
      </c>
      <c r="S74" s="183">
        <f t="shared" si="139"/>
        <v>0</v>
      </c>
      <c r="T74" s="183">
        <f t="shared" si="139"/>
        <v>0</v>
      </c>
      <c r="U74" s="183">
        <f t="shared" si="139"/>
        <v>0</v>
      </c>
      <c r="V74" s="183">
        <f t="shared" si="139"/>
        <v>0</v>
      </c>
      <c r="W74" s="644"/>
      <c r="X74" s="183">
        <f t="shared" si="134"/>
        <v>0</v>
      </c>
      <c r="Y74" s="183">
        <f t="shared" si="135"/>
        <v>0</v>
      </c>
      <c r="Z74" s="183">
        <f t="shared" ref="Z74:CK77" si="143">IF(OR(Z$3&gt;=$G74,Z$3&lt;$F74),0,(_xlfn.NORM.DIST(Z$3-$F74+1,$H74/2,INDEX($E$115:$E$118,MATCH($I74,$D$115:$D$118,0)),TRUE)-_xlfn.NORM.DIST(Y$3-$F74+1,$H74/2,INDEX($E$115:$E$118,MATCH($I74,$D$115:$D$118,0)),TRUE))/(1-2*_xlfn.NORM.DIST(0,$H74/2,INDEX($E$115:$E$118,MATCH($I74,$D$115:$D$118,0)),TRUE))*$D74)</f>
        <v>0</v>
      </c>
      <c r="AA74" s="183">
        <f t="shared" si="143"/>
        <v>0</v>
      </c>
      <c r="AB74" s="183">
        <f t="shared" si="143"/>
        <v>0</v>
      </c>
      <c r="AC74" s="183">
        <f t="shared" si="143"/>
        <v>0</v>
      </c>
      <c r="AD74" s="183">
        <f t="shared" si="143"/>
        <v>0</v>
      </c>
      <c r="AE74" s="183">
        <f t="shared" si="143"/>
        <v>0</v>
      </c>
      <c r="AF74" s="183">
        <f t="shared" si="143"/>
        <v>0</v>
      </c>
      <c r="AG74" s="183">
        <f t="shared" si="143"/>
        <v>0</v>
      </c>
      <c r="AH74" s="183">
        <f t="shared" si="143"/>
        <v>0</v>
      </c>
      <c r="AI74" s="183">
        <f t="shared" si="143"/>
        <v>0</v>
      </c>
      <c r="AJ74" s="183">
        <f t="shared" si="143"/>
        <v>0</v>
      </c>
      <c r="AK74" s="183">
        <f t="shared" si="143"/>
        <v>0</v>
      </c>
      <c r="AL74" s="183">
        <f t="shared" si="143"/>
        <v>0</v>
      </c>
      <c r="AM74" s="183">
        <f t="shared" si="143"/>
        <v>0</v>
      </c>
      <c r="AN74" s="183">
        <f t="shared" si="143"/>
        <v>0</v>
      </c>
      <c r="AO74" s="183">
        <f t="shared" si="143"/>
        <v>0</v>
      </c>
      <c r="AP74" s="183">
        <f t="shared" si="143"/>
        <v>0</v>
      </c>
      <c r="AQ74" s="183">
        <f t="shared" si="143"/>
        <v>0</v>
      </c>
      <c r="AR74" s="183">
        <f t="shared" si="143"/>
        <v>0</v>
      </c>
      <c r="AS74" s="183">
        <f t="shared" si="143"/>
        <v>0</v>
      </c>
      <c r="AT74" s="183">
        <f t="shared" si="143"/>
        <v>0</v>
      </c>
      <c r="AU74" s="183">
        <f t="shared" si="143"/>
        <v>0</v>
      </c>
      <c r="AV74" s="183">
        <f t="shared" si="143"/>
        <v>0</v>
      </c>
      <c r="AW74" s="183">
        <f t="shared" si="143"/>
        <v>0</v>
      </c>
      <c r="AX74" s="183">
        <f t="shared" si="143"/>
        <v>0</v>
      </c>
      <c r="AY74" s="183">
        <f t="shared" si="143"/>
        <v>0</v>
      </c>
      <c r="AZ74" s="183">
        <f t="shared" si="143"/>
        <v>0</v>
      </c>
      <c r="BA74" s="183">
        <f t="shared" si="143"/>
        <v>0</v>
      </c>
      <c r="BB74" s="183">
        <f t="shared" si="143"/>
        <v>0</v>
      </c>
      <c r="BC74" s="183">
        <f t="shared" si="143"/>
        <v>0</v>
      </c>
      <c r="BD74" s="183">
        <f t="shared" si="143"/>
        <v>0</v>
      </c>
      <c r="BE74" s="183">
        <f t="shared" si="143"/>
        <v>0</v>
      </c>
      <c r="BF74" s="183">
        <f t="shared" si="143"/>
        <v>0</v>
      </c>
      <c r="BG74" s="183">
        <f t="shared" si="143"/>
        <v>0</v>
      </c>
      <c r="BH74" s="183">
        <f t="shared" si="143"/>
        <v>0</v>
      </c>
      <c r="BI74" s="183">
        <f t="shared" si="143"/>
        <v>0</v>
      </c>
      <c r="BJ74" s="183">
        <f t="shared" si="143"/>
        <v>0</v>
      </c>
      <c r="BK74" s="183">
        <f t="shared" si="143"/>
        <v>0</v>
      </c>
      <c r="BL74" s="183">
        <f t="shared" si="143"/>
        <v>0</v>
      </c>
      <c r="BM74" s="183">
        <f t="shared" si="143"/>
        <v>0</v>
      </c>
      <c r="BN74" s="183">
        <f t="shared" si="143"/>
        <v>0</v>
      </c>
      <c r="BO74" s="183">
        <f t="shared" si="143"/>
        <v>0</v>
      </c>
      <c r="BP74" s="183">
        <f t="shared" si="143"/>
        <v>0</v>
      </c>
      <c r="BQ74" s="183">
        <f t="shared" si="143"/>
        <v>0</v>
      </c>
      <c r="BR74" s="183">
        <f t="shared" si="143"/>
        <v>0</v>
      </c>
      <c r="BS74" s="183">
        <f t="shared" si="143"/>
        <v>0</v>
      </c>
      <c r="BT74" s="183">
        <f t="shared" si="143"/>
        <v>0</v>
      </c>
      <c r="BU74" s="183">
        <f t="shared" si="143"/>
        <v>0</v>
      </c>
      <c r="BV74" s="183">
        <f t="shared" si="143"/>
        <v>0</v>
      </c>
      <c r="BW74" s="183">
        <f t="shared" si="143"/>
        <v>0</v>
      </c>
      <c r="BX74" s="183">
        <f t="shared" si="143"/>
        <v>0</v>
      </c>
      <c r="BY74" s="183">
        <f t="shared" si="143"/>
        <v>0</v>
      </c>
      <c r="BZ74" s="183">
        <f t="shared" si="143"/>
        <v>0</v>
      </c>
      <c r="CA74" s="183">
        <f t="shared" si="143"/>
        <v>0</v>
      </c>
      <c r="CB74" s="183">
        <f t="shared" si="143"/>
        <v>0</v>
      </c>
      <c r="CC74" s="183">
        <f t="shared" si="143"/>
        <v>0</v>
      </c>
      <c r="CD74" s="183">
        <f t="shared" si="143"/>
        <v>0</v>
      </c>
      <c r="CE74" s="183">
        <f t="shared" si="143"/>
        <v>0</v>
      </c>
      <c r="CF74" s="183">
        <f t="shared" si="143"/>
        <v>0</v>
      </c>
      <c r="CG74" s="183">
        <f t="shared" si="143"/>
        <v>0</v>
      </c>
      <c r="CH74" s="183">
        <f t="shared" si="143"/>
        <v>0</v>
      </c>
      <c r="CI74" s="183">
        <f t="shared" si="143"/>
        <v>0</v>
      </c>
      <c r="CJ74" s="183">
        <f t="shared" si="143"/>
        <v>0</v>
      </c>
      <c r="CK74" s="183">
        <f t="shared" si="143"/>
        <v>0</v>
      </c>
      <c r="CL74" s="183">
        <f t="shared" si="142"/>
        <v>0</v>
      </c>
      <c r="CM74" s="183">
        <f t="shared" si="142"/>
        <v>0</v>
      </c>
      <c r="CN74" s="183">
        <f t="shared" si="142"/>
        <v>0</v>
      </c>
      <c r="CO74" s="183">
        <f t="shared" si="142"/>
        <v>0</v>
      </c>
      <c r="CP74" s="183">
        <f t="shared" si="142"/>
        <v>0</v>
      </c>
      <c r="CQ74" s="183">
        <f t="shared" si="142"/>
        <v>0</v>
      </c>
      <c r="CR74" s="183">
        <f t="shared" si="142"/>
        <v>0</v>
      </c>
      <c r="CS74" s="183">
        <f t="shared" si="142"/>
        <v>0</v>
      </c>
      <c r="CT74" s="183">
        <f t="shared" si="142"/>
        <v>0</v>
      </c>
      <c r="CU74" s="183">
        <f t="shared" si="142"/>
        <v>0</v>
      </c>
      <c r="CV74" s="183">
        <f t="shared" si="142"/>
        <v>0</v>
      </c>
      <c r="CW74" s="183">
        <f t="shared" si="142"/>
        <v>0</v>
      </c>
      <c r="CX74" s="183">
        <f t="shared" si="142"/>
        <v>0</v>
      </c>
      <c r="CY74" s="183">
        <f t="shared" si="142"/>
        <v>0</v>
      </c>
      <c r="CZ74" s="183">
        <f t="shared" si="142"/>
        <v>0</v>
      </c>
      <c r="DA74" s="183">
        <f t="shared" si="142"/>
        <v>0</v>
      </c>
      <c r="DB74" s="183">
        <f t="shared" si="142"/>
        <v>0</v>
      </c>
      <c r="DC74" s="183">
        <f t="shared" si="142"/>
        <v>0</v>
      </c>
      <c r="DD74" s="183">
        <f t="shared" si="142"/>
        <v>0</v>
      </c>
      <c r="DE74" s="183">
        <f t="shared" si="142"/>
        <v>0</v>
      </c>
      <c r="DF74" s="183">
        <f t="shared" si="142"/>
        <v>0</v>
      </c>
      <c r="DG74" s="183">
        <f t="shared" si="142"/>
        <v>0</v>
      </c>
      <c r="DH74" s="183">
        <f t="shared" si="142"/>
        <v>0</v>
      </c>
      <c r="DI74" s="183">
        <f t="shared" si="142"/>
        <v>0</v>
      </c>
      <c r="DJ74" s="183">
        <f t="shared" si="142"/>
        <v>0</v>
      </c>
      <c r="DK74" s="183">
        <f t="shared" si="142"/>
        <v>0</v>
      </c>
      <c r="DL74" s="183">
        <f t="shared" si="142"/>
        <v>0</v>
      </c>
      <c r="DM74" s="183">
        <f t="shared" si="142"/>
        <v>0</v>
      </c>
      <c r="DN74" s="183">
        <f t="shared" si="142"/>
        <v>0</v>
      </c>
      <c r="DO74" s="183">
        <f t="shared" si="142"/>
        <v>0</v>
      </c>
      <c r="DP74" s="183">
        <f t="shared" si="142"/>
        <v>0</v>
      </c>
      <c r="DQ74" s="183">
        <f t="shared" si="142"/>
        <v>0</v>
      </c>
      <c r="DR74" s="183">
        <f t="shared" si="142"/>
        <v>0</v>
      </c>
      <c r="DS74" s="183">
        <f t="shared" si="142"/>
        <v>0</v>
      </c>
      <c r="DT74" s="183">
        <f t="shared" si="142"/>
        <v>0</v>
      </c>
      <c r="DU74" s="183">
        <f t="shared" si="142"/>
        <v>0</v>
      </c>
      <c r="DV74" s="183">
        <f t="shared" si="142"/>
        <v>0</v>
      </c>
      <c r="DW74" s="183">
        <f t="shared" si="142"/>
        <v>0</v>
      </c>
      <c r="DX74" s="183">
        <f t="shared" si="142"/>
        <v>0</v>
      </c>
      <c r="DY74" s="183">
        <f t="shared" si="142"/>
        <v>0</v>
      </c>
      <c r="DZ74" s="183">
        <f t="shared" si="142"/>
        <v>0</v>
      </c>
      <c r="EA74" s="183">
        <f t="shared" si="142"/>
        <v>0</v>
      </c>
      <c r="EB74" s="183">
        <f t="shared" si="142"/>
        <v>0</v>
      </c>
      <c r="EC74" s="183">
        <f t="shared" si="142"/>
        <v>0</v>
      </c>
      <c r="ED74" s="183">
        <f t="shared" si="142"/>
        <v>0</v>
      </c>
      <c r="EE74" s="183">
        <f t="shared" si="142"/>
        <v>0</v>
      </c>
      <c r="EF74" s="183">
        <f t="shared" si="142"/>
        <v>0</v>
      </c>
      <c r="EG74" s="183">
        <f t="shared" si="142"/>
        <v>0</v>
      </c>
      <c r="EH74" s="183">
        <f t="shared" si="142"/>
        <v>0</v>
      </c>
      <c r="EI74" s="183">
        <f t="shared" si="142"/>
        <v>0</v>
      </c>
      <c r="EJ74" s="183">
        <f t="shared" si="142"/>
        <v>0</v>
      </c>
      <c r="EK74" s="183">
        <f t="shared" si="142"/>
        <v>0</v>
      </c>
      <c r="EL74" s="183">
        <f t="shared" si="142"/>
        <v>0</v>
      </c>
      <c r="EM74" s="183">
        <f t="shared" si="142"/>
        <v>0</v>
      </c>
      <c r="EN74" s="183">
        <f t="shared" si="142"/>
        <v>0</v>
      </c>
      <c r="EO74" s="183">
        <f t="shared" si="142"/>
        <v>0</v>
      </c>
      <c r="EP74" s="183">
        <f t="shared" si="142"/>
        <v>0</v>
      </c>
      <c r="EQ74" s="183">
        <f t="shared" si="142"/>
        <v>0</v>
      </c>
      <c r="ER74" s="183">
        <f t="shared" si="142"/>
        <v>0</v>
      </c>
      <c r="ES74" s="183">
        <f t="shared" si="142"/>
        <v>0</v>
      </c>
      <c r="ET74" s="183">
        <f t="shared" si="142"/>
        <v>0</v>
      </c>
      <c r="EU74" s="183">
        <f t="shared" si="142"/>
        <v>0</v>
      </c>
      <c r="EV74" s="183">
        <f t="shared" si="142"/>
        <v>0</v>
      </c>
      <c r="EW74" s="183">
        <f t="shared" si="137"/>
        <v>0</v>
      </c>
      <c r="EX74" s="183">
        <f t="shared" si="137"/>
        <v>0</v>
      </c>
      <c r="EY74" s="183">
        <f t="shared" si="137"/>
        <v>0</v>
      </c>
      <c r="EZ74" s="183">
        <f t="shared" si="137"/>
        <v>0</v>
      </c>
      <c r="FB74" s="609" t="s">
        <v>243</v>
      </c>
      <c r="FC74" s="144"/>
      <c r="FD74" s="144"/>
      <c r="FE74" s="144"/>
      <c r="FF74" s="144"/>
      <c r="FG74" s="144"/>
      <c r="FH74" s="144"/>
      <c r="FI74" s="144"/>
      <c r="FJ74" s="144"/>
      <c r="FK74" s="144"/>
      <c r="FL74" s="144"/>
      <c r="FM74" s="144"/>
      <c r="FN74" s="144"/>
      <c r="FO74" s="144"/>
      <c r="FP74" s="144"/>
      <c r="FQ74" s="144"/>
      <c r="FR74" s="144"/>
      <c r="FS74" s="144"/>
      <c r="FT74" s="144"/>
      <c r="FU74" s="144"/>
      <c r="FV74" s="144"/>
      <c r="FW74" s="144"/>
      <c r="FX74" s="144"/>
      <c r="FY74" s="144"/>
      <c r="FZ74" s="144"/>
      <c r="GA74" s="144"/>
      <c r="GB74" s="144"/>
      <c r="GC74" s="144"/>
      <c r="GD74" s="144"/>
      <c r="GE74" s="144"/>
      <c r="GF74" s="144"/>
      <c r="GG74" s="144"/>
      <c r="GH74" s="144"/>
      <c r="GI74" s="144"/>
      <c r="GJ74" s="144"/>
      <c r="GK74" s="144"/>
      <c r="GL74" s="144"/>
      <c r="GM74" s="144"/>
      <c r="GN74" s="144"/>
      <c r="GO74" s="144"/>
      <c r="GP74" s="144"/>
      <c r="GQ74" s="144"/>
      <c r="GR74" s="144"/>
      <c r="GS74" s="144"/>
      <c r="GT74" s="144"/>
      <c r="GU74" s="144"/>
      <c r="GV74" s="144"/>
      <c r="GW74" s="144"/>
      <c r="GX74" s="144"/>
      <c r="GY74" s="144"/>
      <c r="GZ74" s="144"/>
      <c r="HA74" s="144"/>
      <c r="HB74" s="144"/>
      <c r="HC74" s="144"/>
      <c r="HD74" s="144"/>
      <c r="HE74" s="144"/>
      <c r="HF74" s="144"/>
      <c r="HG74" s="144"/>
      <c r="HH74" s="144"/>
      <c r="HI74" s="144"/>
      <c r="HJ74" s="144"/>
      <c r="HK74" s="144"/>
    </row>
    <row r="75" spans="1:219" s="158" customFormat="1" x14ac:dyDescent="0.2">
      <c r="A75" s="630"/>
      <c r="B75" s="638" t="s">
        <v>670</v>
      </c>
      <c r="C75" s="162"/>
      <c r="D75" s="443">
        <v>0</v>
      </c>
      <c r="E75" s="199">
        <f>IF(units=0,0,'Renovation Budget'!D75/units)</f>
        <v>0</v>
      </c>
      <c r="F75" s="640">
        <v>0</v>
      </c>
      <c r="G75" s="640">
        <v>0</v>
      </c>
      <c r="H75" s="641">
        <f t="shared" si="132"/>
        <v>0</v>
      </c>
      <c r="I75" s="642" t="s">
        <v>107</v>
      </c>
      <c r="J75" s="643" t="s">
        <v>42</v>
      </c>
      <c r="K75" s="644"/>
      <c r="L75" s="183">
        <f t="shared" si="139"/>
        <v>0</v>
      </c>
      <c r="M75" s="183">
        <f t="shared" si="139"/>
        <v>0</v>
      </c>
      <c r="N75" s="183">
        <f t="shared" si="139"/>
        <v>0</v>
      </c>
      <c r="O75" s="183">
        <f t="shared" si="139"/>
        <v>0</v>
      </c>
      <c r="P75" s="183">
        <f t="shared" si="139"/>
        <v>0</v>
      </c>
      <c r="Q75" s="183">
        <f t="shared" si="139"/>
        <v>0</v>
      </c>
      <c r="R75" s="183">
        <f t="shared" si="139"/>
        <v>0</v>
      </c>
      <c r="S75" s="183">
        <f t="shared" si="139"/>
        <v>0</v>
      </c>
      <c r="T75" s="183">
        <f t="shared" si="139"/>
        <v>0</v>
      </c>
      <c r="U75" s="183">
        <f t="shared" si="139"/>
        <v>0</v>
      </c>
      <c r="V75" s="183">
        <f t="shared" si="139"/>
        <v>0</v>
      </c>
      <c r="W75" s="644"/>
      <c r="X75" s="183">
        <f t="shared" si="134"/>
        <v>0</v>
      </c>
      <c r="Y75" s="183">
        <f t="shared" si="135"/>
        <v>0</v>
      </c>
      <c r="Z75" s="183">
        <f t="shared" si="143"/>
        <v>0</v>
      </c>
      <c r="AA75" s="183">
        <f t="shared" si="143"/>
        <v>0</v>
      </c>
      <c r="AB75" s="183">
        <f t="shared" si="143"/>
        <v>0</v>
      </c>
      <c r="AC75" s="183">
        <f t="shared" si="143"/>
        <v>0</v>
      </c>
      <c r="AD75" s="183">
        <f t="shared" si="143"/>
        <v>0</v>
      </c>
      <c r="AE75" s="183">
        <f t="shared" si="143"/>
        <v>0</v>
      </c>
      <c r="AF75" s="183">
        <f t="shared" si="143"/>
        <v>0</v>
      </c>
      <c r="AG75" s="183">
        <f t="shared" si="143"/>
        <v>0</v>
      </c>
      <c r="AH75" s="183">
        <f t="shared" si="143"/>
        <v>0</v>
      </c>
      <c r="AI75" s="183">
        <f t="shared" si="143"/>
        <v>0</v>
      </c>
      <c r="AJ75" s="183">
        <f t="shared" si="143"/>
        <v>0</v>
      </c>
      <c r="AK75" s="183">
        <f t="shared" si="143"/>
        <v>0</v>
      </c>
      <c r="AL75" s="183">
        <f t="shared" si="143"/>
        <v>0</v>
      </c>
      <c r="AM75" s="183">
        <f t="shared" si="143"/>
        <v>0</v>
      </c>
      <c r="AN75" s="183">
        <f t="shared" si="143"/>
        <v>0</v>
      </c>
      <c r="AO75" s="183">
        <f t="shared" si="143"/>
        <v>0</v>
      </c>
      <c r="AP75" s="183">
        <f t="shared" si="143"/>
        <v>0</v>
      </c>
      <c r="AQ75" s="183">
        <f t="shared" si="143"/>
        <v>0</v>
      </c>
      <c r="AR75" s="183">
        <f t="shared" si="143"/>
        <v>0</v>
      </c>
      <c r="AS75" s="183">
        <f t="shared" si="143"/>
        <v>0</v>
      </c>
      <c r="AT75" s="183">
        <f t="shared" si="143"/>
        <v>0</v>
      </c>
      <c r="AU75" s="183">
        <f t="shared" si="143"/>
        <v>0</v>
      </c>
      <c r="AV75" s="183">
        <f t="shared" si="143"/>
        <v>0</v>
      </c>
      <c r="AW75" s="183">
        <f t="shared" si="143"/>
        <v>0</v>
      </c>
      <c r="AX75" s="183">
        <f t="shared" si="143"/>
        <v>0</v>
      </c>
      <c r="AY75" s="183">
        <f t="shared" si="143"/>
        <v>0</v>
      </c>
      <c r="AZ75" s="183">
        <f t="shared" si="143"/>
        <v>0</v>
      </c>
      <c r="BA75" s="183">
        <f t="shared" si="143"/>
        <v>0</v>
      </c>
      <c r="BB75" s="183">
        <f t="shared" si="143"/>
        <v>0</v>
      </c>
      <c r="BC75" s="183">
        <f t="shared" si="143"/>
        <v>0</v>
      </c>
      <c r="BD75" s="183">
        <f t="shared" si="143"/>
        <v>0</v>
      </c>
      <c r="BE75" s="183">
        <f t="shared" si="143"/>
        <v>0</v>
      </c>
      <c r="BF75" s="183">
        <f t="shared" si="143"/>
        <v>0</v>
      </c>
      <c r="BG75" s="183">
        <f t="shared" si="143"/>
        <v>0</v>
      </c>
      <c r="BH75" s="183">
        <f t="shared" si="143"/>
        <v>0</v>
      </c>
      <c r="BI75" s="183">
        <f t="shared" si="143"/>
        <v>0</v>
      </c>
      <c r="BJ75" s="183">
        <f t="shared" si="143"/>
        <v>0</v>
      </c>
      <c r="BK75" s="183">
        <f t="shared" si="143"/>
        <v>0</v>
      </c>
      <c r="BL75" s="183">
        <f t="shared" si="143"/>
        <v>0</v>
      </c>
      <c r="BM75" s="183">
        <f t="shared" si="143"/>
        <v>0</v>
      </c>
      <c r="BN75" s="183">
        <f t="shared" si="143"/>
        <v>0</v>
      </c>
      <c r="BO75" s="183">
        <f t="shared" si="143"/>
        <v>0</v>
      </c>
      <c r="BP75" s="183">
        <f t="shared" si="143"/>
        <v>0</v>
      </c>
      <c r="BQ75" s="183">
        <f t="shared" si="143"/>
        <v>0</v>
      </c>
      <c r="BR75" s="183">
        <f t="shared" si="143"/>
        <v>0</v>
      </c>
      <c r="BS75" s="183">
        <f t="shared" si="143"/>
        <v>0</v>
      </c>
      <c r="BT75" s="183">
        <f t="shared" si="143"/>
        <v>0</v>
      </c>
      <c r="BU75" s="183">
        <f t="shared" si="143"/>
        <v>0</v>
      </c>
      <c r="BV75" s="183">
        <f t="shared" si="143"/>
        <v>0</v>
      </c>
      <c r="BW75" s="183">
        <f t="shared" si="143"/>
        <v>0</v>
      </c>
      <c r="BX75" s="183">
        <f t="shared" si="143"/>
        <v>0</v>
      </c>
      <c r="BY75" s="183">
        <f t="shared" si="143"/>
        <v>0</v>
      </c>
      <c r="BZ75" s="183">
        <f t="shared" si="143"/>
        <v>0</v>
      </c>
      <c r="CA75" s="183">
        <f t="shared" si="143"/>
        <v>0</v>
      </c>
      <c r="CB75" s="183">
        <f t="shared" si="143"/>
        <v>0</v>
      </c>
      <c r="CC75" s="183">
        <f t="shared" si="143"/>
        <v>0</v>
      </c>
      <c r="CD75" s="183">
        <f t="shared" si="143"/>
        <v>0</v>
      </c>
      <c r="CE75" s="183">
        <f t="shared" si="143"/>
        <v>0</v>
      </c>
      <c r="CF75" s="183">
        <f t="shared" si="143"/>
        <v>0</v>
      </c>
      <c r="CG75" s="183">
        <f t="shared" si="143"/>
        <v>0</v>
      </c>
      <c r="CH75" s="183">
        <f t="shared" si="143"/>
        <v>0</v>
      </c>
      <c r="CI75" s="183">
        <f t="shared" si="143"/>
        <v>0</v>
      </c>
      <c r="CJ75" s="183">
        <f t="shared" si="143"/>
        <v>0</v>
      </c>
      <c r="CK75" s="183">
        <f t="shared" si="143"/>
        <v>0</v>
      </c>
      <c r="CL75" s="183">
        <f t="shared" si="142"/>
        <v>0</v>
      </c>
      <c r="CM75" s="183">
        <f t="shared" si="142"/>
        <v>0</v>
      </c>
      <c r="CN75" s="183">
        <f t="shared" si="142"/>
        <v>0</v>
      </c>
      <c r="CO75" s="183">
        <f t="shared" si="142"/>
        <v>0</v>
      </c>
      <c r="CP75" s="183">
        <f t="shared" si="142"/>
        <v>0</v>
      </c>
      <c r="CQ75" s="183">
        <f t="shared" si="142"/>
        <v>0</v>
      </c>
      <c r="CR75" s="183">
        <f t="shared" si="142"/>
        <v>0</v>
      </c>
      <c r="CS75" s="183">
        <f t="shared" si="142"/>
        <v>0</v>
      </c>
      <c r="CT75" s="183">
        <f t="shared" si="142"/>
        <v>0</v>
      </c>
      <c r="CU75" s="183">
        <f t="shared" si="142"/>
        <v>0</v>
      </c>
      <c r="CV75" s="183">
        <f t="shared" si="142"/>
        <v>0</v>
      </c>
      <c r="CW75" s="183">
        <f t="shared" si="142"/>
        <v>0</v>
      </c>
      <c r="CX75" s="183">
        <f t="shared" si="142"/>
        <v>0</v>
      </c>
      <c r="CY75" s="183">
        <f t="shared" si="142"/>
        <v>0</v>
      </c>
      <c r="CZ75" s="183">
        <f t="shared" si="142"/>
        <v>0</v>
      </c>
      <c r="DA75" s="183">
        <f t="shared" si="142"/>
        <v>0</v>
      </c>
      <c r="DB75" s="183">
        <f t="shared" si="142"/>
        <v>0</v>
      </c>
      <c r="DC75" s="183">
        <f t="shared" si="142"/>
        <v>0</v>
      </c>
      <c r="DD75" s="183">
        <f t="shared" si="142"/>
        <v>0</v>
      </c>
      <c r="DE75" s="183">
        <f t="shared" si="142"/>
        <v>0</v>
      </c>
      <c r="DF75" s="183">
        <f t="shared" si="142"/>
        <v>0</v>
      </c>
      <c r="DG75" s="183">
        <f t="shared" si="142"/>
        <v>0</v>
      </c>
      <c r="DH75" s="183">
        <f t="shared" si="142"/>
        <v>0</v>
      </c>
      <c r="DI75" s="183">
        <f t="shared" si="142"/>
        <v>0</v>
      </c>
      <c r="DJ75" s="183">
        <f t="shared" si="142"/>
        <v>0</v>
      </c>
      <c r="DK75" s="183">
        <f t="shared" si="142"/>
        <v>0</v>
      </c>
      <c r="DL75" s="183">
        <f t="shared" si="142"/>
        <v>0</v>
      </c>
      <c r="DM75" s="183">
        <f t="shared" si="142"/>
        <v>0</v>
      </c>
      <c r="DN75" s="183">
        <f t="shared" si="142"/>
        <v>0</v>
      </c>
      <c r="DO75" s="183">
        <f t="shared" si="142"/>
        <v>0</v>
      </c>
      <c r="DP75" s="183">
        <f t="shared" si="142"/>
        <v>0</v>
      </c>
      <c r="DQ75" s="183">
        <f t="shared" si="142"/>
        <v>0</v>
      </c>
      <c r="DR75" s="183">
        <f t="shared" si="142"/>
        <v>0</v>
      </c>
      <c r="DS75" s="183">
        <f t="shared" si="142"/>
        <v>0</v>
      </c>
      <c r="DT75" s="183">
        <f t="shared" si="142"/>
        <v>0</v>
      </c>
      <c r="DU75" s="183">
        <f t="shared" si="142"/>
        <v>0</v>
      </c>
      <c r="DV75" s="183">
        <f t="shared" si="142"/>
        <v>0</v>
      </c>
      <c r="DW75" s="183">
        <f t="shared" si="142"/>
        <v>0</v>
      </c>
      <c r="DX75" s="183">
        <f t="shared" si="142"/>
        <v>0</v>
      </c>
      <c r="DY75" s="183">
        <f t="shared" si="142"/>
        <v>0</v>
      </c>
      <c r="DZ75" s="183">
        <f t="shared" si="142"/>
        <v>0</v>
      </c>
      <c r="EA75" s="183">
        <f t="shared" si="142"/>
        <v>0</v>
      </c>
      <c r="EB75" s="183">
        <f t="shared" si="142"/>
        <v>0</v>
      </c>
      <c r="EC75" s="183">
        <f t="shared" si="142"/>
        <v>0</v>
      </c>
      <c r="ED75" s="183">
        <f t="shared" si="142"/>
        <v>0</v>
      </c>
      <c r="EE75" s="183">
        <f t="shared" si="142"/>
        <v>0</v>
      </c>
      <c r="EF75" s="183">
        <f t="shared" si="142"/>
        <v>0</v>
      </c>
      <c r="EG75" s="183">
        <f t="shared" si="142"/>
        <v>0</v>
      </c>
      <c r="EH75" s="183">
        <f t="shared" si="142"/>
        <v>0</v>
      </c>
      <c r="EI75" s="183">
        <f t="shared" si="142"/>
        <v>0</v>
      </c>
      <c r="EJ75" s="183">
        <f t="shared" si="142"/>
        <v>0</v>
      </c>
      <c r="EK75" s="183">
        <f t="shared" si="142"/>
        <v>0</v>
      </c>
      <c r="EL75" s="183">
        <f t="shared" si="142"/>
        <v>0</v>
      </c>
      <c r="EM75" s="183">
        <f t="shared" si="142"/>
        <v>0</v>
      </c>
      <c r="EN75" s="183">
        <f t="shared" si="142"/>
        <v>0</v>
      </c>
      <c r="EO75" s="183">
        <f t="shared" si="142"/>
        <v>0</v>
      </c>
      <c r="EP75" s="183">
        <f t="shared" si="142"/>
        <v>0</v>
      </c>
      <c r="EQ75" s="183">
        <f t="shared" si="142"/>
        <v>0</v>
      </c>
      <c r="ER75" s="183">
        <f t="shared" si="142"/>
        <v>0</v>
      </c>
      <c r="ES75" s="183">
        <f t="shared" si="142"/>
        <v>0</v>
      </c>
      <c r="ET75" s="183">
        <f t="shared" si="142"/>
        <v>0</v>
      </c>
      <c r="EU75" s="183">
        <f t="shared" si="142"/>
        <v>0</v>
      </c>
      <c r="EV75" s="183">
        <f t="shared" si="142"/>
        <v>0</v>
      </c>
      <c r="EW75" s="183">
        <f t="shared" si="137"/>
        <v>0</v>
      </c>
      <c r="EX75" s="183">
        <f t="shared" si="137"/>
        <v>0</v>
      </c>
      <c r="EY75" s="183">
        <f t="shared" si="137"/>
        <v>0</v>
      </c>
      <c r="EZ75" s="183">
        <f t="shared" si="137"/>
        <v>0</v>
      </c>
      <c r="FB75" s="609" t="s">
        <v>243</v>
      </c>
      <c r="FC75" s="144"/>
      <c r="FD75" s="144"/>
      <c r="FE75" s="144"/>
      <c r="FF75" s="144"/>
      <c r="FG75" s="144"/>
      <c r="FH75" s="144"/>
      <c r="FI75" s="144"/>
      <c r="FJ75" s="144"/>
      <c r="FK75" s="144"/>
      <c r="FL75" s="144"/>
      <c r="FM75" s="144"/>
      <c r="FN75" s="144"/>
      <c r="FO75" s="144"/>
      <c r="FP75" s="144"/>
      <c r="FQ75" s="144"/>
      <c r="FR75" s="144"/>
      <c r="FS75" s="144"/>
      <c r="FT75" s="144"/>
      <c r="FU75" s="144"/>
      <c r="FV75" s="144"/>
      <c r="FW75" s="144"/>
      <c r="FX75" s="144"/>
      <c r="FY75" s="144"/>
      <c r="FZ75" s="144"/>
      <c r="GA75" s="144"/>
      <c r="GB75" s="144"/>
      <c r="GC75" s="144"/>
      <c r="GD75" s="144"/>
      <c r="GE75" s="144"/>
      <c r="GF75" s="144"/>
      <c r="GG75" s="144"/>
      <c r="GH75" s="144"/>
      <c r="GI75" s="144"/>
      <c r="GJ75" s="144"/>
      <c r="GK75" s="144"/>
      <c r="GL75" s="144"/>
      <c r="GM75" s="144"/>
      <c r="GN75" s="144"/>
      <c r="GO75" s="144"/>
      <c r="GP75" s="144"/>
      <c r="GQ75" s="144"/>
      <c r="GR75" s="144"/>
      <c r="GS75" s="144"/>
      <c r="GT75" s="144"/>
      <c r="GU75" s="144"/>
      <c r="GV75" s="144"/>
      <c r="GW75" s="144"/>
      <c r="GX75" s="144"/>
      <c r="GY75" s="144"/>
      <c r="GZ75" s="144"/>
      <c r="HA75" s="144"/>
      <c r="HB75" s="144"/>
      <c r="HC75" s="144"/>
      <c r="HD75" s="144"/>
      <c r="HE75" s="144"/>
      <c r="HF75" s="144"/>
      <c r="HG75" s="144"/>
      <c r="HH75" s="144"/>
      <c r="HI75" s="144"/>
      <c r="HJ75" s="144"/>
      <c r="HK75" s="144"/>
    </row>
    <row r="76" spans="1:219" s="158" customFormat="1" x14ac:dyDescent="0.2">
      <c r="A76" s="630"/>
      <c r="B76" s="638" t="s">
        <v>671</v>
      </c>
      <c r="C76" s="162"/>
      <c r="D76" s="443">
        <v>0</v>
      </c>
      <c r="E76" s="199">
        <f>IF(units=0,0,'Renovation Budget'!D76/units)</f>
        <v>0</v>
      </c>
      <c r="F76" s="640">
        <v>0</v>
      </c>
      <c r="G76" s="640">
        <v>0</v>
      </c>
      <c r="H76" s="641">
        <f t="shared" si="132"/>
        <v>0</v>
      </c>
      <c r="I76" s="642" t="s">
        <v>107</v>
      </c>
      <c r="J76" s="643" t="s">
        <v>42</v>
      </c>
      <c r="K76" s="644"/>
      <c r="L76" s="183">
        <f t="shared" si="139"/>
        <v>0</v>
      </c>
      <c r="M76" s="183">
        <f t="shared" si="139"/>
        <v>0</v>
      </c>
      <c r="N76" s="183">
        <f t="shared" si="139"/>
        <v>0</v>
      </c>
      <c r="O76" s="183">
        <f t="shared" si="139"/>
        <v>0</v>
      </c>
      <c r="P76" s="183">
        <f t="shared" si="139"/>
        <v>0</v>
      </c>
      <c r="Q76" s="183">
        <f t="shared" si="139"/>
        <v>0</v>
      </c>
      <c r="R76" s="183">
        <f t="shared" si="139"/>
        <v>0</v>
      </c>
      <c r="S76" s="183">
        <f t="shared" si="139"/>
        <v>0</v>
      </c>
      <c r="T76" s="183">
        <f t="shared" si="139"/>
        <v>0</v>
      </c>
      <c r="U76" s="183">
        <f t="shared" si="139"/>
        <v>0</v>
      </c>
      <c r="V76" s="183">
        <f t="shared" si="139"/>
        <v>0</v>
      </c>
      <c r="W76" s="644"/>
      <c r="X76" s="183">
        <f t="shared" si="134"/>
        <v>0</v>
      </c>
      <c r="Y76" s="183">
        <f t="shared" si="135"/>
        <v>0</v>
      </c>
      <c r="Z76" s="183">
        <f t="shared" si="143"/>
        <v>0</v>
      </c>
      <c r="AA76" s="183">
        <f t="shared" si="143"/>
        <v>0</v>
      </c>
      <c r="AB76" s="183">
        <f t="shared" si="143"/>
        <v>0</v>
      </c>
      <c r="AC76" s="183">
        <f t="shared" si="143"/>
        <v>0</v>
      </c>
      <c r="AD76" s="183">
        <f t="shared" si="143"/>
        <v>0</v>
      </c>
      <c r="AE76" s="183">
        <f t="shared" si="143"/>
        <v>0</v>
      </c>
      <c r="AF76" s="183">
        <f t="shared" si="143"/>
        <v>0</v>
      </c>
      <c r="AG76" s="183">
        <f t="shared" si="143"/>
        <v>0</v>
      </c>
      <c r="AH76" s="183">
        <f t="shared" si="143"/>
        <v>0</v>
      </c>
      <c r="AI76" s="183">
        <f t="shared" si="143"/>
        <v>0</v>
      </c>
      <c r="AJ76" s="183">
        <f t="shared" si="143"/>
        <v>0</v>
      </c>
      <c r="AK76" s="183">
        <f t="shared" si="143"/>
        <v>0</v>
      </c>
      <c r="AL76" s="183">
        <f t="shared" si="143"/>
        <v>0</v>
      </c>
      <c r="AM76" s="183">
        <f t="shared" si="143"/>
        <v>0</v>
      </c>
      <c r="AN76" s="183">
        <f t="shared" si="143"/>
        <v>0</v>
      </c>
      <c r="AO76" s="183">
        <f t="shared" si="143"/>
        <v>0</v>
      </c>
      <c r="AP76" s="183">
        <f t="shared" si="143"/>
        <v>0</v>
      </c>
      <c r="AQ76" s="183">
        <f t="shared" si="143"/>
        <v>0</v>
      </c>
      <c r="AR76" s="183">
        <f t="shared" si="143"/>
        <v>0</v>
      </c>
      <c r="AS76" s="183">
        <f t="shared" si="143"/>
        <v>0</v>
      </c>
      <c r="AT76" s="183">
        <f t="shared" si="143"/>
        <v>0</v>
      </c>
      <c r="AU76" s="183">
        <f t="shared" si="143"/>
        <v>0</v>
      </c>
      <c r="AV76" s="183">
        <f t="shared" si="143"/>
        <v>0</v>
      </c>
      <c r="AW76" s="183">
        <f t="shared" si="143"/>
        <v>0</v>
      </c>
      <c r="AX76" s="183">
        <f t="shared" si="143"/>
        <v>0</v>
      </c>
      <c r="AY76" s="183">
        <f t="shared" si="143"/>
        <v>0</v>
      </c>
      <c r="AZ76" s="183">
        <f t="shared" si="143"/>
        <v>0</v>
      </c>
      <c r="BA76" s="183">
        <f t="shared" si="143"/>
        <v>0</v>
      </c>
      <c r="BB76" s="183">
        <f t="shared" si="143"/>
        <v>0</v>
      </c>
      <c r="BC76" s="183">
        <f t="shared" si="143"/>
        <v>0</v>
      </c>
      <c r="BD76" s="183">
        <f t="shared" si="143"/>
        <v>0</v>
      </c>
      <c r="BE76" s="183">
        <f t="shared" si="143"/>
        <v>0</v>
      </c>
      <c r="BF76" s="183">
        <f t="shared" si="143"/>
        <v>0</v>
      </c>
      <c r="BG76" s="183">
        <f t="shared" si="143"/>
        <v>0</v>
      </c>
      <c r="BH76" s="183">
        <f t="shared" si="143"/>
        <v>0</v>
      </c>
      <c r="BI76" s="183">
        <f t="shared" si="143"/>
        <v>0</v>
      </c>
      <c r="BJ76" s="183">
        <f t="shared" si="143"/>
        <v>0</v>
      </c>
      <c r="BK76" s="183">
        <f t="shared" si="143"/>
        <v>0</v>
      </c>
      <c r="BL76" s="183">
        <f t="shared" si="143"/>
        <v>0</v>
      </c>
      <c r="BM76" s="183">
        <f t="shared" si="143"/>
        <v>0</v>
      </c>
      <c r="BN76" s="183">
        <f t="shared" si="143"/>
        <v>0</v>
      </c>
      <c r="BO76" s="183">
        <f t="shared" si="143"/>
        <v>0</v>
      </c>
      <c r="BP76" s="183">
        <f t="shared" si="143"/>
        <v>0</v>
      </c>
      <c r="BQ76" s="183">
        <f t="shared" si="143"/>
        <v>0</v>
      </c>
      <c r="BR76" s="183">
        <f t="shared" si="143"/>
        <v>0</v>
      </c>
      <c r="BS76" s="183">
        <f t="shared" si="143"/>
        <v>0</v>
      </c>
      <c r="BT76" s="183">
        <f t="shared" si="143"/>
        <v>0</v>
      </c>
      <c r="BU76" s="183">
        <f t="shared" si="143"/>
        <v>0</v>
      </c>
      <c r="BV76" s="183">
        <f t="shared" si="143"/>
        <v>0</v>
      </c>
      <c r="BW76" s="183">
        <f t="shared" si="143"/>
        <v>0</v>
      </c>
      <c r="BX76" s="183">
        <f t="shared" si="143"/>
        <v>0</v>
      </c>
      <c r="BY76" s="183">
        <f t="shared" si="143"/>
        <v>0</v>
      </c>
      <c r="BZ76" s="183">
        <f t="shared" si="143"/>
        <v>0</v>
      </c>
      <c r="CA76" s="183">
        <f t="shared" si="143"/>
        <v>0</v>
      </c>
      <c r="CB76" s="183">
        <f t="shared" si="143"/>
        <v>0</v>
      </c>
      <c r="CC76" s="183">
        <f t="shared" si="143"/>
        <v>0</v>
      </c>
      <c r="CD76" s="183">
        <f t="shared" si="143"/>
        <v>0</v>
      </c>
      <c r="CE76" s="183">
        <f t="shared" si="143"/>
        <v>0</v>
      </c>
      <c r="CF76" s="183">
        <f t="shared" si="143"/>
        <v>0</v>
      </c>
      <c r="CG76" s="183">
        <f t="shared" si="143"/>
        <v>0</v>
      </c>
      <c r="CH76" s="183">
        <f t="shared" si="143"/>
        <v>0</v>
      </c>
      <c r="CI76" s="183">
        <f t="shared" si="143"/>
        <v>0</v>
      </c>
      <c r="CJ76" s="183">
        <f t="shared" si="143"/>
        <v>0</v>
      </c>
      <c r="CK76" s="183">
        <f t="shared" si="143"/>
        <v>0</v>
      </c>
      <c r="CL76" s="183">
        <f t="shared" si="142"/>
        <v>0</v>
      </c>
      <c r="CM76" s="183">
        <f t="shared" si="142"/>
        <v>0</v>
      </c>
      <c r="CN76" s="183">
        <f t="shared" si="142"/>
        <v>0</v>
      </c>
      <c r="CO76" s="183">
        <f t="shared" si="142"/>
        <v>0</v>
      </c>
      <c r="CP76" s="183">
        <f t="shared" si="142"/>
        <v>0</v>
      </c>
      <c r="CQ76" s="183">
        <f t="shared" si="142"/>
        <v>0</v>
      </c>
      <c r="CR76" s="183">
        <f t="shared" si="142"/>
        <v>0</v>
      </c>
      <c r="CS76" s="183">
        <f t="shared" si="142"/>
        <v>0</v>
      </c>
      <c r="CT76" s="183">
        <f t="shared" si="142"/>
        <v>0</v>
      </c>
      <c r="CU76" s="183">
        <f t="shared" si="142"/>
        <v>0</v>
      </c>
      <c r="CV76" s="183">
        <f t="shared" si="142"/>
        <v>0</v>
      </c>
      <c r="CW76" s="183">
        <f t="shared" si="142"/>
        <v>0</v>
      </c>
      <c r="CX76" s="183">
        <f t="shared" si="142"/>
        <v>0</v>
      </c>
      <c r="CY76" s="183">
        <f t="shared" si="142"/>
        <v>0</v>
      </c>
      <c r="CZ76" s="183">
        <f t="shared" si="142"/>
        <v>0</v>
      </c>
      <c r="DA76" s="183">
        <f t="shared" si="142"/>
        <v>0</v>
      </c>
      <c r="DB76" s="183">
        <f t="shared" si="142"/>
        <v>0</v>
      </c>
      <c r="DC76" s="183">
        <f t="shared" si="142"/>
        <v>0</v>
      </c>
      <c r="DD76" s="183">
        <f t="shared" si="142"/>
        <v>0</v>
      </c>
      <c r="DE76" s="183">
        <f t="shared" si="142"/>
        <v>0</v>
      </c>
      <c r="DF76" s="183">
        <f t="shared" si="142"/>
        <v>0</v>
      </c>
      <c r="DG76" s="183">
        <f t="shared" si="142"/>
        <v>0</v>
      </c>
      <c r="DH76" s="183">
        <f t="shared" si="142"/>
        <v>0</v>
      </c>
      <c r="DI76" s="183">
        <f t="shared" si="142"/>
        <v>0</v>
      </c>
      <c r="DJ76" s="183">
        <f t="shared" si="142"/>
        <v>0</v>
      </c>
      <c r="DK76" s="183">
        <f t="shared" si="142"/>
        <v>0</v>
      </c>
      <c r="DL76" s="183">
        <f t="shared" si="142"/>
        <v>0</v>
      </c>
      <c r="DM76" s="183">
        <f t="shared" si="142"/>
        <v>0</v>
      </c>
      <c r="DN76" s="183">
        <f t="shared" si="142"/>
        <v>0</v>
      </c>
      <c r="DO76" s="183">
        <f t="shared" si="142"/>
        <v>0</v>
      </c>
      <c r="DP76" s="183">
        <f t="shared" si="142"/>
        <v>0</v>
      </c>
      <c r="DQ76" s="183">
        <f t="shared" si="142"/>
        <v>0</v>
      </c>
      <c r="DR76" s="183">
        <f t="shared" si="142"/>
        <v>0</v>
      </c>
      <c r="DS76" s="183">
        <f t="shared" si="142"/>
        <v>0</v>
      </c>
      <c r="DT76" s="183">
        <f t="shared" si="142"/>
        <v>0</v>
      </c>
      <c r="DU76" s="183">
        <f t="shared" si="142"/>
        <v>0</v>
      </c>
      <c r="DV76" s="183">
        <f t="shared" si="142"/>
        <v>0</v>
      </c>
      <c r="DW76" s="183">
        <f t="shared" si="142"/>
        <v>0</v>
      </c>
      <c r="DX76" s="183">
        <f t="shared" si="142"/>
        <v>0</v>
      </c>
      <c r="DY76" s="183">
        <f t="shared" si="142"/>
        <v>0</v>
      </c>
      <c r="DZ76" s="183">
        <f t="shared" si="142"/>
        <v>0</v>
      </c>
      <c r="EA76" s="183">
        <f t="shared" si="142"/>
        <v>0</v>
      </c>
      <c r="EB76" s="183">
        <f t="shared" si="142"/>
        <v>0</v>
      </c>
      <c r="EC76" s="183">
        <f t="shared" si="142"/>
        <v>0</v>
      </c>
      <c r="ED76" s="183">
        <f t="shared" si="142"/>
        <v>0</v>
      </c>
      <c r="EE76" s="183">
        <f t="shared" si="142"/>
        <v>0</v>
      </c>
      <c r="EF76" s="183">
        <f t="shared" si="142"/>
        <v>0</v>
      </c>
      <c r="EG76" s="183">
        <f t="shared" si="142"/>
        <v>0</v>
      </c>
      <c r="EH76" s="183">
        <f t="shared" si="142"/>
        <v>0</v>
      </c>
      <c r="EI76" s="183">
        <f t="shared" si="142"/>
        <v>0</v>
      </c>
      <c r="EJ76" s="183">
        <f t="shared" si="142"/>
        <v>0</v>
      </c>
      <c r="EK76" s="183">
        <f t="shared" si="142"/>
        <v>0</v>
      </c>
      <c r="EL76" s="183">
        <f t="shared" si="142"/>
        <v>0</v>
      </c>
      <c r="EM76" s="183">
        <f t="shared" si="142"/>
        <v>0</v>
      </c>
      <c r="EN76" s="183">
        <f t="shared" si="142"/>
        <v>0</v>
      </c>
      <c r="EO76" s="183">
        <f t="shared" si="142"/>
        <v>0</v>
      </c>
      <c r="EP76" s="183">
        <f t="shared" si="142"/>
        <v>0</v>
      </c>
      <c r="EQ76" s="183">
        <f t="shared" si="142"/>
        <v>0</v>
      </c>
      <c r="ER76" s="183">
        <f t="shared" si="142"/>
        <v>0</v>
      </c>
      <c r="ES76" s="183">
        <f t="shared" si="142"/>
        <v>0</v>
      </c>
      <c r="ET76" s="183">
        <f t="shared" si="142"/>
        <v>0</v>
      </c>
      <c r="EU76" s="183">
        <f t="shared" si="142"/>
        <v>0</v>
      </c>
      <c r="EV76" s="183">
        <f t="shared" si="142"/>
        <v>0</v>
      </c>
      <c r="EW76" s="183">
        <f t="shared" si="137"/>
        <v>0</v>
      </c>
      <c r="EX76" s="183">
        <f t="shared" si="137"/>
        <v>0</v>
      </c>
      <c r="EY76" s="183">
        <f t="shared" si="137"/>
        <v>0</v>
      </c>
      <c r="EZ76" s="183">
        <f t="shared" si="137"/>
        <v>0</v>
      </c>
      <c r="FB76" s="609" t="s">
        <v>243</v>
      </c>
      <c r="FC76" s="144"/>
      <c r="FD76" s="144"/>
      <c r="FE76" s="144"/>
      <c r="FF76" s="144"/>
      <c r="FG76" s="144"/>
      <c r="FH76" s="144"/>
      <c r="FI76" s="144"/>
      <c r="FJ76" s="144"/>
      <c r="FK76" s="144"/>
      <c r="FL76" s="144"/>
      <c r="FM76" s="144"/>
      <c r="FN76" s="144"/>
      <c r="FO76" s="144"/>
      <c r="FP76" s="144"/>
      <c r="FQ76" s="144"/>
      <c r="FR76" s="144"/>
      <c r="FS76" s="144"/>
      <c r="FT76" s="144"/>
      <c r="FU76" s="144"/>
      <c r="FV76" s="144"/>
      <c r="FW76" s="144"/>
      <c r="FX76" s="144"/>
      <c r="FY76" s="144"/>
      <c r="FZ76" s="144"/>
      <c r="GA76" s="144"/>
      <c r="GB76" s="144"/>
      <c r="GC76" s="144"/>
      <c r="GD76" s="144"/>
      <c r="GE76" s="144"/>
      <c r="GF76" s="144"/>
      <c r="GG76" s="144"/>
      <c r="GH76" s="144"/>
      <c r="GI76" s="144"/>
      <c r="GJ76" s="144"/>
      <c r="GK76" s="144"/>
      <c r="GL76" s="144"/>
      <c r="GM76" s="144"/>
      <c r="GN76" s="144"/>
      <c r="GO76" s="144"/>
      <c r="GP76" s="144"/>
      <c r="GQ76" s="144"/>
      <c r="GR76" s="144"/>
      <c r="GS76" s="144"/>
      <c r="GT76" s="144"/>
      <c r="GU76" s="144"/>
      <c r="GV76" s="144"/>
      <c r="GW76" s="144"/>
      <c r="GX76" s="144"/>
      <c r="GY76" s="144"/>
      <c r="GZ76" s="144"/>
      <c r="HA76" s="144"/>
      <c r="HB76" s="144"/>
      <c r="HC76" s="144"/>
      <c r="HD76" s="144"/>
      <c r="HE76" s="144"/>
      <c r="HF76" s="144"/>
      <c r="HG76" s="144"/>
      <c r="HH76" s="144"/>
      <c r="HI76" s="144"/>
      <c r="HJ76" s="144"/>
      <c r="HK76" s="144"/>
    </row>
    <row r="77" spans="1:219" s="158" customFormat="1" x14ac:dyDescent="0.2">
      <c r="A77" s="630"/>
      <c r="B77" s="638" t="s">
        <v>672</v>
      </c>
      <c r="C77" s="162"/>
      <c r="D77" s="443">
        <v>0</v>
      </c>
      <c r="E77" s="199">
        <f>IF(units=0,0,'Renovation Budget'!D77/units)</f>
        <v>0</v>
      </c>
      <c r="F77" s="640">
        <v>0</v>
      </c>
      <c r="G77" s="640">
        <v>0</v>
      </c>
      <c r="H77" s="641">
        <f t="shared" si="132"/>
        <v>0</v>
      </c>
      <c r="I77" s="642" t="s">
        <v>107</v>
      </c>
      <c r="J77" s="643" t="s">
        <v>42</v>
      </c>
      <c r="K77" s="644"/>
      <c r="L77" s="183">
        <f t="shared" si="139"/>
        <v>0</v>
      </c>
      <c r="M77" s="183">
        <f t="shared" si="139"/>
        <v>0</v>
      </c>
      <c r="N77" s="183">
        <f t="shared" si="139"/>
        <v>0</v>
      </c>
      <c r="O77" s="183">
        <f t="shared" si="139"/>
        <v>0</v>
      </c>
      <c r="P77" s="183">
        <f t="shared" si="139"/>
        <v>0</v>
      </c>
      <c r="Q77" s="183">
        <f t="shared" si="139"/>
        <v>0</v>
      </c>
      <c r="R77" s="183">
        <f t="shared" si="139"/>
        <v>0</v>
      </c>
      <c r="S77" s="183">
        <f t="shared" si="139"/>
        <v>0</v>
      </c>
      <c r="T77" s="183">
        <f t="shared" si="139"/>
        <v>0</v>
      </c>
      <c r="U77" s="183">
        <f t="shared" si="139"/>
        <v>0</v>
      </c>
      <c r="V77" s="183">
        <f t="shared" si="139"/>
        <v>0</v>
      </c>
      <c r="W77" s="644"/>
      <c r="X77" s="183">
        <f t="shared" si="134"/>
        <v>0</v>
      </c>
      <c r="Y77" s="183">
        <f t="shared" si="135"/>
        <v>0</v>
      </c>
      <c r="Z77" s="183">
        <f t="shared" si="143"/>
        <v>0</v>
      </c>
      <c r="AA77" s="183">
        <f t="shared" si="143"/>
        <v>0</v>
      </c>
      <c r="AB77" s="183">
        <f t="shared" si="143"/>
        <v>0</v>
      </c>
      <c r="AC77" s="183">
        <f t="shared" si="143"/>
        <v>0</v>
      </c>
      <c r="AD77" s="183">
        <f t="shared" si="143"/>
        <v>0</v>
      </c>
      <c r="AE77" s="183">
        <f t="shared" si="143"/>
        <v>0</v>
      </c>
      <c r="AF77" s="183">
        <f t="shared" si="143"/>
        <v>0</v>
      </c>
      <c r="AG77" s="183">
        <f t="shared" si="143"/>
        <v>0</v>
      </c>
      <c r="AH77" s="183">
        <f t="shared" si="143"/>
        <v>0</v>
      </c>
      <c r="AI77" s="183">
        <f t="shared" si="143"/>
        <v>0</v>
      </c>
      <c r="AJ77" s="183">
        <f t="shared" si="143"/>
        <v>0</v>
      </c>
      <c r="AK77" s="183">
        <f t="shared" si="143"/>
        <v>0</v>
      </c>
      <c r="AL77" s="183">
        <f t="shared" si="143"/>
        <v>0</v>
      </c>
      <c r="AM77" s="183">
        <f t="shared" si="143"/>
        <v>0</v>
      </c>
      <c r="AN77" s="183">
        <f t="shared" si="143"/>
        <v>0</v>
      </c>
      <c r="AO77" s="183">
        <f t="shared" si="143"/>
        <v>0</v>
      </c>
      <c r="AP77" s="183">
        <f t="shared" si="143"/>
        <v>0</v>
      </c>
      <c r="AQ77" s="183">
        <f t="shared" si="143"/>
        <v>0</v>
      </c>
      <c r="AR77" s="183">
        <f t="shared" si="143"/>
        <v>0</v>
      </c>
      <c r="AS77" s="183">
        <f t="shared" si="143"/>
        <v>0</v>
      </c>
      <c r="AT77" s="183">
        <f t="shared" si="143"/>
        <v>0</v>
      </c>
      <c r="AU77" s="183">
        <f t="shared" si="143"/>
        <v>0</v>
      </c>
      <c r="AV77" s="183">
        <f t="shared" si="143"/>
        <v>0</v>
      </c>
      <c r="AW77" s="183">
        <f t="shared" si="143"/>
        <v>0</v>
      </c>
      <c r="AX77" s="183">
        <f t="shared" si="143"/>
        <v>0</v>
      </c>
      <c r="AY77" s="183">
        <f t="shared" si="143"/>
        <v>0</v>
      </c>
      <c r="AZ77" s="183">
        <f t="shared" si="143"/>
        <v>0</v>
      </c>
      <c r="BA77" s="183">
        <f t="shared" si="143"/>
        <v>0</v>
      </c>
      <c r="BB77" s="183">
        <f t="shared" si="143"/>
        <v>0</v>
      </c>
      <c r="BC77" s="183">
        <f t="shared" si="143"/>
        <v>0</v>
      </c>
      <c r="BD77" s="183">
        <f t="shared" si="143"/>
        <v>0</v>
      </c>
      <c r="BE77" s="183">
        <f t="shared" si="143"/>
        <v>0</v>
      </c>
      <c r="BF77" s="183">
        <f t="shared" si="143"/>
        <v>0</v>
      </c>
      <c r="BG77" s="183">
        <f t="shared" si="143"/>
        <v>0</v>
      </c>
      <c r="BH77" s="183">
        <f t="shared" si="143"/>
        <v>0</v>
      </c>
      <c r="BI77" s="183">
        <f t="shared" si="143"/>
        <v>0</v>
      </c>
      <c r="BJ77" s="183">
        <f t="shared" si="143"/>
        <v>0</v>
      </c>
      <c r="BK77" s="183">
        <f t="shared" si="143"/>
        <v>0</v>
      </c>
      <c r="BL77" s="183">
        <f t="shared" si="143"/>
        <v>0</v>
      </c>
      <c r="BM77" s="183">
        <f t="shared" si="143"/>
        <v>0</v>
      </c>
      <c r="BN77" s="183">
        <f t="shared" si="143"/>
        <v>0</v>
      </c>
      <c r="BO77" s="183">
        <f t="shared" si="143"/>
        <v>0</v>
      </c>
      <c r="BP77" s="183">
        <f t="shared" si="143"/>
        <v>0</v>
      </c>
      <c r="BQ77" s="183">
        <f t="shared" si="143"/>
        <v>0</v>
      </c>
      <c r="BR77" s="183">
        <f t="shared" si="143"/>
        <v>0</v>
      </c>
      <c r="BS77" s="183">
        <f t="shared" si="143"/>
        <v>0</v>
      </c>
      <c r="BT77" s="183">
        <f t="shared" si="143"/>
        <v>0</v>
      </c>
      <c r="BU77" s="183">
        <f t="shared" si="143"/>
        <v>0</v>
      </c>
      <c r="BV77" s="183">
        <f t="shared" si="143"/>
        <v>0</v>
      </c>
      <c r="BW77" s="183">
        <f t="shared" si="143"/>
        <v>0</v>
      </c>
      <c r="BX77" s="183">
        <f t="shared" si="143"/>
        <v>0</v>
      </c>
      <c r="BY77" s="183">
        <f t="shared" si="143"/>
        <v>0</v>
      </c>
      <c r="BZ77" s="183">
        <f t="shared" si="143"/>
        <v>0</v>
      </c>
      <c r="CA77" s="183">
        <f t="shared" si="143"/>
        <v>0</v>
      </c>
      <c r="CB77" s="183">
        <f t="shared" si="143"/>
        <v>0</v>
      </c>
      <c r="CC77" s="183">
        <f t="shared" si="143"/>
        <v>0</v>
      </c>
      <c r="CD77" s="183">
        <f t="shared" si="143"/>
        <v>0</v>
      </c>
      <c r="CE77" s="183">
        <f t="shared" si="143"/>
        <v>0</v>
      </c>
      <c r="CF77" s="183">
        <f t="shared" si="143"/>
        <v>0</v>
      </c>
      <c r="CG77" s="183">
        <f t="shared" si="143"/>
        <v>0</v>
      </c>
      <c r="CH77" s="183">
        <f t="shared" si="143"/>
        <v>0</v>
      </c>
      <c r="CI77" s="183">
        <f t="shared" si="143"/>
        <v>0</v>
      </c>
      <c r="CJ77" s="183">
        <f t="shared" si="143"/>
        <v>0</v>
      </c>
      <c r="CK77" s="183">
        <f t="shared" ref="CK77:EV80" si="144">IF(OR(CK$3&gt;=$G77,CK$3&lt;$F77),0,(_xlfn.NORM.DIST(CK$3-$F77+1,$H77/2,INDEX($E$115:$E$118,MATCH($I77,$D$115:$D$118,0)),TRUE)-_xlfn.NORM.DIST(CJ$3-$F77+1,$H77/2,INDEX($E$115:$E$118,MATCH($I77,$D$115:$D$118,0)),TRUE))/(1-2*_xlfn.NORM.DIST(0,$H77/2,INDEX($E$115:$E$118,MATCH($I77,$D$115:$D$118,0)),TRUE))*$D77)</f>
        <v>0</v>
      </c>
      <c r="CL77" s="183">
        <f t="shared" si="144"/>
        <v>0</v>
      </c>
      <c r="CM77" s="183">
        <f t="shared" si="144"/>
        <v>0</v>
      </c>
      <c r="CN77" s="183">
        <f t="shared" si="144"/>
        <v>0</v>
      </c>
      <c r="CO77" s="183">
        <f t="shared" si="144"/>
        <v>0</v>
      </c>
      <c r="CP77" s="183">
        <f t="shared" si="144"/>
        <v>0</v>
      </c>
      <c r="CQ77" s="183">
        <f t="shared" si="144"/>
        <v>0</v>
      </c>
      <c r="CR77" s="183">
        <f t="shared" si="144"/>
        <v>0</v>
      </c>
      <c r="CS77" s="183">
        <f t="shared" si="144"/>
        <v>0</v>
      </c>
      <c r="CT77" s="183">
        <f t="shared" si="144"/>
        <v>0</v>
      </c>
      <c r="CU77" s="183">
        <f t="shared" si="144"/>
        <v>0</v>
      </c>
      <c r="CV77" s="183">
        <f t="shared" si="144"/>
        <v>0</v>
      </c>
      <c r="CW77" s="183">
        <f t="shared" si="144"/>
        <v>0</v>
      </c>
      <c r="CX77" s="183">
        <f t="shared" si="144"/>
        <v>0</v>
      </c>
      <c r="CY77" s="183">
        <f t="shared" si="144"/>
        <v>0</v>
      </c>
      <c r="CZ77" s="183">
        <f t="shared" si="144"/>
        <v>0</v>
      </c>
      <c r="DA77" s="183">
        <f t="shared" si="144"/>
        <v>0</v>
      </c>
      <c r="DB77" s="183">
        <f t="shared" si="144"/>
        <v>0</v>
      </c>
      <c r="DC77" s="183">
        <f t="shared" si="144"/>
        <v>0</v>
      </c>
      <c r="DD77" s="183">
        <f t="shared" si="144"/>
        <v>0</v>
      </c>
      <c r="DE77" s="183">
        <f t="shared" si="144"/>
        <v>0</v>
      </c>
      <c r="DF77" s="183">
        <f t="shared" si="144"/>
        <v>0</v>
      </c>
      <c r="DG77" s="183">
        <f t="shared" si="144"/>
        <v>0</v>
      </c>
      <c r="DH77" s="183">
        <f t="shared" si="144"/>
        <v>0</v>
      </c>
      <c r="DI77" s="183">
        <f t="shared" si="144"/>
        <v>0</v>
      </c>
      <c r="DJ77" s="183">
        <f t="shared" si="144"/>
        <v>0</v>
      </c>
      <c r="DK77" s="183">
        <f t="shared" si="144"/>
        <v>0</v>
      </c>
      <c r="DL77" s="183">
        <f t="shared" si="144"/>
        <v>0</v>
      </c>
      <c r="DM77" s="183">
        <f t="shared" si="144"/>
        <v>0</v>
      </c>
      <c r="DN77" s="183">
        <f t="shared" si="144"/>
        <v>0</v>
      </c>
      <c r="DO77" s="183">
        <f t="shared" si="144"/>
        <v>0</v>
      </c>
      <c r="DP77" s="183">
        <f t="shared" si="144"/>
        <v>0</v>
      </c>
      <c r="DQ77" s="183">
        <f t="shared" si="144"/>
        <v>0</v>
      </c>
      <c r="DR77" s="183">
        <f t="shared" si="144"/>
        <v>0</v>
      </c>
      <c r="DS77" s="183">
        <f t="shared" si="144"/>
        <v>0</v>
      </c>
      <c r="DT77" s="183">
        <f t="shared" si="144"/>
        <v>0</v>
      </c>
      <c r="DU77" s="183">
        <f t="shared" si="144"/>
        <v>0</v>
      </c>
      <c r="DV77" s="183">
        <f t="shared" si="144"/>
        <v>0</v>
      </c>
      <c r="DW77" s="183">
        <f t="shared" si="144"/>
        <v>0</v>
      </c>
      <c r="DX77" s="183">
        <f t="shared" si="144"/>
        <v>0</v>
      </c>
      <c r="DY77" s="183">
        <f t="shared" si="144"/>
        <v>0</v>
      </c>
      <c r="DZ77" s="183">
        <f t="shared" si="144"/>
        <v>0</v>
      </c>
      <c r="EA77" s="183">
        <f t="shared" si="144"/>
        <v>0</v>
      </c>
      <c r="EB77" s="183">
        <f t="shared" si="144"/>
        <v>0</v>
      </c>
      <c r="EC77" s="183">
        <f t="shared" si="144"/>
        <v>0</v>
      </c>
      <c r="ED77" s="183">
        <f t="shared" si="144"/>
        <v>0</v>
      </c>
      <c r="EE77" s="183">
        <f t="shared" si="144"/>
        <v>0</v>
      </c>
      <c r="EF77" s="183">
        <f t="shared" si="144"/>
        <v>0</v>
      </c>
      <c r="EG77" s="183">
        <f t="shared" si="144"/>
        <v>0</v>
      </c>
      <c r="EH77" s="183">
        <f t="shared" si="144"/>
        <v>0</v>
      </c>
      <c r="EI77" s="183">
        <f t="shared" si="144"/>
        <v>0</v>
      </c>
      <c r="EJ77" s="183">
        <f t="shared" si="144"/>
        <v>0</v>
      </c>
      <c r="EK77" s="183">
        <f t="shared" si="144"/>
        <v>0</v>
      </c>
      <c r="EL77" s="183">
        <f t="shared" si="144"/>
        <v>0</v>
      </c>
      <c r="EM77" s="183">
        <f t="shared" si="144"/>
        <v>0</v>
      </c>
      <c r="EN77" s="183">
        <f t="shared" si="144"/>
        <v>0</v>
      </c>
      <c r="EO77" s="183">
        <f t="shared" si="144"/>
        <v>0</v>
      </c>
      <c r="EP77" s="183">
        <f t="shared" si="144"/>
        <v>0</v>
      </c>
      <c r="EQ77" s="183">
        <f t="shared" si="144"/>
        <v>0</v>
      </c>
      <c r="ER77" s="183">
        <f t="shared" si="144"/>
        <v>0</v>
      </c>
      <c r="ES77" s="183">
        <f t="shared" si="144"/>
        <v>0</v>
      </c>
      <c r="ET77" s="183">
        <f t="shared" si="144"/>
        <v>0</v>
      </c>
      <c r="EU77" s="183">
        <f t="shared" si="144"/>
        <v>0</v>
      </c>
      <c r="EV77" s="183">
        <f t="shared" si="144"/>
        <v>0</v>
      </c>
      <c r="EW77" s="183">
        <f t="shared" si="137"/>
        <v>0</v>
      </c>
      <c r="EX77" s="183">
        <f t="shared" si="137"/>
        <v>0</v>
      </c>
      <c r="EY77" s="183">
        <f t="shared" si="137"/>
        <v>0</v>
      </c>
      <c r="EZ77" s="183">
        <f t="shared" si="137"/>
        <v>0</v>
      </c>
      <c r="FB77" s="609" t="s">
        <v>243</v>
      </c>
      <c r="FC77" s="144"/>
      <c r="FD77" s="144"/>
      <c r="FE77" s="144"/>
      <c r="FF77" s="144"/>
      <c r="FG77" s="144"/>
      <c r="FH77" s="144"/>
      <c r="FI77" s="144"/>
      <c r="FJ77" s="144"/>
      <c r="FK77" s="144"/>
      <c r="FL77" s="144"/>
      <c r="FM77" s="144"/>
      <c r="FN77" s="144"/>
      <c r="FO77" s="144"/>
      <c r="FP77" s="144"/>
      <c r="FQ77" s="144"/>
      <c r="FR77" s="144"/>
      <c r="FS77" s="144"/>
      <c r="FT77" s="144"/>
      <c r="FU77" s="144"/>
      <c r="FV77" s="144"/>
      <c r="FW77" s="144"/>
      <c r="FX77" s="144"/>
      <c r="FY77" s="144"/>
      <c r="FZ77" s="144"/>
      <c r="GA77" s="144"/>
      <c r="GB77" s="144"/>
      <c r="GC77" s="144"/>
      <c r="GD77" s="144"/>
      <c r="GE77" s="144"/>
      <c r="GF77" s="144"/>
      <c r="GG77" s="144"/>
      <c r="GH77" s="144"/>
      <c r="GI77" s="144"/>
      <c r="GJ77" s="144"/>
      <c r="GK77" s="144"/>
      <c r="GL77" s="144"/>
      <c r="GM77" s="144"/>
      <c r="GN77" s="144"/>
      <c r="GO77" s="144"/>
      <c r="GP77" s="144"/>
      <c r="GQ77" s="144"/>
      <c r="GR77" s="144"/>
      <c r="GS77" s="144"/>
      <c r="GT77" s="144"/>
      <c r="GU77" s="144"/>
      <c r="GV77" s="144"/>
      <c r="GW77" s="144"/>
      <c r="GX77" s="144"/>
      <c r="GY77" s="144"/>
      <c r="GZ77" s="144"/>
      <c r="HA77" s="144"/>
      <c r="HB77" s="144"/>
      <c r="HC77" s="144"/>
      <c r="HD77" s="144"/>
      <c r="HE77" s="144"/>
      <c r="HF77" s="144"/>
      <c r="HG77" s="144"/>
      <c r="HH77" s="144"/>
      <c r="HI77" s="144"/>
      <c r="HJ77" s="144"/>
      <c r="HK77" s="144"/>
    </row>
    <row r="78" spans="1:219" s="158" customFormat="1" x14ac:dyDescent="0.2">
      <c r="A78" s="630"/>
      <c r="B78" s="638" t="s">
        <v>673</v>
      </c>
      <c r="C78" s="162"/>
      <c r="D78" s="443">
        <v>0</v>
      </c>
      <c r="E78" s="199">
        <f>IF(units=0,0,'Renovation Budget'!D78/units)</f>
        <v>0</v>
      </c>
      <c r="F78" s="640">
        <v>0</v>
      </c>
      <c r="G78" s="640">
        <v>0</v>
      </c>
      <c r="H78" s="641">
        <f t="shared" si="132"/>
        <v>0</v>
      </c>
      <c r="I78" s="642" t="s">
        <v>107</v>
      </c>
      <c r="J78" s="643" t="s">
        <v>42</v>
      </c>
      <c r="K78" s="644"/>
      <c r="L78" s="183">
        <f t="shared" si="139"/>
        <v>0</v>
      </c>
      <c r="M78" s="183">
        <f t="shared" si="139"/>
        <v>0</v>
      </c>
      <c r="N78" s="183">
        <f t="shared" si="139"/>
        <v>0</v>
      </c>
      <c r="O78" s="183">
        <f t="shared" si="139"/>
        <v>0</v>
      </c>
      <c r="P78" s="183">
        <f t="shared" si="139"/>
        <v>0</v>
      </c>
      <c r="Q78" s="183">
        <f t="shared" si="139"/>
        <v>0</v>
      </c>
      <c r="R78" s="183">
        <f t="shared" si="139"/>
        <v>0</v>
      </c>
      <c r="S78" s="183">
        <f t="shared" si="139"/>
        <v>0</v>
      </c>
      <c r="T78" s="183">
        <f t="shared" si="139"/>
        <v>0</v>
      </c>
      <c r="U78" s="183">
        <f t="shared" si="139"/>
        <v>0</v>
      </c>
      <c r="V78" s="183">
        <f t="shared" si="139"/>
        <v>0</v>
      </c>
      <c r="W78" s="644"/>
      <c r="X78" s="183">
        <f t="shared" si="134"/>
        <v>0</v>
      </c>
      <c r="Y78" s="183">
        <f t="shared" si="135"/>
        <v>0</v>
      </c>
      <c r="Z78" s="183">
        <f t="shared" ref="Z78:CK81" si="145">IF(OR(Z$3&gt;=$G78,Z$3&lt;$F78),0,(_xlfn.NORM.DIST(Z$3-$F78+1,$H78/2,INDEX($E$115:$E$118,MATCH($I78,$D$115:$D$118,0)),TRUE)-_xlfn.NORM.DIST(Y$3-$F78+1,$H78/2,INDEX($E$115:$E$118,MATCH($I78,$D$115:$D$118,0)),TRUE))/(1-2*_xlfn.NORM.DIST(0,$H78/2,INDEX($E$115:$E$118,MATCH($I78,$D$115:$D$118,0)),TRUE))*$D78)</f>
        <v>0</v>
      </c>
      <c r="AA78" s="183">
        <f t="shared" si="145"/>
        <v>0</v>
      </c>
      <c r="AB78" s="183">
        <f t="shared" si="145"/>
        <v>0</v>
      </c>
      <c r="AC78" s="183">
        <f t="shared" si="145"/>
        <v>0</v>
      </c>
      <c r="AD78" s="183">
        <f t="shared" si="145"/>
        <v>0</v>
      </c>
      <c r="AE78" s="183">
        <f t="shared" si="145"/>
        <v>0</v>
      </c>
      <c r="AF78" s="183">
        <f t="shared" si="145"/>
        <v>0</v>
      </c>
      <c r="AG78" s="183">
        <f t="shared" si="145"/>
        <v>0</v>
      </c>
      <c r="AH78" s="183">
        <f t="shared" si="145"/>
        <v>0</v>
      </c>
      <c r="AI78" s="183">
        <f t="shared" si="145"/>
        <v>0</v>
      </c>
      <c r="AJ78" s="183">
        <f t="shared" si="145"/>
        <v>0</v>
      </c>
      <c r="AK78" s="183">
        <f t="shared" si="145"/>
        <v>0</v>
      </c>
      <c r="AL78" s="183">
        <f t="shared" si="145"/>
        <v>0</v>
      </c>
      <c r="AM78" s="183">
        <f t="shared" si="145"/>
        <v>0</v>
      </c>
      <c r="AN78" s="183">
        <f t="shared" si="145"/>
        <v>0</v>
      </c>
      <c r="AO78" s="183">
        <f t="shared" si="145"/>
        <v>0</v>
      </c>
      <c r="AP78" s="183">
        <f t="shared" si="145"/>
        <v>0</v>
      </c>
      <c r="AQ78" s="183">
        <f t="shared" si="145"/>
        <v>0</v>
      </c>
      <c r="AR78" s="183">
        <f t="shared" si="145"/>
        <v>0</v>
      </c>
      <c r="AS78" s="183">
        <f t="shared" si="145"/>
        <v>0</v>
      </c>
      <c r="AT78" s="183">
        <f t="shared" si="145"/>
        <v>0</v>
      </c>
      <c r="AU78" s="183">
        <f t="shared" si="145"/>
        <v>0</v>
      </c>
      <c r="AV78" s="183">
        <f t="shared" si="145"/>
        <v>0</v>
      </c>
      <c r="AW78" s="183">
        <f t="shared" si="145"/>
        <v>0</v>
      </c>
      <c r="AX78" s="183">
        <f t="shared" si="145"/>
        <v>0</v>
      </c>
      <c r="AY78" s="183">
        <f t="shared" si="145"/>
        <v>0</v>
      </c>
      <c r="AZ78" s="183">
        <f t="shared" si="145"/>
        <v>0</v>
      </c>
      <c r="BA78" s="183">
        <f t="shared" si="145"/>
        <v>0</v>
      </c>
      <c r="BB78" s="183">
        <f t="shared" si="145"/>
        <v>0</v>
      </c>
      <c r="BC78" s="183">
        <f t="shared" si="145"/>
        <v>0</v>
      </c>
      <c r="BD78" s="183">
        <f t="shared" si="145"/>
        <v>0</v>
      </c>
      <c r="BE78" s="183">
        <f t="shared" si="145"/>
        <v>0</v>
      </c>
      <c r="BF78" s="183">
        <f t="shared" si="145"/>
        <v>0</v>
      </c>
      <c r="BG78" s="183">
        <f t="shared" si="145"/>
        <v>0</v>
      </c>
      <c r="BH78" s="183">
        <f t="shared" si="145"/>
        <v>0</v>
      </c>
      <c r="BI78" s="183">
        <f t="shared" si="145"/>
        <v>0</v>
      </c>
      <c r="BJ78" s="183">
        <f t="shared" si="145"/>
        <v>0</v>
      </c>
      <c r="BK78" s="183">
        <f t="shared" si="145"/>
        <v>0</v>
      </c>
      <c r="BL78" s="183">
        <f t="shared" si="145"/>
        <v>0</v>
      </c>
      <c r="BM78" s="183">
        <f t="shared" si="145"/>
        <v>0</v>
      </c>
      <c r="BN78" s="183">
        <f t="shared" si="145"/>
        <v>0</v>
      </c>
      <c r="BO78" s="183">
        <f t="shared" si="145"/>
        <v>0</v>
      </c>
      <c r="BP78" s="183">
        <f t="shared" si="145"/>
        <v>0</v>
      </c>
      <c r="BQ78" s="183">
        <f t="shared" si="145"/>
        <v>0</v>
      </c>
      <c r="BR78" s="183">
        <f t="shared" si="145"/>
        <v>0</v>
      </c>
      <c r="BS78" s="183">
        <f t="shared" si="145"/>
        <v>0</v>
      </c>
      <c r="BT78" s="183">
        <f t="shared" si="145"/>
        <v>0</v>
      </c>
      <c r="BU78" s="183">
        <f t="shared" si="145"/>
        <v>0</v>
      </c>
      <c r="BV78" s="183">
        <f t="shared" si="145"/>
        <v>0</v>
      </c>
      <c r="BW78" s="183">
        <f t="shared" si="145"/>
        <v>0</v>
      </c>
      <c r="BX78" s="183">
        <f t="shared" si="145"/>
        <v>0</v>
      </c>
      <c r="BY78" s="183">
        <f t="shared" si="145"/>
        <v>0</v>
      </c>
      <c r="BZ78" s="183">
        <f t="shared" si="145"/>
        <v>0</v>
      </c>
      <c r="CA78" s="183">
        <f t="shared" si="145"/>
        <v>0</v>
      </c>
      <c r="CB78" s="183">
        <f t="shared" si="145"/>
        <v>0</v>
      </c>
      <c r="CC78" s="183">
        <f t="shared" si="145"/>
        <v>0</v>
      </c>
      <c r="CD78" s="183">
        <f t="shared" si="145"/>
        <v>0</v>
      </c>
      <c r="CE78" s="183">
        <f t="shared" si="145"/>
        <v>0</v>
      </c>
      <c r="CF78" s="183">
        <f t="shared" si="145"/>
        <v>0</v>
      </c>
      <c r="CG78" s="183">
        <f t="shared" si="145"/>
        <v>0</v>
      </c>
      <c r="CH78" s="183">
        <f t="shared" si="145"/>
        <v>0</v>
      </c>
      <c r="CI78" s="183">
        <f t="shared" si="145"/>
        <v>0</v>
      </c>
      <c r="CJ78" s="183">
        <f t="shared" si="145"/>
        <v>0</v>
      </c>
      <c r="CK78" s="183">
        <f t="shared" si="145"/>
        <v>0</v>
      </c>
      <c r="CL78" s="183">
        <f t="shared" si="144"/>
        <v>0</v>
      </c>
      <c r="CM78" s="183">
        <f t="shared" si="144"/>
        <v>0</v>
      </c>
      <c r="CN78" s="183">
        <f t="shared" si="144"/>
        <v>0</v>
      </c>
      <c r="CO78" s="183">
        <f t="shared" si="144"/>
        <v>0</v>
      </c>
      <c r="CP78" s="183">
        <f t="shared" si="144"/>
        <v>0</v>
      </c>
      <c r="CQ78" s="183">
        <f t="shared" si="144"/>
        <v>0</v>
      </c>
      <c r="CR78" s="183">
        <f t="shared" si="144"/>
        <v>0</v>
      </c>
      <c r="CS78" s="183">
        <f t="shared" si="144"/>
        <v>0</v>
      </c>
      <c r="CT78" s="183">
        <f t="shared" si="144"/>
        <v>0</v>
      </c>
      <c r="CU78" s="183">
        <f t="shared" si="144"/>
        <v>0</v>
      </c>
      <c r="CV78" s="183">
        <f t="shared" si="144"/>
        <v>0</v>
      </c>
      <c r="CW78" s="183">
        <f t="shared" si="144"/>
        <v>0</v>
      </c>
      <c r="CX78" s="183">
        <f t="shared" si="144"/>
        <v>0</v>
      </c>
      <c r="CY78" s="183">
        <f t="shared" si="144"/>
        <v>0</v>
      </c>
      <c r="CZ78" s="183">
        <f t="shared" si="144"/>
        <v>0</v>
      </c>
      <c r="DA78" s="183">
        <f t="shared" si="144"/>
        <v>0</v>
      </c>
      <c r="DB78" s="183">
        <f t="shared" si="144"/>
        <v>0</v>
      </c>
      <c r="DC78" s="183">
        <f t="shared" si="144"/>
        <v>0</v>
      </c>
      <c r="DD78" s="183">
        <f t="shared" si="144"/>
        <v>0</v>
      </c>
      <c r="DE78" s="183">
        <f t="shared" si="144"/>
        <v>0</v>
      </c>
      <c r="DF78" s="183">
        <f t="shared" si="144"/>
        <v>0</v>
      </c>
      <c r="DG78" s="183">
        <f t="shared" si="144"/>
        <v>0</v>
      </c>
      <c r="DH78" s="183">
        <f t="shared" si="144"/>
        <v>0</v>
      </c>
      <c r="DI78" s="183">
        <f t="shared" si="144"/>
        <v>0</v>
      </c>
      <c r="DJ78" s="183">
        <f t="shared" si="144"/>
        <v>0</v>
      </c>
      <c r="DK78" s="183">
        <f t="shared" si="144"/>
        <v>0</v>
      </c>
      <c r="DL78" s="183">
        <f t="shared" si="144"/>
        <v>0</v>
      </c>
      <c r="DM78" s="183">
        <f t="shared" si="144"/>
        <v>0</v>
      </c>
      <c r="DN78" s="183">
        <f t="shared" si="144"/>
        <v>0</v>
      </c>
      <c r="DO78" s="183">
        <f t="shared" si="144"/>
        <v>0</v>
      </c>
      <c r="DP78" s="183">
        <f t="shared" si="144"/>
        <v>0</v>
      </c>
      <c r="DQ78" s="183">
        <f t="shared" si="144"/>
        <v>0</v>
      </c>
      <c r="DR78" s="183">
        <f t="shared" si="144"/>
        <v>0</v>
      </c>
      <c r="DS78" s="183">
        <f t="shared" si="144"/>
        <v>0</v>
      </c>
      <c r="DT78" s="183">
        <f t="shared" si="144"/>
        <v>0</v>
      </c>
      <c r="DU78" s="183">
        <f t="shared" si="144"/>
        <v>0</v>
      </c>
      <c r="DV78" s="183">
        <f t="shared" si="144"/>
        <v>0</v>
      </c>
      <c r="DW78" s="183">
        <f t="shared" si="144"/>
        <v>0</v>
      </c>
      <c r="DX78" s="183">
        <f t="shared" si="144"/>
        <v>0</v>
      </c>
      <c r="DY78" s="183">
        <f t="shared" si="144"/>
        <v>0</v>
      </c>
      <c r="DZ78" s="183">
        <f t="shared" si="144"/>
        <v>0</v>
      </c>
      <c r="EA78" s="183">
        <f t="shared" si="144"/>
        <v>0</v>
      </c>
      <c r="EB78" s="183">
        <f t="shared" si="144"/>
        <v>0</v>
      </c>
      <c r="EC78" s="183">
        <f t="shared" si="144"/>
        <v>0</v>
      </c>
      <c r="ED78" s="183">
        <f t="shared" si="144"/>
        <v>0</v>
      </c>
      <c r="EE78" s="183">
        <f t="shared" si="144"/>
        <v>0</v>
      </c>
      <c r="EF78" s="183">
        <f t="shared" si="144"/>
        <v>0</v>
      </c>
      <c r="EG78" s="183">
        <f t="shared" si="144"/>
        <v>0</v>
      </c>
      <c r="EH78" s="183">
        <f t="shared" si="144"/>
        <v>0</v>
      </c>
      <c r="EI78" s="183">
        <f t="shared" si="144"/>
        <v>0</v>
      </c>
      <c r="EJ78" s="183">
        <f t="shared" si="144"/>
        <v>0</v>
      </c>
      <c r="EK78" s="183">
        <f t="shared" si="144"/>
        <v>0</v>
      </c>
      <c r="EL78" s="183">
        <f t="shared" si="144"/>
        <v>0</v>
      </c>
      <c r="EM78" s="183">
        <f t="shared" si="144"/>
        <v>0</v>
      </c>
      <c r="EN78" s="183">
        <f t="shared" si="144"/>
        <v>0</v>
      </c>
      <c r="EO78" s="183">
        <f t="shared" si="144"/>
        <v>0</v>
      </c>
      <c r="EP78" s="183">
        <f t="shared" si="144"/>
        <v>0</v>
      </c>
      <c r="EQ78" s="183">
        <f t="shared" si="144"/>
        <v>0</v>
      </c>
      <c r="ER78" s="183">
        <f t="shared" si="144"/>
        <v>0</v>
      </c>
      <c r="ES78" s="183">
        <f t="shared" si="144"/>
        <v>0</v>
      </c>
      <c r="ET78" s="183">
        <f t="shared" si="144"/>
        <v>0</v>
      </c>
      <c r="EU78" s="183">
        <f t="shared" si="144"/>
        <v>0</v>
      </c>
      <c r="EV78" s="183">
        <f t="shared" si="144"/>
        <v>0</v>
      </c>
      <c r="EW78" s="183">
        <f t="shared" si="137"/>
        <v>0</v>
      </c>
      <c r="EX78" s="183">
        <f t="shared" si="137"/>
        <v>0</v>
      </c>
      <c r="EY78" s="183">
        <f t="shared" si="137"/>
        <v>0</v>
      </c>
      <c r="EZ78" s="183">
        <f t="shared" si="137"/>
        <v>0</v>
      </c>
      <c r="FB78" s="609" t="s">
        <v>243</v>
      </c>
      <c r="FC78" s="144"/>
      <c r="FD78" s="144"/>
      <c r="FE78" s="144"/>
      <c r="FF78" s="144"/>
      <c r="FG78" s="144"/>
      <c r="FH78" s="144"/>
      <c r="FI78" s="144"/>
      <c r="FJ78" s="144"/>
      <c r="FK78" s="144"/>
      <c r="FL78" s="144"/>
      <c r="FM78" s="144"/>
      <c r="FN78" s="144"/>
      <c r="FO78" s="144"/>
      <c r="FP78" s="144"/>
      <c r="FQ78" s="144"/>
      <c r="FR78" s="144"/>
      <c r="FS78" s="144"/>
      <c r="FT78" s="144"/>
      <c r="FU78" s="144"/>
      <c r="FV78" s="144"/>
      <c r="FW78" s="144"/>
      <c r="FX78" s="144"/>
      <c r="FY78" s="144"/>
      <c r="FZ78" s="144"/>
      <c r="GA78" s="144"/>
      <c r="GB78" s="144"/>
      <c r="GC78" s="144"/>
      <c r="GD78" s="144"/>
      <c r="GE78" s="144"/>
      <c r="GF78" s="144"/>
      <c r="GG78" s="144"/>
      <c r="GH78" s="144"/>
      <c r="GI78" s="144"/>
      <c r="GJ78" s="144"/>
      <c r="GK78" s="144"/>
      <c r="GL78" s="144"/>
      <c r="GM78" s="144"/>
      <c r="GN78" s="144"/>
      <c r="GO78" s="144"/>
      <c r="GP78" s="144"/>
      <c r="GQ78" s="144"/>
      <c r="GR78" s="144"/>
      <c r="GS78" s="144"/>
      <c r="GT78" s="144"/>
      <c r="GU78" s="144"/>
      <c r="GV78" s="144"/>
      <c r="GW78" s="144"/>
      <c r="GX78" s="144"/>
      <c r="GY78" s="144"/>
      <c r="GZ78" s="144"/>
      <c r="HA78" s="144"/>
      <c r="HB78" s="144"/>
      <c r="HC78" s="144"/>
      <c r="HD78" s="144"/>
      <c r="HE78" s="144"/>
      <c r="HF78" s="144"/>
      <c r="HG78" s="144"/>
      <c r="HH78" s="144"/>
      <c r="HI78" s="144"/>
      <c r="HJ78" s="144"/>
      <c r="HK78" s="144"/>
    </row>
    <row r="79" spans="1:219" s="158" customFormat="1" x14ac:dyDescent="0.2">
      <c r="A79" s="630"/>
      <c r="B79" s="638" t="s">
        <v>674</v>
      </c>
      <c r="C79" s="162"/>
      <c r="D79" s="443">
        <v>0</v>
      </c>
      <c r="E79" s="199">
        <f>IF(units=0,0,'Renovation Budget'!D79/units)</f>
        <v>0</v>
      </c>
      <c r="F79" s="640">
        <v>0</v>
      </c>
      <c r="G79" s="640">
        <v>0</v>
      </c>
      <c r="H79" s="641">
        <f t="shared" si="132"/>
        <v>0</v>
      </c>
      <c r="I79" s="642" t="s">
        <v>107</v>
      </c>
      <c r="J79" s="643" t="s">
        <v>42</v>
      </c>
      <c r="K79" s="644"/>
      <c r="L79" s="183">
        <f t="shared" si="139"/>
        <v>0</v>
      </c>
      <c r="M79" s="183">
        <f t="shared" si="139"/>
        <v>0</v>
      </c>
      <c r="N79" s="183">
        <f t="shared" si="139"/>
        <v>0</v>
      </c>
      <c r="O79" s="183">
        <f t="shared" si="139"/>
        <v>0</v>
      </c>
      <c r="P79" s="183">
        <f t="shared" si="139"/>
        <v>0</v>
      </c>
      <c r="Q79" s="183">
        <f t="shared" si="139"/>
        <v>0</v>
      </c>
      <c r="R79" s="183">
        <f t="shared" si="139"/>
        <v>0</v>
      </c>
      <c r="S79" s="183">
        <f t="shared" si="139"/>
        <v>0</v>
      </c>
      <c r="T79" s="183">
        <f t="shared" si="139"/>
        <v>0</v>
      </c>
      <c r="U79" s="183">
        <f t="shared" si="139"/>
        <v>0</v>
      </c>
      <c r="V79" s="183">
        <f t="shared" si="139"/>
        <v>0</v>
      </c>
      <c r="W79" s="644"/>
      <c r="X79" s="183">
        <f t="shared" si="134"/>
        <v>0</v>
      </c>
      <c r="Y79" s="183">
        <f t="shared" si="135"/>
        <v>0</v>
      </c>
      <c r="Z79" s="183">
        <f t="shared" si="145"/>
        <v>0</v>
      </c>
      <c r="AA79" s="183">
        <f t="shared" si="145"/>
        <v>0</v>
      </c>
      <c r="AB79" s="183">
        <f t="shared" si="145"/>
        <v>0</v>
      </c>
      <c r="AC79" s="183">
        <f t="shared" si="145"/>
        <v>0</v>
      </c>
      <c r="AD79" s="183">
        <f t="shared" si="145"/>
        <v>0</v>
      </c>
      <c r="AE79" s="183">
        <f t="shared" si="145"/>
        <v>0</v>
      </c>
      <c r="AF79" s="183">
        <f t="shared" si="145"/>
        <v>0</v>
      </c>
      <c r="AG79" s="183">
        <f t="shared" si="145"/>
        <v>0</v>
      </c>
      <c r="AH79" s="183">
        <f t="shared" si="145"/>
        <v>0</v>
      </c>
      <c r="AI79" s="183">
        <f t="shared" si="145"/>
        <v>0</v>
      </c>
      <c r="AJ79" s="183">
        <f t="shared" si="145"/>
        <v>0</v>
      </c>
      <c r="AK79" s="183">
        <f t="shared" si="145"/>
        <v>0</v>
      </c>
      <c r="AL79" s="183">
        <f t="shared" si="145"/>
        <v>0</v>
      </c>
      <c r="AM79" s="183">
        <f t="shared" si="145"/>
        <v>0</v>
      </c>
      <c r="AN79" s="183">
        <f t="shared" si="145"/>
        <v>0</v>
      </c>
      <c r="AO79" s="183">
        <f t="shared" si="145"/>
        <v>0</v>
      </c>
      <c r="AP79" s="183">
        <f t="shared" si="145"/>
        <v>0</v>
      </c>
      <c r="AQ79" s="183">
        <f t="shared" si="145"/>
        <v>0</v>
      </c>
      <c r="AR79" s="183">
        <f t="shared" si="145"/>
        <v>0</v>
      </c>
      <c r="AS79" s="183">
        <f t="shared" si="145"/>
        <v>0</v>
      </c>
      <c r="AT79" s="183">
        <f t="shared" si="145"/>
        <v>0</v>
      </c>
      <c r="AU79" s="183">
        <f t="shared" si="145"/>
        <v>0</v>
      </c>
      <c r="AV79" s="183">
        <f t="shared" si="145"/>
        <v>0</v>
      </c>
      <c r="AW79" s="183">
        <f t="shared" si="145"/>
        <v>0</v>
      </c>
      <c r="AX79" s="183">
        <f t="shared" si="145"/>
        <v>0</v>
      </c>
      <c r="AY79" s="183">
        <f t="shared" si="145"/>
        <v>0</v>
      </c>
      <c r="AZ79" s="183">
        <f t="shared" si="145"/>
        <v>0</v>
      </c>
      <c r="BA79" s="183">
        <f t="shared" si="145"/>
        <v>0</v>
      </c>
      <c r="BB79" s="183">
        <f t="shared" si="145"/>
        <v>0</v>
      </c>
      <c r="BC79" s="183">
        <f t="shared" si="145"/>
        <v>0</v>
      </c>
      <c r="BD79" s="183">
        <f t="shared" si="145"/>
        <v>0</v>
      </c>
      <c r="BE79" s="183">
        <f t="shared" si="145"/>
        <v>0</v>
      </c>
      <c r="BF79" s="183">
        <f t="shared" si="145"/>
        <v>0</v>
      </c>
      <c r="BG79" s="183">
        <f t="shared" si="145"/>
        <v>0</v>
      </c>
      <c r="BH79" s="183">
        <f t="shared" si="145"/>
        <v>0</v>
      </c>
      <c r="BI79" s="183">
        <f t="shared" si="145"/>
        <v>0</v>
      </c>
      <c r="BJ79" s="183">
        <f t="shared" si="145"/>
        <v>0</v>
      </c>
      <c r="BK79" s="183">
        <f t="shared" si="145"/>
        <v>0</v>
      </c>
      <c r="BL79" s="183">
        <f t="shared" si="145"/>
        <v>0</v>
      </c>
      <c r="BM79" s="183">
        <f t="shared" si="145"/>
        <v>0</v>
      </c>
      <c r="BN79" s="183">
        <f t="shared" si="145"/>
        <v>0</v>
      </c>
      <c r="BO79" s="183">
        <f t="shared" si="145"/>
        <v>0</v>
      </c>
      <c r="BP79" s="183">
        <f t="shared" si="145"/>
        <v>0</v>
      </c>
      <c r="BQ79" s="183">
        <f t="shared" si="145"/>
        <v>0</v>
      </c>
      <c r="BR79" s="183">
        <f t="shared" si="145"/>
        <v>0</v>
      </c>
      <c r="BS79" s="183">
        <f t="shared" si="145"/>
        <v>0</v>
      </c>
      <c r="BT79" s="183">
        <f t="shared" si="145"/>
        <v>0</v>
      </c>
      <c r="BU79" s="183">
        <f t="shared" si="145"/>
        <v>0</v>
      </c>
      <c r="BV79" s="183">
        <f t="shared" si="145"/>
        <v>0</v>
      </c>
      <c r="BW79" s="183">
        <f t="shared" si="145"/>
        <v>0</v>
      </c>
      <c r="BX79" s="183">
        <f t="shared" si="145"/>
        <v>0</v>
      </c>
      <c r="BY79" s="183">
        <f t="shared" si="145"/>
        <v>0</v>
      </c>
      <c r="BZ79" s="183">
        <f t="shared" si="145"/>
        <v>0</v>
      </c>
      <c r="CA79" s="183">
        <f t="shared" si="145"/>
        <v>0</v>
      </c>
      <c r="CB79" s="183">
        <f t="shared" si="145"/>
        <v>0</v>
      </c>
      <c r="CC79" s="183">
        <f t="shared" si="145"/>
        <v>0</v>
      </c>
      <c r="CD79" s="183">
        <f t="shared" si="145"/>
        <v>0</v>
      </c>
      <c r="CE79" s="183">
        <f t="shared" si="145"/>
        <v>0</v>
      </c>
      <c r="CF79" s="183">
        <f t="shared" si="145"/>
        <v>0</v>
      </c>
      <c r="CG79" s="183">
        <f t="shared" si="145"/>
        <v>0</v>
      </c>
      <c r="CH79" s="183">
        <f t="shared" si="145"/>
        <v>0</v>
      </c>
      <c r="CI79" s="183">
        <f t="shared" si="145"/>
        <v>0</v>
      </c>
      <c r="CJ79" s="183">
        <f t="shared" si="145"/>
        <v>0</v>
      </c>
      <c r="CK79" s="183">
        <f t="shared" si="145"/>
        <v>0</v>
      </c>
      <c r="CL79" s="183">
        <f t="shared" si="144"/>
        <v>0</v>
      </c>
      <c r="CM79" s="183">
        <f t="shared" si="144"/>
        <v>0</v>
      </c>
      <c r="CN79" s="183">
        <f t="shared" si="144"/>
        <v>0</v>
      </c>
      <c r="CO79" s="183">
        <f t="shared" si="144"/>
        <v>0</v>
      </c>
      <c r="CP79" s="183">
        <f t="shared" si="144"/>
        <v>0</v>
      </c>
      <c r="CQ79" s="183">
        <f t="shared" si="144"/>
        <v>0</v>
      </c>
      <c r="CR79" s="183">
        <f t="shared" si="144"/>
        <v>0</v>
      </c>
      <c r="CS79" s="183">
        <f t="shared" si="144"/>
        <v>0</v>
      </c>
      <c r="CT79" s="183">
        <f t="shared" si="144"/>
        <v>0</v>
      </c>
      <c r="CU79" s="183">
        <f t="shared" si="144"/>
        <v>0</v>
      </c>
      <c r="CV79" s="183">
        <f t="shared" si="144"/>
        <v>0</v>
      </c>
      <c r="CW79" s="183">
        <f t="shared" si="144"/>
        <v>0</v>
      </c>
      <c r="CX79" s="183">
        <f t="shared" si="144"/>
        <v>0</v>
      </c>
      <c r="CY79" s="183">
        <f t="shared" si="144"/>
        <v>0</v>
      </c>
      <c r="CZ79" s="183">
        <f t="shared" si="144"/>
        <v>0</v>
      </c>
      <c r="DA79" s="183">
        <f t="shared" si="144"/>
        <v>0</v>
      </c>
      <c r="DB79" s="183">
        <f t="shared" si="144"/>
        <v>0</v>
      </c>
      <c r="DC79" s="183">
        <f t="shared" si="144"/>
        <v>0</v>
      </c>
      <c r="DD79" s="183">
        <f t="shared" si="144"/>
        <v>0</v>
      </c>
      <c r="DE79" s="183">
        <f t="shared" si="144"/>
        <v>0</v>
      </c>
      <c r="DF79" s="183">
        <f t="shared" si="144"/>
        <v>0</v>
      </c>
      <c r="DG79" s="183">
        <f t="shared" si="144"/>
        <v>0</v>
      </c>
      <c r="DH79" s="183">
        <f t="shared" si="144"/>
        <v>0</v>
      </c>
      <c r="DI79" s="183">
        <f t="shared" si="144"/>
        <v>0</v>
      </c>
      <c r="DJ79" s="183">
        <f t="shared" si="144"/>
        <v>0</v>
      </c>
      <c r="DK79" s="183">
        <f t="shared" si="144"/>
        <v>0</v>
      </c>
      <c r="DL79" s="183">
        <f t="shared" si="144"/>
        <v>0</v>
      </c>
      <c r="DM79" s="183">
        <f t="shared" si="144"/>
        <v>0</v>
      </c>
      <c r="DN79" s="183">
        <f t="shared" si="144"/>
        <v>0</v>
      </c>
      <c r="DO79" s="183">
        <f t="shared" si="144"/>
        <v>0</v>
      </c>
      <c r="DP79" s="183">
        <f t="shared" si="144"/>
        <v>0</v>
      </c>
      <c r="DQ79" s="183">
        <f t="shared" si="144"/>
        <v>0</v>
      </c>
      <c r="DR79" s="183">
        <f t="shared" si="144"/>
        <v>0</v>
      </c>
      <c r="DS79" s="183">
        <f t="shared" si="144"/>
        <v>0</v>
      </c>
      <c r="DT79" s="183">
        <f t="shared" si="144"/>
        <v>0</v>
      </c>
      <c r="DU79" s="183">
        <f t="shared" si="144"/>
        <v>0</v>
      </c>
      <c r="DV79" s="183">
        <f t="shared" si="144"/>
        <v>0</v>
      </c>
      <c r="DW79" s="183">
        <f t="shared" si="144"/>
        <v>0</v>
      </c>
      <c r="DX79" s="183">
        <f t="shared" si="144"/>
        <v>0</v>
      </c>
      <c r="DY79" s="183">
        <f t="shared" si="144"/>
        <v>0</v>
      </c>
      <c r="DZ79" s="183">
        <f t="shared" si="144"/>
        <v>0</v>
      </c>
      <c r="EA79" s="183">
        <f t="shared" si="144"/>
        <v>0</v>
      </c>
      <c r="EB79" s="183">
        <f t="shared" si="144"/>
        <v>0</v>
      </c>
      <c r="EC79" s="183">
        <f t="shared" si="144"/>
        <v>0</v>
      </c>
      <c r="ED79" s="183">
        <f t="shared" si="144"/>
        <v>0</v>
      </c>
      <c r="EE79" s="183">
        <f t="shared" si="144"/>
        <v>0</v>
      </c>
      <c r="EF79" s="183">
        <f t="shared" si="144"/>
        <v>0</v>
      </c>
      <c r="EG79" s="183">
        <f t="shared" si="144"/>
        <v>0</v>
      </c>
      <c r="EH79" s="183">
        <f t="shared" si="144"/>
        <v>0</v>
      </c>
      <c r="EI79" s="183">
        <f t="shared" si="144"/>
        <v>0</v>
      </c>
      <c r="EJ79" s="183">
        <f t="shared" si="144"/>
        <v>0</v>
      </c>
      <c r="EK79" s="183">
        <f t="shared" si="144"/>
        <v>0</v>
      </c>
      <c r="EL79" s="183">
        <f t="shared" si="144"/>
        <v>0</v>
      </c>
      <c r="EM79" s="183">
        <f t="shared" si="144"/>
        <v>0</v>
      </c>
      <c r="EN79" s="183">
        <f t="shared" si="144"/>
        <v>0</v>
      </c>
      <c r="EO79" s="183">
        <f t="shared" si="144"/>
        <v>0</v>
      </c>
      <c r="EP79" s="183">
        <f t="shared" si="144"/>
        <v>0</v>
      </c>
      <c r="EQ79" s="183">
        <f t="shared" si="144"/>
        <v>0</v>
      </c>
      <c r="ER79" s="183">
        <f t="shared" si="144"/>
        <v>0</v>
      </c>
      <c r="ES79" s="183">
        <f t="shared" si="144"/>
        <v>0</v>
      </c>
      <c r="ET79" s="183">
        <f t="shared" si="144"/>
        <v>0</v>
      </c>
      <c r="EU79" s="183">
        <f t="shared" si="144"/>
        <v>0</v>
      </c>
      <c r="EV79" s="183">
        <f t="shared" si="144"/>
        <v>0</v>
      </c>
      <c r="EW79" s="183">
        <f t="shared" si="137"/>
        <v>0</v>
      </c>
      <c r="EX79" s="183">
        <f t="shared" si="137"/>
        <v>0</v>
      </c>
      <c r="EY79" s="183">
        <f t="shared" si="137"/>
        <v>0</v>
      </c>
      <c r="EZ79" s="183">
        <f t="shared" si="137"/>
        <v>0</v>
      </c>
      <c r="FB79" s="609" t="s">
        <v>243</v>
      </c>
      <c r="FC79" s="144"/>
      <c r="FD79" s="144"/>
      <c r="FE79" s="144"/>
      <c r="FF79" s="144"/>
      <c r="FG79" s="144"/>
      <c r="FH79" s="144"/>
      <c r="FI79" s="144"/>
      <c r="FJ79" s="144"/>
      <c r="FK79" s="144"/>
      <c r="FL79" s="144"/>
      <c r="FM79" s="144"/>
      <c r="FN79" s="144"/>
      <c r="FO79" s="144"/>
      <c r="FP79" s="144"/>
      <c r="FQ79" s="144"/>
      <c r="FR79" s="144"/>
      <c r="FS79" s="144"/>
      <c r="FT79" s="144"/>
      <c r="FU79" s="144"/>
      <c r="FV79" s="144"/>
      <c r="FW79" s="144"/>
      <c r="FX79" s="144"/>
      <c r="FY79" s="144"/>
      <c r="FZ79" s="144"/>
      <c r="GA79" s="144"/>
      <c r="GB79" s="144"/>
      <c r="GC79" s="144"/>
      <c r="GD79" s="144"/>
      <c r="GE79" s="144"/>
      <c r="GF79" s="144"/>
      <c r="GG79" s="144"/>
      <c r="GH79" s="144"/>
      <c r="GI79" s="144"/>
      <c r="GJ79" s="144"/>
      <c r="GK79" s="144"/>
      <c r="GL79" s="144"/>
      <c r="GM79" s="144"/>
      <c r="GN79" s="144"/>
      <c r="GO79" s="144"/>
      <c r="GP79" s="144"/>
      <c r="GQ79" s="144"/>
      <c r="GR79" s="144"/>
      <c r="GS79" s="144"/>
      <c r="GT79" s="144"/>
      <c r="GU79" s="144"/>
      <c r="GV79" s="144"/>
      <c r="GW79" s="144"/>
      <c r="GX79" s="144"/>
      <c r="GY79" s="144"/>
      <c r="GZ79" s="144"/>
      <c r="HA79" s="144"/>
      <c r="HB79" s="144"/>
      <c r="HC79" s="144"/>
      <c r="HD79" s="144"/>
      <c r="HE79" s="144"/>
      <c r="HF79" s="144"/>
      <c r="HG79" s="144"/>
      <c r="HH79" s="144"/>
      <c r="HI79" s="144"/>
      <c r="HJ79" s="144"/>
      <c r="HK79" s="144"/>
    </row>
    <row r="80" spans="1:219" s="158" customFormat="1" x14ac:dyDescent="0.2">
      <c r="A80" s="630"/>
      <c r="B80" s="638" t="s">
        <v>675</v>
      </c>
      <c r="C80" s="162"/>
      <c r="D80" s="443">
        <v>0</v>
      </c>
      <c r="E80" s="199">
        <f>IF(units=0,0,'Renovation Budget'!D80/units)</f>
        <v>0</v>
      </c>
      <c r="F80" s="640">
        <v>0</v>
      </c>
      <c r="G80" s="640">
        <v>0</v>
      </c>
      <c r="H80" s="641">
        <f t="shared" si="132"/>
        <v>0</v>
      </c>
      <c r="I80" s="642" t="s">
        <v>107</v>
      </c>
      <c r="J80" s="643" t="s">
        <v>42</v>
      </c>
      <c r="K80" s="644"/>
      <c r="L80" s="183">
        <f t="shared" si="139"/>
        <v>0</v>
      </c>
      <c r="M80" s="183">
        <f t="shared" si="139"/>
        <v>0</v>
      </c>
      <c r="N80" s="183">
        <f t="shared" si="139"/>
        <v>0</v>
      </c>
      <c r="O80" s="183">
        <f t="shared" si="139"/>
        <v>0</v>
      </c>
      <c r="P80" s="183">
        <f t="shared" si="139"/>
        <v>0</v>
      </c>
      <c r="Q80" s="183">
        <f t="shared" si="139"/>
        <v>0</v>
      </c>
      <c r="R80" s="183">
        <f t="shared" si="139"/>
        <v>0</v>
      </c>
      <c r="S80" s="183">
        <f t="shared" si="139"/>
        <v>0</v>
      </c>
      <c r="T80" s="183">
        <f t="shared" si="139"/>
        <v>0</v>
      </c>
      <c r="U80" s="183">
        <f t="shared" si="139"/>
        <v>0</v>
      </c>
      <c r="V80" s="183">
        <f t="shared" si="139"/>
        <v>0</v>
      </c>
      <c r="W80" s="644"/>
      <c r="X80" s="183">
        <f t="shared" si="134"/>
        <v>0</v>
      </c>
      <c r="Y80" s="183">
        <f t="shared" si="135"/>
        <v>0</v>
      </c>
      <c r="Z80" s="183">
        <f t="shared" si="145"/>
        <v>0</v>
      </c>
      <c r="AA80" s="183">
        <f t="shared" si="145"/>
        <v>0</v>
      </c>
      <c r="AB80" s="183">
        <f t="shared" si="145"/>
        <v>0</v>
      </c>
      <c r="AC80" s="183">
        <f t="shared" si="145"/>
        <v>0</v>
      </c>
      <c r="AD80" s="183">
        <f t="shared" si="145"/>
        <v>0</v>
      </c>
      <c r="AE80" s="183">
        <f t="shared" si="145"/>
        <v>0</v>
      </c>
      <c r="AF80" s="183">
        <f t="shared" si="145"/>
        <v>0</v>
      </c>
      <c r="AG80" s="183">
        <f t="shared" si="145"/>
        <v>0</v>
      </c>
      <c r="AH80" s="183">
        <f t="shared" si="145"/>
        <v>0</v>
      </c>
      <c r="AI80" s="183">
        <f t="shared" si="145"/>
        <v>0</v>
      </c>
      <c r="AJ80" s="183">
        <f t="shared" si="145"/>
        <v>0</v>
      </c>
      <c r="AK80" s="183">
        <f t="shared" si="145"/>
        <v>0</v>
      </c>
      <c r="AL80" s="183">
        <f t="shared" si="145"/>
        <v>0</v>
      </c>
      <c r="AM80" s="183">
        <f t="shared" si="145"/>
        <v>0</v>
      </c>
      <c r="AN80" s="183">
        <f t="shared" si="145"/>
        <v>0</v>
      </c>
      <c r="AO80" s="183">
        <f t="shared" si="145"/>
        <v>0</v>
      </c>
      <c r="AP80" s="183">
        <f t="shared" si="145"/>
        <v>0</v>
      </c>
      <c r="AQ80" s="183">
        <f t="shared" si="145"/>
        <v>0</v>
      </c>
      <c r="AR80" s="183">
        <f t="shared" si="145"/>
        <v>0</v>
      </c>
      <c r="AS80" s="183">
        <f t="shared" si="145"/>
        <v>0</v>
      </c>
      <c r="AT80" s="183">
        <f t="shared" si="145"/>
        <v>0</v>
      </c>
      <c r="AU80" s="183">
        <f t="shared" si="145"/>
        <v>0</v>
      </c>
      <c r="AV80" s="183">
        <f t="shared" si="145"/>
        <v>0</v>
      </c>
      <c r="AW80" s="183">
        <f t="shared" si="145"/>
        <v>0</v>
      </c>
      <c r="AX80" s="183">
        <f t="shared" si="145"/>
        <v>0</v>
      </c>
      <c r="AY80" s="183">
        <f t="shared" si="145"/>
        <v>0</v>
      </c>
      <c r="AZ80" s="183">
        <f t="shared" si="145"/>
        <v>0</v>
      </c>
      <c r="BA80" s="183">
        <f t="shared" si="145"/>
        <v>0</v>
      </c>
      <c r="BB80" s="183">
        <f t="shared" si="145"/>
        <v>0</v>
      </c>
      <c r="BC80" s="183">
        <f t="shared" si="145"/>
        <v>0</v>
      </c>
      <c r="BD80" s="183">
        <f t="shared" si="145"/>
        <v>0</v>
      </c>
      <c r="BE80" s="183">
        <f t="shared" si="145"/>
        <v>0</v>
      </c>
      <c r="BF80" s="183">
        <f t="shared" si="145"/>
        <v>0</v>
      </c>
      <c r="BG80" s="183">
        <f t="shared" si="145"/>
        <v>0</v>
      </c>
      <c r="BH80" s="183">
        <f t="shared" si="145"/>
        <v>0</v>
      </c>
      <c r="BI80" s="183">
        <f t="shared" si="145"/>
        <v>0</v>
      </c>
      <c r="BJ80" s="183">
        <f t="shared" si="145"/>
        <v>0</v>
      </c>
      <c r="BK80" s="183">
        <f t="shared" si="145"/>
        <v>0</v>
      </c>
      <c r="BL80" s="183">
        <f t="shared" si="145"/>
        <v>0</v>
      </c>
      <c r="BM80" s="183">
        <f t="shared" si="145"/>
        <v>0</v>
      </c>
      <c r="BN80" s="183">
        <f t="shared" si="145"/>
        <v>0</v>
      </c>
      <c r="BO80" s="183">
        <f t="shared" si="145"/>
        <v>0</v>
      </c>
      <c r="BP80" s="183">
        <f t="shared" si="145"/>
        <v>0</v>
      </c>
      <c r="BQ80" s="183">
        <f t="shared" si="145"/>
        <v>0</v>
      </c>
      <c r="BR80" s="183">
        <f t="shared" si="145"/>
        <v>0</v>
      </c>
      <c r="BS80" s="183">
        <f t="shared" si="145"/>
        <v>0</v>
      </c>
      <c r="BT80" s="183">
        <f t="shared" si="145"/>
        <v>0</v>
      </c>
      <c r="BU80" s="183">
        <f t="shared" si="145"/>
        <v>0</v>
      </c>
      <c r="BV80" s="183">
        <f t="shared" si="145"/>
        <v>0</v>
      </c>
      <c r="BW80" s="183">
        <f t="shared" si="145"/>
        <v>0</v>
      </c>
      <c r="BX80" s="183">
        <f t="shared" si="145"/>
        <v>0</v>
      </c>
      <c r="BY80" s="183">
        <f t="shared" si="145"/>
        <v>0</v>
      </c>
      <c r="BZ80" s="183">
        <f t="shared" si="145"/>
        <v>0</v>
      </c>
      <c r="CA80" s="183">
        <f t="shared" si="145"/>
        <v>0</v>
      </c>
      <c r="CB80" s="183">
        <f t="shared" si="145"/>
        <v>0</v>
      </c>
      <c r="CC80" s="183">
        <f t="shared" si="145"/>
        <v>0</v>
      </c>
      <c r="CD80" s="183">
        <f t="shared" si="145"/>
        <v>0</v>
      </c>
      <c r="CE80" s="183">
        <f t="shared" si="145"/>
        <v>0</v>
      </c>
      <c r="CF80" s="183">
        <f t="shared" si="145"/>
        <v>0</v>
      </c>
      <c r="CG80" s="183">
        <f t="shared" si="145"/>
        <v>0</v>
      </c>
      <c r="CH80" s="183">
        <f t="shared" si="145"/>
        <v>0</v>
      </c>
      <c r="CI80" s="183">
        <f t="shared" si="145"/>
        <v>0</v>
      </c>
      <c r="CJ80" s="183">
        <f t="shared" si="145"/>
        <v>0</v>
      </c>
      <c r="CK80" s="183">
        <f t="shared" si="145"/>
        <v>0</v>
      </c>
      <c r="CL80" s="183">
        <f t="shared" si="144"/>
        <v>0</v>
      </c>
      <c r="CM80" s="183">
        <f t="shared" si="144"/>
        <v>0</v>
      </c>
      <c r="CN80" s="183">
        <f t="shared" si="144"/>
        <v>0</v>
      </c>
      <c r="CO80" s="183">
        <f t="shared" si="144"/>
        <v>0</v>
      </c>
      <c r="CP80" s="183">
        <f t="shared" si="144"/>
        <v>0</v>
      </c>
      <c r="CQ80" s="183">
        <f t="shared" si="144"/>
        <v>0</v>
      </c>
      <c r="CR80" s="183">
        <f t="shared" si="144"/>
        <v>0</v>
      </c>
      <c r="CS80" s="183">
        <f t="shared" si="144"/>
        <v>0</v>
      </c>
      <c r="CT80" s="183">
        <f t="shared" si="144"/>
        <v>0</v>
      </c>
      <c r="CU80" s="183">
        <f t="shared" si="144"/>
        <v>0</v>
      </c>
      <c r="CV80" s="183">
        <f t="shared" si="144"/>
        <v>0</v>
      </c>
      <c r="CW80" s="183">
        <f t="shared" si="144"/>
        <v>0</v>
      </c>
      <c r="CX80" s="183">
        <f t="shared" si="144"/>
        <v>0</v>
      </c>
      <c r="CY80" s="183">
        <f t="shared" si="144"/>
        <v>0</v>
      </c>
      <c r="CZ80" s="183">
        <f t="shared" si="144"/>
        <v>0</v>
      </c>
      <c r="DA80" s="183">
        <f t="shared" si="144"/>
        <v>0</v>
      </c>
      <c r="DB80" s="183">
        <f t="shared" si="144"/>
        <v>0</v>
      </c>
      <c r="DC80" s="183">
        <f t="shared" si="144"/>
        <v>0</v>
      </c>
      <c r="DD80" s="183">
        <f t="shared" si="144"/>
        <v>0</v>
      </c>
      <c r="DE80" s="183">
        <f t="shared" si="144"/>
        <v>0</v>
      </c>
      <c r="DF80" s="183">
        <f t="shared" si="144"/>
        <v>0</v>
      </c>
      <c r="DG80" s="183">
        <f t="shared" si="144"/>
        <v>0</v>
      </c>
      <c r="DH80" s="183">
        <f t="shared" si="144"/>
        <v>0</v>
      </c>
      <c r="DI80" s="183">
        <f t="shared" si="144"/>
        <v>0</v>
      </c>
      <c r="DJ80" s="183">
        <f t="shared" si="144"/>
        <v>0</v>
      </c>
      <c r="DK80" s="183">
        <f t="shared" si="144"/>
        <v>0</v>
      </c>
      <c r="DL80" s="183">
        <f t="shared" si="144"/>
        <v>0</v>
      </c>
      <c r="DM80" s="183">
        <f t="shared" si="144"/>
        <v>0</v>
      </c>
      <c r="DN80" s="183">
        <f t="shared" si="144"/>
        <v>0</v>
      </c>
      <c r="DO80" s="183">
        <f t="shared" si="144"/>
        <v>0</v>
      </c>
      <c r="DP80" s="183">
        <f t="shared" si="144"/>
        <v>0</v>
      </c>
      <c r="DQ80" s="183">
        <f t="shared" si="144"/>
        <v>0</v>
      </c>
      <c r="DR80" s="183">
        <f t="shared" si="144"/>
        <v>0</v>
      </c>
      <c r="DS80" s="183">
        <f t="shared" si="144"/>
        <v>0</v>
      </c>
      <c r="DT80" s="183">
        <f t="shared" si="144"/>
        <v>0</v>
      </c>
      <c r="DU80" s="183">
        <f t="shared" si="144"/>
        <v>0</v>
      </c>
      <c r="DV80" s="183">
        <f t="shared" si="144"/>
        <v>0</v>
      </c>
      <c r="DW80" s="183">
        <f t="shared" si="144"/>
        <v>0</v>
      </c>
      <c r="DX80" s="183">
        <f t="shared" si="144"/>
        <v>0</v>
      </c>
      <c r="DY80" s="183">
        <f t="shared" si="144"/>
        <v>0</v>
      </c>
      <c r="DZ80" s="183">
        <f t="shared" si="144"/>
        <v>0</v>
      </c>
      <c r="EA80" s="183">
        <f t="shared" si="144"/>
        <v>0</v>
      </c>
      <c r="EB80" s="183">
        <f t="shared" si="144"/>
        <v>0</v>
      </c>
      <c r="EC80" s="183">
        <f t="shared" si="144"/>
        <v>0</v>
      </c>
      <c r="ED80" s="183">
        <f t="shared" si="144"/>
        <v>0</v>
      </c>
      <c r="EE80" s="183">
        <f t="shared" si="144"/>
        <v>0</v>
      </c>
      <c r="EF80" s="183">
        <f t="shared" si="144"/>
        <v>0</v>
      </c>
      <c r="EG80" s="183">
        <f t="shared" si="144"/>
        <v>0</v>
      </c>
      <c r="EH80" s="183">
        <f t="shared" si="144"/>
        <v>0</v>
      </c>
      <c r="EI80" s="183">
        <f t="shared" si="144"/>
        <v>0</v>
      </c>
      <c r="EJ80" s="183">
        <f t="shared" si="144"/>
        <v>0</v>
      </c>
      <c r="EK80" s="183">
        <f t="shared" si="144"/>
        <v>0</v>
      </c>
      <c r="EL80" s="183">
        <f t="shared" si="144"/>
        <v>0</v>
      </c>
      <c r="EM80" s="183">
        <f t="shared" si="144"/>
        <v>0</v>
      </c>
      <c r="EN80" s="183">
        <f t="shared" si="144"/>
        <v>0</v>
      </c>
      <c r="EO80" s="183">
        <f t="shared" si="144"/>
        <v>0</v>
      </c>
      <c r="EP80" s="183">
        <f t="shared" si="144"/>
        <v>0</v>
      </c>
      <c r="EQ80" s="183">
        <f t="shared" si="144"/>
        <v>0</v>
      </c>
      <c r="ER80" s="183">
        <f t="shared" si="144"/>
        <v>0</v>
      </c>
      <c r="ES80" s="183">
        <f t="shared" si="144"/>
        <v>0</v>
      </c>
      <c r="ET80" s="183">
        <f t="shared" si="144"/>
        <v>0</v>
      </c>
      <c r="EU80" s="183">
        <f t="shared" si="144"/>
        <v>0</v>
      </c>
      <c r="EV80" s="183">
        <f t="shared" si="144"/>
        <v>0</v>
      </c>
      <c r="EW80" s="183">
        <f t="shared" si="137"/>
        <v>0</v>
      </c>
      <c r="EX80" s="183">
        <f t="shared" si="137"/>
        <v>0</v>
      </c>
      <c r="EY80" s="183">
        <f t="shared" si="137"/>
        <v>0</v>
      </c>
      <c r="EZ80" s="183">
        <f t="shared" ref="EZ80" si="146">IF(OR(EZ$3&gt;=$G80,EZ$3&lt;$F80),0,(_xlfn.NORM.DIST(EZ$3-$F80+1,$H80/2,INDEX($E$115:$E$118,MATCH($I80,$D$115:$D$118,0)),TRUE)-_xlfn.NORM.DIST(EY$3-$F80+1,$H80/2,INDEX($E$115:$E$118,MATCH($I80,$D$115:$D$118,0)),TRUE))/(1-2*_xlfn.NORM.DIST(0,$H80/2,INDEX($E$115:$E$118,MATCH($I80,$D$115:$D$118,0)),TRUE))*$D80)</f>
        <v>0</v>
      </c>
      <c r="FB80" s="609" t="s">
        <v>243</v>
      </c>
      <c r="FC80" s="144"/>
      <c r="FD80" s="144"/>
      <c r="FE80" s="144"/>
      <c r="FF80" s="144"/>
      <c r="FG80" s="144"/>
      <c r="FH80" s="144"/>
      <c r="FI80" s="144"/>
      <c r="FJ80" s="144"/>
      <c r="FK80" s="144"/>
      <c r="FL80" s="144"/>
      <c r="FM80" s="144"/>
      <c r="FN80" s="144"/>
      <c r="FO80" s="144"/>
      <c r="FP80" s="144"/>
      <c r="FQ80" s="144"/>
      <c r="FR80" s="144"/>
      <c r="FS80" s="144"/>
      <c r="FT80" s="144"/>
      <c r="FU80" s="144"/>
      <c r="FV80" s="144"/>
      <c r="FW80" s="144"/>
      <c r="FX80" s="144"/>
      <c r="FY80" s="144"/>
      <c r="FZ80" s="144"/>
      <c r="GA80" s="144"/>
      <c r="GB80" s="144"/>
      <c r="GC80" s="144"/>
      <c r="GD80" s="144"/>
      <c r="GE80" s="144"/>
      <c r="GF80" s="144"/>
      <c r="GG80" s="144"/>
      <c r="GH80" s="144"/>
      <c r="GI80" s="144"/>
      <c r="GJ80" s="144"/>
      <c r="GK80" s="144"/>
      <c r="GL80" s="144"/>
      <c r="GM80" s="144"/>
      <c r="GN80" s="144"/>
      <c r="GO80" s="144"/>
      <c r="GP80" s="144"/>
      <c r="GQ80" s="144"/>
      <c r="GR80" s="144"/>
      <c r="GS80" s="144"/>
      <c r="GT80" s="144"/>
      <c r="GU80" s="144"/>
      <c r="GV80" s="144"/>
      <c r="GW80" s="144"/>
      <c r="GX80" s="144"/>
      <c r="GY80" s="144"/>
      <c r="GZ80" s="144"/>
      <c r="HA80" s="144"/>
      <c r="HB80" s="144"/>
      <c r="HC80" s="144"/>
      <c r="HD80" s="144"/>
      <c r="HE80" s="144"/>
      <c r="HF80" s="144"/>
      <c r="HG80" s="144"/>
      <c r="HH80" s="144"/>
      <c r="HI80" s="144"/>
      <c r="HJ80" s="144"/>
      <c r="HK80" s="144"/>
    </row>
    <row r="81" spans="1:219" s="158" customFormat="1" x14ac:dyDescent="0.2">
      <c r="A81" s="630"/>
      <c r="B81" s="638" t="s">
        <v>676</v>
      </c>
      <c r="C81" s="162"/>
      <c r="D81" s="443">
        <v>0</v>
      </c>
      <c r="E81" s="199">
        <f>IF(units=0,0,'Renovation Budget'!D81/units)</f>
        <v>0</v>
      </c>
      <c r="F81" s="640">
        <v>0</v>
      </c>
      <c r="G81" s="640">
        <v>0</v>
      </c>
      <c r="H81" s="641">
        <f t="shared" si="132"/>
        <v>0</v>
      </c>
      <c r="I81" s="642" t="s">
        <v>107</v>
      </c>
      <c r="J81" s="643" t="s">
        <v>42</v>
      </c>
      <c r="K81" s="644"/>
      <c r="L81" s="183">
        <f t="shared" si="139"/>
        <v>0</v>
      </c>
      <c r="M81" s="183">
        <f t="shared" si="139"/>
        <v>0</v>
      </c>
      <c r="N81" s="183">
        <f t="shared" si="139"/>
        <v>0</v>
      </c>
      <c r="O81" s="183">
        <f t="shared" si="139"/>
        <v>0</v>
      </c>
      <c r="P81" s="183">
        <f t="shared" si="139"/>
        <v>0</v>
      </c>
      <c r="Q81" s="183">
        <f t="shared" si="139"/>
        <v>0</v>
      </c>
      <c r="R81" s="183">
        <f t="shared" si="139"/>
        <v>0</v>
      </c>
      <c r="S81" s="183">
        <f t="shared" si="139"/>
        <v>0</v>
      </c>
      <c r="T81" s="183">
        <f t="shared" si="139"/>
        <v>0</v>
      </c>
      <c r="U81" s="183">
        <f t="shared" si="139"/>
        <v>0</v>
      </c>
      <c r="V81" s="183">
        <f t="shared" si="139"/>
        <v>0</v>
      </c>
      <c r="W81" s="644"/>
      <c r="X81" s="183">
        <f t="shared" si="134"/>
        <v>0</v>
      </c>
      <c r="Y81" s="183">
        <f t="shared" si="135"/>
        <v>0</v>
      </c>
      <c r="Z81" s="183">
        <f t="shared" si="145"/>
        <v>0</v>
      </c>
      <c r="AA81" s="183">
        <f t="shared" si="145"/>
        <v>0</v>
      </c>
      <c r="AB81" s="183">
        <f t="shared" si="145"/>
        <v>0</v>
      </c>
      <c r="AC81" s="183">
        <f t="shared" si="145"/>
        <v>0</v>
      </c>
      <c r="AD81" s="183">
        <f t="shared" si="145"/>
        <v>0</v>
      </c>
      <c r="AE81" s="183">
        <f t="shared" si="145"/>
        <v>0</v>
      </c>
      <c r="AF81" s="183">
        <f t="shared" si="145"/>
        <v>0</v>
      </c>
      <c r="AG81" s="183">
        <f t="shared" si="145"/>
        <v>0</v>
      </c>
      <c r="AH81" s="183">
        <f t="shared" si="145"/>
        <v>0</v>
      </c>
      <c r="AI81" s="183">
        <f t="shared" si="145"/>
        <v>0</v>
      </c>
      <c r="AJ81" s="183">
        <f t="shared" si="145"/>
        <v>0</v>
      </c>
      <c r="AK81" s="183">
        <f t="shared" si="145"/>
        <v>0</v>
      </c>
      <c r="AL81" s="183">
        <f t="shared" si="145"/>
        <v>0</v>
      </c>
      <c r="AM81" s="183">
        <f t="shared" si="145"/>
        <v>0</v>
      </c>
      <c r="AN81" s="183">
        <f t="shared" si="145"/>
        <v>0</v>
      </c>
      <c r="AO81" s="183">
        <f t="shared" si="145"/>
        <v>0</v>
      </c>
      <c r="AP81" s="183">
        <f t="shared" si="145"/>
        <v>0</v>
      </c>
      <c r="AQ81" s="183">
        <f t="shared" si="145"/>
        <v>0</v>
      </c>
      <c r="AR81" s="183">
        <f t="shared" si="145"/>
        <v>0</v>
      </c>
      <c r="AS81" s="183">
        <f t="shared" si="145"/>
        <v>0</v>
      </c>
      <c r="AT81" s="183">
        <f t="shared" si="145"/>
        <v>0</v>
      </c>
      <c r="AU81" s="183">
        <f t="shared" si="145"/>
        <v>0</v>
      </c>
      <c r="AV81" s="183">
        <f t="shared" si="145"/>
        <v>0</v>
      </c>
      <c r="AW81" s="183">
        <f t="shared" si="145"/>
        <v>0</v>
      </c>
      <c r="AX81" s="183">
        <f t="shared" si="145"/>
        <v>0</v>
      </c>
      <c r="AY81" s="183">
        <f t="shared" si="145"/>
        <v>0</v>
      </c>
      <c r="AZ81" s="183">
        <f t="shared" si="145"/>
        <v>0</v>
      </c>
      <c r="BA81" s="183">
        <f t="shared" si="145"/>
        <v>0</v>
      </c>
      <c r="BB81" s="183">
        <f t="shared" si="145"/>
        <v>0</v>
      </c>
      <c r="BC81" s="183">
        <f t="shared" si="145"/>
        <v>0</v>
      </c>
      <c r="BD81" s="183">
        <f t="shared" si="145"/>
        <v>0</v>
      </c>
      <c r="BE81" s="183">
        <f t="shared" si="145"/>
        <v>0</v>
      </c>
      <c r="BF81" s="183">
        <f t="shared" si="145"/>
        <v>0</v>
      </c>
      <c r="BG81" s="183">
        <f t="shared" si="145"/>
        <v>0</v>
      </c>
      <c r="BH81" s="183">
        <f t="shared" si="145"/>
        <v>0</v>
      </c>
      <c r="BI81" s="183">
        <f t="shared" si="145"/>
        <v>0</v>
      </c>
      <c r="BJ81" s="183">
        <f t="shared" si="145"/>
        <v>0</v>
      </c>
      <c r="BK81" s="183">
        <f t="shared" si="145"/>
        <v>0</v>
      </c>
      <c r="BL81" s="183">
        <f t="shared" si="145"/>
        <v>0</v>
      </c>
      <c r="BM81" s="183">
        <f t="shared" si="145"/>
        <v>0</v>
      </c>
      <c r="BN81" s="183">
        <f t="shared" si="145"/>
        <v>0</v>
      </c>
      <c r="BO81" s="183">
        <f t="shared" si="145"/>
        <v>0</v>
      </c>
      <c r="BP81" s="183">
        <f t="shared" si="145"/>
        <v>0</v>
      </c>
      <c r="BQ81" s="183">
        <f t="shared" si="145"/>
        <v>0</v>
      </c>
      <c r="BR81" s="183">
        <f t="shared" si="145"/>
        <v>0</v>
      </c>
      <c r="BS81" s="183">
        <f t="shared" si="145"/>
        <v>0</v>
      </c>
      <c r="BT81" s="183">
        <f t="shared" si="145"/>
        <v>0</v>
      </c>
      <c r="BU81" s="183">
        <f t="shared" si="145"/>
        <v>0</v>
      </c>
      <c r="BV81" s="183">
        <f t="shared" si="145"/>
        <v>0</v>
      </c>
      <c r="BW81" s="183">
        <f t="shared" si="145"/>
        <v>0</v>
      </c>
      <c r="BX81" s="183">
        <f t="shared" si="145"/>
        <v>0</v>
      </c>
      <c r="BY81" s="183">
        <f t="shared" si="145"/>
        <v>0</v>
      </c>
      <c r="BZ81" s="183">
        <f t="shared" si="145"/>
        <v>0</v>
      </c>
      <c r="CA81" s="183">
        <f t="shared" si="145"/>
        <v>0</v>
      </c>
      <c r="CB81" s="183">
        <f t="shared" si="145"/>
        <v>0</v>
      </c>
      <c r="CC81" s="183">
        <f t="shared" si="145"/>
        <v>0</v>
      </c>
      <c r="CD81" s="183">
        <f t="shared" si="145"/>
        <v>0</v>
      </c>
      <c r="CE81" s="183">
        <f t="shared" si="145"/>
        <v>0</v>
      </c>
      <c r="CF81" s="183">
        <f t="shared" si="145"/>
        <v>0</v>
      </c>
      <c r="CG81" s="183">
        <f t="shared" si="145"/>
        <v>0</v>
      </c>
      <c r="CH81" s="183">
        <f t="shared" si="145"/>
        <v>0</v>
      </c>
      <c r="CI81" s="183">
        <f t="shared" si="145"/>
        <v>0</v>
      </c>
      <c r="CJ81" s="183">
        <f t="shared" si="145"/>
        <v>0</v>
      </c>
      <c r="CK81" s="183">
        <f t="shared" ref="CK81:EV84" si="147">IF(OR(CK$3&gt;=$G81,CK$3&lt;$F81),0,(_xlfn.NORM.DIST(CK$3-$F81+1,$H81/2,INDEX($E$115:$E$118,MATCH($I81,$D$115:$D$118,0)),TRUE)-_xlfn.NORM.DIST(CJ$3-$F81+1,$H81/2,INDEX($E$115:$E$118,MATCH($I81,$D$115:$D$118,0)),TRUE))/(1-2*_xlfn.NORM.DIST(0,$H81/2,INDEX($E$115:$E$118,MATCH($I81,$D$115:$D$118,0)),TRUE))*$D81)</f>
        <v>0</v>
      </c>
      <c r="CL81" s="183">
        <f t="shared" si="147"/>
        <v>0</v>
      </c>
      <c r="CM81" s="183">
        <f t="shared" si="147"/>
        <v>0</v>
      </c>
      <c r="CN81" s="183">
        <f t="shared" si="147"/>
        <v>0</v>
      </c>
      <c r="CO81" s="183">
        <f t="shared" si="147"/>
        <v>0</v>
      </c>
      <c r="CP81" s="183">
        <f t="shared" si="147"/>
        <v>0</v>
      </c>
      <c r="CQ81" s="183">
        <f t="shared" si="147"/>
        <v>0</v>
      </c>
      <c r="CR81" s="183">
        <f t="shared" si="147"/>
        <v>0</v>
      </c>
      <c r="CS81" s="183">
        <f t="shared" si="147"/>
        <v>0</v>
      </c>
      <c r="CT81" s="183">
        <f t="shared" si="147"/>
        <v>0</v>
      </c>
      <c r="CU81" s="183">
        <f t="shared" si="147"/>
        <v>0</v>
      </c>
      <c r="CV81" s="183">
        <f t="shared" si="147"/>
        <v>0</v>
      </c>
      <c r="CW81" s="183">
        <f t="shared" si="147"/>
        <v>0</v>
      </c>
      <c r="CX81" s="183">
        <f t="shared" si="147"/>
        <v>0</v>
      </c>
      <c r="CY81" s="183">
        <f t="shared" si="147"/>
        <v>0</v>
      </c>
      <c r="CZ81" s="183">
        <f t="shared" si="147"/>
        <v>0</v>
      </c>
      <c r="DA81" s="183">
        <f t="shared" si="147"/>
        <v>0</v>
      </c>
      <c r="DB81" s="183">
        <f t="shared" si="147"/>
        <v>0</v>
      </c>
      <c r="DC81" s="183">
        <f t="shared" si="147"/>
        <v>0</v>
      </c>
      <c r="DD81" s="183">
        <f t="shared" si="147"/>
        <v>0</v>
      </c>
      <c r="DE81" s="183">
        <f t="shared" si="147"/>
        <v>0</v>
      </c>
      <c r="DF81" s="183">
        <f t="shared" si="147"/>
        <v>0</v>
      </c>
      <c r="DG81" s="183">
        <f t="shared" si="147"/>
        <v>0</v>
      </c>
      <c r="DH81" s="183">
        <f t="shared" si="147"/>
        <v>0</v>
      </c>
      <c r="DI81" s="183">
        <f t="shared" si="147"/>
        <v>0</v>
      </c>
      <c r="DJ81" s="183">
        <f t="shared" si="147"/>
        <v>0</v>
      </c>
      <c r="DK81" s="183">
        <f t="shared" si="147"/>
        <v>0</v>
      </c>
      <c r="DL81" s="183">
        <f t="shared" si="147"/>
        <v>0</v>
      </c>
      <c r="DM81" s="183">
        <f t="shared" si="147"/>
        <v>0</v>
      </c>
      <c r="DN81" s="183">
        <f t="shared" si="147"/>
        <v>0</v>
      </c>
      <c r="DO81" s="183">
        <f t="shared" si="147"/>
        <v>0</v>
      </c>
      <c r="DP81" s="183">
        <f t="shared" si="147"/>
        <v>0</v>
      </c>
      <c r="DQ81" s="183">
        <f t="shared" si="147"/>
        <v>0</v>
      </c>
      <c r="DR81" s="183">
        <f t="shared" si="147"/>
        <v>0</v>
      </c>
      <c r="DS81" s="183">
        <f t="shared" si="147"/>
        <v>0</v>
      </c>
      <c r="DT81" s="183">
        <f t="shared" si="147"/>
        <v>0</v>
      </c>
      <c r="DU81" s="183">
        <f t="shared" si="147"/>
        <v>0</v>
      </c>
      <c r="DV81" s="183">
        <f t="shared" si="147"/>
        <v>0</v>
      </c>
      <c r="DW81" s="183">
        <f t="shared" si="147"/>
        <v>0</v>
      </c>
      <c r="DX81" s="183">
        <f t="shared" si="147"/>
        <v>0</v>
      </c>
      <c r="DY81" s="183">
        <f t="shared" si="147"/>
        <v>0</v>
      </c>
      <c r="DZ81" s="183">
        <f t="shared" si="147"/>
        <v>0</v>
      </c>
      <c r="EA81" s="183">
        <f t="shared" si="147"/>
        <v>0</v>
      </c>
      <c r="EB81" s="183">
        <f t="shared" si="147"/>
        <v>0</v>
      </c>
      <c r="EC81" s="183">
        <f t="shared" si="147"/>
        <v>0</v>
      </c>
      <c r="ED81" s="183">
        <f t="shared" si="147"/>
        <v>0</v>
      </c>
      <c r="EE81" s="183">
        <f t="shared" si="147"/>
        <v>0</v>
      </c>
      <c r="EF81" s="183">
        <f t="shared" si="147"/>
        <v>0</v>
      </c>
      <c r="EG81" s="183">
        <f t="shared" si="147"/>
        <v>0</v>
      </c>
      <c r="EH81" s="183">
        <f t="shared" si="147"/>
        <v>0</v>
      </c>
      <c r="EI81" s="183">
        <f t="shared" si="147"/>
        <v>0</v>
      </c>
      <c r="EJ81" s="183">
        <f t="shared" si="147"/>
        <v>0</v>
      </c>
      <c r="EK81" s="183">
        <f t="shared" si="147"/>
        <v>0</v>
      </c>
      <c r="EL81" s="183">
        <f t="shared" si="147"/>
        <v>0</v>
      </c>
      <c r="EM81" s="183">
        <f t="shared" si="147"/>
        <v>0</v>
      </c>
      <c r="EN81" s="183">
        <f t="shared" si="147"/>
        <v>0</v>
      </c>
      <c r="EO81" s="183">
        <f t="shared" si="147"/>
        <v>0</v>
      </c>
      <c r="EP81" s="183">
        <f t="shared" si="147"/>
        <v>0</v>
      </c>
      <c r="EQ81" s="183">
        <f t="shared" si="147"/>
        <v>0</v>
      </c>
      <c r="ER81" s="183">
        <f t="shared" si="147"/>
        <v>0</v>
      </c>
      <c r="ES81" s="183">
        <f t="shared" si="147"/>
        <v>0</v>
      </c>
      <c r="ET81" s="183">
        <f t="shared" si="147"/>
        <v>0</v>
      </c>
      <c r="EU81" s="183">
        <f t="shared" si="147"/>
        <v>0</v>
      </c>
      <c r="EV81" s="183">
        <f t="shared" si="147"/>
        <v>0</v>
      </c>
      <c r="EW81" s="183">
        <f t="shared" ref="EW81:EZ92" si="148">IF(OR(EW$3&gt;=$G81,EW$3&lt;$F81),0,(_xlfn.NORM.DIST(EW$3-$F81+1,$H81/2,INDEX($E$115:$E$118,MATCH($I81,$D$115:$D$118,0)),TRUE)-_xlfn.NORM.DIST(EV$3-$F81+1,$H81/2,INDEX($E$115:$E$118,MATCH($I81,$D$115:$D$118,0)),TRUE))/(1-2*_xlfn.NORM.DIST(0,$H81/2,INDEX($E$115:$E$118,MATCH($I81,$D$115:$D$118,0)),TRUE))*$D81)</f>
        <v>0</v>
      </c>
      <c r="EX81" s="183">
        <f t="shared" si="148"/>
        <v>0</v>
      </c>
      <c r="EY81" s="183">
        <f t="shared" si="148"/>
        <v>0</v>
      </c>
      <c r="EZ81" s="183">
        <f t="shared" si="148"/>
        <v>0</v>
      </c>
      <c r="FB81" s="609" t="s">
        <v>243</v>
      </c>
      <c r="FC81" s="144"/>
      <c r="FD81" s="144"/>
      <c r="FE81" s="144"/>
      <c r="FF81" s="144"/>
      <c r="FG81" s="144"/>
      <c r="FH81" s="144"/>
      <c r="FI81" s="144"/>
      <c r="FJ81" s="144"/>
      <c r="FK81" s="144"/>
      <c r="FL81" s="144"/>
      <c r="FM81" s="144"/>
      <c r="FN81" s="144"/>
      <c r="FO81" s="144"/>
      <c r="FP81" s="144"/>
      <c r="FQ81" s="144"/>
      <c r="FR81" s="144"/>
      <c r="FS81" s="144"/>
      <c r="FT81" s="144"/>
      <c r="FU81" s="144"/>
      <c r="FV81" s="144"/>
      <c r="FW81" s="144"/>
      <c r="FX81" s="144"/>
      <c r="FY81" s="144"/>
      <c r="FZ81" s="144"/>
      <c r="GA81" s="144"/>
      <c r="GB81" s="144"/>
      <c r="GC81" s="144"/>
      <c r="GD81" s="144"/>
      <c r="GE81" s="144"/>
      <c r="GF81" s="144"/>
      <c r="GG81" s="144"/>
      <c r="GH81" s="144"/>
      <c r="GI81" s="144"/>
      <c r="GJ81" s="144"/>
      <c r="GK81" s="144"/>
      <c r="GL81" s="144"/>
      <c r="GM81" s="144"/>
      <c r="GN81" s="144"/>
      <c r="GO81" s="144"/>
      <c r="GP81" s="144"/>
      <c r="GQ81" s="144"/>
      <c r="GR81" s="144"/>
      <c r="GS81" s="144"/>
      <c r="GT81" s="144"/>
      <c r="GU81" s="144"/>
      <c r="GV81" s="144"/>
      <c r="GW81" s="144"/>
      <c r="GX81" s="144"/>
      <c r="GY81" s="144"/>
      <c r="GZ81" s="144"/>
      <c r="HA81" s="144"/>
      <c r="HB81" s="144"/>
      <c r="HC81" s="144"/>
      <c r="HD81" s="144"/>
      <c r="HE81" s="144"/>
      <c r="HF81" s="144"/>
      <c r="HG81" s="144"/>
      <c r="HH81" s="144"/>
      <c r="HI81" s="144"/>
      <c r="HJ81" s="144"/>
      <c r="HK81" s="144"/>
    </row>
    <row r="82" spans="1:219" s="158" customFormat="1" x14ac:dyDescent="0.2">
      <c r="A82" s="630"/>
      <c r="B82" s="638" t="s">
        <v>677</v>
      </c>
      <c r="C82" s="162"/>
      <c r="D82" s="443">
        <v>0</v>
      </c>
      <c r="E82" s="199">
        <f>IF(units=0,0,'Renovation Budget'!D82/units)</f>
        <v>0</v>
      </c>
      <c r="F82" s="640">
        <v>0</v>
      </c>
      <c r="G82" s="640">
        <v>0</v>
      </c>
      <c r="H82" s="641">
        <f t="shared" si="132"/>
        <v>0</v>
      </c>
      <c r="I82" s="642" t="s">
        <v>107</v>
      </c>
      <c r="J82" s="643" t="s">
        <v>42</v>
      </c>
      <c r="K82" s="644"/>
      <c r="L82" s="183">
        <f t="shared" si="139"/>
        <v>0</v>
      </c>
      <c r="M82" s="183">
        <f t="shared" si="139"/>
        <v>0</v>
      </c>
      <c r="N82" s="183">
        <f t="shared" si="139"/>
        <v>0</v>
      </c>
      <c r="O82" s="183">
        <f t="shared" si="139"/>
        <v>0</v>
      </c>
      <c r="P82" s="183">
        <f t="shared" si="139"/>
        <v>0</v>
      </c>
      <c r="Q82" s="183">
        <f t="shared" si="139"/>
        <v>0</v>
      </c>
      <c r="R82" s="183">
        <f t="shared" si="139"/>
        <v>0</v>
      </c>
      <c r="S82" s="183">
        <f t="shared" si="139"/>
        <v>0</v>
      </c>
      <c r="T82" s="183">
        <f t="shared" si="139"/>
        <v>0</v>
      </c>
      <c r="U82" s="183">
        <f t="shared" si="139"/>
        <v>0</v>
      </c>
      <c r="V82" s="183">
        <f t="shared" si="139"/>
        <v>0</v>
      </c>
      <c r="W82" s="644"/>
      <c r="X82" s="183">
        <f t="shared" si="134"/>
        <v>0</v>
      </c>
      <c r="Y82" s="183">
        <f t="shared" si="135"/>
        <v>0</v>
      </c>
      <c r="Z82" s="183">
        <f t="shared" ref="Z82:CK85" si="149">IF(OR(Z$3&gt;=$G82,Z$3&lt;$F82),0,(_xlfn.NORM.DIST(Z$3-$F82+1,$H82/2,INDEX($E$115:$E$118,MATCH($I82,$D$115:$D$118,0)),TRUE)-_xlfn.NORM.DIST(Y$3-$F82+1,$H82/2,INDEX($E$115:$E$118,MATCH($I82,$D$115:$D$118,0)),TRUE))/(1-2*_xlfn.NORM.DIST(0,$H82/2,INDEX($E$115:$E$118,MATCH($I82,$D$115:$D$118,0)),TRUE))*$D82)</f>
        <v>0</v>
      </c>
      <c r="AA82" s="183">
        <f t="shared" si="149"/>
        <v>0</v>
      </c>
      <c r="AB82" s="183">
        <f t="shared" si="149"/>
        <v>0</v>
      </c>
      <c r="AC82" s="183">
        <f t="shared" si="149"/>
        <v>0</v>
      </c>
      <c r="AD82" s="183">
        <f t="shared" si="149"/>
        <v>0</v>
      </c>
      <c r="AE82" s="183">
        <f t="shared" si="149"/>
        <v>0</v>
      </c>
      <c r="AF82" s="183">
        <f t="shared" si="149"/>
        <v>0</v>
      </c>
      <c r="AG82" s="183">
        <f t="shared" si="149"/>
        <v>0</v>
      </c>
      <c r="AH82" s="183">
        <f t="shared" si="149"/>
        <v>0</v>
      </c>
      <c r="AI82" s="183">
        <f t="shared" si="149"/>
        <v>0</v>
      </c>
      <c r="AJ82" s="183">
        <f t="shared" si="149"/>
        <v>0</v>
      </c>
      <c r="AK82" s="183">
        <f t="shared" si="149"/>
        <v>0</v>
      </c>
      <c r="AL82" s="183">
        <f t="shared" si="149"/>
        <v>0</v>
      </c>
      <c r="AM82" s="183">
        <f t="shared" si="149"/>
        <v>0</v>
      </c>
      <c r="AN82" s="183">
        <f t="shared" si="149"/>
        <v>0</v>
      </c>
      <c r="AO82" s="183">
        <f t="shared" si="149"/>
        <v>0</v>
      </c>
      <c r="AP82" s="183">
        <f t="shared" si="149"/>
        <v>0</v>
      </c>
      <c r="AQ82" s="183">
        <f t="shared" si="149"/>
        <v>0</v>
      </c>
      <c r="AR82" s="183">
        <f t="shared" si="149"/>
        <v>0</v>
      </c>
      <c r="AS82" s="183">
        <f t="shared" si="149"/>
        <v>0</v>
      </c>
      <c r="AT82" s="183">
        <f t="shared" si="149"/>
        <v>0</v>
      </c>
      <c r="AU82" s="183">
        <f t="shared" si="149"/>
        <v>0</v>
      </c>
      <c r="AV82" s="183">
        <f t="shared" si="149"/>
        <v>0</v>
      </c>
      <c r="AW82" s="183">
        <f t="shared" si="149"/>
        <v>0</v>
      </c>
      <c r="AX82" s="183">
        <f t="shared" si="149"/>
        <v>0</v>
      </c>
      <c r="AY82" s="183">
        <f t="shared" si="149"/>
        <v>0</v>
      </c>
      <c r="AZ82" s="183">
        <f t="shared" si="149"/>
        <v>0</v>
      </c>
      <c r="BA82" s="183">
        <f t="shared" si="149"/>
        <v>0</v>
      </c>
      <c r="BB82" s="183">
        <f t="shared" si="149"/>
        <v>0</v>
      </c>
      <c r="BC82" s="183">
        <f t="shared" si="149"/>
        <v>0</v>
      </c>
      <c r="BD82" s="183">
        <f t="shared" si="149"/>
        <v>0</v>
      </c>
      <c r="BE82" s="183">
        <f t="shared" si="149"/>
        <v>0</v>
      </c>
      <c r="BF82" s="183">
        <f t="shared" si="149"/>
        <v>0</v>
      </c>
      <c r="BG82" s="183">
        <f t="shared" si="149"/>
        <v>0</v>
      </c>
      <c r="BH82" s="183">
        <f t="shared" si="149"/>
        <v>0</v>
      </c>
      <c r="BI82" s="183">
        <f t="shared" si="149"/>
        <v>0</v>
      </c>
      <c r="BJ82" s="183">
        <f t="shared" si="149"/>
        <v>0</v>
      </c>
      <c r="BK82" s="183">
        <f t="shared" si="149"/>
        <v>0</v>
      </c>
      <c r="BL82" s="183">
        <f t="shared" si="149"/>
        <v>0</v>
      </c>
      <c r="BM82" s="183">
        <f t="shared" si="149"/>
        <v>0</v>
      </c>
      <c r="BN82" s="183">
        <f t="shared" si="149"/>
        <v>0</v>
      </c>
      <c r="BO82" s="183">
        <f t="shared" si="149"/>
        <v>0</v>
      </c>
      <c r="BP82" s="183">
        <f t="shared" si="149"/>
        <v>0</v>
      </c>
      <c r="BQ82" s="183">
        <f t="shared" si="149"/>
        <v>0</v>
      </c>
      <c r="BR82" s="183">
        <f t="shared" si="149"/>
        <v>0</v>
      </c>
      <c r="BS82" s="183">
        <f t="shared" si="149"/>
        <v>0</v>
      </c>
      <c r="BT82" s="183">
        <f t="shared" si="149"/>
        <v>0</v>
      </c>
      <c r="BU82" s="183">
        <f t="shared" si="149"/>
        <v>0</v>
      </c>
      <c r="BV82" s="183">
        <f t="shared" si="149"/>
        <v>0</v>
      </c>
      <c r="BW82" s="183">
        <f t="shared" si="149"/>
        <v>0</v>
      </c>
      <c r="BX82" s="183">
        <f t="shared" si="149"/>
        <v>0</v>
      </c>
      <c r="BY82" s="183">
        <f t="shared" si="149"/>
        <v>0</v>
      </c>
      <c r="BZ82" s="183">
        <f t="shared" si="149"/>
        <v>0</v>
      </c>
      <c r="CA82" s="183">
        <f t="shared" si="149"/>
        <v>0</v>
      </c>
      <c r="CB82" s="183">
        <f t="shared" si="149"/>
        <v>0</v>
      </c>
      <c r="CC82" s="183">
        <f t="shared" si="149"/>
        <v>0</v>
      </c>
      <c r="CD82" s="183">
        <f t="shared" si="149"/>
        <v>0</v>
      </c>
      <c r="CE82" s="183">
        <f t="shared" si="149"/>
        <v>0</v>
      </c>
      <c r="CF82" s="183">
        <f t="shared" si="149"/>
        <v>0</v>
      </c>
      <c r="CG82" s="183">
        <f t="shared" si="149"/>
        <v>0</v>
      </c>
      <c r="CH82" s="183">
        <f t="shared" si="149"/>
        <v>0</v>
      </c>
      <c r="CI82" s="183">
        <f t="shared" si="149"/>
        <v>0</v>
      </c>
      <c r="CJ82" s="183">
        <f t="shared" si="149"/>
        <v>0</v>
      </c>
      <c r="CK82" s="183">
        <f t="shared" si="149"/>
        <v>0</v>
      </c>
      <c r="CL82" s="183">
        <f t="shared" si="147"/>
        <v>0</v>
      </c>
      <c r="CM82" s="183">
        <f t="shared" si="147"/>
        <v>0</v>
      </c>
      <c r="CN82" s="183">
        <f t="shared" si="147"/>
        <v>0</v>
      </c>
      <c r="CO82" s="183">
        <f t="shared" si="147"/>
        <v>0</v>
      </c>
      <c r="CP82" s="183">
        <f t="shared" si="147"/>
        <v>0</v>
      </c>
      <c r="CQ82" s="183">
        <f t="shared" si="147"/>
        <v>0</v>
      </c>
      <c r="CR82" s="183">
        <f t="shared" si="147"/>
        <v>0</v>
      </c>
      <c r="CS82" s="183">
        <f t="shared" si="147"/>
        <v>0</v>
      </c>
      <c r="CT82" s="183">
        <f t="shared" si="147"/>
        <v>0</v>
      </c>
      <c r="CU82" s="183">
        <f t="shared" si="147"/>
        <v>0</v>
      </c>
      <c r="CV82" s="183">
        <f t="shared" si="147"/>
        <v>0</v>
      </c>
      <c r="CW82" s="183">
        <f t="shared" si="147"/>
        <v>0</v>
      </c>
      <c r="CX82" s="183">
        <f t="shared" si="147"/>
        <v>0</v>
      </c>
      <c r="CY82" s="183">
        <f t="shared" si="147"/>
        <v>0</v>
      </c>
      <c r="CZ82" s="183">
        <f t="shared" si="147"/>
        <v>0</v>
      </c>
      <c r="DA82" s="183">
        <f t="shared" si="147"/>
        <v>0</v>
      </c>
      <c r="DB82" s="183">
        <f t="shared" si="147"/>
        <v>0</v>
      </c>
      <c r="DC82" s="183">
        <f t="shared" si="147"/>
        <v>0</v>
      </c>
      <c r="DD82" s="183">
        <f t="shared" si="147"/>
        <v>0</v>
      </c>
      <c r="DE82" s="183">
        <f t="shared" si="147"/>
        <v>0</v>
      </c>
      <c r="DF82" s="183">
        <f t="shared" si="147"/>
        <v>0</v>
      </c>
      <c r="DG82" s="183">
        <f t="shared" si="147"/>
        <v>0</v>
      </c>
      <c r="DH82" s="183">
        <f t="shared" si="147"/>
        <v>0</v>
      </c>
      <c r="DI82" s="183">
        <f t="shared" si="147"/>
        <v>0</v>
      </c>
      <c r="DJ82" s="183">
        <f t="shared" si="147"/>
        <v>0</v>
      </c>
      <c r="DK82" s="183">
        <f t="shared" si="147"/>
        <v>0</v>
      </c>
      <c r="DL82" s="183">
        <f t="shared" si="147"/>
        <v>0</v>
      </c>
      <c r="DM82" s="183">
        <f t="shared" si="147"/>
        <v>0</v>
      </c>
      <c r="DN82" s="183">
        <f t="shared" si="147"/>
        <v>0</v>
      </c>
      <c r="DO82" s="183">
        <f t="shared" si="147"/>
        <v>0</v>
      </c>
      <c r="DP82" s="183">
        <f t="shared" si="147"/>
        <v>0</v>
      </c>
      <c r="DQ82" s="183">
        <f t="shared" si="147"/>
        <v>0</v>
      </c>
      <c r="DR82" s="183">
        <f t="shared" si="147"/>
        <v>0</v>
      </c>
      <c r="DS82" s="183">
        <f t="shared" si="147"/>
        <v>0</v>
      </c>
      <c r="DT82" s="183">
        <f t="shared" si="147"/>
        <v>0</v>
      </c>
      <c r="DU82" s="183">
        <f t="shared" si="147"/>
        <v>0</v>
      </c>
      <c r="DV82" s="183">
        <f t="shared" si="147"/>
        <v>0</v>
      </c>
      <c r="DW82" s="183">
        <f t="shared" si="147"/>
        <v>0</v>
      </c>
      <c r="DX82" s="183">
        <f t="shared" si="147"/>
        <v>0</v>
      </c>
      <c r="DY82" s="183">
        <f t="shared" si="147"/>
        <v>0</v>
      </c>
      <c r="DZ82" s="183">
        <f t="shared" si="147"/>
        <v>0</v>
      </c>
      <c r="EA82" s="183">
        <f t="shared" si="147"/>
        <v>0</v>
      </c>
      <c r="EB82" s="183">
        <f t="shared" si="147"/>
        <v>0</v>
      </c>
      <c r="EC82" s="183">
        <f t="shared" si="147"/>
        <v>0</v>
      </c>
      <c r="ED82" s="183">
        <f t="shared" si="147"/>
        <v>0</v>
      </c>
      <c r="EE82" s="183">
        <f t="shared" si="147"/>
        <v>0</v>
      </c>
      <c r="EF82" s="183">
        <f t="shared" si="147"/>
        <v>0</v>
      </c>
      <c r="EG82" s="183">
        <f t="shared" si="147"/>
        <v>0</v>
      </c>
      <c r="EH82" s="183">
        <f t="shared" si="147"/>
        <v>0</v>
      </c>
      <c r="EI82" s="183">
        <f t="shared" si="147"/>
        <v>0</v>
      </c>
      <c r="EJ82" s="183">
        <f t="shared" si="147"/>
        <v>0</v>
      </c>
      <c r="EK82" s="183">
        <f t="shared" si="147"/>
        <v>0</v>
      </c>
      <c r="EL82" s="183">
        <f t="shared" si="147"/>
        <v>0</v>
      </c>
      <c r="EM82" s="183">
        <f t="shared" si="147"/>
        <v>0</v>
      </c>
      <c r="EN82" s="183">
        <f t="shared" si="147"/>
        <v>0</v>
      </c>
      <c r="EO82" s="183">
        <f t="shared" si="147"/>
        <v>0</v>
      </c>
      <c r="EP82" s="183">
        <f t="shared" si="147"/>
        <v>0</v>
      </c>
      <c r="EQ82" s="183">
        <f t="shared" si="147"/>
        <v>0</v>
      </c>
      <c r="ER82" s="183">
        <f t="shared" si="147"/>
        <v>0</v>
      </c>
      <c r="ES82" s="183">
        <f t="shared" si="147"/>
        <v>0</v>
      </c>
      <c r="ET82" s="183">
        <f t="shared" si="147"/>
        <v>0</v>
      </c>
      <c r="EU82" s="183">
        <f t="shared" si="147"/>
        <v>0</v>
      </c>
      <c r="EV82" s="183">
        <f t="shared" si="147"/>
        <v>0</v>
      </c>
      <c r="EW82" s="183">
        <f t="shared" si="148"/>
        <v>0</v>
      </c>
      <c r="EX82" s="183">
        <f t="shared" si="148"/>
        <v>0</v>
      </c>
      <c r="EY82" s="183">
        <f t="shared" si="148"/>
        <v>0</v>
      </c>
      <c r="EZ82" s="183">
        <f t="shared" si="148"/>
        <v>0</v>
      </c>
      <c r="FB82" s="609" t="s">
        <v>243</v>
      </c>
      <c r="FC82" s="144"/>
      <c r="FD82" s="144"/>
      <c r="FE82" s="144"/>
      <c r="FF82" s="144"/>
      <c r="FG82" s="144"/>
      <c r="FH82" s="144"/>
      <c r="FI82" s="144"/>
      <c r="FJ82" s="144"/>
      <c r="FK82" s="144"/>
      <c r="FL82" s="144"/>
      <c r="FM82" s="144"/>
      <c r="FN82" s="144"/>
      <c r="FO82" s="144"/>
      <c r="FP82" s="144"/>
      <c r="FQ82" s="144"/>
      <c r="FR82" s="144"/>
      <c r="FS82" s="144"/>
      <c r="FT82" s="144"/>
      <c r="FU82" s="144"/>
      <c r="FV82" s="144"/>
      <c r="FW82" s="144"/>
      <c r="FX82" s="144"/>
      <c r="FY82" s="144"/>
      <c r="FZ82" s="144"/>
      <c r="GA82" s="144"/>
      <c r="GB82" s="144"/>
      <c r="GC82" s="144"/>
      <c r="GD82" s="144"/>
      <c r="GE82" s="144"/>
      <c r="GF82" s="144"/>
      <c r="GG82" s="144"/>
      <c r="GH82" s="144"/>
      <c r="GI82" s="144"/>
      <c r="GJ82" s="144"/>
      <c r="GK82" s="144"/>
      <c r="GL82" s="144"/>
      <c r="GM82" s="144"/>
      <c r="GN82" s="144"/>
      <c r="GO82" s="144"/>
      <c r="GP82" s="144"/>
      <c r="GQ82" s="144"/>
      <c r="GR82" s="144"/>
      <c r="GS82" s="144"/>
      <c r="GT82" s="144"/>
      <c r="GU82" s="144"/>
      <c r="GV82" s="144"/>
      <c r="GW82" s="144"/>
      <c r="GX82" s="144"/>
      <c r="GY82" s="144"/>
      <c r="GZ82" s="144"/>
      <c r="HA82" s="144"/>
      <c r="HB82" s="144"/>
      <c r="HC82" s="144"/>
      <c r="HD82" s="144"/>
      <c r="HE82" s="144"/>
      <c r="HF82" s="144"/>
      <c r="HG82" s="144"/>
      <c r="HH82" s="144"/>
      <c r="HI82" s="144"/>
      <c r="HJ82" s="144"/>
      <c r="HK82" s="144"/>
    </row>
    <row r="83" spans="1:219" s="158" customFormat="1" x14ac:dyDescent="0.2">
      <c r="A83" s="630"/>
      <c r="B83" s="638" t="s">
        <v>678</v>
      </c>
      <c r="C83" s="162"/>
      <c r="D83" s="443">
        <v>0</v>
      </c>
      <c r="E83" s="199">
        <f>IF(units=0,0,'Renovation Budget'!D83/units)</f>
        <v>0</v>
      </c>
      <c r="F83" s="640">
        <v>0</v>
      </c>
      <c r="G83" s="640">
        <v>0</v>
      </c>
      <c r="H83" s="641">
        <f t="shared" si="132"/>
        <v>0</v>
      </c>
      <c r="I83" s="642" t="s">
        <v>107</v>
      </c>
      <c r="J83" s="643" t="s">
        <v>42</v>
      </c>
      <c r="K83" s="644"/>
      <c r="L83" s="183">
        <f t="shared" si="139"/>
        <v>0</v>
      </c>
      <c r="M83" s="183">
        <f t="shared" si="139"/>
        <v>0</v>
      </c>
      <c r="N83" s="183">
        <f t="shared" si="139"/>
        <v>0</v>
      </c>
      <c r="O83" s="183">
        <f t="shared" si="139"/>
        <v>0</v>
      </c>
      <c r="P83" s="183">
        <f t="shared" si="139"/>
        <v>0</v>
      </c>
      <c r="Q83" s="183">
        <f t="shared" si="139"/>
        <v>0</v>
      </c>
      <c r="R83" s="183">
        <f t="shared" si="139"/>
        <v>0</v>
      </c>
      <c r="S83" s="183">
        <f t="shared" si="139"/>
        <v>0</v>
      </c>
      <c r="T83" s="183">
        <f t="shared" si="139"/>
        <v>0</v>
      </c>
      <c r="U83" s="183">
        <f t="shared" si="139"/>
        <v>0</v>
      </c>
      <c r="V83" s="183">
        <f t="shared" si="139"/>
        <v>0</v>
      </c>
      <c r="W83" s="644"/>
      <c r="X83" s="183">
        <f t="shared" si="134"/>
        <v>0</v>
      </c>
      <c r="Y83" s="183">
        <f t="shared" si="135"/>
        <v>0</v>
      </c>
      <c r="Z83" s="183">
        <f t="shared" si="149"/>
        <v>0</v>
      </c>
      <c r="AA83" s="183">
        <f t="shared" si="149"/>
        <v>0</v>
      </c>
      <c r="AB83" s="183">
        <f t="shared" si="149"/>
        <v>0</v>
      </c>
      <c r="AC83" s="183">
        <f t="shared" si="149"/>
        <v>0</v>
      </c>
      <c r="AD83" s="183">
        <f t="shared" si="149"/>
        <v>0</v>
      </c>
      <c r="AE83" s="183">
        <f t="shared" si="149"/>
        <v>0</v>
      </c>
      <c r="AF83" s="183">
        <f t="shared" si="149"/>
        <v>0</v>
      </c>
      <c r="AG83" s="183">
        <f t="shared" si="149"/>
        <v>0</v>
      </c>
      <c r="AH83" s="183">
        <f t="shared" si="149"/>
        <v>0</v>
      </c>
      <c r="AI83" s="183">
        <f t="shared" si="149"/>
        <v>0</v>
      </c>
      <c r="AJ83" s="183">
        <f t="shared" si="149"/>
        <v>0</v>
      </c>
      <c r="AK83" s="183">
        <f t="shared" si="149"/>
        <v>0</v>
      </c>
      <c r="AL83" s="183">
        <f t="shared" si="149"/>
        <v>0</v>
      </c>
      <c r="AM83" s="183">
        <f t="shared" si="149"/>
        <v>0</v>
      </c>
      <c r="AN83" s="183">
        <f t="shared" si="149"/>
        <v>0</v>
      </c>
      <c r="AO83" s="183">
        <f t="shared" si="149"/>
        <v>0</v>
      </c>
      <c r="AP83" s="183">
        <f t="shared" si="149"/>
        <v>0</v>
      </c>
      <c r="AQ83" s="183">
        <f t="shared" si="149"/>
        <v>0</v>
      </c>
      <c r="AR83" s="183">
        <f t="shared" si="149"/>
        <v>0</v>
      </c>
      <c r="AS83" s="183">
        <f t="shared" si="149"/>
        <v>0</v>
      </c>
      <c r="AT83" s="183">
        <f t="shared" si="149"/>
        <v>0</v>
      </c>
      <c r="AU83" s="183">
        <f t="shared" si="149"/>
        <v>0</v>
      </c>
      <c r="AV83" s="183">
        <f t="shared" si="149"/>
        <v>0</v>
      </c>
      <c r="AW83" s="183">
        <f t="shared" si="149"/>
        <v>0</v>
      </c>
      <c r="AX83" s="183">
        <f t="shared" si="149"/>
        <v>0</v>
      </c>
      <c r="AY83" s="183">
        <f t="shared" si="149"/>
        <v>0</v>
      </c>
      <c r="AZ83" s="183">
        <f t="shared" si="149"/>
        <v>0</v>
      </c>
      <c r="BA83" s="183">
        <f t="shared" si="149"/>
        <v>0</v>
      </c>
      <c r="BB83" s="183">
        <f t="shared" si="149"/>
        <v>0</v>
      </c>
      <c r="BC83" s="183">
        <f t="shared" si="149"/>
        <v>0</v>
      </c>
      <c r="BD83" s="183">
        <f t="shared" si="149"/>
        <v>0</v>
      </c>
      <c r="BE83" s="183">
        <f t="shared" si="149"/>
        <v>0</v>
      </c>
      <c r="BF83" s="183">
        <f t="shared" si="149"/>
        <v>0</v>
      </c>
      <c r="BG83" s="183">
        <f t="shared" si="149"/>
        <v>0</v>
      </c>
      <c r="BH83" s="183">
        <f t="shared" si="149"/>
        <v>0</v>
      </c>
      <c r="BI83" s="183">
        <f t="shared" si="149"/>
        <v>0</v>
      </c>
      <c r="BJ83" s="183">
        <f t="shared" si="149"/>
        <v>0</v>
      </c>
      <c r="BK83" s="183">
        <f t="shared" si="149"/>
        <v>0</v>
      </c>
      <c r="BL83" s="183">
        <f t="shared" si="149"/>
        <v>0</v>
      </c>
      <c r="BM83" s="183">
        <f t="shared" si="149"/>
        <v>0</v>
      </c>
      <c r="BN83" s="183">
        <f t="shared" si="149"/>
        <v>0</v>
      </c>
      <c r="BO83" s="183">
        <f t="shared" si="149"/>
        <v>0</v>
      </c>
      <c r="BP83" s="183">
        <f t="shared" si="149"/>
        <v>0</v>
      </c>
      <c r="BQ83" s="183">
        <f t="shared" si="149"/>
        <v>0</v>
      </c>
      <c r="BR83" s="183">
        <f t="shared" si="149"/>
        <v>0</v>
      </c>
      <c r="BS83" s="183">
        <f t="shared" si="149"/>
        <v>0</v>
      </c>
      <c r="BT83" s="183">
        <f t="shared" si="149"/>
        <v>0</v>
      </c>
      <c r="BU83" s="183">
        <f t="shared" si="149"/>
        <v>0</v>
      </c>
      <c r="BV83" s="183">
        <f t="shared" si="149"/>
        <v>0</v>
      </c>
      <c r="BW83" s="183">
        <f t="shared" si="149"/>
        <v>0</v>
      </c>
      <c r="BX83" s="183">
        <f t="shared" si="149"/>
        <v>0</v>
      </c>
      <c r="BY83" s="183">
        <f t="shared" si="149"/>
        <v>0</v>
      </c>
      <c r="BZ83" s="183">
        <f t="shared" si="149"/>
        <v>0</v>
      </c>
      <c r="CA83" s="183">
        <f t="shared" si="149"/>
        <v>0</v>
      </c>
      <c r="CB83" s="183">
        <f t="shared" si="149"/>
        <v>0</v>
      </c>
      <c r="CC83" s="183">
        <f t="shared" si="149"/>
        <v>0</v>
      </c>
      <c r="CD83" s="183">
        <f t="shared" si="149"/>
        <v>0</v>
      </c>
      <c r="CE83" s="183">
        <f t="shared" si="149"/>
        <v>0</v>
      </c>
      <c r="CF83" s="183">
        <f t="shared" si="149"/>
        <v>0</v>
      </c>
      <c r="CG83" s="183">
        <f t="shared" si="149"/>
        <v>0</v>
      </c>
      <c r="CH83" s="183">
        <f t="shared" si="149"/>
        <v>0</v>
      </c>
      <c r="CI83" s="183">
        <f t="shared" si="149"/>
        <v>0</v>
      </c>
      <c r="CJ83" s="183">
        <f t="shared" si="149"/>
        <v>0</v>
      </c>
      <c r="CK83" s="183">
        <f t="shared" si="149"/>
        <v>0</v>
      </c>
      <c r="CL83" s="183">
        <f t="shared" si="147"/>
        <v>0</v>
      </c>
      <c r="CM83" s="183">
        <f t="shared" si="147"/>
        <v>0</v>
      </c>
      <c r="CN83" s="183">
        <f t="shared" si="147"/>
        <v>0</v>
      </c>
      <c r="CO83" s="183">
        <f t="shared" si="147"/>
        <v>0</v>
      </c>
      <c r="CP83" s="183">
        <f t="shared" si="147"/>
        <v>0</v>
      </c>
      <c r="CQ83" s="183">
        <f t="shared" si="147"/>
        <v>0</v>
      </c>
      <c r="CR83" s="183">
        <f t="shared" si="147"/>
        <v>0</v>
      </c>
      <c r="CS83" s="183">
        <f t="shared" si="147"/>
        <v>0</v>
      </c>
      <c r="CT83" s="183">
        <f t="shared" si="147"/>
        <v>0</v>
      </c>
      <c r="CU83" s="183">
        <f t="shared" si="147"/>
        <v>0</v>
      </c>
      <c r="CV83" s="183">
        <f t="shared" si="147"/>
        <v>0</v>
      </c>
      <c r="CW83" s="183">
        <f t="shared" si="147"/>
        <v>0</v>
      </c>
      <c r="CX83" s="183">
        <f t="shared" si="147"/>
        <v>0</v>
      </c>
      <c r="CY83" s="183">
        <f t="shared" si="147"/>
        <v>0</v>
      </c>
      <c r="CZ83" s="183">
        <f t="shared" si="147"/>
        <v>0</v>
      </c>
      <c r="DA83" s="183">
        <f t="shared" si="147"/>
        <v>0</v>
      </c>
      <c r="DB83" s="183">
        <f t="shared" si="147"/>
        <v>0</v>
      </c>
      <c r="DC83" s="183">
        <f t="shared" si="147"/>
        <v>0</v>
      </c>
      <c r="DD83" s="183">
        <f t="shared" si="147"/>
        <v>0</v>
      </c>
      <c r="DE83" s="183">
        <f t="shared" si="147"/>
        <v>0</v>
      </c>
      <c r="DF83" s="183">
        <f t="shared" si="147"/>
        <v>0</v>
      </c>
      <c r="DG83" s="183">
        <f t="shared" si="147"/>
        <v>0</v>
      </c>
      <c r="DH83" s="183">
        <f t="shared" si="147"/>
        <v>0</v>
      </c>
      <c r="DI83" s="183">
        <f t="shared" si="147"/>
        <v>0</v>
      </c>
      <c r="DJ83" s="183">
        <f t="shared" si="147"/>
        <v>0</v>
      </c>
      <c r="DK83" s="183">
        <f t="shared" si="147"/>
        <v>0</v>
      </c>
      <c r="DL83" s="183">
        <f t="shared" si="147"/>
        <v>0</v>
      </c>
      <c r="DM83" s="183">
        <f t="shared" si="147"/>
        <v>0</v>
      </c>
      <c r="DN83" s="183">
        <f t="shared" si="147"/>
        <v>0</v>
      </c>
      <c r="DO83" s="183">
        <f t="shared" si="147"/>
        <v>0</v>
      </c>
      <c r="DP83" s="183">
        <f t="shared" si="147"/>
        <v>0</v>
      </c>
      <c r="DQ83" s="183">
        <f t="shared" si="147"/>
        <v>0</v>
      </c>
      <c r="DR83" s="183">
        <f t="shared" si="147"/>
        <v>0</v>
      </c>
      <c r="DS83" s="183">
        <f t="shared" si="147"/>
        <v>0</v>
      </c>
      <c r="DT83" s="183">
        <f t="shared" si="147"/>
        <v>0</v>
      </c>
      <c r="DU83" s="183">
        <f t="shared" si="147"/>
        <v>0</v>
      </c>
      <c r="DV83" s="183">
        <f t="shared" si="147"/>
        <v>0</v>
      </c>
      <c r="DW83" s="183">
        <f t="shared" si="147"/>
        <v>0</v>
      </c>
      <c r="DX83" s="183">
        <f t="shared" si="147"/>
        <v>0</v>
      </c>
      <c r="DY83" s="183">
        <f t="shared" si="147"/>
        <v>0</v>
      </c>
      <c r="DZ83" s="183">
        <f t="shared" si="147"/>
        <v>0</v>
      </c>
      <c r="EA83" s="183">
        <f t="shared" si="147"/>
        <v>0</v>
      </c>
      <c r="EB83" s="183">
        <f t="shared" si="147"/>
        <v>0</v>
      </c>
      <c r="EC83" s="183">
        <f t="shared" si="147"/>
        <v>0</v>
      </c>
      <c r="ED83" s="183">
        <f t="shared" si="147"/>
        <v>0</v>
      </c>
      <c r="EE83" s="183">
        <f t="shared" si="147"/>
        <v>0</v>
      </c>
      <c r="EF83" s="183">
        <f t="shared" si="147"/>
        <v>0</v>
      </c>
      <c r="EG83" s="183">
        <f t="shared" si="147"/>
        <v>0</v>
      </c>
      <c r="EH83" s="183">
        <f t="shared" si="147"/>
        <v>0</v>
      </c>
      <c r="EI83" s="183">
        <f t="shared" si="147"/>
        <v>0</v>
      </c>
      <c r="EJ83" s="183">
        <f t="shared" si="147"/>
        <v>0</v>
      </c>
      <c r="EK83" s="183">
        <f t="shared" si="147"/>
        <v>0</v>
      </c>
      <c r="EL83" s="183">
        <f t="shared" si="147"/>
        <v>0</v>
      </c>
      <c r="EM83" s="183">
        <f t="shared" si="147"/>
        <v>0</v>
      </c>
      <c r="EN83" s="183">
        <f t="shared" si="147"/>
        <v>0</v>
      </c>
      <c r="EO83" s="183">
        <f t="shared" si="147"/>
        <v>0</v>
      </c>
      <c r="EP83" s="183">
        <f t="shared" si="147"/>
        <v>0</v>
      </c>
      <c r="EQ83" s="183">
        <f t="shared" si="147"/>
        <v>0</v>
      </c>
      <c r="ER83" s="183">
        <f t="shared" si="147"/>
        <v>0</v>
      </c>
      <c r="ES83" s="183">
        <f t="shared" si="147"/>
        <v>0</v>
      </c>
      <c r="ET83" s="183">
        <f t="shared" si="147"/>
        <v>0</v>
      </c>
      <c r="EU83" s="183">
        <f t="shared" si="147"/>
        <v>0</v>
      </c>
      <c r="EV83" s="183">
        <f t="shared" si="147"/>
        <v>0</v>
      </c>
      <c r="EW83" s="183">
        <f t="shared" si="148"/>
        <v>0</v>
      </c>
      <c r="EX83" s="183">
        <f t="shared" si="148"/>
        <v>0</v>
      </c>
      <c r="EY83" s="183">
        <f t="shared" si="148"/>
        <v>0</v>
      </c>
      <c r="EZ83" s="183">
        <f t="shared" si="148"/>
        <v>0</v>
      </c>
      <c r="FB83" s="609" t="s">
        <v>243</v>
      </c>
      <c r="FC83" s="144"/>
      <c r="FD83" s="144"/>
      <c r="FE83" s="144"/>
      <c r="FF83" s="144"/>
      <c r="FG83" s="144"/>
      <c r="FH83" s="144"/>
      <c r="FI83" s="144"/>
      <c r="FJ83" s="144"/>
      <c r="FK83" s="144"/>
      <c r="FL83" s="144"/>
      <c r="FM83" s="144"/>
      <c r="FN83" s="144"/>
      <c r="FO83" s="144"/>
      <c r="FP83" s="144"/>
      <c r="FQ83" s="144"/>
      <c r="FR83" s="144"/>
      <c r="FS83" s="144"/>
      <c r="FT83" s="144"/>
      <c r="FU83" s="144"/>
      <c r="FV83" s="144"/>
      <c r="FW83" s="144"/>
      <c r="FX83" s="144"/>
      <c r="FY83" s="144"/>
      <c r="FZ83" s="144"/>
      <c r="GA83" s="144"/>
      <c r="GB83" s="144"/>
      <c r="GC83" s="144"/>
      <c r="GD83" s="144"/>
      <c r="GE83" s="144"/>
      <c r="GF83" s="144"/>
      <c r="GG83" s="144"/>
      <c r="GH83" s="144"/>
      <c r="GI83" s="144"/>
      <c r="GJ83" s="144"/>
      <c r="GK83" s="144"/>
      <c r="GL83" s="144"/>
      <c r="GM83" s="144"/>
      <c r="GN83" s="144"/>
      <c r="GO83" s="144"/>
      <c r="GP83" s="144"/>
      <c r="GQ83" s="144"/>
      <c r="GR83" s="144"/>
      <c r="GS83" s="144"/>
      <c r="GT83" s="144"/>
      <c r="GU83" s="144"/>
      <c r="GV83" s="144"/>
      <c r="GW83" s="144"/>
      <c r="GX83" s="144"/>
      <c r="GY83" s="144"/>
      <c r="GZ83" s="144"/>
      <c r="HA83" s="144"/>
      <c r="HB83" s="144"/>
      <c r="HC83" s="144"/>
      <c r="HD83" s="144"/>
      <c r="HE83" s="144"/>
      <c r="HF83" s="144"/>
      <c r="HG83" s="144"/>
      <c r="HH83" s="144"/>
      <c r="HI83" s="144"/>
      <c r="HJ83" s="144"/>
      <c r="HK83" s="144"/>
    </row>
    <row r="84" spans="1:219" s="158" customFormat="1" x14ac:dyDescent="0.2">
      <c r="A84" s="630"/>
      <c r="B84" s="638" t="s">
        <v>679</v>
      </c>
      <c r="C84" s="162"/>
      <c r="D84" s="443">
        <v>0</v>
      </c>
      <c r="E84" s="199">
        <f>IF(units=0,0,'Renovation Budget'!D84/units)</f>
        <v>0</v>
      </c>
      <c r="F84" s="640">
        <v>0</v>
      </c>
      <c r="G84" s="640">
        <v>0</v>
      </c>
      <c r="H84" s="641">
        <f t="shared" si="132"/>
        <v>0</v>
      </c>
      <c r="I84" s="642" t="s">
        <v>107</v>
      </c>
      <c r="J84" s="643" t="s">
        <v>42</v>
      </c>
      <c r="K84" s="644"/>
      <c r="L84" s="183">
        <f t="shared" si="139"/>
        <v>0</v>
      </c>
      <c r="M84" s="183">
        <f t="shared" si="139"/>
        <v>0</v>
      </c>
      <c r="N84" s="183">
        <f t="shared" si="139"/>
        <v>0</v>
      </c>
      <c r="O84" s="183">
        <f t="shared" si="139"/>
        <v>0</v>
      </c>
      <c r="P84" s="183">
        <f t="shared" si="139"/>
        <v>0</v>
      </c>
      <c r="Q84" s="183">
        <f t="shared" si="139"/>
        <v>0</v>
      </c>
      <c r="R84" s="183">
        <f t="shared" si="139"/>
        <v>0</v>
      </c>
      <c r="S84" s="183">
        <f t="shared" si="139"/>
        <v>0</v>
      </c>
      <c r="T84" s="183">
        <f t="shared" si="139"/>
        <v>0</v>
      </c>
      <c r="U84" s="183">
        <f t="shared" si="139"/>
        <v>0</v>
      </c>
      <c r="V84" s="183">
        <f t="shared" si="139"/>
        <v>0</v>
      </c>
      <c r="W84" s="644"/>
      <c r="X84" s="183">
        <f t="shared" si="134"/>
        <v>0</v>
      </c>
      <c r="Y84" s="183">
        <f t="shared" si="135"/>
        <v>0</v>
      </c>
      <c r="Z84" s="183">
        <f t="shared" si="149"/>
        <v>0</v>
      </c>
      <c r="AA84" s="183">
        <f t="shared" si="149"/>
        <v>0</v>
      </c>
      <c r="AB84" s="183">
        <f t="shared" si="149"/>
        <v>0</v>
      </c>
      <c r="AC84" s="183">
        <f t="shared" si="149"/>
        <v>0</v>
      </c>
      <c r="AD84" s="183">
        <f t="shared" si="149"/>
        <v>0</v>
      </c>
      <c r="AE84" s="183">
        <f t="shared" si="149"/>
        <v>0</v>
      </c>
      <c r="AF84" s="183">
        <f t="shared" si="149"/>
        <v>0</v>
      </c>
      <c r="AG84" s="183">
        <f t="shared" si="149"/>
        <v>0</v>
      </c>
      <c r="AH84" s="183">
        <f t="shared" si="149"/>
        <v>0</v>
      </c>
      <c r="AI84" s="183">
        <f t="shared" si="149"/>
        <v>0</v>
      </c>
      <c r="AJ84" s="183">
        <f t="shared" si="149"/>
        <v>0</v>
      </c>
      <c r="AK84" s="183">
        <f t="shared" si="149"/>
        <v>0</v>
      </c>
      <c r="AL84" s="183">
        <f t="shared" si="149"/>
        <v>0</v>
      </c>
      <c r="AM84" s="183">
        <f t="shared" si="149"/>
        <v>0</v>
      </c>
      <c r="AN84" s="183">
        <f t="shared" si="149"/>
        <v>0</v>
      </c>
      <c r="AO84" s="183">
        <f t="shared" si="149"/>
        <v>0</v>
      </c>
      <c r="AP84" s="183">
        <f t="shared" si="149"/>
        <v>0</v>
      </c>
      <c r="AQ84" s="183">
        <f t="shared" si="149"/>
        <v>0</v>
      </c>
      <c r="AR84" s="183">
        <f t="shared" si="149"/>
        <v>0</v>
      </c>
      <c r="AS84" s="183">
        <f t="shared" si="149"/>
        <v>0</v>
      </c>
      <c r="AT84" s="183">
        <f t="shared" si="149"/>
        <v>0</v>
      </c>
      <c r="AU84" s="183">
        <f t="shared" si="149"/>
        <v>0</v>
      </c>
      <c r="AV84" s="183">
        <f t="shared" si="149"/>
        <v>0</v>
      </c>
      <c r="AW84" s="183">
        <f t="shared" si="149"/>
        <v>0</v>
      </c>
      <c r="AX84" s="183">
        <f t="shared" si="149"/>
        <v>0</v>
      </c>
      <c r="AY84" s="183">
        <f t="shared" si="149"/>
        <v>0</v>
      </c>
      <c r="AZ84" s="183">
        <f t="shared" si="149"/>
        <v>0</v>
      </c>
      <c r="BA84" s="183">
        <f t="shared" si="149"/>
        <v>0</v>
      </c>
      <c r="BB84" s="183">
        <f t="shared" si="149"/>
        <v>0</v>
      </c>
      <c r="BC84" s="183">
        <f t="shared" si="149"/>
        <v>0</v>
      </c>
      <c r="BD84" s="183">
        <f t="shared" si="149"/>
        <v>0</v>
      </c>
      <c r="BE84" s="183">
        <f t="shared" si="149"/>
        <v>0</v>
      </c>
      <c r="BF84" s="183">
        <f t="shared" si="149"/>
        <v>0</v>
      </c>
      <c r="BG84" s="183">
        <f t="shared" si="149"/>
        <v>0</v>
      </c>
      <c r="BH84" s="183">
        <f t="shared" si="149"/>
        <v>0</v>
      </c>
      <c r="BI84" s="183">
        <f t="shared" si="149"/>
        <v>0</v>
      </c>
      <c r="BJ84" s="183">
        <f t="shared" si="149"/>
        <v>0</v>
      </c>
      <c r="BK84" s="183">
        <f t="shared" si="149"/>
        <v>0</v>
      </c>
      <c r="BL84" s="183">
        <f t="shared" si="149"/>
        <v>0</v>
      </c>
      <c r="BM84" s="183">
        <f t="shared" si="149"/>
        <v>0</v>
      </c>
      <c r="BN84" s="183">
        <f t="shared" si="149"/>
        <v>0</v>
      </c>
      <c r="BO84" s="183">
        <f t="shared" si="149"/>
        <v>0</v>
      </c>
      <c r="BP84" s="183">
        <f t="shared" si="149"/>
        <v>0</v>
      </c>
      <c r="BQ84" s="183">
        <f t="shared" si="149"/>
        <v>0</v>
      </c>
      <c r="BR84" s="183">
        <f t="shared" si="149"/>
        <v>0</v>
      </c>
      <c r="BS84" s="183">
        <f t="shared" si="149"/>
        <v>0</v>
      </c>
      <c r="BT84" s="183">
        <f t="shared" si="149"/>
        <v>0</v>
      </c>
      <c r="BU84" s="183">
        <f t="shared" si="149"/>
        <v>0</v>
      </c>
      <c r="BV84" s="183">
        <f t="shared" si="149"/>
        <v>0</v>
      </c>
      <c r="BW84" s="183">
        <f t="shared" si="149"/>
        <v>0</v>
      </c>
      <c r="BX84" s="183">
        <f t="shared" si="149"/>
        <v>0</v>
      </c>
      <c r="BY84" s="183">
        <f t="shared" si="149"/>
        <v>0</v>
      </c>
      <c r="BZ84" s="183">
        <f t="shared" si="149"/>
        <v>0</v>
      </c>
      <c r="CA84" s="183">
        <f t="shared" si="149"/>
        <v>0</v>
      </c>
      <c r="CB84" s="183">
        <f t="shared" si="149"/>
        <v>0</v>
      </c>
      <c r="CC84" s="183">
        <f t="shared" si="149"/>
        <v>0</v>
      </c>
      <c r="CD84" s="183">
        <f t="shared" si="149"/>
        <v>0</v>
      </c>
      <c r="CE84" s="183">
        <f t="shared" si="149"/>
        <v>0</v>
      </c>
      <c r="CF84" s="183">
        <f t="shared" si="149"/>
        <v>0</v>
      </c>
      <c r="CG84" s="183">
        <f t="shared" si="149"/>
        <v>0</v>
      </c>
      <c r="CH84" s="183">
        <f t="shared" si="149"/>
        <v>0</v>
      </c>
      <c r="CI84" s="183">
        <f t="shared" si="149"/>
        <v>0</v>
      </c>
      <c r="CJ84" s="183">
        <f t="shared" si="149"/>
        <v>0</v>
      </c>
      <c r="CK84" s="183">
        <f t="shared" si="149"/>
        <v>0</v>
      </c>
      <c r="CL84" s="183">
        <f t="shared" si="147"/>
        <v>0</v>
      </c>
      <c r="CM84" s="183">
        <f t="shared" si="147"/>
        <v>0</v>
      </c>
      <c r="CN84" s="183">
        <f t="shared" si="147"/>
        <v>0</v>
      </c>
      <c r="CO84" s="183">
        <f t="shared" si="147"/>
        <v>0</v>
      </c>
      <c r="CP84" s="183">
        <f t="shared" si="147"/>
        <v>0</v>
      </c>
      <c r="CQ84" s="183">
        <f t="shared" si="147"/>
        <v>0</v>
      </c>
      <c r="CR84" s="183">
        <f t="shared" si="147"/>
        <v>0</v>
      </c>
      <c r="CS84" s="183">
        <f t="shared" si="147"/>
        <v>0</v>
      </c>
      <c r="CT84" s="183">
        <f t="shared" si="147"/>
        <v>0</v>
      </c>
      <c r="CU84" s="183">
        <f t="shared" si="147"/>
        <v>0</v>
      </c>
      <c r="CV84" s="183">
        <f t="shared" si="147"/>
        <v>0</v>
      </c>
      <c r="CW84" s="183">
        <f t="shared" si="147"/>
        <v>0</v>
      </c>
      <c r="CX84" s="183">
        <f t="shared" si="147"/>
        <v>0</v>
      </c>
      <c r="CY84" s="183">
        <f t="shared" si="147"/>
        <v>0</v>
      </c>
      <c r="CZ84" s="183">
        <f t="shared" si="147"/>
        <v>0</v>
      </c>
      <c r="DA84" s="183">
        <f t="shared" si="147"/>
        <v>0</v>
      </c>
      <c r="DB84" s="183">
        <f t="shared" si="147"/>
        <v>0</v>
      </c>
      <c r="DC84" s="183">
        <f t="shared" si="147"/>
        <v>0</v>
      </c>
      <c r="DD84" s="183">
        <f t="shared" si="147"/>
        <v>0</v>
      </c>
      <c r="DE84" s="183">
        <f t="shared" si="147"/>
        <v>0</v>
      </c>
      <c r="DF84" s="183">
        <f t="shared" si="147"/>
        <v>0</v>
      </c>
      <c r="DG84" s="183">
        <f t="shared" si="147"/>
        <v>0</v>
      </c>
      <c r="DH84" s="183">
        <f t="shared" si="147"/>
        <v>0</v>
      </c>
      <c r="DI84" s="183">
        <f t="shared" si="147"/>
        <v>0</v>
      </c>
      <c r="DJ84" s="183">
        <f t="shared" si="147"/>
        <v>0</v>
      </c>
      <c r="DK84" s="183">
        <f t="shared" si="147"/>
        <v>0</v>
      </c>
      <c r="DL84" s="183">
        <f t="shared" si="147"/>
        <v>0</v>
      </c>
      <c r="DM84" s="183">
        <f t="shared" si="147"/>
        <v>0</v>
      </c>
      <c r="DN84" s="183">
        <f t="shared" si="147"/>
        <v>0</v>
      </c>
      <c r="DO84" s="183">
        <f t="shared" si="147"/>
        <v>0</v>
      </c>
      <c r="DP84" s="183">
        <f t="shared" si="147"/>
        <v>0</v>
      </c>
      <c r="DQ84" s="183">
        <f t="shared" si="147"/>
        <v>0</v>
      </c>
      <c r="DR84" s="183">
        <f t="shared" si="147"/>
        <v>0</v>
      </c>
      <c r="DS84" s="183">
        <f t="shared" si="147"/>
        <v>0</v>
      </c>
      <c r="DT84" s="183">
        <f t="shared" si="147"/>
        <v>0</v>
      </c>
      <c r="DU84" s="183">
        <f t="shared" si="147"/>
        <v>0</v>
      </c>
      <c r="DV84" s="183">
        <f t="shared" si="147"/>
        <v>0</v>
      </c>
      <c r="DW84" s="183">
        <f t="shared" si="147"/>
        <v>0</v>
      </c>
      <c r="DX84" s="183">
        <f t="shared" si="147"/>
        <v>0</v>
      </c>
      <c r="DY84" s="183">
        <f t="shared" si="147"/>
        <v>0</v>
      </c>
      <c r="DZ84" s="183">
        <f t="shared" si="147"/>
        <v>0</v>
      </c>
      <c r="EA84" s="183">
        <f t="shared" si="147"/>
        <v>0</v>
      </c>
      <c r="EB84" s="183">
        <f t="shared" si="147"/>
        <v>0</v>
      </c>
      <c r="EC84" s="183">
        <f t="shared" si="147"/>
        <v>0</v>
      </c>
      <c r="ED84" s="183">
        <f t="shared" si="147"/>
        <v>0</v>
      </c>
      <c r="EE84" s="183">
        <f t="shared" si="147"/>
        <v>0</v>
      </c>
      <c r="EF84" s="183">
        <f t="shared" si="147"/>
        <v>0</v>
      </c>
      <c r="EG84" s="183">
        <f t="shared" si="147"/>
        <v>0</v>
      </c>
      <c r="EH84" s="183">
        <f t="shared" si="147"/>
        <v>0</v>
      </c>
      <c r="EI84" s="183">
        <f t="shared" si="147"/>
        <v>0</v>
      </c>
      <c r="EJ84" s="183">
        <f t="shared" si="147"/>
        <v>0</v>
      </c>
      <c r="EK84" s="183">
        <f t="shared" si="147"/>
        <v>0</v>
      </c>
      <c r="EL84" s="183">
        <f t="shared" si="147"/>
        <v>0</v>
      </c>
      <c r="EM84" s="183">
        <f t="shared" si="147"/>
        <v>0</v>
      </c>
      <c r="EN84" s="183">
        <f t="shared" si="147"/>
        <v>0</v>
      </c>
      <c r="EO84" s="183">
        <f t="shared" si="147"/>
        <v>0</v>
      </c>
      <c r="EP84" s="183">
        <f t="shared" si="147"/>
        <v>0</v>
      </c>
      <c r="EQ84" s="183">
        <f t="shared" si="147"/>
        <v>0</v>
      </c>
      <c r="ER84" s="183">
        <f t="shared" si="147"/>
        <v>0</v>
      </c>
      <c r="ES84" s="183">
        <f t="shared" si="147"/>
        <v>0</v>
      </c>
      <c r="ET84" s="183">
        <f t="shared" si="147"/>
        <v>0</v>
      </c>
      <c r="EU84" s="183">
        <f t="shared" si="147"/>
        <v>0</v>
      </c>
      <c r="EV84" s="183">
        <f t="shared" si="147"/>
        <v>0</v>
      </c>
      <c r="EW84" s="183">
        <f t="shared" si="148"/>
        <v>0</v>
      </c>
      <c r="EX84" s="183">
        <f t="shared" si="148"/>
        <v>0</v>
      </c>
      <c r="EY84" s="183">
        <f t="shared" si="148"/>
        <v>0</v>
      </c>
      <c r="EZ84" s="183">
        <f t="shared" si="148"/>
        <v>0</v>
      </c>
      <c r="FB84" s="609" t="s">
        <v>243</v>
      </c>
      <c r="FC84" s="144"/>
      <c r="FD84" s="144"/>
      <c r="FE84" s="144"/>
      <c r="FF84" s="144"/>
      <c r="FG84" s="144"/>
      <c r="FH84" s="144"/>
      <c r="FI84" s="144"/>
      <c r="FJ84" s="144"/>
      <c r="FK84" s="144"/>
      <c r="FL84" s="144"/>
      <c r="FM84" s="144"/>
      <c r="FN84" s="144"/>
      <c r="FO84" s="144"/>
      <c r="FP84" s="144"/>
      <c r="FQ84" s="144"/>
      <c r="FR84" s="144"/>
      <c r="FS84" s="144"/>
      <c r="FT84" s="144"/>
      <c r="FU84" s="144"/>
      <c r="FV84" s="144"/>
      <c r="FW84" s="144"/>
      <c r="FX84" s="144"/>
      <c r="FY84" s="144"/>
      <c r="FZ84" s="144"/>
      <c r="GA84" s="144"/>
      <c r="GB84" s="144"/>
      <c r="GC84" s="144"/>
      <c r="GD84" s="144"/>
      <c r="GE84" s="144"/>
      <c r="GF84" s="144"/>
      <c r="GG84" s="144"/>
      <c r="GH84" s="144"/>
      <c r="GI84" s="144"/>
      <c r="GJ84" s="144"/>
      <c r="GK84" s="144"/>
      <c r="GL84" s="144"/>
      <c r="GM84" s="144"/>
      <c r="GN84" s="144"/>
      <c r="GO84" s="144"/>
      <c r="GP84" s="144"/>
      <c r="GQ84" s="144"/>
      <c r="GR84" s="144"/>
      <c r="GS84" s="144"/>
      <c r="GT84" s="144"/>
      <c r="GU84" s="144"/>
      <c r="GV84" s="144"/>
      <c r="GW84" s="144"/>
      <c r="GX84" s="144"/>
      <c r="GY84" s="144"/>
      <c r="GZ84" s="144"/>
      <c r="HA84" s="144"/>
      <c r="HB84" s="144"/>
      <c r="HC84" s="144"/>
      <c r="HD84" s="144"/>
      <c r="HE84" s="144"/>
      <c r="HF84" s="144"/>
      <c r="HG84" s="144"/>
      <c r="HH84" s="144"/>
      <c r="HI84" s="144"/>
      <c r="HJ84" s="144"/>
      <c r="HK84" s="144"/>
    </row>
    <row r="85" spans="1:219" s="158" customFormat="1" x14ac:dyDescent="0.2">
      <c r="A85" s="630"/>
      <c r="B85" s="638" t="s">
        <v>680</v>
      </c>
      <c r="C85" s="162"/>
      <c r="D85" s="443">
        <v>0</v>
      </c>
      <c r="E85" s="199">
        <f>IF(units=0,0,'Renovation Budget'!D85/units)</f>
        <v>0</v>
      </c>
      <c r="F85" s="640">
        <v>0</v>
      </c>
      <c r="G85" s="640">
        <v>0</v>
      </c>
      <c r="H85" s="641">
        <f t="shared" si="132"/>
        <v>0</v>
      </c>
      <c r="I85" s="642" t="s">
        <v>107</v>
      </c>
      <c r="J85" s="643" t="s">
        <v>42</v>
      </c>
      <c r="K85" s="644"/>
      <c r="L85" s="183">
        <f t="shared" si="139"/>
        <v>0</v>
      </c>
      <c r="M85" s="183">
        <f t="shared" si="139"/>
        <v>0</v>
      </c>
      <c r="N85" s="183">
        <f t="shared" si="139"/>
        <v>0</v>
      </c>
      <c r="O85" s="183">
        <f t="shared" si="139"/>
        <v>0</v>
      </c>
      <c r="P85" s="183">
        <f t="shared" si="139"/>
        <v>0</v>
      </c>
      <c r="Q85" s="183">
        <f t="shared" si="139"/>
        <v>0</v>
      </c>
      <c r="R85" s="183">
        <f t="shared" si="139"/>
        <v>0</v>
      </c>
      <c r="S85" s="183">
        <f t="shared" si="139"/>
        <v>0</v>
      </c>
      <c r="T85" s="183">
        <f t="shared" si="139"/>
        <v>0</v>
      </c>
      <c r="U85" s="183">
        <f t="shared" si="139"/>
        <v>0</v>
      </c>
      <c r="V85" s="183">
        <f t="shared" si="139"/>
        <v>0</v>
      </c>
      <c r="W85" s="644"/>
      <c r="X85" s="183">
        <f t="shared" si="134"/>
        <v>0</v>
      </c>
      <c r="Y85" s="183">
        <f t="shared" si="135"/>
        <v>0</v>
      </c>
      <c r="Z85" s="183">
        <f t="shared" si="149"/>
        <v>0</v>
      </c>
      <c r="AA85" s="183">
        <f t="shared" si="149"/>
        <v>0</v>
      </c>
      <c r="AB85" s="183">
        <f t="shared" si="149"/>
        <v>0</v>
      </c>
      <c r="AC85" s="183">
        <f t="shared" si="149"/>
        <v>0</v>
      </c>
      <c r="AD85" s="183">
        <f t="shared" si="149"/>
        <v>0</v>
      </c>
      <c r="AE85" s="183">
        <f t="shared" si="149"/>
        <v>0</v>
      </c>
      <c r="AF85" s="183">
        <f t="shared" si="149"/>
        <v>0</v>
      </c>
      <c r="AG85" s="183">
        <f t="shared" si="149"/>
        <v>0</v>
      </c>
      <c r="AH85" s="183">
        <f t="shared" si="149"/>
        <v>0</v>
      </c>
      <c r="AI85" s="183">
        <f t="shared" si="149"/>
        <v>0</v>
      </c>
      <c r="AJ85" s="183">
        <f t="shared" si="149"/>
        <v>0</v>
      </c>
      <c r="AK85" s="183">
        <f t="shared" si="149"/>
        <v>0</v>
      </c>
      <c r="AL85" s="183">
        <f t="shared" si="149"/>
        <v>0</v>
      </c>
      <c r="AM85" s="183">
        <f t="shared" si="149"/>
        <v>0</v>
      </c>
      <c r="AN85" s="183">
        <f t="shared" si="149"/>
        <v>0</v>
      </c>
      <c r="AO85" s="183">
        <f t="shared" si="149"/>
        <v>0</v>
      </c>
      <c r="AP85" s="183">
        <f t="shared" si="149"/>
        <v>0</v>
      </c>
      <c r="AQ85" s="183">
        <f t="shared" si="149"/>
        <v>0</v>
      </c>
      <c r="AR85" s="183">
        <f t="shared" si="149"/>
        <v>0</v>
      </c>
      <c r="AS85" s="183">
        <f t="shared" si="149"/>
        <v>0</v>
      </c>
      <c r="AT85" s="183">
        <f t="shared" si="149"/>
        <v>0</v>
      </c>
      <c r="AU85" s="183">
        <f t="shared" si="149"/>
        <v>0</v>
      </c>
      <c r="AV85" s="183">
        <f t="shared" si="149"/>
        <v>0</v>
      </c>
      <c r="AW85" s="183">
        <f t="shared" si="149"/>
        <v>0</v>
      </c>
      <c r="AX85" s="183">
        <f t="shared" si="149"/>
        <v>0</v>
      </c>
      <c r="AY85" s="183">
        <f t="shared" si="149"/>
        <v>0</v>
      </c>
      <c r="AZ85" s="183">
        <f t="shared" si="149"/>
        <v>0</v>
      </c>
      <c r="BA85" s="183">
        <f t="shared" si="149"/>
        <v>0</v>
      </c>
      <c r="BB85" s="183">
        <f t="shared" si="149"/>
        <v>0</v>
      </c>
      <c r="BC85" s="183">
        <f t="shared" si="149"/>
        <v>0</v>
      </c>
      <c r="BD85" s="183">
        <f t="shared" si="149"/>
        <v>0</v>
      </c>
      <c r="BE85" s="183">
        <f t="shared" si="149"/>
        <v>0</v>
      </c>
      <c r="BF85" s="183">
        <f t="shared" si="149"/>
        <v>0</v>
      </c>
      <c r="BG85" s="183">
        <f t="shared" si="149"/>
        <v>0</v>
      </c>
      <c r="BH85" s="183">
        <f t="shared" si="149"/>
        <v>0</v>
      </c>
      <c r="BI85" s="183">
        <f t="shared" si="149"/>
        <v>0</v>
      </c>
      <c r="BJ85" s="183">
        <f t="shared" si="149"/>
        <v>0</v>
      </c>
      <c r="BK85" s="183">
        <f t="shared" si="149"/>
        <v>0</v>
      </c>
      <c r="BL85" s="183">
        <f t="shared" si="149"/>
        <v>0</v>
      </c>
      <c r="BM85" s="183">
        <f t="shared" si="149"/>
        <v>0</v>
      </c>
      <c r="BN85" s="183">
        <f t="shared" si="149"/>
        <v>0</v>
      </c>
      <c r="BO85" s="183">
        <f t="shared" si="149"/>
        <v>0</v>
      </c>
      <c r="BP85" s="183">
        <f t="shared" si="149"/>
        <v>0</v>
      </c>
      <c r="BQ85" s="183">
        <f t="shared" si="149"/>
        <v>0</v>
      </c>
      <c r="BR85" s="183">
        <f t="shared" si="149"/>
        <v>0</v>
      </c>
      <c r="BS85" s="183">
        <f t="shared" si="149"/>
        <v>0</v>
      </c>
      <c r="BT85" s="183">
        <f t="shared" si="149"/>
        <v>0</v>
      </c>
      <c r="BU85" s="183">
        <f t="shared" si="149"/>
        <v>0</v>
      </c>
      <c r="BV85" s="183">
        <f t="shared" si="149"/>
        <v>0</v>
      </c>
      <c r="BW85" s="183">
        <f t="shared" si="149"/>
        <v>0</v>
      </c>
      <c r="BX85" s="183">
        <f t="shared" si="149"/>
        <v>0</v>
      </c>
      <c r="BY85" s="183">
        <f t="shared" si="149"/>
        <v>0</v>
      </c>
      <c r="BZ85" s="183">
        <f t="shared" si="149"/>
        <v>0</v>
      </c>
      <c r="CA85" s="183">
        <f t="shared" si="149"/>
        <v>0</v>
      </c>
      <c r="CB85" s="183">
        <f t="shared" si="149"/>
        <v>0</v>
      </c>
      <c r="CC85" s="183">
        <f t="shared" si="149"/>
        <v>0</v>
      </c>
      <c r="CD85" s="183">
        <f t="shared" si="149"/>
        <v>0</v>
      </c>
      <c r="CE85" s="183">
        <f t="shared" si="149"/>
        <v>0</v>
      </c>
      <c r="CF85" s="183">
        <f t="shared" si="149"/>
        <v>0</v>
      </c>
      <c r="CG85" s="183">
        <f t="shared" si="149"/>
        <v>0</v>
      </c>
      <c r="CH85" s="183">
        <f t="shared" si="149"/>
        <v>0</v>
      </c>
      <c r="CI85" s="183">
        <f t="shared" si="149"/>
        <v>0</v>
      </c>
      <c r="CJ85" s="183">
        <f t="shared" si="149"/>
        <v>0</v>
      </c>
      <c r="CK85" s="183">
        <f t="shared" ref="CK85:EV88" si="150">IF(OR(CK$3&gt;=$G85,CK$3&lt;$F85),0,(_xlfn.NORM.DIST(CK$3-$F85+1,$H85/2,INDEX($E$115:$E$118,MATCH($I85,$D$115:$D$118,0)),TRUE)-_xlfn.NORM.DIST(CJ$3-$F85+1,$H85/2,INDEX($E$115:$E$118,MATCH($I85,$D$115:$D$118,0)),TRUE))/(1-2*_xlfn.NORM.DIST(0,$H85/2,INDEX($E$115:$E$118,MATCH($I85,$D$115:$D$118,0)),TRUE))*$D85)</f>
        <v>0</v>
      </c>
      <c r="CL85" s="183">
        <f t="shared" si="150"/>
        <v>0</v>
      </c>
      <c r="CM85" s="183">
        <f t="shared" si="150"/>
        <v>0</v>
      </c>
      <c r="CN85" s="183">
        <f t="shared" si="150"/>
        <v>0</v>
      </c>
      <c r="CO85" s="183">
        <f t="shared" si="150"/>
        <v>0</v>
      </c>
      <c r="CP85" s="183">
        <f t="shared" si="150"/>
        <v>0</v>
      </c>
      <c r="CQ85" s="183">
        <f t="shared" si="150"/>
        <v>0</v>
      </c>
      <c r="CR85" s="183">
        <f t="shared" si="150"/>
        <v>0</v>
      </c>
      <c r="CS85" s="183">
        <f t="shared" si="150"/>
        <v>0</v>
      </c>
      <c r="CT85" s="183">
        <f t="shared" si="150"/>
        <v>0</v>
      </c>
      <c r="CU85" s="183">
        <f t="shared" si="150"/>
        <v>0</v>
      </c>
      <c r="CV85" s="183">
        <f t="shared" si="150"/>
        <v>0</v>
      </c>
      <c r="CW85" s="183">
        <f t="shared" si="150"/>
        <v>0</v>
      </c>
      <c r="CX85" s="183">
        <f t="shared" si="150"/>
        <v>0</v>
      </c>
      <c r="CY85" s="183">
        <f t="shared" si="150"/>
        <v>0</v>
      </c>
      <c r="CZ85" s="183">
        <f t="shared" si="150"/>
        <v>0</v>
      </c>
      <c r="DA85" s="183">
        <f t="shared" si="150"/>
        <v>0</v>
      </c>
      <c r="DB85" s="183">
        <f t="shared" si="150"/>
        <v>0</v>
      </c>
      <c r="DC85" s="183">
        <f t="shared" si="150"/>
        <v>0</v>
      </c>
      <c r="DD85" s="183">
        <f t="shared" si="150"/>
        <v>0</v>
      </c>
      <c r="DE85" s="183">
        <f t="shared" si="150"/>
        <v>0</v>
      </c>
      <c r="DF85" s="183">
        <f t="shared" si="150"/>
        <v>0</v>
      </c>
      <c r="DG85" s="183">
        <f t="shared" si="150"/>
        <v>0</v>
      </c>
      <c r="DH85" s="183">
        <f t="shared" si="150"/>
        <v>0</v>
      </c>
      <c r="DI85" s="183">
        <f t="shared" si="150"/>
        <v>0</v>
      </c>
      <c r="DJ85" s="183">
        <f t="shared" si="150"/>
        <v>0</v>
      </c>
      <c r="DK85" s="183">
        <f t="shared" si="150"/>
        <v>0</v>
      </c>
      <c r="DL85" s="183">
        <f t="shared" si="150"/>
        <v>0</v>
      </c>
      <c r="DM85" s="183">
        <f t="shared" si="150"/>
        <v>0</v>
      </c>
      <c r="DN85" s="183">
        <f t="shared" si="150"/>
        <v>0</v>
      </c>
      <c r="DO85" s="183">
        <f t="shared" si="150"/>
        <v>0</v>
      </c>
      <c r="DP85" s="183">
        <f t="shared" si="150"/>
        <v>0</v>
      </c>
      <c r="DQ85" s="183">
        <f t="shared" si="150"/>
        <v>0</v>
      </c>
      <c r="DR85" s="183">
        <f t="shared" si="150"/>
        <v>0</v>
      </c>
      <c r="DS85" s="183">
        <f t="shared" si="150"/>
        <v>0</v>
      </c>
      <c r="DT85" s="183">
        <f t="shared" si="150"/>
        <v>0</v>
      </c>
      <c r="DU85" s="183">
        <f t="shared" si="150"/>
        <v>0</v>
      </c>
      <c r="DV85" s="183">
        <f t="shared" si="150"/>
        <v>0</v>
      </c>
      <c r="DW85" s="183">
        <f t="shared" si="150"/>
        <v>0</v>
      </c>
      <c r="DX85" s="183">
        <f t="shared" si="150"/>
        <v>0</v>
      </c>
      <c r="DY85" s="183">
        <f t="shared" si="150"/>
        <v>0</v>
      </c>
      <c r="DZ85" s="183">
        <f t="shared" si="150"/>
        <v>0</v>
      </c>
      <c r="EA85" s="183">
        <f t="shared" si="150"/>
        <v>0</v>
      </c>
      <c r="EB85" s="183">
        <f t="shared" si="150"/>
        <v>0</v>
      </c>
      <c r="EC85" s="183">
        <f t="shared" si="150"/>
        <v>0</v>
      </c>
      <c r="ED85" s="183">
        <f t="shared" si="150"/>
        <v>0</v>
      </c>
      <c r="EE85" s="183">
        <f t="shared" si="150"/>
        <v>0</v>
      </c>
      <c r="EF85" s="183">
        <f t="shared" si="150"/>
        <v>0</v>
      </c>
      <c r="EG85" s="183">
        <f t="shared" si="150"/>
        <v>0</v>
      </c>
      <c r="EH85" s="183">
        <f t="shared" si="150"/>
        <v>0</v>
      </c>
      <c r="EI85" s="183">
        <f t="shared" si="150"/>
        <v>0</v>
      </c>
      <c r="EJ85" s="183">
        <f t="shared" si="150"/>
        <v>0</v>
      </c>
      <c r="EK85" s="183">
        <f t="shared" si="150"/>
        <v>0</v>
      </c>
      <c r="EL85" s="183">
        <f t="shared" si="150"/>
        <v>0</v>
      </c>
      <c r="EM85" s="183">
        <f t="shared" si="150"/>
        <v>0</v>
      </c>
      <c r="EN85" s="183">
        <f t="shared" si="150"/>
        <v>0</v>
      </c>
      <c r="EO85" s="183">
        <f t="shared" si="150"/>
        <v>0</v>
      </c>
      <c r="EP85" s="183">
        <f t="shared" si="150"/>
        <v>0</v>
      </c>
      <c r="EQ85" s="183">
        <f t="shared" si="150"/>
        <v>0</v>
      </c>
      <c r="ER85" s="183">
        <f t="shared" si="150"/>
        <v>0</v>
      </c>
      <c r="ES85" s="183">
        <f t="shared" si="150"/>
        <v>0</v>
      </c>
      <c r="ET85" s="183">
        <f t="shared" si="150"/>
        <v>0</v>
      </c>
      <c r="EU85" s="183">
        <f t="shared" si="150"/>
        <v>0</v>
      </c>
      <c r="EV85" s="183">
        <f t="shared" si="150"/>
        <v>0</v>
      </c>
      <c r="EW85" s="183">
        <f t="shared" si="148"/>
        <v>0</v>
      </c>
      <c r="EX85" s="183">
        <f t="shared" si="148"/>
        <v>0</v>
      </c>
      <c r="EY85" s="183">
        <f t="shared" si="148"/>
        <v>0</v>
      </c>
      <c r="EZ85" s="183">
        <f t="shared" si="148"/>
        <v>0</v>
      </c>
      <c r="FB85" s="609" t="s">
        <v>243</v>
      </c>
      <c r="FC85" s="144"/>
      <c r="FD85" s="144"/>
      <c r="FE85" s="144"/>
      <c r="FF85" s="144"/>
      <c r="FG85" s="144"/>
      <c r="FH85" s="144"/>
      <c r="FI85" s="144"/>
      <c r="FJ85" s="144"/>
      <c r="FK85" s="144"/>
      <c r="FL85" s="144"/>
      <c r="FM85" s="144"/>
      <c r="FN85" s="144"/>
      <c r="FO85" s="144"/>
      <c r="FP85" s="144"/>
      <c r="FQ85" s="144"/>
      <c r="FR85" s="144"/>
      <c r="FS85" s="144"/>
      <c r="FT85" s="144"/>
      <c r="FU85" s="144"/>
      <c r="FV85" s="144"/>
      <c r="FW85" s="144"/>
      <c r="FX85" s="144"/>
      <c r="FY85" s="144"/>
      <c r="FZ85" s="144"/>
      <c r="GA85" s="144"/>
      <c r="GB85" s="144"/>
      <c r="GC85" s="144"/>
      <c r="GD85" s="144"/>
      <c r="GE85" s="144"/>
      <c r="GF85" s="144"/>
      <c r="GG85" s="144"/>
      <c r="GH85" s="144"/>
      <c r="GI85" s="144"/>
      <c r="GJ85" s="144"/>
      <c r="GK85" s="144"/>
      <c r="GL85" s="144"/>
      <c r="GM85" s="144"/>
      <c r="GN85" s="144"/>
      <c r="GO85" s="144"/>
      <c r="GP85" s="144"/>
      <c r="GQ85" s="144"/>
      <c r="GR85" s="144"/>
      <c r="GS85" s="144"/>
      <c r="GT85" s="144"/>
      <c r="GU85" s="144"/>
      <c r="GV85" s="144"/>
      <c r="GW85" s="144"/>
      <c r="GX85" s="144"/>
      <c r="GY85" s="144"/>
      <c r="GZ85" s="144"/>
      <c r="HA85" s="144"/>
      <c r="HB85" s="144"/>
      <c r="HC85" s="144"/>
      <c r="HD85" s="144"/>
      <c r="HE85" s="144"/>
      <c r="HF85" s="144"/>
      <c r="HG85" s="144"/>
      <c r="HH85" s="144"/>
      <c r="HI85" s="144"/>
      <c r="HJ85" s="144"/>
      <c r="HK85" s="144"/>
    </row>
    <row r="86" spans="1:219" s="158" customFormat="1" x14ac:dyDescent="0.2">
      <c r="A86" s="630"/>
      <c r="B86" s="638" t="s">
        <v>681</v>
      </c>
      <c r="C86" s="162"/>
      <c r="D86" s="443">
        <v>0</v>
      </c>
      <c r="E86" s="199">
        <f>IF(units=0,0,'Renovation Budget'!D86/units)</f>
        <v>0</v>
      </c>
      <c r="F86" s="640">
        <v>0</v>
      </c>
      <c r="G86" s="640">
        <v>0</v>
      </c>
      <c r="H86" s="641">
        <f t="shared" si="132"/>
        <v>0</v>
      </c>
      <c r="I86" s="642" t="s">
        <v>107</v>
      </c>
      <c r="J86" s="643" t="s">
        <v>42</v>
      </c>
      <c r="K86" s="644"/>
      <c r="L86" s="183">
        <f t="shared" si="139"/>
        <v>0</v>
      </c>
      <c r="M86" s="183">
        <f t="shared" si="139"/>
        <v>0</v>
      </c>
      <c r="N86" s="183">
        <f t="shared" ref="L86:V91" si="151">SUMIF($X$4:$EZ$4,N$4,$X86:$EZ86)</f>
        <v>0</v>
      </c>
      <c r="O86" s="183">
        <f t="shared" si="151"/>
        <v>0</v>
      </c>
      <c r="P86" s="183">
        <f t="shared" si="151"/>
        <v>0</v>
      </c>
      <c r="Q86" s="183">
        <f t="shared" si="151"/>
        <v>0</v>
      </c>
      <c r="R86" s="183">
        <f t="shared" si="151"/>
        <v>0</v>
      </c>
      <c r="S86" s="183">
        <f t="shared" si="151"/>
        <v>0</v>
      </c>
      <c r="T86" s="183">
        <f t="shared" si="151"/>
        <v>0</v>
      </c>
      <c r="U86" s="183">
        <f t="shared" si="151"/>
        <v>0</v>
      </c>
      <c r="V86" s="183">
        <f t="shared" si="151"/>
        <v>0</v>
      </c>
      <c r="W86" s="644"/>
      <c r="X86" s="183">
        <f t="shared" si="134"/>
        <v>0</v>
      </c>
      <c r="Y86" s="183">
        <f t="shared" si="135"/>
        <v>0</v>
      </c>
      <c r="Z86" s="183">
        <f t="shared" ref="Z86:CK89" si="152">IF(OR(Z$3&gt;=$G86,Z$3&lt;$F86),0,(_xlfn.NORM.DIST(Z$3-$F86+1,$H86/2,INDEX($E$115:$E$118,MATCH($I86,$D$115:$D$118,0)),TRUE)-_xlfn.NORM.DIST(Y$3-$F86+1,$H86/2,INDEX($E$115:$E$118,MATCH($I86,$D$115:$D$118,0)),TRUE))/(1-2*_xlfn.NORM.DIST(0,$H86/2,INDEX($E$115:$E$118,MATCH($I86,$D$115:$D$118,0)),TRUE))*$D86)</f>
        <v>0</v>
      </c>
      <c r="AA86" s="183">
        <f t="shared" si="152"/>
        <v>0</v>
      </c>
      <c r="AB86" s="183">
        <f t="shared" si="152"/>
        <v>0</v>
      </c>
      <c r="AC86" s="183">
        <f t="shared" si="152"/>
        <v>0</v>
      </c>
      <c r="AD86" s="183">
        <f t="shared" si="152"/>
        <v>0</v>
      </c>
      <c r="AE86" s="183">
        <f t="shared" si="152"/>
        <v>0</v>
      </c>
      <c r="AF86" s="183">
        <f t="shared" si="152"/>
        <v>0</v>
      </c>
      <c r="AG86" s="183">
        <f t="shared" si="152"/>
        <v>0</v>
      </c>
      <c r="AH86" s="183">
        <f t="shared" si="152"/>
        <v>0</v>
      </c>
      <c r="AI86" s="183">
        <f t="shared" si="152"/>
        <v>0</v>
      </c>
      <c r="AJ86" s="183">
        <f t="shared" si="152"/>
        <v>0</v>
      </c>
      <c r="AK86" s="183">
        <f t="shared" si="152"/>
        <v>0</v>
      </c>
      <c r="AL86" s="183">
        <f t="shared" si="152"/>
        <v>0</v>
      </c>
      <c r="AM86" s="183">
        <f t="shared" si="152"/>
        <v>0</v>
      </c>
      <c r="AN86" s="183">
        <f t="shared" si="152"/>
        <v>0</v>
      </c>
      <c r="AO86" s="183">
        <f t="shared" si="152"/>
        <v>0</v>
      </c>
      <c r="AP86" s="183">
        <f t="shared" si="152"/>
        <v>0</v>
      </c>
      <c r="AQ86" s="183">
        <f t="shared" si="152"/>
        <v>0</v>
      </c>
      <c r="AR86" s="183">
        <f t="shared" si="152"/>
        <v>0</v>
      </c>
      <c r="AS86" s="183">
        <f t="shared" si="152"/>
        <v>0</v>
      </c>
      <c r="AT86" s="183">
        <f t="shared" si="152"/>
        <v>0</v>
      </c>
      <c r="AU86" s="183">
        <f t="shared" si="152"/>
        <v>0</v>
      </c>
      <c r="AV86" s="183">
        <f t="shared" si="152"/>
        <v>0</v>
      </c>
      <c r="AW86" s="183">
        <f t="shared" si="152"/>
        <v>0</v>
      </c>
      <c r="AX86" s="183">
        <f t="shared" si="152"/>
        <v>0</v>
      </c>
      <c r="AY86" s="183">
        <f t="shared" si="152"/>
        <v>0</v>
      </c>
      <c r="AZ86" s="183">
        <f t="shared" si="152"/>
        <v>0</v>
      </c>
      <c r="BA86" s="183">
        <f t="shared" si="152"/>
        <v>0</v>
      </c>
      <c r="BB86" s="183">
        <f t="shared" si="152"/>
        <v>0</v>
      </c>
      <c r="BC86" s="183">
        <f t="shared" si="152"/>
        <v>0</v>
      </c>
      <c r="BD86" s="183">
        <f t="shared" si="152"/>
        <v>0</v>
      </c>
      <c r="BE86" s="183">
        <f t="shared" si="152"/>
        <v>0</v>
      </c>
      <c r="BF86" s="183">
        <f t="shared" si="152"/>
        <v>0</v>
      </c>
      <c r="BG86" s="183">
        <f t="shared" si="152"/>
        <v>0</v>
      </c>
      <c r="BH86" s="183">
        <f t="shared" si="152"/>
        <v>0</v>
      </c>
      <c r="BI86" s="183">
        <f t="shared" si="152"/>
        <v>0</v>
      </c>
      <c r="BJ86" s="183">
        <f t="shared" si="152"/>
        <v>0</v>
      </c>
      <c r="BK86" s="183">
        <f t="shared" si="152"/>
        <v>0</v>
      </c>
      <c r="BL86" s="183">
        <f t="shared" si="152"/>
        <v>0</v>
      </c>
      <c r="BM86" s="183">
        <f t="shared" si="152"/>
        <v>0</v>
      </c>
      <c r="BN86" s="183">
        <f t="shared" si="152"/>
        <v>0</v>
      </c>
      <c r="BO86" s="183">
        <f t="shared" si="152"/>
        <v>0</v>
      </c>
      <c r="BP86" s="183">
        <f t="shared" si="152"/>
        <v>0</v>
      </c>
      <c r="BQ86" s="183">
        <f t="shared" si="152"/>
        <v>0</v>
      </c>
      <c r="BR86" s="183">
        <f t="shared" si="152"/>
        <v>0</v>
      </c>
      <c r="BS86" s="183">
        <f t="shared" si="152"/>
        <v>0</v>
      </c>
      <c r="BT86" s="183">
        <f t="shared" si="152"/>
        <v>0</v>
      </c>
      <c r="BU86" s="183">
        <f t="shared" si="152"/>
        <v>0</v>
      </c>
      <c r="BV86" s="183">
        <f t="shared" si="152"/>
        <v>0</v>
      </c>
      <c r="BW86" s="183">
        <f t="shared" si="152"/>
        <v>0</v>
      </c>
      <c r="BX86" s="183">
        <f t="shared" si="152"/>
        <v>0</v>
      </c>
      <c r="BY86" s="183">
        <f t="shared" si="152"/>
        <v>0</v>
      </c>
      <c r="BZ86" s="183">
        <f t="shared" si="152"/>
        <v>0</v>
      </c>
      <c r="CA86" s="183">
        <f t="shared" si="152"/>
        <v>0</v>
      </c>
      <c r="CB86" s="183">
        <f t="shared" si="152"/>
        <v>0</v>
      </c>
      <c r="CC86" s="183">
        <f t="shared" si="152"/>
        <v>0</v>
      </c>
      <c r="CD86" s="183">
        <f t="shared" si="152"/>
        <v>0</v>
      </c>
      <c r="CE86" s="183">
        <f t="shared" si="152"/>
        <v>0</v>
      </c>
      <c r="CF86" s="183">
        <f t="shared" si="152"/>
        <v>0</v>
      </c>
      <c r="CG86" s="183">
        <f t="shared" si="152"/>
        <v>0</v>
      </c>
      <c r="CH86" s="183">
        <f t="shared" si="152"/>
        <v>0</v>
      </c>
      <c r="CI86" s="183">
        <f t="shared" si="152"/>
        <v>0</v>
      </c>
      <c r="CJ86" s="183">
        <f t="shared" si="152"/>
        <v>0</v>
      </c>
      <c r="CK86" s="183">
        <f t="shared" si="152"/>
        <v>0</v>
      </c>
      <c r="CL86" s="183">
        <f t="shared" si="150"/>
        <v>0</v>
      </c>
      <c r="CM86" s="183">
        <f t="shared" si="150"/>
        <v>0</v>
      </c>
      <c r="CN86" s="183">
        <f t="shared" si="150"/>
        <v>0</v>
      </c>
      <c r="CO86" s="183">
        <f t="shared" si="150"/>
        <v>0</v>
      </c>
      <c r="CP86" s="183">
        <f t="shared" si="150"/>
        <v>0</v>
      </c>
      <c r="CQ86" s="183">
        <f t="shared" si="150"/>
        <v>0</v>
      </c>
      <c r="CR86" s="183">
        <f t="shared" si="150"/>
        <v>0</v>
      </c>
      <c r="CS86" s="183">
        <f t="shared" si="150"/>
        <v>0</v>
      </c>
      <c r="CT86" s="183">
        <f t="shared" si="150"/>
        <v>0</v>
      </c>
      <c r="CU86" s="183">
        <f t="shared" si="150"/>
        <v>0</v>
      </c>
      <c r="CV86" s="183">
        <f t="shared" si="150"/>
        <v>0</v>
      </c>
      <c r="CW86" s="183">
        <f t="shared" si="150"/>
        <v>0</v>
      </c>
      <c r="CX86" s="183">
        <f t="shared" si="150"/>
        <v>0</v>
      </c>
      <c r="CY86" s="183">
        <f t="shared" si="150"/>
        <v>0</v>
      </c>
      <c r="CZ86" s="183">
        <f t="shared" si="150"/>
        <v>0</v>
      </c>
      <c r="DA86" s="183">
        <f t="shared" si="150"/>
        <v>0</v>
      </c>
      <c r="DB86" s="183">
        <f t="shared" si="150"/>
        <v>0</v>
      </c>
      <c r="DC86" s="183">
        <f t="shared" si="150"/>
        <v>0</v>
      </c>
      <c r="DD86" s="183">
        <f t="shared" si="150"/>
        <v>0</v>
      </c>
      <c r="DE86" s="183">
        <f t="shared" si="150"/>
        <v>0</v>
      </c>
      <c r="DF86" s="183">
        <f t="shared" si="150"/>
        <v>0</v>
      </c>
      <c r="DG86" s="183">
        <f t="shared" si="150"/>
        <v>0</v>
      </c>
      <c r="DH86" s="183">
        <f t="shared" si="150"/>
        <v>0</v>
      </c>
      <c r="DI86" s="183">
        <f t="shared" si="150"/>
        <v>0</v>
      </c>
      <c r="DJ86" s="183">
        <f t="shared" si="150"/>
        <v>0</v>
      </c>
      <c r="DK86" s="183">
        <f t="shared" si="150"/>
        <v>0</v>
      </c>
      <c r="DL86" s="183">
        <f t="shared" si="150"/>
        <v>0</v>
      </c>
      <c r="DM86" s="183">
        <f t="shared" si="150"/>
        <v>0</v>
      </c>
      <c r="DN86" s="183">
        <f t="shared" si="150"/>
        <v>0</v>
      </c>
      <c r="DO86" s="183">
        <f t="shared" si="150"/>
        <v>0</v>
      </c>
      <c r="DP86" s="183">
        <f t="shared" si="150"/>
        <v>0</v>
      </c>
      <c r="DQ86" s="183">
        <f t="shared" si="150"/>
        <v>0</v>
      </c>
      <c r="DR86" s="183">
        <f t="shared" si="150"/>
        <v>0</v>
      </c>
      <c r="DS86" s="183">
        <f t="shared" si="150"/>
        <v>0</v>
      </c>
      <c r="DT86" s="183">
        <f t="shared" si="150"/>
        <v>0</v>
      </c>
      <c r="DU86" s="183">
        <f t="shared" si="150"/>
        <v>0</v>
      </c>
      <c r="DV86" s="183">
        <f t="shared" si="150"/>
        <v>0</v>
      </c>
      <c r="DW86" s="183">
        <f t="shared" si="150"/>
        <v>0</v>
      </c>
      <c r="DX86" s="183">
        <f t="shared" si="150"/>
        <v>0</v>
      </c>
      <c r="DY86" s="183">
        <f t="shared" si="150"/>
        <v>0</v>
      </c>
      <c r="DZ86" s="183">
        <f t="shared" si="150"/>
        <v>0</v>
      </c>
      <c r="EA86" s="183">
        <f t="shared" si="150"/>
        <v>0</v>
      </c>
      <c r="EB86" s="183">
        <f t="shared" si="150"/>
        <v>0</v>
      </c>
      <c r="EC86" s="183">
        <f t="shared" si="150"/>
        <v>0</v>
      </c>
      <c r="ED86" s="183">
        <f t="shared" si="150"/>
        <v>0</v>
      </c>
      <c r="EE86" s="183">
        <f t="shared" si="150"/>
        <v>0</v>
      </c>
      <c r="EF86" s="183">
        <f t="shared" si="150"/>
        <v>0</v>
      </c>
      <c r="EG86" s="183">
        <f t="shared" si="150"/>
        <v>0</v>
      </c>
      <c r="EH86" s="183">
        <f t="shared" si="150"/>
        <v>0</v>
      </c>
      <c r="EI86" s="183">
        <f t="shared" si="150"/>
        <v>0</v>
      </c>
      <c r="EJ86" s="183">
        <f t="shared" si="150"/>
        <v>0</v>
      </c>
      <c r="EK86" s="183">
        <f t="shared" si="150"/>
        <v>0</v>
      </c>
      <c r="EL86" s="183">
        <f t="shared" si="150"/>
        <v>0</v>
      </c>
      <c r="EM86" s="183">
        <f t="shared" si="150"/>
        <v>0</v>
      </c>
      <c r="EN86" s="183">
        <f t="shared" si="150"/>
        <v>0</v>
      </c>
      <c r="EO86" s="183">
        <f t="shared" si="150"/>
        <v>0</v>
      </c>
      <c r="EP86" s="183">
        <f t="shared" si="150"/>
        <v>0</v>
      </c>
      <c r="EQ86" s="183">
        <f t="shared" si="150"/>
        <v>0</v>
      </c>
      <c r="ER86" s="183">
        <f t="shared" si="150"/>
        <v>0</v>
      </c>
      <c r="ES86" s="183">
        <f t="shared" si="150"/>
        <v>0</v>
      </c>
      <c r="ET86" s="183">
        <f t="shared" si="150"/>
        <v>0</v>
      </c>
      <c r="EU86" s="183">
        <f t="shared" si="150"/>
        <v>0</v>
      </c>
      <c r="EV86" s="183">
        <f t="shared" si="150"/>
        <v>0</v>
      </c>
      <c r="EW86" s="183">
        <f t="shared" si="148"/>
        <v>0</v>
      </c>
      <c r="EX86" s="183">
        <f t="shared" si="148"/>
        <v>0</v>
      </c>
      <c r="EY86" s="183">
        <f t="shared" si="148"/>
        <v>0</v>
      </c>
      <c r="EZ86" s="183">
        <f t="shared" si="148"/>
        <v>0</v>
      </c>
      <c r="FB86" s="609" t="s">
        <v>243</v>
      </c>
      <c r="FC86" s="144"/>
      <c r="FD86" s="144"/>
      <c r="FE86" s="144"/>
      <c r="FF86" s="144"/>
      <c r="FG86" s="144"/>
      <c r="FH86" s="144"/>
      <c r="FI86" s="144"/>
      <c r="FJ86" s="144"/>
      <c r="FK86" s="144"/>
      <c r="FL86" s="144"/>
      <c r="FM86" s="144"/>
      <c r="FN86" s="144"/>
      <c r="FO86" s="144"/>
      <c r="FP86" s="144"/>
      <c r="FQ86" s="144"/>
      <c r="FR86" s="144"/>
      <c r="FS86" s="144"/>
      <c r="FT86" s="144"/>
      <c r="FU86" s="144"/>
      <c r="FV86" s="144"/>
      <c r="FW86" s="144"/>
      <c r="FX86" s="144"/>
      <c r="FY86" s="144"/>
      <c r="FZ86" s="144"/>
      <c r="GA86" s="144"/>
      <c r="GB86" s="144"/>
      <c r="GC86" s="144"/>
      <c r="GD86" s="144"/>
      <c r="GE86" s="144"/>
      <c r="GF86" s="144"/>
      <c r="GG86" s="144"/>
      <c r="GH86" s="144"/>
      <c r="GI86" s="144"/>
      <c r="GJ86" s="144"/>
      <c r="GK86" s="144"/>
      <c r="GL86" s="144"/>
      <c r="GM86" s="144"/>
      <c r="GN86" s="144"/>
      <c r="GO86" s="144"/>
      <c r="GP86" s="144"/>
      <c r="GQ86" s="144"/>
      <c r="GR86" s="144"/>
      <c r="GS86" s="144"/>
      <c r="GT86" s="144"/>
      <c r="GU86" s="144"/>
      <c r="GV86" s="144"/>
      <c r="GW86" s="144"/>
      <c r="GX86" s="144"/>
      <c r="GY86" s="144"/>
      <c r="GZ86" s="144"/>
      <c r="HA86" s="144"/>
      <c r="HB86" s="144"/>
      <c r="HC86" s="144"/>
      <c r="HD86" s="144"/>
      <c r="HE86" s="144"/>
      <c r="HF86" s="144"/>
      <c r="HG86" s="144"/>
      <c r="HH86" s="144"/>
      <c r="HI86" s="144"/>
      <c r="HJ86" s="144"/>
      <c r="HK86" s="144"/>
    </row>
    <row r="87" spans="1:219" s="158" customFormat="1" x14ac:dyDescent="0.2">
      <c r="A87" s="630"/>
      <c r="B87" s="638" t="s">
        <v>682</v>
      </c>
      <c r="C87" s="162"/>
      <c r="D87" s="443">
        <v>0</v>
      </c>
      <c r="E87" s="199">
        <f>IF(units=0,0,'Renovation Budget'!D87/units)</f>
        <v>0</v>
      </c>
      <c r="F87" s="640">
        <v>0</v>
      </c>
      <c r="G87" s="640">
        <v>0</v>
      </c>
      <c r="H87" s="641">
        <f t="shared" si="132"/>
        <v>0</v>
      </c>
      <c r="I87" s="642" t="s">
        <v>107</v>
      </c>
      <c r="J87" s="643" t="s">
        <v>42</v>
      </c>
      <c r="K87" s="644"/>
      <c r="L87" s="183">
        <f t="shared" si="151"/>
        <v>0</v>
      </c>
      <c r="M87" s="183">
        <f t="shared" si="151"/>
        <v>0</v>
      </c>
      <c r="N87" s="183">
        <f t="shared" si="151"/>
        <v>0</v>
      </c>
      <c r="O87" s="183">
        <f t="shared" si="151"/>
        <v>0</v>
      </c>
      <c r="P87" s="183">
        <f t="shared" si="151"/>
        <v>0</v>
      </c>
      <c r="Q87" s="183">
        <f t="shared" si="151"/>
        <v>0</v>
      </c>
      <c r="R87" s="183">
        <f t="shared" si="151"/>
        <v>0</v>
      </c>
      <c r="S87" s="183">
        <f t="shared" si="151"/>
        <v>0</v>
      </c>
      <c r="T87" s="183">
        <f t="shared" si="151"/>
        <v>0</v>
      </c>
      <c r="U87" s="183">
        <f t="shared" si="151"/>
        <v>0</v>
      </c>
      <c r="V87" s="183">
        <f t="shared" si="151"/>
        <v>0</v>
      </c>
      <c r="W87" s="644"/>
      <c r="X87" s="183">
        <f t="shared" si="134"/>
        <v>0</v>
      </c>
      <c r="Y87" s="183">
        <f t="shared" si="135"/>
        <v>0</v>
      </c>
      <c r="Z87" s="183">
        <f t="shared" si="152"/>
        <v>0</v>
      </c>
      <c r="AA87" s="183">
        <f t="shared" si="152"/>
        <v>0</v>
      </c>
      <c r="AB87" s="183">
        <f t="shared" si="152"/>
        <v>0</v>
      </c>
      <c r="AC87" s="183">
        <f t="shared" si="152"/>
        <v>0</v>
      </c>
      <c r="AD87" s="183">
        <f t="shared" si="152"/>
        <v>0</v>
      </c>
      <c r="AE87" s="183">
        <f t="shared" si="152"/>
        <v>0</v>
      </c>
      <c r="AF87" s="183">
        <f t="shared" si="152"/>
        <v>0</v>
      </c>
      <c r="AG87" s="183">
        <f t="shared" si="152"/>
        <v>0</v>
      </c>
      <c r="AH87" s="183">
        <f t="shared" si="152"/>
        <v>0</v>
      </c>
      <c r="AI87" s="183">
        <f t="shared" si="152"/>
        <v>0</v>
      </c>
      <c r="AJ87" s="183">
        <f t="shared" si="152"/>
        <v>0</v>
      </c>
      <c r="AK87" s="183">
        <f t="shared" si="152"/>
        <v>0</v>
      </c>
      <c r="AL87" s="183">
        <f t="shared" si="152"/>
        <v>0</v>
      </c>
      <c r="AM87" s="183">
        <f t="shared" si="152"/>
        <v>0</v>
      </c>
      <c r="AN87" s="183">
        <f t="shared" si="152"/>
        <v>0</v>
      </c>
      <c r="AO87" s="183">
        <f t="shared" si="152"/>
        <v>0</v>
      </c>
      <c r="AP87" s="183">
        <f t="shared" si="152"/>
        <v>0</v>
      </c>
      <c r="AQ87" s="183">
        <f t="shared" si="152"/>
        <v>0</v>
      </c>
      <c r="AR87" s="183">
        <f t="shared" si="152"/>
        <v>0</v>
      </c>
      <c r="AS87" s="183">
        <f t="shared" si="152"/>
        <v>0</v>
      </c>
      <c r="AT87" s="183">
        <f t="shared" si="152"/>
        <v>0</v>
      </c>
      <c r="AU87" s="183">
        <f t="shared" si="152"/>
        <v>0</v>
      </c>
      <c r="AV87" s="183">
        <f t="shared" si="152"/>
        <v>0</v>
      </c>
      <c r="AW87" s="183">
        <f t="shared" si="152"/>
        <v>0</v>
      </c>
      <c r="AX87" s="183">
        <f t="shared" si="152"/>
        <v>0</v>
      </c>
      <c r="AY87" s="183">
        <f t="shared" si="152"/>
        <v>0</v>
      </c>
      <c r="AZ87" s="183">
        <f t="shared" si="152"/>
        <v>0</v>
      </c>
      <c r="BA87" s="183">
        <f t="shared" si="152"/>
        <v>0</v>
      </c>
      <c r="BB87" s="183">
        <f t="shared" si="152"/>
        <v>0</v>
      </c>
      <c r="BC87" s="183">
        <f t="shared" si="152"/>
        <v>0</v>
      </c>
      <c r="BD87" s="183">
        <f t="shared" si="152"/>
        <v>0</v>
      </c>
      <c r="BE87" s="183">
        <f t="shared" si="152"/>
        <v>0</v>
      </c>
      <c r="BF87" s="183">
        <f t="shared" si="152"/>
        <v>0</v>
      </c>
      <c r="BG87" s="183">
        <f t="shared" si="152"/>
        <v>0</v>
      </c>
      <c r="BH87" s="183">
        <f t="shared" si="152"/>
        <v>0</v>
      </c>
      <c r="BI87" s="183">
        <f t="shared" si="152"/>
        <v>0</v>
      </c>
      <c r="BJ87" s="183">
        <f t="shared" si="152"/>
        <v>0</v>
      </c>
      <c r="BK87" s="183">
        <f t="shared" si="152"/>
        <v>0</v>
      </c>
      <c r="BL87" s="183">
        <f t="shared" si="152"/>
        <v>0</v>
      </c>
      <c r="BM87" s="183">
        <f t="shared" si="152"/>
        <v>0</v>
      </c>
      <c r="BN87" s="183">
        <f t="shared" si="152"/>
        <v>0</v>
      </c>
      <c r="BO87" s="183">
        <f t="shared" si="152"/>
        <v>0</v>
      </c>
      <c r="BP87" s="183">
        <f t="shared" si="152"/>
        <v>0</v>
      </c>
      <c r="BQ87" s="183">
        <f t="shared" si="152"/>
        <v>0</v>
      </c>
      <c r="BR87" s="183">
        <f t="shared" si="152"/>
        <v>0</v>
      </c>
      <c r="BS87" s="183">
        <f t="shared" si="152"/>
        <v>0</v>
      </c>
      <c r="BT87" s="183">
        <f t="shared" si="152"/>
        <v>0</v>
      </c>
      <c r="BU87" s="183">
        <f t="shared" si="152"/>
        <v>0</v>
      </c>
      <c r="BV87" s="183">
        <f t="shared" si="152"/>
        <v>0</v>
      </c>
      <c r="BW87" s="183">
        <f t="shared" si="152"/>
        <v>0</v>
      </c>
      <c r="BX87" s="183">
        <f t="shared" si="152"/>
        <v>0</v>
      </c>
      <c r="BY87" s="183">
        <f t="shared" si="152"/>
        <v>0</v>
      </c>
      <c r="BZ87" s="183">
        <f t="shared" si="152"/>
        <v>0</v>
      </c>
      <c r="CA87" s="183">
        <f t="shared" si="152"/>
        <v>0</v>
      </c>
      <c r="CB87" s="183">
        <f t="shared" si="152"/>
        <v>0</v>
      </c>
      <c r="CC87" s="183">
        <f t="shared" si="152"/>
        <v>0</v>
      </c>
      <c r="CD87" s="183">
        <f t="shared" si="152"/>
        <v>0</v>
      </c>
      <c r="CE87" s="183">
        <f t="shared" si="152"/>
        <v>0</v>
      </c>
      <c r="CF87" s="183">
        <f t="shared" si="152"/>
        <v>0</v>
      </c>
      <c r="CG87" s="183">
        <f t="shared" si="152"/>
        <v>0</v>
      </c>
      <c r="CH87" s="183">
        <f t="shared" si="152"/>
        <v>0</v>
      </c>
      <c r="CI87" s="183">
        <f t="shared" si="152"/>
        <v>0</v>
      </c>
      <c r="CJ87" s="183">
        <f t="shared" si="152"/>
        <v>0</v>
      </c>
      <c r="CK87" s="183">
        <f t="shared" si="152"/>
        <v>0</v>
      </c>
      <c r="CL87" s="183">
        <f t="shared" si="150"/>
        <v>0</v>
      </c>
      <c r="CM87" s="183">
        <f t="shared" si="150"/>
        <v>0</v>
      </c>
      <c r="CN87" s="183">
        <f t="shared" si="150"/>
        <v>0</v>
      </c>
      <c r="CO87" s="183">
        <f t="shared" si="150"/>
        <v>0</v>
      </c>
      <c r="CP87" s="183">
        <f t="shared" si="150"/>
        <v>0</v>
      </c>
      <c r="CQ87" s="183">
        <f t="shared" si="150"/>
        <v>0</v>
      </c>
      <c r="CR87" s="183">
        <f t="shared" si="150"/>
        <v>0</v>
      </c>
      <c r="CS87" s="183">
        <f t="shared" si="150"/>
        <v>0</v>
      </c>
      <c r="CT87" s="183">
        <f t="shared" si="150"/>
        <v>0</v>
      </c>
      <c r="CU87" s="183">
        <f t="shared" si="150"/>
        <v>0</v>
      </c>
      <c r="CV87" s="183">
        <f t="shared" si="150"/>
        <v>0</v>
      </c>
      <c r="CW87" s="183">
        <f t="shared" si="150"/>
        <v>0</v>
      </c>
      <c r="CX87" s="183">
        <f t="shared" si="150"/>
        <v>0</v>
      </c>
      <c r="CY87" s="183">
        <f t="shared" si="150"/>
        <v>0</v>
      </c>
      <c r="CZ87" s="183">
        <f t="shared" si="150"/>
        <v>0</v>
      </c>
      <c r="DA87" s="183">
        <f t="shared" si="150"/>
        <v>0</v>
      </c>
      <c r="DB87" s="183">
        <f t="shared" si="150"/>
        <v>0</v>
      </c>
      <c r="DC87" s="183">
        <f t="shared" si="150"/>
        <v>0</v>
      </c>
      <c r="DD87" s="183">
        <f t="shared" si="150"/>
        <v>0</v>
      </c>
      <c r="DE87" s="183">
        <f t="shared" si="150"/>
        <v>0</v>
      </c>
      <c r="DF87" s="183">
        <f t="shared" si="150"/>
        <v>0</v>
      </c>
      <c r="DG87" s="183">
        <f t="shared" si="150"/>
        <v>0</v>
      </c>
      <c r="DH87" s="183">
        <f t="shared" si="150"/>
        <v>0</v>
      </c>
      <c r="DI87" s="183">
        <f t="shared" si="150"/>
        <v>0</v>
      </c>
      <c r="DJ87" s="183">
        <f t="shared" si="150"/>
        <v>0</v>
      </c>
      <c r="DK87" s="183">
        <f t="shared" si="150"/>
        <v>0</v>
      </c>
      <c r="DL87" s="183">
        <f t="shared" si="150"/>
        <v>0</v>
      </c>
      <c r="DM87" s="183">
        <f t="shared" si="150"/>
        <v>0</v>
      </c>
      <c r="DN87" s="183">
        <f t="shared" si="150"/>
        <v>0</v>
      </c>
      <c r="DO87" s="183">
        <f t="shared" si="150"/>
        <v>0</v>
      </c>
      <c r="DP87" s="183">
        <f t="shared" si="150"/>
        <v>0</v>
      </c>
      <c r="DQ87" s="183">
        <f t="shared" si="150"/>
        <v>0</v>
      </c>
      <c r="DR87" s="183">
        <f t="shared" si="150"/>
        <v>0</v>
      </c>
      <c r="DS87" s="183">
        <f t="shared" si="150"/>
        <v>0</v>
      </c>
      <c r="DT87" s="183">
        <f t="shared" si="150"/>
        <v>0</v>
      </c>
      <c r="DU87" s="183">
        <f t="shared" si="150"/>
        <v>0</v>
      </c>
      <c r="DV87" s="183">
        <f t="shared" si="150"/>
        <v>0</v>
      </c>
      <c r="DW87" s="183">
        <f t="shared" si="150"/>
        <v>0</v>
      </c>
      <c r="DX87" s="183">
        <f t="shared" si="150"/>
        <v>0</v>
      </c>
      <c r="DY87" s="183">
        <f t="shared" si="150"/>
        <v>0</v>
      </c>
      <c r="DZ87" s="183">
        <f t="shared" si="150"/>
        <v>0</v>
      </c>
      <c r="EA87" s="183">
        <f t="shared" si="150"/>
        <v>0</v>
      </c>
      <c r="EB87" s="183">
        <f t="shared" si="150"/>
        <v>0</v>
      </c>
      <c r="EC87" s="183">
        <f t="shared" si="150"/>
        <v>0</v>
      </c>
      <c r="ED87" s="183">
        <f t="shared" si="150"/>
        <v>0</v>
      </c>
      <c r="EE87" s="183">
        <f t="shared" si="150"/>
        <v>0</v>
      </c>
      <c r="EF87" s="183">
        <f t="shared" si="150"/>
        <v>0</v>
      </c>
      <c r="EG87" s="183">
        <f t="shared" si="150"/>
        <v>0</v>
      </c>
      <c r="EH87" s="183">
        <f t="shared" si="150"/>
        <v>0</v>
      </c>
      <c r="EI87" s="183">
        <f t="shared" si="150"/>
        <v>0</v>
      </c>
      <c r="EJ87" s="183">
        <f t="shared" si="150"/>
        <v>0</v>
      </c>
      <c r="EK87" s="183">
        <f t="shared" si="150"/>
        <v>0</v>
      </c>
      <c r="EL87" s="183">
        <f t="shared" si="150"/>
        <v>0</v>
      </c>
      <c r="EM87" s="183">
        <f t="shared" si="150"/>
        <v>0</v>
      </c>
      <c r="EN87" s="183">
        <f t="shared" si="150"/>
        <v>0</v>
      </c>
      <c r="EO87" s="183">
        <f t="shared" si="150"/>
        <v>0</v>
      </c>
      <c r="EP87" s="183">
        <f t="shared" si="150"/>
        <v>0</v>
      </c>
      <c r="EQ87" s="183">
        <f t="shared" si="150"/>
        <v>0</v>
      </c>
      <c r="ER87" s="183">
        <f t="shared" si="150"/>
        <v>0</v>
      </c>
      <c r="ES87" s="183">
        <f t="shared" si="150"/>
        <v>0</v>
      </c>
      <c r="ET87" s="183">
        <f t="shared" si="150"/>
        <v>0</v>
      </c>
      <c r="EU87" s="183">
        <f t="shared" si="150"/>
        <v>0</v>
      </c>
      <c r="EV87" s="183">
        <f t="shared" si="150"/>
        <v>0</v>
      </c>
      <c r="EW87" s="183">
        <f t="shared" si="148"/>
        <v>0</v>
      </c>
      <c r="EX87" s="183">
        <f t="shared" si="148"/>
        <v>0</v>
      </c>
      <c r="EY87" s="183">
        <f t="shared" si="148"/>
        <v>0</v>
      </c>
      <c r="EZ87" s="183">
        <f t="shared" si="148"/>
        <v>0</v>
      </c>
      <c r="FB87" s="609" t="s">
        <v>243</v>
      </c>
      <c r="FC87" s="144"/>
      <c r="FD87" s="144"/>
      <c r="FE87" s="144"/>
      <c r="FF87" s="144"/>
      <c r="FG87" s="144"/>
      <c r="FH87" s="144"/>
      <c r="FI87" s="144"/>
      <c r="FJ87" s="144"/>
      <c r="FK87" s="144"/>
      <c r="FL87" s="144"/>
      <c r="FM87" s="144"/>
      <c r="FN87" s="144"/>
      <c r="FO87" s="144"/>
      <c r="FP87" s="144"/>
      <c r="FQ87" s="144"/>
      <c r="FR87" s="144"/>
      <c r="FS87" s="144"/>
      <c r="FT87" s="144"/>
      <c r="FU87" s="144"/>
      <c r="FV87" s="144"/>
      <c r="FW87" s="144"/>
      <c r="FX87" s="144"/>
      <c r="FY87" s="144"/>
      <c r="FZ87" s="144"/>
      <c r="GA87" s="144"/>
      <c r="GB87" s="144"/>
      <c r="GC87" s="144"/>
      <c r="GD87" s="144"/>
      <c r="GE87" s="144"/>
      <c r="GF87" s="144"/>
      <c r="GG87" s="144"/>
      <c r="GH87" s="144"/>
      <c r="GI87" s="144"/>
      <c r="GJ87" s="144"/>
      <c r="GK87" s="144"/>
      <c r="GL87" s="144"/>
      <c r="GM87" s="144"/>
      <c r="GN87" s="144"/>
      <c r="GO87" s="144"/>
      <c r="GP87" s="144"/>
      <c r="GQ87" s="144"/>
      <c r="GR87" s="144"/>
      <c r="GS87" s="144"/>
      <c r="GT87" s="144"/>
      <c r="GU87" s="144"/>
      <c r="GV87" s="144"/>
      <c r="GW87" s="144"/>
      <c r="GX87" s="144"/>
      <c r="GY87" s="144"/>
      <c r="GZ87" s="144"/>
      <c r="HA87" s="144"/>
      <c r="HB87" s="144"/>
      <c r="HC87" s="144"/>
      <c r="HD87" s="144"/>
      <c r="HE87" s="144"/>
      <c r="HF87" s="144"/>
      <c r="HG87" s="144"/>
      <c r="HH87" s="144"/>
      <c r="HI87" s="144"/>
      <c r="HJ87" s="144"/>
      <c r="HK87" s="144"/>
    </row>
    <row r="88" spans="1:219" s="158" customFormat="1" x14ac:dyDescent="0.2">
      <c r="A88" s="630"/>
      <c r="B88" s="638" t="s">
        <v>683</v>
      </c>
      <c r="C88" s="162"/>
      <c r="D88" s="443">
        <v>0</v>
      </c>
      <c r="E88" s="199">
        <f>IF(units=0,0,'Renovation Budget'!D88/units)</f>
        <v>0</v>
      </c>
      <c r="F88" s="640">
        <v>0</v>
      </c>
      <c r="G88" s="640">
        <v>0</v>
      </c>
      <c r="H88" s="641">
        <f t="shared" si="132"/>
        <v>0</v>
      </c>
      <c r="I88" s="642" t="s">
        <v>107</v>
      </c>
      <c r="J88" s="643" t="s">
        <v>42</v>
      </c>
      <c r="K88" s="644"/>
      <c r="L88" s="183">
        <f t="shared" si="151"/>
        <v>0</v>
      </c>
      <c r="M88" s="183">
        <f t="shared" si="151"/>
        <v>0</v>
      </c>
      <c r="N88" s="183">
        <f t="shared" si="151"/>
        <v>0</v>
      </c>
      <c r="O88" s="183">
        <f t="shared" si="151"/>
        <v>0</v>
      </c>
      <c r="P88" s="183">
        <f t="shared" si="151"/>
        <v>0</v>
      </c>
      <c r="Q88" s="183">
        <f t="shared" si="151"/>
        <v>0</v>
      </c>
      <c r="R88" s="183">
        <f t="shared" si="151"/>
        <v>0</v>
      </c>
      <c r="S88" s="183">
        <f t="shared" si="151"/>
        <v>0</v>
      </c>
      <c r="T88" s="183">
        <f t="shared" si="151"/>
        <v>0</v>
      </c>
      <c r="U88" s="183">
        <f t="shared" si="151"/>
        <v>0</v>
      </c>
      <c r="V88" s="183">
        <f t="shared" si="151"/>
        <v>0</v>
      </c>
      <c r="W88" s="644"/>
      <c r="X88" s="183">
        <f t="shared" si="134"/>
        <v>0</v>
      </c>
      <c r="Y88" s="183">
        <f t="shared" si="135"/>
        <v>0</v>
      </c>
      <c r="Z88" s="183">
        <f t="shared" si="152"/>
        <v>0</v>
      </c>
      <c r="AA88" s="183">
        <f t="shared" si="152"/>
        <v>0</v>
      </c>
      <c r="AB88" s="183">
        <f t="shared" si="152"/>
        <v>0</v>
      </c>
      <c r="AC88" s="183">
        <f t="shared" si="152"/>
        <v>0</v>
      </c>
      <c r="AD88" s="183">
        <f t="shared" si="152"/>
        <v>0</v>
      </c>
      <c r="AE88" s="183">
        <f t="shared" si="152"/>
        <v>0</v>
      </c>
      <c r="AF88" s="183">
        <f t="shared" si="152"/>
        <v>0</v>
      </c>
      <c r="AG88" s="183">
        <f t="shared" si="152"/>
        <v>0</v>
      </c>
      <c r="AH88" s="183">
        <f t="shared" si="152"/>
        <v>0</v>
      </c>
      <c r="AI88" s="183">
        <f t="shared" si="152"/>
        <v>0</v>
      </c>
      <c r="AJ88" s="183">
        <f t="shared" si="152"/>
        <v>0</v>
      </c>
      <c r="AK88" s="183">
        <f t="shared" si="152"/>
        <v>0</v>
      </c>
      <c r="AL88" s="183">
        <f t="shared" si="152"/>
        <v>0</v>
      </c>
      <c r="AM88" s="183">
        <f t="shared" si="152"/>
        <v>0</v>
      </c>
      <c r="AN88" s="183">
        <f t="shared" si="152"/>
        <v>0</v>
      </c>
      <c r="AO88" s="183">
        <f t="shared" si="152"/>
        <v>0</v>
      </c>
      <c r="AP88" s="183">
        <f t="shared" si="152"/>
        <v>0</v>
      </c>
      <c r="AQ88" s="183">
        <f t="shared" si="152"/>
        <v>0</v>
      </c>
      <c r="AR88" s="183">
        <f t="shared" si="152"/>
        <v>0</v>
      </c>
      <c r="AS88" s="183">
        <f t="shared" si="152"/>
        <v>0</v>
      </c>
      <c r="AT88" s="183">
        <f t="shared" si="152"/>
        <v>0</v>
      </c>
      <c r="AU88" s="183">
        <f t="shared" si="152"/>
        <v>0</v>
      </c>
      <c r="AV88" s="183">
        <f t="shared" si="152"/>
        <v>0</v>
      </c>
      <c r="AW88" s="183">
        <f t="shared" si="152"/>
        <v>0</v>
      </c>
      <c r="AX88" s="183">
        <f t="shared" si="152"/>
        <v>0</v>
      </c>
      <c r="AY88" s="183">
        <f t="shared" si="152"/>
        <v>0</v>
      </c>
      <c r="AZ88" s="183">
        <f t="shared" si="152"/>
        <v>0</v>
      </c>
      <c r="BA88" s="183">
        <f t="shared" si="152"/>
        <v>0</v>
      </c>
      <c r="BB88" s="183">
        <f t="shared" si="152"/>
        <v>0</v>
      </c>
      <c r="BC88" s="183">
        <f t="shared" si="152"/>
        <v>0</v>
      </c>
      <c r="BD88" s="183">
        <f t="shared" si="152"/>
        <v>0</v>
      </c>
      <c r="BE88" s="183">
        <f t="shared" si="152"/>
        <v>0</v>
      </c>
      <c r="BF88" s="183">
        <f t="shared" si="152"/>
        <v>0</v>
      </c>
      <c r="BG88" s="183">
        <f t="shared" si="152"/>
        <v>0</v>
      </c>
      <c r="BH88" s="183">
        <f t="shared" si="152"/>
        <v>0</v>
      </c>
      <c r="BI88" s="183">
        <f t="shared" si="152"/>
        <v>0</v>
      </c>
      <c r="BJ88" s="183">
        <f t="shared" si="152"/>
        <v>0</v>
      </c>
      <c r="BK88" s="183">
        <f t="shared" si="152"/>
        <v>0</v>
      </c>
      <c r="BL88" s="183">
        <f t="shared" si="152"/>
        <v>0</v>
      </c>
      <c r="BM88" s="183">
        <f t="shared" si="152"/>
        <v>0</v>
      </c>
      <c r="BN88" s="183">
        <f t="shared" si="152"/>
        <v>0</v>
      </c>
      <c r="BO88" s="183">
        <f t="shared" si="152"/>
        <v>0</v>
      </c>
      <c r="BP88" s="183">
        <f t="shared" si="152"/>
        <v>0</v>
      </c>
      <c r="BQ88" s="183">
        <f t="shared" si="152"/>
        <v>0</v>
      </c>
      <c r="BR88" s="183">
        <f t="shared" si="152"/>
        <v>0</v>
      </c>
      <c r="BS88" s="183">
        <f t="shared" si="152"/>
        <v>0</v>
      </c>
      <c r="BT88" s="183">
        <f t="shared" si="152"/>
        <v>0</v>
      </c>
      <c r="BU88" s="183">
        <f t="shared" si="152"/>
        <v>0</v>
      </c>
      <c r="BV88" s="183">
        <f t="shared" si="152"/>
        <v>0</v>
      </c>
      <c r="BW88" s="183">
        <f t="shared" si="152"/>
        <v>0</v>
      </c>
      <c r="BX88" s="183">
        <f t="shared" si="152"/>
        <v>0</v>
      </c>
      <c r="BY88" s="183">
        <f t="shared" si="152"/>
        <v>0</v>
      </c>
      <c r="BZ88" s="183">
        <f t="shared" si="152"/>
        <v>0</v>
      </c>
      <c r="CA88" s="183">
        <f t="shared" si="152"/>
        <v>0</v>
      </c>
      <c r="CB88" s="183">
        <f t="shared" si="152"/>
        <v>0</v>
      </c>
      <c r="CC88" s="183">
        <f t="shared" si="152"/>
        <v>0</v>
      </c>
      <c r="CD88" s="183">
        <f t="shared" si="152"/>
        <v>0</v>
      </c>
      <c r="CE88" s="183">
        <f t="shared" si="152"/>
        <v>0</v>
      </c>
      <c r="CF88" s="183">
        <f t="shared" si="152"/>
        <v>0</v>
      </c>
      <c r="CG88" s="183">
        <f t="shared" si="152"/>
        <v>0</v>
      </c>
      <c r="CH88" s="183">
        <f t="shared" si="152"/>
        <v>0</v>
      </c>
      <c r="CI88" s="183">
        <f t="shared" si="152"/>
        <v>0</v>
      </c>
      <c r="CJ88" s="183">
        <f t="shared" si="152"/>
        <v>0</v>
      </c>
      <c r="CK88" s="183">
        <f t="shared" si="152"/>
        <v>0</v>
      </c>
      <c r="CL88" s="183">
        <f t="shared" si="150"/>
        <v>0</v>
      </c>
      <c r="CM88" s="183">
        <f t="shared" si="150"/>
        <v>0</v>
      </c>
      <c r="CN88" s="183">
        <f t="shared" si="150"/>
        <v>0</v>
      </c>
      <c r="CO88" s="183">
        <f t="shared" si="150"/>
        <v>0</v>
      </c>
      <c r="CP88" s="183">
        <f t="shared" si="150"/>
        <v>0</v>
      </c>
      <c r="CQ88" s="183">
        <f t="shared" si="150"/>
        <v>0</v>
      </c>
      <c r="CR88" s="183">
        <f t="shared" si="150"/>
        <v>0</v>
      </c>
      <c r="CS88" s="183">
        <f t="shared" si="150"/>
        <v>0</v>
      </c>
      <c r="CT88" s="183">
        <f t="shared" si="150"/>
        <v>0</v>
      </c>
      <c r="CU88" s="183">
        <f t="shared" si="150"/>
        <v>0</v>
      </c>
      <c r="CV88" s="183">
        <f t="shared" si="150"/>
        <v>0</v>
      </c>
      <c r="CW88" s="183">
        <f t="shared" si="150"/>
        <v>0</v>
      </c>
      <c r="CX88" s="183">
        <f t="shared" si="150"/>
        <v>0</v>
      </c>
      <c r="CY88" s="183">
        <f t="shared" si="150"/>
        <v>0</v>
      </c>
      <c r="CZ88" s="183">
        <f t="shared" si="150"/>
        <v>0</v>
      </c>
      <c r="DA88" s="183">
        <f t="shared" si="150"/>
        <v>0</v>
      </c>
      <c r="DB88" s="183">
        <f t="shared" si="150"/>
        <v>0</v>
      </c>
      <c r="DC88" s="183">
        <f t="shared" si="150"/>
        <v>0</v>
      </c>
      <c r="DD88" s="183">
        <f t="shared" si="150"/>
        <v>0</v>
      </c>
      <c r="DE88" s="183">
        <f t="shared" si="150"/>
        <v>0</v>
      </c>
      <c r="DF88" s="183">
        <f t="shared" si="150"/>
        <v>0</v>
      </c>
      <c r="DG88" s="183">
        <f t="shared" si="150"/>
        <v>0</v>
      </c>
      <c r="DH88" s="183">
        <f t="shared" si="150"/>
        <v>0</v>
      </c>
      <c r="DI88" s="183">
        <f t="shared" si="150"/>
        <v>0</v>
      </c>
      <c r="DJ88" s="183">
        <f t="shared" si="150"/>
        <v>0</v>
      </c>
      <c r="DK88" s="183">
        <f t="shared" si="150"/>
        <v>0</v>
      </c>
      <c r="DL88" s="183">
        <f t="shared" si="150"/>
        <v>0</v>
      </c>
      <c r="DM88" s="183">
        <f t="shared" si="150"/>
        <v>0</v>
      </c>
      <c r="DN88" s="183">
        <f t="shared" si="150"/>
        <v>0</v>
      </c>
      <c r="DO88" s="183">
        <f t="shared" si="150"/>
        <v>0</v>
      </c>
      <c r="DP88" s="183">
        <f t="shared" si="150"/>
        <v>0</v>
      </c>
      <c r="DQ88" s="183">
        <f t="shared" si="150"/>
        <v>0</v>
      </c>
      <c r="DR88" s="183">
        <f t="shared" si="150"/>
        <v>0</v>
      </c>
      <c r="DS88" s="183">
        <f t="shared" si="150"/>
        <v>0</v>
      </c>
      <c r="DT88" s="183">
        <f t="shared" si="150"/>
        <v>0</v>
      </c>
      <c r="DU88" s="183">
        <f t="shared" si="150"/>
        <v>0</v>
      </c>
      <c r="DV88" s="183">
        <f t="shared" si="150"/>
        <v>0</v>
      </c>
      <c r="DW88" s="183">
        <f t="shared" si="150"/>
        <v>0</v>
      </c>
      <c r="DX88" s="183">
        <f t="shared" si="150"/>
        <v>0</v>
      </c>
      <c r="DY88" s="183">
        <f t="shared" si="150"/>
        <v>0</v>
      </c>
      <c r="DZ88" s="183">
        <f t="shared" si="150"/>
        <v>0</v>
      </c>
      <c r="EA88" s="183">
        <f t="shared" si="150"/>
        <v>0</v>
      </c>
      <c r="EB88" s="183">
        <f t="shared" si="150"/>
        <v>0</v>
      </c>
      <c r="EC88" s="183">
        <f t="shared" si="150"/>
        <v>0</v>
      </c>
      <c r="ED88" s="183">
        <f t="shared" si="150"/>
        <v>0</v>
      </c>
      <c r="EE88" s="183">
        <f t="shared" si="150"/>
        <v>0</v>
      </c>
      <c r="EF88" s="183">
        <f t="shared" si="150"/>
        <v>0</v>
      </c>
      <c r="EG88" s="183">
        <f t="shared" si="150"/>
        <v>0</v>
      </c>
      <c r="EH88" s="183">
        <f t="shared" si="150"/>
        <v>0</v>
      </c>
      <c r="EI88" s="183">
        <f t="shared" si="150"/>
        <v>0</v>
      </c>
      <c r="EJ88" s="183">
        <f t="shared" si="150"/>
        <v>0</v>
      </c>
      <c r="EK88" s="183">
        <f t="shared" si="150"/>
        <v>0</v>
      </c>
      <c r="EL88" s="183">
        <f t="shared" si="150"/>
        <v>0</v>
      </c>
      <c r="EM88" s="183">
        <f t="shared" si="150"/>
        <v>0</v>
      </c>
      <c r="EN88" s="183">
        <f t="shared" si="150"/>
        <v>0</v>
      </c>
      <c r="EO88" s="183">
        <f t="shared" si="150"/>
        <v>0</v>
      </c>
      <c r="EP88" s="183">
        <f t="shared" si="150"/>
        <v>0</v>
      </c>
      <c r="EQ88" s="183">
        <f t="shared" si="150"/>
        <v>0</v>
      </c>
      <c r="ER88" s="183">
        <f t="shared" si="150"/>
        <v>0</v>
      </c>
      <c r="ES88" s="183">
        <f t="shared" si="150"/>
        <v>0</v>
      </c>
      <c r="ET88" s="183">
        <f t="shared" si="150"/>
        <v>0</v>
      </c>
      <c r="EU88" s="183">
        <f t="shared" si="150"/>
        <v>0</v>
      </c>
      <c r="EV88" s="183">
        <f t="shared" si="150"/>
        <v>0</v>
      </c>
      <c r="EW88" s="183">
        <f t="shared" si="148"/>
        <v>0</v>
      </c>
      <c r="EX88" s="183">
        <f t="shared" si="148"/>
        <v>0</v>
      </c>
      <c r="EY88" s="183">
        <f t="shared" si="148"/>
        <v>0</v>
      </c>
      <c r="EZ88" s="183">
        <f t="shared" si="148"/>
        <v>0</v>
      </c>
      <c r="FB88" s="609" t="s">
        <v>243</v>
      </c>
      <c r="FC88" s="144"/>
      <c r="FD88" s="144"/>
      <c r="FE88" s="144"/>
      <c r="FF88" s="144"/>
      <c r="FG88" s="144"/>
      <c r="FH88" s="144"/>
      <c r="FI88" s="144"/>
      <c r="FJ88" s="144"/>
      <c r="FK88" s="144"/>
      <c r="FL88" s="144"/>
      <c r="FM88" s="144"/>
      <c r="FN88" s="144"/>
      <c r="FO88" s="144"/>
      <c r="FP88" s="144"/>
      <c r="FQ88" s="144"/>
      <c r="FR88" s="144"/>
      <c r="FS88" s="144"/>
      <c r="FT88" s="144"/>
      <c r="FU88" s="144"/>
      <c r="FV88" s="144"/>
      <c r="FW88" s="144"/>
      <c r="FX88" s="144"/>
      <c r="FY88" s="144"/>
      <c r="FZ88" s="144"/>
      <c r="GA88" s="144"/>
      <c r="GB88" s="144"/>
      <c r="GC88" s="144"/>
      <c r="GD88" s="144"/>
      <c r="GE88" s="144"/>
      <c r="GF88" s="144"/>
      <c r="GG88" s="144"/>
      <c r="GH88" s="144"/>
      <c r="GI88" s="144"/>
      <c r="GJ88" s="144"/>
      <c r="GK88" s="144"/>
      <c r="GL88" s="144"/>
      <c r="GM88" s="144"/>
      <c r="GN88" s="144"/>
      <c r="GO88" s="144"/>
      <c r="GP88" s="144"/>
      <c r="GQ88" s="144"/>
      <c r="GR88" s="144"/>
      <c r="GS88" s="144"/>
      <c r="GT88" s="144"/>
      <c r="GU88" s="144"/>
      <c r="GV88" s="144"/>
      <c r="GW88" s="144"/>
      <c r="GX88" s="144"/>
      <c r="GY88" s="144"/>
      <c r="GZ88" s="144"/>
      <c r="HA88" s="144"/>
      <c r="HB88" s="144"/>
      <c r="HC88" s="144"/>
      <c r="HD88" s="144"/>
      <c r="HE88" s="144"/>
      <c r="HF88" s="144"/>
      <c r="HG88" s="144"/>
      <c r="HH88" s="144"/>
      <c r="HI88" s="144"/>
      <c r="HJ88" s="144"/>
      <c r="HK88" s="144"/>
    </row>
    <row r="89" spans="1:219" s="158" customFormat="1" x14ac:dyDescent="0.2">
      <c r="A89" s="630"/>
      <c r="B89" s="638" t="s">
        <v>82</v>
      </c>
      <c r="C89" s="162"/>
      <c r="D89" s="443">
        <v>0</v>
      </c>
      <c r="E89" s="199">
        <f>IF(units=0,0,'Renovation Budget'!D89/units)</f>
        <v>0</v>
      </c>
      <c r="F89" s="640">
        <v>0</v>
      </c>
      <c r="G89" s="640">
        <v>0</v>
      </c>
      <c r="H89" s="641">
        <f t="shared" si="132"/>
        <v>0</v>
      </c>
      <c r="I89" s="642" t="s">
        <v>107</v>
      </c>
      <c r="J89" s="643" t="s">
        <v>42</v>
      </c>
      <c r="K89" s="644"/>
      <c r="L89" s="183">
        <f t="shared" si="151"/>
        <v>0</v>
      </c>
      <c r="M89" s="183">
        <f t="shared" si="151"/>
        <v>0</v>
      </c>
      <c r="N89" s="183">
        <f t="shared" si="151"/>
        <v>0</v>
      </c>
      <c r="O89" s="183">
        <f t="shared" si="151"/>
        <v>0</v>
      </c>
      <c r="P89" s="183">
        <f t="shared" si="151"/>
        <v>0</v>
      </c>
      <c r="Q89" s="183">
        <f t="shared" si="151"/>
        <v>0</v>
      </c>
      <c r="R89" s="183">
        <f t="shared" si="151"/>
        <v>0</v>
      </c>
      <c r="S89" s="183">
        <f t="shared" si="151"/>
        <v>0</v>
      </c>
      <c r="T89" s="183">
        <f t="shared" si="151"/>
        <v>0</v>
      </c>
      <c r="U89" s="183">
        <f t="shared" si="151"/>
        <v>0</v>
      </c>
      <c r="V89" s="183">
        <f t="shared" si="151"/>
        <v>0</v>
      </c>
      <c r="W89" s="644"/>
      <c r="X89" s="183">
        <f t="shared" si="134"/>
        <v>0</v>
      </c>
      <c r="Y89" s="183">
        <f t="shared" si="135"/>
        <v>0</v>
      </c>
      <c r="Z89" s="183">
        <f t="shared" si="152"/>
        <v>0</v>
      </c>
      <c r="AA89" s="183">
        <f t="shared" si="152"/>
        <v>0</v>
      </c>
      <c r="AB89" s="183">
        <f t="shared" si="152"/>
        <v>0</v>
      </c>
      <c r="AC89" s="183">
        <f t="shared" si="152"/>
        <v>0</v>
      </c>
      <c r="AD89" s="183">
        <f t="shared" si="152"/>
        <v>0</v>
      </c>
      <c r="AE89" s="183">
        <f t="shared" si="152"/>
        <v>0</v>
      </c>
      <c r="AF89" s="183">
        <f t="shared" si="152"/>
        <v>0</v>
      </c>
      <c r="AG89" s="183">
        <f t="shared" si="152"/>
        <v>0</v>
      </c>
      <c r="AH89" s="183">
        <f t="shared" si="152"/>
        <v>0</v>
      </c>
      <c r="AI89" s="183">
        <f t="shared" si="152"/>
        <v>0</v>
      </c>
      <c r="AJ89" s="183">
        <f t="shared" si="152"/>
        <v>0</v>
      </c>
      <c r="AK89" s="183">
        <f t="shared" si="152"/>
        <v>0</v>
      </c>
      <c r="AL89" s="183">
        <f t="shared" si="152"/>
        <v>0</v>
      </c>
      <c r="AM89" s="183">
        <f t="shared" si="152"/>
        <v>0</v>
      </c>
      <c r="AN89" s="183">
        <f t="shared" si="152"/>
        <v>0</v>
      </c>
      <c r="AO89" s="183">
        <f t="shared" si="152"/>
        <v>0</v>
      </c>
      <c r="AP89" s="183">
        <f t="shared" si="152"/>
        <v>0</v>
      </c>
      <c r="AQ89" s="183">
        <f t="shared" si="152"/>
        <v>0</v>
      </c>
      <c r="AR89" s="183">
        <f t="shared" si="152"/>
        <v>0</v>
      </c>
      <c r="AS89" s="183">
        <f t="shared" si="152"/>
        <v>0</v>
      </c>
      <c r="AT89" s="183">
        <f t="shared" si="152"/>
        <v>0</v>
      </c>
      <c r="AU89" s="183">
        <f t="shared" si="152"/>
        <v>0</v>
      </c>
      <c r="AV89" s="183">
        <f t="shared" si="152"/>
        <v>0</v>
      </c>
      <c r="AW89" s="183">
        <f t="shared" si="152"/>
        <v>0</v>
      </c>
      <c r="AX89" s="183">
        <f t="shared" si="152"/>
        <v>0</v>
      </c>
      <c r="AY89" s="183">
        <f t="shared" si="152"/>
        <v>0</v>
      </c>
      <c r="AZ89" s="183">
        <f t="shared" si="152"/>
        <v>0</v>
      </c>
      <c r="BA89" s="183">
        <f t="shared" si="152"/>
        <v>0</v>
      </c>
      <c r="BB89" s="183">
        <f t="shared" si="152"/>
        <v>0</v>
      </c>
      <c r="BC89" s="183">
        <f t="shared" si="152"/>
        <v>0</v>
      </c>
      <c r="BD89" s="183">
        <f t="shared" si="152"/>
        <v>0</v>
      </c>
      <c r="BE89" s="183">
        <f t="shared" si="152"/>
        <v>0</v>
      </c>
      <c r="BF89" s="183">
        <f t="shared" si="152"/>
        <v>0</v>
      </c>
      <c r="BG89" s="183">
        <f t="shared" si="152"/>
        <v>0</v>
      </c>
      <c r="BH89" s="183">
        <f t="shared" si="152"/>
        <v>0</v>
      </c>
      <c r="BI89" s="183">
        <f t="shared" si="152"/>
        <v>0</v>
      </c>
      <c r="BJ89" s="183">
        <f t="shared" si="152"/>
        <v>0</v>
      </c>
      <c r="BK89" s="183">
        <f t="shared" si="152"/>
        <v>0</v>
      </c>
      <c r="BL89" s="183">
        <f t="shared" si="152"/>
        <v>0</v>
      </c>
      <c r="BM89" s="183">
        <f t="shared" si="152"/>
        <v>0</v>
      </c>
      <c r="BN89" s="183">
        <f t="shared" si="152"/>
        <v>0</v>
      </c>
      <c r="BO89" s="183">
        <f t="shared" si="152"/>
        <v>0</v>
      </c>
      <c r="BP89" s="183">
        <f t="shared" si="152"/>
        <v>0</v>
      </c>
      <c r="BQ89" s="183">
        <f t="shared" si="152"/>
        <v>0</v>
      </c>
      <c r="BR89" s="183">
        <f t="shared" si="152"/>
        <v>0</v>
      </c>
      <c r="BS89" s="183">
        <f t="shared" si="152"/>
        <v>0</v>
      </c>
      <c r="BT89" s="183">
        <f t="shared" si="152"/>
        <v>0</v>
      </c>
      <c r="BU89" s="183">
        <f t="shared" si="152"/>
        <v>0</v>
      </c>
      <c r="BV89" s="183">
        <f t="shared" si="152"/>
        <v>0</v>
      </c>
      <c r="BW89" s="183">
        <f t="shared" si="152"/>
        <v>0</v>
      </c>
      <c r="BX89" s="183">
        <f t="shared" si="152"/>
        <v>0</v>
      </c>
      <c r="BY89" s="183">
        <f t="shared" si="152"/>
        <v>0</v>
      </c>
      <c r="BZ89" s="183">
        <f t="shared" si="152"/>
        <v>0</v>
      </c>
      <c r="CA89" s="183">
        <f t="shared" si="152"/>
        <v>0</v>
      </c>
      <c r="CB89" s="183">
        <f t="shared" si="152"/>
        <v>0</v>
      </c>
      <c r="CC89" s="183">
        <f t="shared" si="152"/>
        <v>0</v>
      </c>
      <c r="CD89" s="183">
        <f t="shared" si="152"/>
        <v>0</v>
      </c>
      <c r="CE89" s="183">
        <f t="shared" si="152"/>
        <v>0</v>
      </c>
      <c r="CF89" s="183">
        <f t="shared" si="152"/>
        <v>0</v>
      </c>
      <c r="CG89" s="183">
        <f t="shared" si="152"/>
        <v>0</v>
      </c>
      <c r="CH89" s="183">
        <f t="shared" si="152"/>
        <v>0</v>
      </c>
      <c r="CI89" s="183">
        <f t="shared" si="152"/>
        <v>0</v>
      </c>
      <c r="CJ89" s="183">
        <f t="shared" si="152"/>
        <v>0</v>
      </c>
      <c r="CK89" s="183">
        <f t="shared" ref="CK89:EV92" si="153">IF(OR(CK$3&gt;=$G89,CK$3&lt;$F89),0,(_xlfn.NORM.DIST(CK$3-$F89+1,$H89/2,INDEX($E$115:$E$118,MATCH($I89,$D$115:$D$118,0)),TRUE)-_xlfn.NORM.DIST(CJ$3-$F89+1,$H89/2,INDEX($E$115:$E$118,MATCH($I89,$D$115:$D$118,0)),TRUE))/(1-2*_xlfn.NORM.DIST(0,$H89/2,INDEX($E$115:$E$118,MATCH($I89,$D$115:$D$118,0)),TRUE))*$D89)</f>
        <v>0</v>
      </c>
      <c r="CL89" s="183">
        <f t="shared" si="153"/>
        <v>0</v>
      </c>
      <c r="CM89" s="183">
        <f t="shared" si="153"/>
        <v>0</v>
      </c>
      <c r="CN89" s="183">
        <f t="shared" si="153"/>
        <v>0</v>
      </c>
      <c r="CO89" s="183">
        <f t="shared" si="153"/>
        <v>0</v>
      </c>
      <c r="CP89" s="183">
        <f t="shared" si="153"/>
        <v>0</v>
      </c>
      <c r="CQ89" s="183">
        <f t="shared" si="153"/>
        <v>0</v>
      </c>
      <c r="CR89" s="183">
        <f t="shared" si="153"/>
        <v>0</v>
      </c>
      <c r="CS89" s="183">
        <f t="shared" si="153"/>
        <v>0</v>
      </c>
      <c r="CT89" s="183">
        <f t="shared" si="153"/>
        <v>0</v>
      </c>
      <c r="CU89" s="183">
        <f t="shared" si="153"/>
        <v>0</v>
      </c>
      <c r="CV89" s="183">
        <f t="shared" si="153"/>
        <v>0</v>
      </c>
      <c r="CW89" s="183">
        <f t="shared" si="153"/>
        <v>0</v>
      </c>
      <c r="CX89" s="183">
        <f t="shared" si="153"/>
        <v>0</v>
      </c>
      <c r="CY89" s="183">
        <f t="shared" si="153"/>
        <v>0</v>
      </c>
      <c r="CZ89" s="183">
        <f t="shared" si="153"/>
        <v>0</v>
      </c>
      <c r="DA89" s="183">
        <f t="shared" si="153"/>
        <v>0</v>
      </c>
      <c r="DB89" s="183">
        <f t="shared" si="153"/>
        <v>0</v>
      </c>
      <c r="DC89" s="183">
        <f t="shared" si="153"/>
        <v>0</v>
      </c>
      <c r="DD89" s="183">
        <f t="shared" si="153"/>
        <v>0</v>
      </c>
      <c r="DE89" s="183">
        <f t="shared" si="153"/>
        <v>0</v>
      </c>
      <c r="DF89" s="183">
        <f t="shared" si="153"/>
        <v>0</v>
      </c>
      <c r="DG89" s="183">
        <f t="shared" si="153"/>
        <v>0</v>
      </c>
      <c r="DH89" s="183">
        <f t="shared" si="153"/>
        <v>0</v>
      </c>
      <c r="DI89" s="183">
        <f t="shared" si="153"/>
        <v>0</v>
      </c>
      <c r="DJ89" s="183">
        <f t="shared" si="153"/>
        <v>0</v>
      </c>
      <c r="DK89" s="183">
        <f t="shared" si="153"/>
        <v>0</v>
      </c>
      <c r="DL89" s="183">
        <f t="shared" si="153"/>
        <v>0</v>
      </c>
      <c r="DM89" s="183">
        <f t="shared" si="153"/>
        <v>0</v>
      </c>
      <c r="DN89" s="183">
        <f t="shared" si="153"/>
        <v>0</v>
      </c>
      <c r="DO89" s="183">
        <f t="shared" si="153"/>
        <v>0</v>
      </c>
      <c r="DP89" s="183">
        <f t="shared" si="153"/>
        <v>0</v>
      </c>
      <c r="DQ89" s="183">
        <f t="shared" si="153"/>
        <v>0</v>
      </c>
      <c r="DR89" s="183">
        <f t="shared" si="153"/>
        <v>0</v>
      </c>
      <c r="DS89" s="183">
        <f t="shared" si="153"/>
        <v>0</v>
      </c>
      <c r="DT89" s="183">
        <f t="shared" si="153"/>
        <v>0</v>
      </c>
      <c r="DU89" s="183">
        <f t="shared" si="153"/>
        <v>0</v>
      </c>
      <c r="DV89" s="183">
        <f t="shared" si="153"/>
        <v>0</v>
      </c>
      <c r="DW89" s="183">
        <f t="shared" si="153"/>
        <v>0</v>
      </c>
      <c r="DX89" s="183">
        <f t="shared" si="153"/>
        <v>0</v>
      </c>
      <c r="DY89" s="183">
        <f t="shared" si="153"/>
        <v>0</v>
      </c>
      <c r="DZ89" s="183">
        <f t="shared" si="153"/>
        <v>0</v>
      </c>
      <c r="EA89" s="183">
        <f t="shared" si="153"/>
        <v>0</v>
      </c>
      <c r="EB89" s="183">
        <f t="shared" si="153"/>
        <v>0</v>
      </c>
      <c r="EC89" s="183">
        <f t="shared" si="153"/>
        <v>0</v>
      </c>
      <c r="ED89" s="183">
        <f t="shared" si="153"/>
        <v>0</v>
      </c>
      <c r="EE89" s="183">
        <f t="shared" si="153"/>
        <v>0</v>
      </c>
      <c r="EF89" s="183">
        <f t="shared" si="153"/>
        <v>0</v>
      </c>
      <c r="EG89" s="183">
        <f t="shared" si="153"/>
        <v>0</v>
      </c>
      <c r="EH89" s="183">
        <f t="shared" si="153"/>
        <v>0</v>
      </c>
      <c r="EI89" s="183">
        <f t="shared" si="153"/>
        <v>0</v>
      </c>
      <c r="EJ89" s="183">
        <f t="shared" si="153"/>
        <v>0</v>
      </c>
      <c r="EK89" s="183">
        <f t="shared" si="153"/>
        <v>0</v>
      </c>
      <c r="EL89" s="183">
        <f t="shared" si="153"/>
        <v>0</v>
      </c>
      <c r="EM89" s="183">
        <f t="shared" si="153"/>
        <v>0</v>
      </c>
      <c r="EN89" s="183">
        <f t="shared" si="153"/>
        <v>0</v>
      </c>
      <c r="EO89" s="183">
        <f t="shared" si="153"/>
        <v>0</v>
      </c>
      <c r="EP89" s="183">
        <f t="shared" si="153"/>
        <v>0</v>
      </c>
      <c r="EQ89" s="183">
        <f t="shared" si="153"/>
        <v>0</v>
      </c>
      <c r="ER89" s="183">
        <f t="shared" si="153"/>
        <v>0</v>
      </c>
      <c r="ES89" s="183">
        <f t="shared" si="153"/>
        <v>0</v>
      </c>
      <c r="ET89" s="183">
        <f t="shared" si="153"/>
        <v>0</v>
      </c>
      <c r="EU89" s="183">
        <f t="shared" si="153"/>
        <v>0</v>
      </c>
      <c r="EV89" s="183">
        <f t="shared" si="153"/>
        <v>0</v>
      </c>
      <c r="EW89" s="183">
        <f t="shared" si="148"/>
        <v>0</v>
      </c>
      <c r="EX89" s="183">
        <f t="shared" si="148"/>
        <v>0</v>
      </c>
      <c r="EY89" s="183">
        <f t="shared" si="148"/>
        <v>0</v>
      </c>
      <c r="EZ89" s="183">
        <f t="shared" si="148"/>
        <v>0</v>
      </c>
      <c r="FB89" s="609" t="s">
        <v>243</v>
      </c>
      <c r="FC89" s="144"/>
      <c r="FD89" s="144"/>
      <c r="FE89" s="144"/>
      <c r="FF89" s="144"/>
      <c r="FG89" s="144"/>
      <c r="FH89" s="144"/>
      <c r="FI89" s="144"/>
      <c r="FJ89" s="144"/>
      <c r="FK89" s="144"/>
      <c r="FL89" s="144"/>
      <c r="FM89" s="144"/>
      <c r="FN89" s="144"/>
      <c r="FO89" s="144"/>
      <c r="FP89" s="144"/>
      <c r="FQ89" s="144"/>
      <c r="FR89" s="144"/>
      <c r="FS89" s="144"/>
      <c r="FT89" s="144"/>
      <c r="FU89" s="144"/>
      <c r="FV89" s="144"/>
      <c r="FW89" s="144"/>
      <c r="FX89" s="144"/>
      <c r="FY89" s="144"/>
      <c r="FZ89" s="144"/>
      <c r="GA89" s="144"/>
      <c r="GB89" s="144"/>
      <c r="GC89" s="144"/>
      <c r="GD89" s="144"/>
      <c r="GE89" s="144"/>
      <c r="GF89" s="144"/>
      <c r="GG89" s="144"/>
      <c r="GH89" s="144"/>
      <c r="GI89" s="144"/>
      <c r="GJ89" s="144"/>
      <c r="GK89" s="144"/>
      <c r="GL89" s="144"/>
      <c r="GM89" s="144"/>
      <c r="GN89" s="144"/>
      <c r="GO89" s="144"/>
      <c r="GP89" s="144"/>
      <c r="GQ89" s="144"/>
      <c r="GR89" s="144"/>
      <c r="GS89" s="144"/>
      <c r="GT89" s="144"/>
      <c r="GU89" s="144"/>
      <c r="GV89" s="144"/>
      <c r="GW89" s="144"/>
      <c r="GX89" s="144"/>
      <c r="GY89" s="144"/>
      <c r="GZ89" s="144"/>
      <c r="HA89" s="144"/>
      <c r="HB89" s="144"/>
      <c r="HC89" s="144"/>
      <c r="HD89" s="144"/>
      <c r="HE89" s="144"/>
      <c r="HF89" s="144"/>
      <c r="HG89" s="144"/>
      <c r="HH89" s="144"/>
      <c r="HI89" s="144"/>
      <c r="HJ89" s="144"/>
      <c r="HK89" s="144"/>
    </row>
    <row r="90" spans="1:219" s="158" customFormat="1" x14ac:dyDescent="0.2">
      <c r="A90" s="630"/>
      <c r="B90" s="638" t="s">
        <v>82</v>
      </c>
      <c r="C90" s="162"/>
      <c r="D90" s="443">
        <v>0</v>
      </c>
      <c r="E90" s="199">
        <f>IF(units=0,0,'Renovation Budget'!D90/units)</f>
        <v>0</v>
      </c>
      <c r="F90" s="640">
        <v>0</v>
      </c>
      <c r="G90" s="640">
        <v>0</v>
      </c>
      <c r="H90" s="641">
        <f t="shared" si="132"/>
        <v>0</v>
      </c>
      <c r="I90" s="642" t="s">
        <v>107</v>
      </c>
      <c r="J90" s="643" t="s">
        <v>42</v>
      </c>
      <c r="K90" s="644"/>
      <c r="L90" s="183">
        <f t="shared" si="151"/>
        <v>0</v>
      </c>
      <c r="M90" s="183">
        <f t="shared" si="151"/>
        <v>0</v>
      </c>
      <c r="N90" s="183">
        <f t="shared" si="151"/>
        <v>0</v>
      </c>
      <c r="O90" s="183">
        <f t="shared" si="151"/>
        <v>0</v>
      </c>
      <c r="P90" s="183">
        <f t="shared" si="151"/>
        <v>0</v>
      </c>
      <c r="Q90" s="183">
        <f t="shared" si="151"/>
        <v>0</v>
      </c>
      <c r="R90" s="183">
        <f t="shared" si="151"/>
        <v>0</v>
      </c>
      <c r="S90" s="183">
        <f t="shared" si="151"/>
        <v>0</v>
      </c>
      <c r="T90" s="183">
        <f t="shared" si="151"/>
        <v>0</v>
      </c>
      <c r="U90" s="183">
        <f t="shared" si="151"/>
        <v>0</v>
      </c>
      <c r="V90" s="183">
        <f t="shared" si="151"/>
        <v>0</v>
      </c>
      <c r="W90" s="644"/>
      <c r="X90" s="183">
        <f t="shared" si="134"/>
        <v>0</v>
      </c>
      <c r="Y90" s="183">
        <f t="shared" si="135"/>
        <v>0</v>
      </c>
      <c r="Z90" s="183">
        <f t="shared" ref="Z90:CK92" si="154">IF(OR(Z$3&gt;=$G90,Z$3&lt;$F90),0,(_xlfn.NORM.DIST(Z$3-$F90+1,$H90/2,INDEX($E$115:$E$118,MATCH($I90,$D$115:$D$118,0)),TRUE)-_xlfn.NORM.DIST(Y$3-$F90+1,$H90/2,INDEX($E$115:$E$118,MATCH($I90,$D$115:$D$118,0)),TRUE))/(1-2*_xlfn.NORM.DIST(0,$H90/2,INDEX($E$115:$E$118,MATCH($I90,$D$115:$D$118,0)),TRUE))*$D90)</f>
        <v>0</v>
      </c>
      <c r="AA90" s="183">
        <f t="shared" si="154"/>
        <v>0</v>
      </c>
      <c r="AB90" s="183">
        <f t="shared" si="154"/>
        <v>0</v>
      </c>
      <c r="AC90" s="183">
        <f t="shared" si="154"/>
        <v>0</v>
      </c>
      <c r="AD90" s="183">
        <f t="shared" si="154"/>
        <v>0</v>
      </c>
      <c r="AE90" s="183">
        <f t="shared" si="154"/>
        <v>0</v>
      </c>
      <c r="AF90" s="183">
        <f t="shared" si="154"/>
        <v>0</v>
      </c>
      <c r="AG90" s="183">
        <f t="shared" si="154"/>
        <v>0</v>
      </c>
      <c r="AH90" s="183">
        <f t="shared" si="154"/>
        <v>0</v>
      </c>
      <c r="AI90" s="183">
        <f t="shared" si="154"/>
        <v>0</v>
      </c>
      <c r="AJ90" s="183">
        <f t="shared" si="154"/>
        <v>0</v>
      </c>
      <c r="AK90" s="183">
        <f t="shared" si="154"/>
        <v>0</v>
      </c>
      <c r="AL90" s="183">
        <f t="shared" si="154"/>
        <v>0</v>
      </c>
      <c r="AM90" s="183">
        <f t="shared" si="154"/>
        <v>0</v>
      </c>
      <c r="AN90" s="183">
        <f t="shared" si="154"/>
        <v>0</v>
      </c>
      <c r="AO90" s="183">
        <f t="shared" si="154"/>
        <v>0</v>
      </c>
      <c r="AP90" s="183">
        <f t="shared" si="154"/>
        <v>0</v>
      </c>
      <c r="AQ90" s="183">
        <f t="shared" si="154"/>
        <v>0</v>
      </c>
      <c r="AR90" s="183">
        <f t="shared" si="154"/>
        <v>0</v>
      </c>
      <c r="AS90" s="183">
        <f t="shared" si="154"/>
        <v>0</v>
      </c>
      <c r="AT90" s="183">
        <f t="shared" si="154"/>
        <v>0</v>
      </c>
      <c r="AU90" s="183">
        <f t="shared" si="154"/>
        <v>0</v>
      </c>
      <c r="AV90" s="183">
        <f t="shared" si="154"/>
        <v>0</v>
      </c>
      <c r="AW90" s="183">
        <f t="shared" si="154"/>
        <v>0</v>
      </c>
      <c r="AX90" s="183">
        <f t="shared" si="154"/>
        <v>0</v>
      </c>
      <c r="AY90" s="183">
        <f t="shared" si="154"/>
        <v>0</v>
      </c>
      <c r="AZ90" s="183">
        <f t="shared" si="154"/>
        <v>0</v>
      </c>
      <c r="BA90" s="183">
        <f t="shared" si="154"/>
        <v>0</v>
      </c>
      <c r="BB90" s="183">
        <f t="shared" si="154"/>
        <v>0</v>
      </c>
      <c r="BC90" s="183">
        <f t="shared" si="154"/>
        <v>0</v>
      </c>
      <c r="BD90" s="183">
        <f t="shared" si="154"/>
        <v>0</v>
      </c>
      <c r="BE90" s="183">
        <f t="shared" si="154"/>
        <v>0</v>
      </c>
      <c r="BF90" s="183">
        <f t="shared" si="154"/>
        <v>0</v>
      </c>
      <c r="BG90" s="183">
        <f t="shared" si="154"/>
        <v>0</v>
      </c>
      <c r="BH90" s="183">
        <f t="shared" si="154"/>
        <v>0</v>
      </c>
      <c r="BI90" s="183">
        <f t="shared" si="154"/>
        <v>0</v>
      </c>
      <c r="BJ90" s="183">
        <f t="shared" si="154"/>
        <v>0</v>
      </c>
      <c r="BK90" s="183">
        <f t="shared" si="154"/>
        <v>0</v>
      </c>
      <c r="BL90" s="183">
        <f t="shared" si="154"/>
        <v>0</v>
      </c>
      <c r="BM90" s="183">
        <f t="shared" si="154"/>
        <v>0</v>
      </c>
      <c r="BN90" s="183">
        <f t="shared" si="154"/>
        <v>0</v>
      </c>
      <c r="BO90" s="183">
        <f t="shared" si="154"/>
        <v>0</v>
      </c>
      <c r="BP90" s="183">
        <f t="shared" si="154"/>
        <v>0</v>
      </c>
      <c r="BQ90" s="183">
        <f t="shared" si="154"/>
        <v>0</v>
      </c>
      <c r="BR90" s="183">
        <f t="shared" si="154"/>
        <v>0</v>
      </c>
      <c r="BS90" s="183">
        <f t="shared" si="154"/>
        <v>0</v>
      </c>
      <c r="BT90" s="183">
        <f t="shared" si="154"/>
        <v>0</v>
      </c>
      <c r="BU90" s="183">
        <f t="shared" si="154"/>
        <v>0</v>
      </c>
      <c r="BV90" s="183">
        <f t="shared" si="154"/>
        <v>0</v>
      </c>
      <c r="BW90" s="183">
        <f t="shared" si="154"/>
        <v>0</v>
      </c>
      <c r="BX90" s="183">
        <f t="shared" si="154"/>
        <v>0</v>
      </c>
      <c r="BY90" s="183">
        <f t="shared" si="154"/>
        <v>0</v>
      </c>
      <c r="BZ90" s="183">
        <f t="shared" si="154"/>
        <v>0</v>
      </c>
      <c r="CA90" s="183">
        <f t="shared" si="154"/>
        <v>0</v>
      </c>
      <c r="CB90" s="183">
        <f t="shared" si="154"/>
        <v>0</v>
      </c>
      <c r="CC90" s="183">
        <f t="shared" si="154"/>
        <v>0</v>
      </c>
      <c r="CD90" s="183">
        <f t="shared" si="154"/>
        <v>0</v>
      </c>
      <c r="CE90" s="183">
        <f t="shared" si="154"/>
        <v>0</v>
      </c>
      <c r="CF90" s="183">
        <f t="shared" si="154"/>
        <v>0</v>
      </c>
      <c r="CG90" s="183">
        <f t="shared" si="154"/>
        <v>0</v>
      </c>
      <c r="CH90" s="183">
        <f t="shared" si="154"/>
        <v>0</v>
      </c>
      <c r="CI90" s="183">
        <f t="shared" si="154"/>
        <v>0</v>
      </c>
      <c r="CJ90" s="183">
        <f t="shared" si="154"/>
        <v>0</v>
      </c>
      <c r="CK90" s="183">
        <f t="shared" si="154"/>
        <v>0</v>
      </c>
      <c r="CL90" s="183">
        <f t="shared" si="153"/>
        <v>0</v>
      </c>
      <c r="CM90" s="183">
        <f t="shared" si="153"/>
        <v>0</v>
      </c>
      <c r="CN90" s="183">
        <f t="shared" si="153"/>
        <v>0</v>
      </c>
      <c r="CO90" s="183">
        <f t="shared" si="153"/>
        <v>0</v>
      </c>
      <c r="CP90" s="183">
        <f t="shared" si="153"/>
        <v>0</v>
      </c>
      <c r="CQ90" s="183">
        <f t="shared" si="153"/>
        <v>0</v>
      </c>
      <c r="CR90" s="183">
        <f t="shared" si="153"/>
        <v>0</v>
      </c>
      <c r="CS90" s="183">
        <f t="shared" si="153"/>
        <v>0</v>
      </c>
      <c r="CT90" s="183">
        <f t="shared" si="153"/>
        <v>0</v>
      </c>
      <c r="CU90" s="183">
        <f t="shared" si="153"/>
        <v>0</v>
      </c>
      <c r="CV90" s="183">
        <f t="shared" si="153"/>
        <v>0</v>
      </c>
      <c r="CW90" s="183">
        <f t="shared" si="153"/>
        <v>0</v>
      </c>
      <c r="CX90" s="183">
        <f t="shared" si="153"/>
        <v>0</v>
      </c>
      <c r="CY90" s="183">
        <f t="shared" si="153"/>
        <v>0</v>
      </c>
      <c r="CZ90" s="183">
        <f t="shared" si="153"/>
        <v>0</v>
      </c>
      <c r="DA90" s="183">
        <f t="shared" si="153"/>
        <v>0</v>
      </c>
      <c r="DB90" s="183">
        <f t="shared" si="153"/>
        <v>0</v>
      </c>
      <c r="DC90" s="183">
        <f t="shared" si="153"/>
        <v>0</v>
      </c>
      <c r="DD90" s="183">
        <f t="shared" si="153"/>
        <v>0</v>
      </c>
      <c r="DE90" s="183">
        <f t="shared" si="153"/>
        <v>0</v>
      </c>
      <c r="DF90" s="183">
        <f t="shared" si="153"/>
        <v>0</v>
      </c>
      <c r="DG90" s="183">
        <f t="shared" si="153"/>
        <v>0</v>
      </c>
      <c r="DH90" s="183">
        <f t="shared" si="153"/>
        <v>0</v>
      </c>
      <c r="DI90" s="183">
        <f t="shared" si="153"/>
        <v>0</v>
      </c>
      <c r="DJ90" s="183">
        <f t="shared" si="153"/>
        <v>0</v>
      </c>
      <c r="DK90" s="183">
        <f t="shared" si="153"/>
        <v>0</v>
      </c>
      <c r="DL90" s="183">
        <f t="shared" si="153"/>
        <v>0</v>
      </c>
      <c r="DM90" s="183">
        <f t="shared" si="153"/>
        <v>0</v>
      </c>
      <c r="DN90" s="183">
        <f t="shared" si="153"/>
        <v>0</v>
      </c>
      <c r="DO90" s="183">
        <f t="shared" si="153"/>
        <v>0</v>
      </c>
      <c r="DP90" s="183">
        <f t="shared" si="153"/>
        <v>0</v>
      </c>
      <c r="DQ90" s="183">
        <f t="shared" si="153"/>
        <v>0</v>
      </c>
      <c r="DR90" s="183">
        <f t="shared" si="153"/>
        <v>0</v>
      </c>
      <c r="DS90" s="183">
        <f t="shared" si="153"/>
        <v>0</v>
      </c>
      <c r="DT90" s="183">
        <f t="shared" si="153"/>
        <v>0</v>
      </c>
      <c r="DU90" s="183">
        <f t="shared" si="153"/>
        <v>0</v>
      </c>
      <c r="DV90" s="183">
        <f t="shared" si="153"/>
        <v>0</v>
      </c>
      <c r="DW90" s="183">
        <f t="shared" si="153"/>
        <v>0</v>
      </c>
      <c r="DX90" s="183">
        <f t="shared" si="153"/>
        <v>0</v>
      </c>
      <c r="DY90" s="183">
        <f t="shared" si="153"/>
        <v>0</v>
      </c>
      <c r="DZ90" s="183">
        <f t="shared" si="153"/>
        <v>0</v>
      </c>
      <c r="EA90" s="183">
        <f t="shared" si="153"/>
        <v>0</v>
      </c>
      <c r="EB90" s="183">
        <f t="shared" si="153"/>
        <v>0</v>
      </c>
      <c r="EC90" s="183">
        <f t="shared" si="153"/>
        <v>0</v>
      </c>
      <c r="ED90" s="183">
        <f t="shared" si="153"/>
        <v>0</v>
      </c>
      <c r="EE90" s="183">
        <f t="shared" si="153"/>
        <v>0</v>
      </c>
      <c r="EF90" s="183">
        <f t="shared" si="153"/>
        <v>0</v>
      </c>
      <c r="EG90" s="183">
        <f t="shared" si="153"/>
        <v>0</v>
      </c>
      <c r="EH90" s="183">
        <f t="shared" si="153"/>
        <v>0</v>
      </c>
      <c r="EI90" s="183">
        <f t="shared" si="153"/>
        <v>0</v>
      </c>
      <c r="EJ90" s="183">
        <f t="shared" si="153"/>
        <v>0</v>
      </c>
      <c r="EK90" s="183">
        <f t="shared" si="153"/>
        <v>0</v>
      </c>
      <c r="EL90" s="183">
        <f t="shared" si="153"/>
        <v>0</v>
      </c>
      <c r="EM90" s="183">
        <f t="shared" si="153"/>
        <v>0</v>
      </c>
      <c r="EN90" s="183">
        <f t="shared" si="153"/>
        <v>0</v>
      </c>
      <c r="EO90" s="183">
        <f t="shared" si="153"/>
        <v>0</v>
      </c>
      <c r="EP90" s="183">
        <f t="shared" si="153"/>
        <v>0</v>
      </c>
      <c r="EQ90" s="183">
        <f t="shared" si="153"/>
        <v>0</v>
      </c>
      <c r="ER90" s="183">
        <f t="shared" si="153"/>
        <v>0</v>
      </c>
      <c r="ES90" s="183">
        <f t="shared" si="153"/>
        <v>0</v>
      </c>
      <c r="ET90" s="183">
        <f t="shared" si="153"/>
        <v>0</v>
      </c>
      <c r="EU90" s="183">
        <f t="shared" si="153"/>
        <v>0</v>
      </c>
      <c r="EV90" s="183">
        <f t="shared" si="153"/>
        <v>0</v>
      </c>
      <c r="EW90" s="183">
        <f t="shared" si="148"/>
        <v>0</v>
      </c>
      <c r="EX90" s="183">
        <f t="shared" si="148"/>
        <v>0</v>
      </c>
      <c r="EY90" s="183">
        <f t="shared" si="148"/>
        <v>0</v>
      </c>
      <c r="EZ90" s="183">
        <f t="shared" si="148"/>
        <v>0</v>
      </c>
      <c r="FB90" s="609" t="s">
        <v>243</v>
      </c>
      <c r="FC90" s="144"/>
      <c r="FD90" s="144"/>
      <c r="FE90" s="144"/>
      <c r="FF90" s="144"/>
      <c r="FG90" s="144"/>
      <c r="FH90" s="144"/>
      <c r="FI90" s="144"/>
      <c r="FJ90" s="144"/>
      <c r="FK90" s="144"/>
      <c r="FL90" s="144"/>
      <c r="FM90" s="144"/>
      <c r="FN90" s="144"/>
      <c r="FO90" s="144"/>
      <c r="FP90" s="144"/>
      <c r="FQ90" s="144"/>
      <c r="FR90" s="144"/>
      <c r="FS90" s="144"/>
      <c r="FT90" s="144"/>
      <c r="FU90" s="144"/>
      <c r="FV90" s="144"/>
      <c r="FW90" s="144"/>
      <c r="FX90" s="144"/>
      <c r="FY90" s="144"/>
      <c r="FZ90" s="144"/>
      <c r="GA90" s="144"/>
      <c r="GB90" s="144"/>
      <c r="GC90" s="144"/>
      <c r="GD90" s="144"/>
      <c r="GE90" s="144"/>
      <c r="GF90" s="144"/>
      <c r="GG90" s="144"/>
      <c r="GH90" s="144"/>
      <c r="GI90" s="144"/>
      <c r="GJ90" s="144"/>
      <c r="GK90" s="144"/>
      <c r="GL90" s="144"/>
      <c r="GM90" s="144"/>
      <c r="GN90" s="144"/>
      <c r="GO90" s="144"/>
      <c r="GP90" s="144"/>
      <c r="GQ90" s="144"/>
      <c r="GR90" s="144"/>
      <c r="GS90" s="144"/>
      <c r="GT90" s="144"/>
      <c r="GU90" s="144"/>
      <c r="GV90" s="144"/>
      <c r="GW90" s="144"/>
      <c r="GX90" s="144"/>
      <c r="GY90" s="144"/>
      <c r="GZ90" s="144"/>
      <c r="HA90" s="144"/>
      <c r="HB90" s="144"/>
      <c r="HC90" s="144"/>
      <c r="HD90" s="144"/>
      <c r="HE90" s="144"/>
      <c r="HF90" s="144"/>
      <c r="HG90" s="144"/>
      <c r="HH90" s="144"/>
      <c r="HI90" s="144"/>
      <c r="HJ90" s="144"/>
      <c r="HK90" s="144"/>
    </row>
    <row r="91" spans="1:219" s="158" customFormat="1" x14ac:dyDescent="0.2">
      <c r="A91" s="630"/>
      <c r="B91" s="638" t="s">
        <v>82</v>
      </c>
      <c r="C91" s="162"/>
      <c r="D91" s="443">
        <v>0</v>
      </c>
      <c r="E91" s="199">
        <f>IF(units=0,0,'Renovation Budget'!D91/units)</f>
        <v>0</v>
      </c>
      <c r="F91" s="640">
        <v>0</v>
      </c>
      <c r="G91" s="640">
        <v>0</v>
      </c>
      <c r="H91" s="641">
        <f t="shared" si="132"/>
        <v>0</v>
      </c>
      <c r="I91" s="642" t="s">
        <v>107</v>
      </c>
      <c r="J91" s="643" t="s">
        <v>42</v>
      </c>
      <c r="K91" s="644"/>
      <c r="L91" s="183">
        <f t="shared" si="151"/>
        <v>0</v>
      </c>
      <c r="M91" s="183">
        <f t="shared" si="151"/>
        <v>0</v>
      </c>
      <c r="N91" s="183">
        <f t="shared" si="151"/>
        <v>0</v>
      </c>
      <c r="O91" s="183">
        <f t="shared" si="151"/>
        <v>0</v>
      </c>
      <c r="P91" s="183">
        <f t="shared" si="151"/>
        <v>0</v>
      </c>
      <c r="Q91" s="183">
        <f t="shared" si="151"/>
        <v>0</v>
      </c>
      <c r="R91" s="183">
        <f t="shared" si="151"/>
        <v>0</v>
      </c>
      <c r="S91" s="183">
        <f t="shared" si="151"/>
        <v>0</v>
      </c>
      <c r="T91" s="183">
        <f t="shared" si="151"/>
        <v>0</v>
      </c>
      <c r="U91" s="183">
        <f t="shared" si="151"/>
        <v>0</v>
      </c>
      <c r="V91" s="183">
        <f t="shared" si="151"/>
        <v>0</v>
      </c>
      <c r="W91" s="644"/>
      <c r="X91" s="183">
        <f t="shared" si="134"/>
        <v>0</v>
      </c>
      <c r="Y91" s="183">
        <f t="shared" si="135"/>
        <v>0</v>
      </c>
      <c r="Z91" s="183">
        <f t="shared" si="154"/>
        <v>0</v>
      </c>
      <c r="AA91" s="183">
        <f t="shared" si="154"/>
        <v>0</v>
      </c>
      <c r="AB91" s="183">
        <f t="shared" si="154"/>
        <v>0</v>
      </c>
      <c r="AC91" s="183">
        <f t="shared" si="154"/>
        <v>0</v>
      </c>
      <c r="AD91" s="183">
        <f t="shared" si="154"/>
        <v>0</v>
      </c>
      <c r="AE91" s="183">
        <f t="shared" si="154"/>
        <v>0</v>
      </c>
      <c r="AF91" s="183">
        <f t="shared" si="154"/>
        <v>0</v>
      </c>
      <c r="AG91" s="183">
        <f t="shared" si="154"/>
        <v>0</v>
      </c>
      <c r="AH91" s="183">
        <f t="shared" si="154"/>
        <v>0</v>
      </c>
      <c r="AI91" s="183">
        <f t="shared" si="154"/>
        <v>0</v>
      </c>
      <c r="AJ91" s="183">
        <f t="shared" si="154"/>
        <v>0</v>
      </c>
      <c r="AK91" s="183">
        <f t="shared" si="154"/>
        <v>0</v>
      </c>
      <c r="AL91" s="183">
        <f t="shared" si="154"/>
        <v>0</v>
      </c>
      <c r="AM91" s="183">
        <f t="shared" si="154"/>
        <v>0</v>
      </c>
      <c r="AN91" s="183">
        <f t="shared" si="154"/>
        <v>0</v>
      </c>
      <c r="AO91" s="183">
        <f t="shared" si="154"/>
        <v>0</v>
      </c>
      <c r="AP91" s="183">
        <f t="shared" si="154"/>
        <v>0</v>
      </c>
      <c r="AQ91" s="183">
        <f t="shared" si="154"/>
        <v>0</v>
      </c>
      <c r="AR91" s="183">
        <f t="shared" si="154"/>
        <v>0</v>
      </c>
      <c r="AS91" s="183">
        <f t="shared" si="154"/>
        <v>0</v>
      </c>
      <c r="AT91" s="183">
        <f t="shared" si="154"/>
        <v>0</v>
      </c>
      <c r="AU91" s="183">
        <f t="shared" si="154"/>
        <v>0</v>
      </c>
      <c r="AV91" s="183">
        <f t="shared" si="154"/>
        <v>0</v>
      </c>
      <c r="AW91" s="183">
        <f t="shared" si="154"/>
        <v>0</v>
      </c>
      <c r="AX91" s="183">
        <f t="shared" si="154"/>
        <v>0</v>
      </c>
      <c r="AY91" s="183">
        <f t="shared" si="154"/>
        <v>0</v>
      </c>
      <c r="AZ91" s="183">
        <f t="shared" si="154"/>
        <v>0</v>
      </c>
      <c r="BA91" s="183">
        <f t="shared" si="154"/>
        <v>0</v>
      </c>
      <c r="BB91" s="183">
        <f t="shared" si="154"/>
        <v>0</v>
      </c>
      <c r="BC91" s="183">
        <f t="shared" si="154"/>
        <v>0</v>
      </c>
      <c r="BD91" s="183">
        <f t="shared" si="154"/>
        <v>0</v>
      </c>
      <c r="BE91" s="183">
        <f t="shared" si="154"/>
        <v>0</v>
      </c>
      <c r="BF91" s="183">
        <f t="shared" si="154"/>
        <v>0</v>
      </c>
      <c r="BG91" s="183">
        <f t="shared" si="154"/>
        <v>0</v>
      </c>
      <c r="BH91" s="183">
        <f t="shared" si="154"/>
        <v>0</v>
      </c>
      <c r="BI91" s="183">
        <f t="shared" si="154"/>
        <v>0</v>
      </c>
      <c r="BJ91" s="183">
        <f t="shared" si="154"/>
        <v>0</v>
      </c>
      <c r="BK91" s="183">
        <f t="shared" si="154"/>
        <v>0</v>
      </c>
      <c r="BL91" s="183">
        <f t="shared" si="154"/>
        <v>0</v>
      </c>
      <c r="BM91" s="183">
        <f t="shared" si="154"/>
        <v>0</v>
      </c>
      <c r="BN91" s="183">
        <f t="shared" si="154"/>
        <v>0</v>
      </c>
      <c r="BO91" s="183">
        <f t="shared" si="154"/>
        <v>0</v>
      </c>
      <c r="BP91" s="183">
        <f t="shared" si="154"/>
        <v>0</v>
      </c>
      <c r="BQ91" s="183">
        <f t="shared" si="154"/>
        <v>0</v>
      </c>
      <c r="BR91" s="183">
        <f t="shared" si="154"/>
        <v>0</v>
      </c>
      <c r="BS91" s="183">
        <f t="shared" si="154"/>
        <v>0</v>
      </c>
      <c r="BT91" s="183">
        <f t="shared" si="154"/>
        <v>0</v>
      </c>
      <c r="BU91" s="183">
        <f t="shared" si="154"/>
        <v>0</v>
      </c>
      <c r="BV91" s="183">
        <f t="shared" si="154"/>
        <v>0</v>
      </c>
      <c r="BW91" s="183">
        <f t="shared" si="154"/>
        <v>0</v>
      </c>
      <c r="BX91" s="183">
        <f t="shared" si="154"/>
        <v>0</v>
      </c>
      <c r="BY91" s="183">
        <f t="shared" si="154"/>
        <v>0</v>
      </c>
      <c r="BZ91" s="183">
        <f t="shared" si="154"/>
        <v>0</v>
      </c>
      <c r="CA91" s="183">
        <f t="shared" si="154"/>
        <v>0</v>
      </c>
      <c r="CB91" s="183">
        <f t="shared" si="154"/>
        <v>0</v>
      </c>
      <c r="CC91" s="183">
        <f t="shared" si="154"/>
        <v>0</v>
      </c>
      <c r="CD91" s="183">
        <f t="shared" si="154"/>
        <v>0</v>
      </c>
      <c r="CE91" s="183">
        <f t="shared" si="154"/>
        <v>0</v>
      </c>
      <c r="CF91" s="183">
        <f t="shared" si="154"/>
        <v>0</v>
      </c>
      <c r="CG91" s="183">
        <f t="shared" si="154"/>
        <v>0</v>
      </c>
      <c r="CH91" s="183">
        <f t="shared" si="154"/>
        <v>0</v>
      </c>
      <c r="CI91" s="183">
        <f t="shared" si="154"/>
        <v>0</v>
      </c>
      <c r="CJ91" s="183">
        <f t="shared" si="154"/>
        <v>0</v>
      </c>
      <c r="CK91" s="183">
        <f t="shared" si="154"/>
        <v>0</v>
      </c>
      <c r="CL91" s="183">
        <f t="shared" si="153"/>
        <v>0</v>
      </c>
      <c r="CM91" s="183">
        <f t="shared" si="153"/>
        <v>0</v>
      </c>
      <c r="CN91" s="183">
        <f t="shared" si="153"/>
        <v>0</v>
      </c>
      <c r="CO91" s="183">
        <f t="shared" si="153"/>
        <v>0</v>
      </c>
      <c r="CP91" s="183">
        <f t="shared" si="153"/>
        <v>0</v>
      </c>
      <c r="CQ91" s="183">
        <f t="shared" si="153"/>
        <v>0</v>
      </c>
      <c r="CR91" s="183">
        <f t="shared" si="153"/>
        <v>0</v>
      </c>
      <c r="CS91" s="183">
        <f t="shared" si="153"/>
        <v>0</v>
      </c>
      <c r="CT91" s="183">
        <f t="shared" si="153"/>
        <v>0</v>
      </c>
      <c r="CU91" s="183">
        <f t="shared" si="153"/>
        <v>0</v>
      </c>
      <c r="CV91" s="183">
        <f t="shared" si="153"/>
        <v>0</v>
      </c>
      <c r="CW91" s="183">
        <f t="shared" si="153"/>
        <v>0</v>
      </c>
      <c r="CX91" s="183">
        <f t="shared" si="153"/>
        <v>0</v>
      </c>
      <c r="CY91" s="183">
        <f t="shared" si="153"/>
        <v>0</v>
      </c>
      <c r="CZ91" s="183">
        <f t="shared" si="153"/>
        <v>0</v>
      </c>
      <c r="DA91" s="183">
        <f t="shared" si="153"/>
        <v>0</v>
      </c>
      <c r="DB91" s="183">
        <f t="shared" si="153"/>
        <v>0</v>
      </c>
      <c r="DC91" s="183">
        <f t="shared" si="153"/>
        <v>0</v>
      </c>
      <c r="DD91" s="183">
        <f t="shared" si="153"/>
        <v>0</v>
      </c>
      <c r="DE91" s="183">
        <f t="shared" si="153"/>
        <v>0</v>
      </c>
      <c r="DF91" s="183">
        <f t="shared" si="153"/>
        <v>0</v>
      </c>
      <c r="DG91" s="183">
        <f t="shared" si="153"/>
        <v>0</v>
      </c>
      <c r="DH91" s="183">
        <f t="shared" si="153"/>
        <v>0</v>
      </c>
      <c r="DI91" s="183">
        <f t="shared" si="153"/>
        <v>0</v>
      </c>
      <c r="DJ91" s="183">
        <f t="shared" si="153"/>
        <v>0</v>
      </c>
      <c r="DK91" s="183">
        <f t="shared" si="153"/>
        <v>0</v>
      </c>
      <c r="DL91" s="183">
        <f t="shared" si="153"/>
        <v>0</v>
      </c>
      <c r="DM91" s="183">
        <f t="shared" si="153"/>
        <v>0</v>
      </c>
      <c r="DN91" s="183">
        <f t="shared" si="153"/>
        <v>0</v>
      </c>
      <c r="DO91" s="183">
        <f t="shared" si="153"/>
        <v>0</v>
      </c>
      <c r="DP91" s="183">
        <f t="shared" si="153"/>
        <v>0</v>
      </c>
      <c r="DQ91" s="183">
        <f t="shared" si="153"/>
        <v>0</v>
      </c>
      <c r="DR91" s="183">
        <f t="shared" si="153"/>
        <v>0</v>
      </c>
      <c r="DS91" s="183">
        <f t="shared" si="153"/>
        <v>0</v>
      </c>
      <c r="DT91" s="183">
        <f t="shared" si="153"/>
        <v>0</v>
      </c>
      <c r="DU91" s="183">
        <f t="shared" si="153"/>
        <v>0</v>
      </c>
      <c r="DV91" s="183">
        <f t="shared" si="153"/>
        <v>0</v>
      </c>
      <c r="DW91" s="183">
        <f t="shared" si="153"/>
        <v>0</v>
      </c>
      <c r="DX91" s="183">
        <f t="shared" si="153"/>
        <v>0</v>
      </c>
      <c r="DY91" s="183">
        <f t="shared" si="153"/>
        <v>0</v>
      </c>
      <c r="DZ91" s="183">
        <f t="shared" si="153"/>
        <v>0</v>
      </c>
      <c r="EA91" s="183">
        <f t="shared" si="153"/>
        <v>0</v>
      </c>
      <c r="EB91" s="183">
        <f t="shared" si="153"/>
        <v>0</v>
      </c>
      <c r="EC91" s="183">
        <f t="shared" si="153"/>
        <v>0</v>
      </c>
      <c r="ED91" s="183">
        <f t="shared" si="153"/>
        <v>0</v>
      </c>
      <c r="EE91" s="183">
        <f t="shared" si="153"/>
        <v>0</v>
      </c>
      <c r="EF91" s="183">
        <f t="shared" si="153"/>
        <v>0</v>
      </c>
      <c r="EG91" s="183">
        <f t="shared" si="153"/>
        <v>0</v>
      </c>
      <c r="EH91" s="183">
        <f t="shared" si="153"/>
        <v>0</v>
      </c>
      <c r="EI91" s="183">
        <f t="shared" si="153"/>
        <v>0</v>
      </c>
      <c r="EJ91" s="183">
        <f t="shared" si="153"/>
        <v>0</v>
      </c>
      <c r="EK91" s="183">
        <f t="shared" si="153"/>
        <v>0</v>
      </c>
      <c r="EL91" s="183">
        <f t="shared" si="153"/>
        <v>0</v>
      </c>
      <c r="EM91" s="183">
        <f t="shared" si="153"/>
        <v>0</v>
      </c>
      <c r="EN91" s="183">
        <f t="shared" si="153"/>
        <v>0</v>
      </c>
      <c r="EO91" s="183">
        <f t="shared" si="153"/>
        <v>0</v>
      </c>
      <c r="EP91" s="183">
        <f t="shared" si="153"/>
        <v>0</v>
      </c>
      <c r="EQ91" s="183">
        <f t="shared" si="153"/>
        <v>0</v>
      </c>
      <c r="ER91" s="183">
        <f t="shared" si="153"/>
        <v>0</v>
      </c>
      <c r="ES91" s="183">
        <f t="shared" si="153"/>
        <v>0</v>
      </c>
      <c r="ET91" s="183">
        <f t="shared" si="153"/>
        <v>0</v>
      </c>
      <c r="EU91" s="183">
        <f t="shared" si="153"/>
        <v>0</v>
      </c>
      <c r="EV91" s="183">
        <f t="shared" si="153"/>
        <v>0</v>
      </c>
      <c r="EW91" s="183">
        <f t="shared" si="148"/>
        <v>0</v>
      </c>
      <c r="EX91" s="183">
        <f t="shared" si="148"/>
        <v>0</v>
      </c>
      <c r="EY91" s="183">
        <f t="shared" si="148"/>
        <v>0</v>
      </c>
      <c r="EZ91" s="183">
        <f t="shared" si="148"/>
        <v>0</v>
      </c>
      <c r="FB91" s="609" t="s">
        <v>243</v>
      </c>
      <c r="FC91" s="144"/>
      <c r="FD91" s="144"/>
      <c r="FE91" s="144"/>
      <c r="FF91" s="144"/>
      <c r="FG91" s="144"/>
      <c r="FH91" s="144"/>
      <c r="FI91" s="144"/>
      <c r="FJ91" s="144"/>
      <c r="FK91" s="144"/>
      <c r="FL91" s="144"/>
      <c r="FM91" s="144"/>
      <c r="FN91" s="144"/>
      <c r="FO91" s="144"/>
      <c r="FP91" s="144"/>
      <c r="FQ91" s="144"/>
      <c r="FR91" s="144"/>
      <c r="FS91" s="144"/>
      <c r="FT91" s="144"/>
      <c r="FU91" s="144"/>
      <c r="FV91" s="144"/>
      <c r="FW91" s="144"/>
      <c r="FX91" s="144"/>
      <c r="FY91" s="144"/>
      <c r="FZ91" s="144"/>
      <c r="GA91" s="144"/>
      <c r="GB91" s="144"/>
      <c r="GC91" s="144"/>
      <c r="GD91" s="144"/>
      <c r="GE91" s="144"/>
      <c r="GF91" s="144"/>
      <c r="GG91" s="144"/>
      <c r="GH91" s="144"/>
      <c r="GI91" s="144"/>
      <c r="GJ91" s="144"/>
      <c r="GK91" s="144"/>
      <c r="GL91" s="144"/>
      <c r="GM91" s="144"/>
      <c r="GN91" s="144"/>
      <c r="GO91" s="144"/>
      <c r="GP91" s="144"/>
      <c r="GQ91" s="144"/>
      <c r="GR91" s="144"/>
      <c r="GS91" s="144"/>
      <c r="GT91" s="144"/>
      <c r="GU91" s="144"/>
      <c r="GV91" s="144"/>
      <c r="GW91" s="144"/>
      <c r="GX91" s="144"/>
      <c r="GY91" s="144"/>
      <c r="GZ91" s="144"/>
      <c r="HA91" s="144"/>
      <c r="HB91" s="144"/>
      <c r="HC91" s="144"/>
      <c r="HD91" s="144"/>
      <c r="HE91" s="144"/>
      <c r="HF91" s="144"/>
      <c r="HG91" s="144"/>
      <c r="HH91" s="144"/>
      <c r="HI91" s="144"/>
      <c r="HJ91" s="144"/>
      <c r="HK91" s="144"/>
    </row>
    <row r="92" spans="1:219" s="158" customFormat="1" x14ac:dyDescent="0.2">
      <c r="A92" s="630"/>
      <c r="B92" s="638" t="s">
        <v>82</v>
      </c>
      <c r="C92" s="162"/>
      <c r="D92" s="443">
        <v>0</v>
      </c>
      <c r="E92" s="199">
        <f>IF(units=0,0,'Renovation Budget'!D92/units)</f>
        <v>0</v>
      </c>
      <c r="F92" s="640">
        <v>0</v>
      </c>
      <c r="G92" s="640">
        <v>0</v>
      </c>
      <c r="H92" s="641">
        <f t="shared" si="132"/>
        <v>0</v>
      </c>
      <c r="I92" s="642" t="s">
        <v>107</v>
      </c>
      <c r="J92" s="643" t="s">
        <v>42</v>
      </c>
      <c r="K92" s="644"/>
      <c r="L92" s="183">
        <f t="shared" si="139"/>
        <v>0</v>
      </c>
      <c r="M92" s="183">
        <f t="shared" si="139"/>
        <v>0</v>
      </c>
      <c r="N92" s="183">
        <f t="shared" si="139"/>
        <v>0</v>
      </c>
      <c r="O92" s="183">
        <f t="shared" si="139"/>
        <v>0</v>
      </c>
      <c r="P92" s="183">
        <f t="shared" si="139"/>
        <v>0</v>
      </c>
      <c r="Q92" s="183">
        <f t="shared" si="139"/>
        <v>0</v>
      </c>
      <c r="R92" s="183">
        <f t="shared" si="139"/>
        <v>0</v>
      </c>
      <c r="S92" s="183">
        <f t="shared" si="139"/>
        <v>0</v>
      </c>
      <c r="T92" s="183">
        <f t="shared" si="139"/>
        <v>0</v>
      </c>
      <c r="U92" s="183">
        <f t="shared" si="139"/>
        <v>0</v>
      </c>
      <c r="V92" s="183">
        <f t="shared" si="139"/>
        <v>0</v>
      </c>
      <c r="W92" s="644"/>
      <c r="X92" s="183">
        <f t="shared" si="134"/>
        <v>0</v>
      </c>
      <c r="Y92" s="183">
        <f t="shared" si="135"/>
        <v>0</v>
      </c>
      <c r="Z92" s="183">
        <f t="shared" si="154"/>
        <v>0</v>
      </c>
      <c r="AA92" s="183">
        <f t="shared" si="154"/>
        <v>0</v>
      </c>
      <c r="AB92" s="183">
        <f t="shared" si="154"/>
        <v>0</v>
      </c>
      <c r="AC92" s="183">
        <f t="shared" si="154"/>
        <v>0</v>
      </c>
      <c r="AD92" s="183">
        <f t="shared" si="154"/>
        <v>0</v>
      </c>
      <c r="AE92" s="183">
        <f t="shared" si="154"/>
        <v>0</v>
      </c>
      <c r="AF92" s="183">
        <f t="shared" si="154"/>
        <v>0</v>
      </c>
      <c r="AG92" s="183">
        <f t="shared" si="154"/>
        <v>0</v>
      </c>
      <c r="AH92" s="183">
        <f t="shared" si="154"/>
        <v>0</v>
      </c>
      <c r="AI92" s="183">
        <f t="shared" si="154"/>
        <v>0</v>
      </c>
      <c r="AJ92" s="183">
        <f t="shared" si="154"/>
        <v>0</v>
      </c>
      <c r="AK92" s="183">
        <f t="shared" si="154"/>
        <v>0</v>
      </c>
      <c r="AL92" s="183">
        <f t="shared" si="154"/>
        <v>0</v>
      </c>
      <c r="AM92" s="183">
        <f t="shared" si="154"/>
        <v>0</v>
      </c>
      <c r="AN92" s="183">
        <f t="shared" si="154"/>
        <v>0</v>
      </c>
      <c r="AO92" s="183">
        <f t="shared" si="154"/>
        <v>0</v>
      </c>
      <c r="AP92" s="183">
        <f t="shared" si="154"/>
        <v>0</v>
      </c>
      <c r="AQ92" s="183">
        <f t="shared" si="154"/>
        <v>0</v>
      </c>
      <c r="AR92" s="183">
        <f t="shared" si="154"/>
        <v>0</v>
      </c>
      <c r="AS92" s="183">
        <f t="shared" si="154"/>
        <v>0</v>
      </c>
      <c r="AT92" s="183">
        <f t="shared" si="154"/>
        <v>0</v>
      </c>
      <c r="AU92" s="183">
        <f t="shared" si="154"/>
        <v>0</v>
      </c>
      <c r="AV92" s="183">
        <f t="shared" si="154"/>
        <v>0</v>
      </c>
      <c r="AW92" s="183">
        <f t="shared" si="154"/>
        <v>0</v>
      </c>
      <c r="AX92" s="183">
        <f t="shared" si="154"/>
        <v>0</v>
      </c>
      <c r="AY92" s="183">
        <f t="shared" si="154"/>
        <v>0</v>
      </c>
      <c r="AZ92" s="183">
        <f t="shared" si="154"/>
        <v>0</v>
      </c>
      <c r="BA92" s="183">
        <f t="shared" si="154"/>
        <v>0</v>
      </c>
      <c r="BB92" s="183">
        <f t="shared" si="154"/>
        <v>0</v>
      </c>
      <c r="BC92" s="183">
        <f t="shared" si="154"/>
        <v>0</v>
      </c>
      <c r="BD92" s="183">
        <f t="shared" si="154"/>
        <v>0</v>
      </c>
      <c r="BE92" s="183">
        <f t="shared" si="154"/>
        <v>0</v>
      </c>
      <c r="BF92" s="183">
        <f t="shared" si="154"/>
        <v>0</v>
      </c>
      <c r="BG92" s="183">
        <f t="shared" si="154"/>
        <v>0</v>
      </c>
      <c r="BH92" s="183">
        <f t="shared" si="154"/>
        <v>0</v>
      </c>
      <c r="BI92" s="183">
        <f t="shared" si="154"/>
        <v>0</v>
      </c>
      <c r="BJ92" s="183">
        <f t="shared" si="154"/>
        <v>0</v>
      </c>
      <c r="BK92" s="183">
        <f t="shared" si="154"/>
        <v>0</v>
      </c>
      <c r="BL92" s="183">
        <f t="shared" si="154"/>
        <v>0</v>
      </c>
      <c r="BM92" s="183">
        <f t="shared" si="154"/>
        <v>0</v>
      </c>
      <c r="BN92" s="183">
        <f t="shared" si="154"/>
        <v>0</v>
      </c>
      <c r="BO92" s="183">
        <f t="shared" si="154"/>
        <v>0</v>
      </c>
      <c r="BP92" s="183">
        <f t="shared" si="154"/>
        <v>0</v>
      </c>
      <c r="BQ92" s="183">
        <f t="shared" si="154"/>
        <v>0</v>
      </c>
      <c r="BR92" s="183">
        <f t="shared" si="154"/>
        <v>0</v>
      </c>
      <c r="BS92" s="183">
        <f t="shared" si="154"/>
        <v>0</v>
      </c>
      <c r="BT92" s="183">
        <f t="shared" si="154"/>
        <v>0</v>
      </c>
      <c r="BU92" s="183">
        <f t="shared" si="154"/>
        <v>0</v>
      </c>
      <c r="BV92" s="183">
        <f t="shared" si="154"/>
        <v>0</v>
      </c>
      <c r="BW92" s="183">
        <f t="shared" si="154"/>
        <v>0</v>
      </c>
      <c r="BX92" s="183">
        <f t="shared" si="154"/>
        <v>0</v>
      </c>
      <c r="BY92" s="183">
        <f t="shared" si="154"/>
        <v>0</v>
      </c>
      <c r="BZ92" s="183">
        <f t="shared" si="154"/>
        <v>0</v>
      </c>
      <c r="CA92" s="183">
        <f t="shared" si="154"/>
        <v>0</v>
      </c>
      <c r="CB92" s="183">
        <f t="shared" si="154"/>
        <v>0</v>
      </c>
      <c r="CC92" s="183">
        <f t="shared" si="154"/>
        <v>0</v>
      </c>
      <c r="CD92" s="183">
        <f t="shared" si="154"/>
        <v>0</v>
      </c>
      <c r="CE92" s="183">
        <f t="shared" si="154"/>
        <v>0</v>
      </c>
      <c r="CF92" s="183">
        <f t="shared" si="154"/>
        <v>0</v>
      </c>
      <c r="CG92" s="183">
        <f t="shared" si="154"/>
        <v>0</v>
      </c>
      <c r="CH92" s="183">
        <f t="shared" si="154"/>
        <v>0</v>
      </c>
      <c r="CI92" s="183">
        <f t="shared" si="154"/>
        <v>0</v>
      </c>
      <c r="CJ92" s="183">
        <f t="shared" si="154"/>
        <v>0</v>
      </c>
      <c r="CK92" s="183">
        <f t="shared" si="154"/>
        <v>0</v>
      </c>
      <c r="CL92" s="183">
        <f t="shared" si="153"/>
        <v>0</v>
      </c>
      <c r="CM92" s="183">
        <f t="shared" si="153"/>
        <v>0</v>
      </c>
      <c r="CN92" s="183">
        <f t="shared" si="153"/>
        <v>0</v>
      </c>
      <c r="CO92" s="183">
        <f t="shared" si="153"/>
        <v>0</v>
      </c>
      <c r="CP92" s="183">
        <f t="shared" si="153"/>
        <v>0</v>
      </c>
      <c r="CQ92" s="183">
        <f t="shared" si="153"/>
        <v>0</v>
      </c>
      <c r="CR92" s="183">
        <f t="shared" si="153"/>
        <v>0</v>
      </c>
      <c r="CS92" s="183">
        <f t="shared" si="153"/>
        <v>0</v>
      </c>
      <c r="CT92" s="183">
        <f t="shared" si="153"/>
        <v>0</v>
      </c>
      <c r="CU92" s="183">
        <f t="shared" si="153"/>
        <v>0</v>
      </c>
      <c r="CV92" s="183">
        <f t="shared" si="153"/>
        <v>0</v>
      </c>
      <c r="CW92" s="183">
        <f t="shared" si="153"/>
        <v>0</v>
      </c>
      <c r="CX92" s="183">
        <f t="shared" si="153"/>
        <v>0</v>
      </c>
      <c r="CY92" s="183">
        <f t="shared" si="153"/>
        <v>0</v>
      </c>
      <c r="CZ92" s="183">
        <f t="shared" si="153"/>
        <v>0</v>
      </c>
      <c r="DA92" s="183">
        <f t="shared" si="153"/>
        <v>0</v>
      </c>
      <c r="DB92" s="183">
        <f t="shared" si="153"/>
        <v>0</v>
      </c>
      <c r="DC92" s="183">
        <f t="shared" si="153"/>
        <v>0</v>
      </c>
      <c r="DD92" s="183">
        <f t="shared" si="153"/>
        <v>0</v>
      </c>
      <c r="DE92" s="183">
        <f t="shared" si="153"/>
        <v>0</v>
      </c>
      <c r="DF92" s="183">
        <f t="shared" si="153"/>
        <v>0</v>
      </c>
      <c r="DG92" s="183">
        <f t="shared" si="153"/>
        <v>0</v>
      </c>
      <c r="DH92" s="183">
        <f t="shared" si="153"/>
        <v>0</v>
      </c>
      <c r="DI92" s="183">
        <f t="shared" si="153"/>
        <v>0</v>
      </c>
      <c r="DJ92" s="183">
        <f t="shared" si="153"/>
        <v>0</v>
      </c>
      <c r="DK92" s="183">
        <f t="shared" si="153"/>
        <v>0</v>
      </c>
      <c r="DL92" s="183">
        <f t="shared" si="153"/>
        <v>0</v>
      </c>
      <c r="DM92" s="183">
        <f t="shared" si="153"/>
        <v>0</v>
      </c>
      <c r="DN92" s="183">
        <f t="shared" si="153"/>
        <v>0</v>
      </c>
      <c r="DO92" s="183">
        <f t="shared" si="153"/>
        <v>0</v>
      </c>
      <c r="DP92" s="183">
        <f t="shared" si="153"/>
        <v>0</v>
      </c>
      <c r="DQ92" s="183">
        <f t="shared" si="153"/>
        <v>0</v>
      </c>
      <c r="DR92" s="183">
        <f t="shared" si="153"/>
        <v>0</v>
      </c>
      <c r="DS92" s="183">
        <f t="shared" si="153"/>
        <v>0</v>
      </c>
      <c r="DT92" s="183">
        <f t="shared" si="153"/>
        <v>0</v>
      </c>
      <c r="DU92" s="183">
        <f t="shared" si="153"/>
        <v>0</v>
      </c>
      <c r="DV92" s="183">
        <f t="shared" si="153"/>
        <v>0</v>
      </c>
      <c r="DW92" s="183">
        <f t="shared" si="153"/>
        <v>0</v>
      </c>
      <c r="DX92" s="183">
        <f t="shared" si="153"/>
        <v>0</v>
      </c>
      <c r="DY92" s="183">
        <f t="shared" si="153"/>
        <v>0</v>
      </c>
      <c r="DZ92" s="183">
        <f t="shared" si="153"/>
        <v>0</v>
      </c>
      <c r="EA92" s="183">
        <f t="shared" si="153"/>
        <v>0</v>
      </c>
      <c r="EB92" s="183">
        <f t="shared" si="153"/>
        <v>0</v>
      </c>
      <c r="EC92" s="183">
        <f t="shared" si="153"/>
        <v>0</v>
      </c>
      <c r="ED92" s="183">
        <f t="shared" si="153"/>
        <v>0</v>
      </c>
      <c r="EE92" s="183">
        <f t="shared" si="153"/>
        <v>0</v>
      </c>
      <c r="EF92" s="183">
        <f t="shared" si="153"/>
        <v>0</v>
      </c>
      <c r="EG92" s="183">
        <f t="shared" si="153"/>
        <v>0</v>
      </c>
      <c r="EH92" s="183">
        <f t="shared" si="153"/>
        <v>0</v>
      </c>
      <c r="EI92" s="183">
        <f t="shared" si="153"/>
        <v>0</v>
      </c>
      <c r="EJ92" s="183">
        <f t="shared" si="153"/>
        <v>0</v>
      </c>
      <c r="EK92" s="183">
        <f t="shared" si="153"/>
        <v>0</v>
      </c>
      <c r="EL92" s="183">
        <f t="shared" si="153"/>
        <v>0</v>
      </c>
      <c r="EM92" s="183">
        <f t="shared" si="153"/>
        <v>0</v>
      </c>
      <c r="EN92" s="183">
        <f t="shared" si="153"/>
        <v>0</v>
      </c>
      <c r="EO92" s="183">
        <f t="shared" si="153"/>
        <v>0</v>
      </c>
      <c r="EP92" s="183">
        <f t="shared" si="153"/>
        <v>0</v>
      </c>
      <c r="EQ92" s="183">
        <f t="shared" si="153"/>
        <v>0</v>
      </c>
      <c r="ER92" s="183">
        <f t="shared" si="153"/>
        <v>0</v>
      </c>
      <c r="ES92" s="183">
        <f t="shared" si="153"/>
        <v>0</v>
      </c>
      <c r="ET92" s="183">
        <f t="shared" si="153"/>
        <v>0</v>
      </c>
      <c r="EU92" s="183">
        <f t="shared" si="153"/>
        <v>0</v>
      </c>
      <c r="EV92" s="183">
        <f t="shared" si="153"/>
        <v>0</v>
      </c>
      <c r="EW92" s="183">
        <f t="shared" si="148"/>
        <v>0</v>
      </c>
      <c r="EX92" s="183">
        <f t="shared" si="148"/>
        <v>0</v>
      </c>
      <c r="EY92" s="183">
        <f t="shared" si="148"/>
        <v>0</v>
      </c>
      <c r="EZ92" s="183">
        <f t="shared" si="148"/>
        <v>0</v>
      </c>
      <c r="FA92" s="144"/>
      <c r="FB92" s="609" t="s">
        <v>243</v>
      </c>
      <c r="FC92" s="144"/>
      <c r="FD92" s="144"/>
      <c r="FE92" s="144"/>
      <c r="FF92" s="144"/>
      <c r="FG92" s="144"/>
      <c r="FH92" s="144"/>
      <c r="FI92" s="144"/>
      <c r="FJ92" s="144"/>
      <c r="FK92" s="144"/>
      <c r="FL92" s="144"/>
      <c r="FM92" s="144"/>
      <c r="FN92" s="144"/>
      <c r="FO92" s="144"/>
      <c r="FP92" s="144"/>
      <c r="FQ92" s="144"/>
      <c r="FR92" s="144"/>
      <c r="FS92" s="144"/>
      <c r="FT92" s="144"/>
      <c r="FU92" s="144"/>
      <c r="FV92" s="144"/>
      <c r="FW92" s="144"/>
      <c r="FX92" s="144"/>
      <c r="FY92" s="144"/>
      <c r="FZ92" s="144"/>
      <c r="GA92" s="144"/>
      <c r="GB92" s="144"/>
      <c r="GC92" s="144"/>
      <c r="GD92" s="144"/>
      <c r="GE92" s="144"/>
      <c r="GF92" s="144"/>
      <c r="GG92" s="144"/>
      <c r="GH92" s="144"/>
      <c r="GI92" s="144"/>
      <c r="GJ92" s="144"/>
      <c r="GK92" s="144"/>
      <c r="GL92" s="144"/>
      <c r="GM92" s="144"/>
      <c r="GN92" s="144"/>
      <c r="GO92" s="144"/>
      <c r="GP92" s="144"/>
      <c r="GQ92" s="144"/>
      <c r="GR92" s="144"/>
      <c r="GS92" s="144"/>
      <c r="GT92" s="144"/>
      <c r="GU92" s="144"/>
      <c r="GV92" s="144"/>
      <c r="GW92" s="144"/>
      <c r="GX92" s="144"/>
      <c r="GY92" s="144"/>
      <c r="GZ92" s="144"/>
      <c r="HA92" s="144"/>
      <c r="HB92" s="144"/>
      <c r="HC92" s="144"/>
      <c r="HD92" s="144"/>
      <c r="HE92" s="144"/>
      <c r="HF92" s="144"/>
      <c r="HG92" s="144"/>
      <c r="HH92" s="144"/>
      <c r="HI92" s="144"/>
      <c r="HJ92" s="144"/>
      <c r="HK92" s="144"/>
    </row>
    <row r="93" spans="1:219" s="629" customFormat="1" x14ac:dyDescent="0.2">
      <c r="A93" s="630"/>
      <c r="B93" s="218" t="s">
        <v>699</v>
      </c>
      <c r="C93" s="218"/>
      <c r="D93" s="656">
        <f>SUBTOTAL(9,D65:D92)</f>
        <v>0</v>
      </c>
      <c r="E93" s="239">
        <f>IF(units=0,0,'Renovation Budget'!D93/units)</f>
        <v>0</v>
      </c>
      <c r="F93" s="296">
        <f>MIN(F65:F92)</f>
        <v>0</v>
      </c>
      <c r="G93" s="296">
        <f>MAX(G65:G92)</f>
        <v>0</v>
      </c>
      <c r="H93" s="647">
        <f t="shared" si="132"/>
        <v>0</v>
      </c>
      <c r="I93" s="645"/>
      <c r="J93" s="648"/>
      <c r="K93" s="627"/>
      <c r="L93" s="656">
        <f t="shared" ref="L93:V93" si="155">SUBTOTAL(9,L65:L92)</f>
        <v>0</v>
      </c>
      <c r="M93" s="656">
        <f t="shared" si="155"/>
        <v>0</v>
      </c>
      <c r="N93" s="656">
        <f t="shared" si="155"/>
        <v>0</v>
      </c>
      <c r="O93" s="656">
        <f t="shared" si="155"/>
        <v>0</v>
      </c>
      <c r="P93" s="656">
        <f t="shared" si="155"/>
        <v>0</v>
      </c>
      <c r="Q93" s="656">
        <f t="shared" si="155"/>
        <v>0</v>
      </c>
      <c r="R93" s="656">
        <f t="shared" si="155"/>
        <v>0</v>
      </c>
      <c r="S93" s="656">
        <f t="shared" si="155"/>
        <v>0</v>
      </c>
      <c r="T93" s="656">
        <f t="shared" si="155"/>
        <v>0</v>
      </c>
      <c r="U93" s="656">
        <f t="shared" si="155"/>
        <v>0</v>
      </c>
      <c r="V93" s="656">
        <f t="shared" si="155"/>
        <v>0</v>
      </c>
      <c r="W93" s="627"/>
      <c r="X93" s="239">
        <f>SUBTOTAL(9,X65:X92)</f>
        <v>0</v>
      </c>
      <c r="Y93" s="239">
        <f t="shared" ref="Y93:CJ93" si="156">SUBTOTAL(9,Y65:Y92)</f>
        <v>0</v>
      </c>
      <c r="Z93" s="239">
        <f t="shared" si="156"/>
        <v>0</v>
      </c>
      <c r="AA93" s="239">
        <f t="shared" si="156"/>
        <v>0</v>
      </c>
      <c r="AB93" s="239">
        <f t="shared" si="156"/>
        <v>0</v>
      </c>
      <c r="AC93" s="239">
        <f t="shared" si="156"/>
        <v>0</v>
      </c>
      <c r="AD93" s="239">
        <f t="shared" si="156"/>
        <v>0</v>
      </c>
      <c r="AE93" s="239">
        <f t="shared" si="156"/>
        <v>0</v>
      </c>
      <c r="AF93" s="239">
        <f t="shared" si="156"/>
        <v>0</v>
      </c>
      <c r="AG93" s="239">
        <f t="shared" si="156"/>
        <v>0</v>
      </c>
      <c r="AH93" s="239">
        <f t="shared" si="156"/>
        <v>0</v>
      </c>
      <c r="AI93" s="239">
        <f t="shared" si="156"/>
        <v>0</v>
      </c>
      <c r="AJ93" s="239">
        <f t="shared" si="156"/>
        <v>0</v>
      </c>
      <c r="AK93" s="239">
        <f t="shared" si="156"/>
        <v>0</v>
      </c>
      <c r="AL93" s="239">
        <f t="shared" si="156"/>
        <v>0</v>
      </c>
      <c r="AM93" s="239">
        <f t="shared" si="156"/>
        <v>0</v>
      </c>
      <c r="AN93" s="239">
        <f t="shared" si="156"/>
        <v>0</v>
      </c>
      <c r="AO93" s="239">
        <f t="shared" si="156"/>
        <v>0</v>
      </c>
      <c r="AP93" s="239">
        <f t="shared" si="156"/>
        <v>0</v>
      </c>
      <c r="AQ93" s="239">
        <f t="shared" si="156"/>
        <v>0</v>
      </c>
      <c r="AR93" s="239">
        <f t="shared" si="156"/>
        <v>0</v>
      </c>
      <c r="AS93" s="239">
        <f t="shared" si="156"/>
        <v>0</v>
      </c>
      <c r="AT93" s="239">
        <f t="shared" si="156"/>
        <v>0</v>
      </c>
      <c r="AU93" s="239">
        <f t="shared" si="156"/>
        <v>0</v>
      </c>
      <c r="AV93" s="239">
        <f t="shared" si="156"/>
        <v>0</v>
      </c>
      <c r="AW93" s="239">
        <f t="shared" si="156"/>
        <v>0</v>
      </c>
      <c r="AX93" s="239">
        <f t="shared" si="156"/>
        <v>0</v>
      </c>
      <c r="AY93" s="239">
        <f t="shared" si="156"/>
        <v>0</v>
      </c>
      <c r="AZ93" s="239">
        <f t="shared" si="156"/>
        <v>0</v>
      </c>
      <c r="BA93" s="239">
        <f t="shared" si="156"/>
        <v>0</v>
      </c>
      <c r="BB93" s="239">
        <f t="shared" si="156"/>
        <v>0</v>
      </c>
      <c r="BC93" s="239">
        <f t="shared" si="156"/>
        <v>0</v>
      </c>
      <c r="BD93" s="239">
        <f t="shared" si="156"/>
        <v>0</v>
      </c>
      <c r="BE93" s="239">
        <f t="shared" si="156"/>
        <v>0</v>
      </c>
      <c r="BF93" s="239">
        <f t="shared" si="156"/>
        <v>0</v>
      </c>
      <c r="BG93" s="239">
        <f t="shared" si="156"/>
        <v>0</v>
      </c>
      <c r="BH93" s="239">
        <f t="shared" si="156"/>
        <v>0</v>
      </c>
      <c r="BI93" s="239">
        <f t="shared" si="156"/>
        <v>0</v>
      </c>
      <c r="BJ93" s="239">
        <f t="shared" si="156"/>
        <v>0</v>
      </c>
      <c r="BK93" s="239">
        <f t="shared" si="156"/>
        <v>0</v>
      </c>
      <c r="BL93" s="239">
        <f t="shared" si="156"/>
        <v>0</v>
      </c>
      <c r="BM93" s="239">
        <f t="shared" si="156"/>
        <v>0</v>
      </c>
      <c r="BN93" s="239">
        <f t="shared" si="156"/>
        <v>0</v>
      </c>
      <c r="BO93" s="239">
        <f t="shared" si="156"/>
        <v>0</v>
      </c>
      <c r="BP93" s="239">
        <f t="shared" si="156"/>
        <v>0</v>
      </c>
      <c r="BQ93" s="239">
        <f t="shared" si="156"/>
        <v>0</v>
      </c>
      <c r="BR93" s="239">
        <f t="shared" si="156"/>
        <v>0</v>
      </c>
      <c r="BS93" s="239">
        <f t="shared" si="156"/>
        <v>0</v>
      </c>
      <c r="BT93" s="239">
        <f t="shared" si="156"/>
        <v>0</v>
      </c>
      <c r="BU93" s="239">
        <f t="shared" si="156"/>
        <v>0</v>
      </c>
      <c r="BV93" s="239">
        <f t="shared" si="156"/>
        <v>0</v>
      </c>
      <c r="BW93" s="239">
        <f t="shared" si="156"/>
        <v>0</v>
      </c>
      <c r="BX93" s="239">
        <f t="shared" si="156"/>
        <v>0</v>
      </c>
      <c r="BY93" s="239">
        <f t="shared" si="156"/>
        <v>0</v>
      </c>
      <c r="BZ93" s="239">
        <f t="shared" si="156"/>
        <v>0</v>
      </c>
      <c r="CA93" s="239">
        <f t="shared" si="156"/>
        <v>0</v>
      </c>
      <c r="CB93" s="239">
        <f t="shared" si="156"/>
        <v>0</v>
      </c>
      <c r="CC93" s="239">
        <f t="shared" si="156"/>
        <v>0</v>
      </c>
      <c r="CD93" s="239">
        <f t="shared" si="156"/>
        <v>0</v>
      </c>
      <c r="CE93" s="239">
        <f t="shared" si="156"/>
        <v>0</v>
      </c>
      <c r="CF93" s="239">
        <f t="shared" si="156"/>
        <v>0</v>
      </c>
      <c r="CG93" s="239">
        <f t="shared" si="156"/>
        <v>0</v>
      </c>
      <c r="CH93" s="239">
        <f t="shared" si="156"/>
        <v>0</v>
      </c>
      <c r="CI93" s="239">
        <f t="shared" si="156"/>
        <v>0</v>
      </c>
      <c r="CJ93" s="239">
        <f t="shared" si="156"/>
        <v>0</v>
      </c>
      <c r="CK93" s="239">
        <f t="shared" ref="CK93:EV93" si="157">SUBTOTAL(9,CK65:CK92)</f>
        <v>0</v>
      </c>
      <c r="CL93" s="239">
        <f t="shared" si="157"/>
        <v>0</v>
      </c>
      <c r="CM93" s="239">
        <f t="shared" si="157"/>
        <v>0</v>
      </c>
      <c r="CN93" s="239">
        <f t="shared" si="157"/>
        <v>0</v>
      </c>
      <c r="CO93" s="239">
        <f t="shared" si="157"/>
        <v>0</v>
      </c>
      <c r="CP93" s="239">
        <f t="shared" si="157"/>
        <v>0</v>
      </c>
      <c r="CQ93" s="239">
        <f t="shared" si="157"/>
        <v>0</v>
      </c>
      <c r="CR93" s="239">
        <f t="shared" si="157"/>
        <v>0</v>
      </c>
      <c r="CS93" s="239">
        <f t="shared" si="157"/>
        <v>0</v>
      </c>
      <c r="CT93" s="239">
        <f t="shared" si="157"/>
        <v>0</v>
      </c>
      <c r="CU93" s="239">
        <f t="shared" si="157"/>
        <v>0</v>
      </c>
      <c r="CV93" s="239">
        <f t="shared" si="157"/>
        <v>0</v>
      </c>
      <c r="CW93" s="239">
        <f t="shared" si="157"/>
        <v>0</v>
      </c>
      <c r="CX93" s="239">
        <f t="shared" si="157"/>
        <v>0</v>
      </c>
      <c r="CY93" s="239">
        <f t="shared" si="157"/>
        <v>0</v>
      </c>
      <c r="CZ93" s="239">
        <f t="shared" si="157"/>
        <v>0</v>
      </c>
      <c r="DA93" s="239">
        <f t="shared" si="157"/>
        <v>0</v>
      </c>
      <c r="DB93" s="239">
        <f t="shared" si="157"/>
        <v>0</v>
      </c>
      <c r="DC93" s="239">
        <f t="shared" si="157"/>
        <v>0</v>
      </c>
      <c r="DD93" s="239">
        <f t="shared" si="157"/>
        <v>0</v>
      </c>
      <c r="DE93" s="239">
        <f t="shared" si="157"/>
        <v>0</v>
      </c>
      <c r="DF93" s="239">
        <f t="shared" si="157"/>
        <v>0</v>
      </c>
      <c r="DG93" s="239">
        <f t="shared" si="157"/>
        <v>0</v>
      </c>
      <c r="DH93" s="239">
        <f t="shared" si="157"/>
        <v>0</v>
      </c>
      <c r="DI93" s="239">
        <f t="shared" si="157"/>
        <v>0</v>
      </c>
      <c r="DJ93" s="239">
        <f t="shared" si="157"/>
        <v>0</v>
      </c>
      <c r="DK93" s="239">
        <f t="shared" si="157"/>
        <v>0</v>
      </c>
      <c r="DL93" s="239">
        <f t="shared" si="157"/>
        <v>0</v>
      </c>
      <c r="DM93" s="239">
        <f t="shared" si="157"/>
        <v>0</v>
      </c>
      <c r="DN93" s="239">
        <f t="shared" si="157"/>
        <v>0</v>
      </c>
      <c r="DO93" s="239">
        <f t="shared" si="157"/>
        <v>0</v>
      </c>
      <c r="DP93" s="239">
        <f t="shared" si="157"/>
        <v>0</v>
      </c>
      <c r="DQ93" s="239">
        <f t="shared" si="157"/>
        <v>0</v>
      </c>
      <c r="DR93" s="239">
        <f t="shared" si="157"/>
        <v>0</v>
      </c>
      <c r="DS93" s="239">
        <f t="shared" si="157"/>
        <v>0</v>
      </c>
      <c r="DT93" s="239">
        <f t="shared" si="157"/>
        <v>0</v>
      </c>
      <c r="DU93" s="239">
        <f t="shared" si="157"/>
        <v>0</v>
      </c>
      <c r="DV93" s="239">
        <f t="shared" si="157"/>
        <v>0</v>
      </c>
      <c r="DW93" s="239">
        <f t="shared" si="157"/>
        <v>0</v>
      </c>
      <c r="DX93" s="239">
        <f t="shared" si="157"/>
        <v>0</v>
      </c>
      <c r="DY93" s="239">
        <f t="shared" si="157"/>
        <v>0</v>
      </c>
      <c r="DZ93" s="239">
        <f t="shared" si="157"/>
        <v>0</v>
      </c>
      <c r="EA93" s="239">
        <f t="shared" si="157"/>
        <v>0</v>
      </c>
      <c r="EB93" s="239">
        <f t="shared" si="157"/>
        <v>0</v>
      </c>
      <c r="EC93" s="239">
        <f t="shared" si="157"/>
        <v>0</v>
      </c>
      <c r="ED93" s="239">
        <f t="shared" si="157"/>
        <v>0</v>
      </c>
      <c r="EE93" s="239">
        <f t="shared" si="157"/>
        <v>0</v>
      </c>
      <c r="EF93" s="239">
        <f t="shared" si="157"/>
        <v>0</v>
      </c>
      <c r="EG93" s="239">
        <f t="shared" si="157"/>
        <v>0</v>
      </c>
      <c r="EH93" s="239">
        <f t="shared" si="157"/>
        <v>0</v>
      </c>
      <c r="EI93" s="239">
        <f t="shared" si="157"/>
        <v>0</v>
      </c>
      <c r="EJ93" s="239">
        <f t="shared" si="157"/>
        <v>0</v>
      </c>
      <c r="EK93" s="239">
        <f t="shared" si="157"/>
        <v>0</v>
      </c>
      <c r="EL93" s="239">
        <f t="shared" si="157"/>
        <v>0</v>
      </c>
      <c r="EM93" s="239">
        <f t="shared" si="157"/>
        <v>0</v>
      </c>
      <c r="EN93" s="239">
        <f t="shared" si="157"/>
        <v>0</v>
      </c>
      <c r="EO93" s="239">
        <f t="shared" si="157"/>
        <v>0</v>
      </c>
      <c r="EP93" s="239">
        <f t="shared" si="157"/>
        <v>0</v>
      </c>
      <c r="EQ93" s="239">
        <f t="shared" si="157"/>
        <v>0</v>
      </c>
      <c r="ER93" s="239">
        <f t="shared" si="157"/>
        <v>0</v>
      </c>
      <c r="ES93" s="239">
        <f t="shared" si="157"/>
        <v>0</v>
      </c>
      <c r="ET93" s="239">
        <f t="shared" si="157"/>
        <v>0</v>
      </c>
      <c r="EU93" s="239">
        <f t="shared" si="157"/>
        <v>0</v>
      </c>
      <c r="EV93" s="239">
        <f t="shared" si="157"/>
        <v>0</v>
      </c>
      <c r="EW93" s="239">
        <f t="shared" ref="EW93:EZ93" si="158">SUBTOTAL(9,EW65:EW92)</f>
        <v>0</v>
      </c>
      <c r="EX93" s="239">
        <f t="shared" si="158"/>
        <v>0</v>
      </c>
      <c r="EY93" s="239">
        <f t="shared" si="158"/>
        <v>0</v>
      </c>
      <c r="EZ93" s="239">
        <f t="shared" si="158"/>
        <v>0</v>
      </c>
      <c r="FB93" s="609" t="s">
        <v>243</v>
      </c>
    </row>
    <row r="94" spans="1:219" s="629" customFormat="1" x14ac:dyDescent="0.2">
      <c r="A94" s="177"/>
      <c r="B94" s="649"/>
      <c r="C94" s="649"/>
      <c r="D94" s="650"/>
      <c r="E94" s="651"/>
      <c r="F94" s="652"/>
      <c r="G94" s="652"/>
      <c r="H94" s="653"/>
      <c r="I94" s="650"/>
      <c r="J94" s="654"/>
      <c r="K94" s="627"/>
      <c r="L94" s="655">
        <f t="shared" si="139"/>
        <v>0</v>
      </c>
      <c r="M94" s="655">
        <f t="shared" si="139"/>
        <v>0</v>
      </c>
      <c r="N94" s="655">
        <f t="shared" si="139"/>
        <v>0</v>
      </c>
      <c r="O94" s="655">
        <f t="shared" si="139"/>
        <v>0</v>
      </c>
      <c r="P94" s="655">
        <f t="shared" si="139"/>
        <v>0</v>
      </c>
      <c r="Q94" s="655">
        <f t="shared" si="139"/>
        <v>0</v>
      </c>
      <c r="R94" s="655">
        <f t="shared" si="139"/>
        <v>0</v>
      </c>
      <c r="S94" s="655">
        <f t="shared" si="139"/>
        <v>0</v>
      </c>
      <c r="T94" s="655">
        <f t="shared" si="139"/>
        <v>0</v>
      </c>
      <c r="U94" s="655">
        <f t="shared" si="139"/>
        <v>0</v>
      </c>
      <c r="V94" s="655">
        <f t="shared" si="139"/>
        <v>0</v>
      </c>
      <c r="W94" s="627"/>
      <c r="X94" s="655"/>
      <c r="Y94" s="655"/>
      <c r="Z94" s="655"/>
      <c r="AA94" s="655"/>
      <c r="AB94" s="655"/>
      <c r="AC94" s="655"/>
      <c r="AD94" s="655"/>
      <c r="AE94" s="655"/>
      <c r="AF94" s="655"/>
      <c r="AG94" s="655"/>
      <c r="AH94" s="655"/>
      <c r="AI94" s="655"/>
      <c r="AJ94" s="655"/>
      <c r="AK94" s="655"/>
      <c r="AL94" s="655"/>
      <c r="AM94" s="655"/>
      <c r="AN94" s="655"/>
      <c r="AO94" s="655"/>
      <c r="AP94" s="655"/>
      <c r="AQ94" s="655"/>
      <c r="AR94" s="655"/>
      <c r="AS94" s="655"/>
      <c r="AT94" s="655"/>
      <c r="AU94" s="655"/>
      <c r="AV94" s="655"/>
      <c r="AW94" s="655"/>
      <c r="AX94" s="655"/>
      <c r="AY94" s="655"/>
      <c r="AZ94" s="655"/>
      <c r="BA94" s="655"/>
      <c r="BB94" s="655"/>
      <c r="BC94" s="655"/>
      <c r="BD94" s="655"/>
      <c r="BE94" s="655"/>
      <c r="BF94" s="655"/>
      <c r="BG94" s="655"/>
      <c r="BH94" s="655"/>
      <c r="BI94" s="655"/>
      <c r="BJ94" s="655"/>
      <c r="BK94" s="655"/>
      <c r="BL94" s="655"/>
      <c r="BM94" s="655"/>
      <c r="BN94" s="655"/>
      <c r="BO94" s="655"/>
      <c r="BP94" s="655"/>
      <c r="BQ94" s="655"/>
      <c r="BR94" s="655"/>
      <c r="BS94" s="655"/>
      <c r="BT94" s="655"/>
      <c r="BU94" s="655"/>
      <c r="BV94" s="655"/>
      <c r="BW94" s="655"/>
      <c r="BX94" s="655"/>
      <c r="BY94" s="655"/>
      <c r="BZ94" s="655"/>
      <c r="CA94" s="655"/>
      <c r="CB94" s="655"/>
      <c r="CC94" s="655"/>
      <c r="CD94" s="655"/>
      <c r="CE94" s="655"/>
      <c r="CF94" s="655"/>
      <c r="CG94" s="655"/>
      <c r="CH94" s="655"/>
      <c r="CI94" s="655"/>
      <c r="CJ94" s="655"/>
      <c r="CK94" s="655"/>
      <c r="CL94" s="655"/>
      <c r="CM94" s="655"/>
      <c r="CN94" s="655"/>
      <c r="CO94" s="655"/>
      <c r="CP94" s="655"/>
      <c r="CQ94" s="655"/>
      <c r="CR94" s="655"/>
      <c r="CS94" s="655"/>
      <c r="CT94" s="655"/>
      <c r="CU94" s="655"/>
      <c r="CV94" s="655"/>
      <c r="CW94" s="655"/>
      <c r="CX94" s="655"/>
      <c r="CY94" s="655"/>
      <c r="CZ94" s="655"/>
      <c r="DA94" s="655"/>
      <c r="DB94" s="655"/>
      <c r="DC94" s="655"/>
      <c r="DD94" s="655"/>
      <c r="DE94" s="655"/>
      <c r="DF94" s="655"/>
      <c r="DG94" s="655"/>
      <c r="DH94" s="655"/>
      <c r="DI94" s="655"/>
      <c r="DJ94" s="655"/>
      <c r="DK94" s="655"/>
      <c r="DL94" s="655"/>
      <c r="DM94" s="655"/>
      <c r="DN94" s="655"/>
      <c r="DO94" s="655"/>
      <c r="DP94" s="655"/>
      <c r="DQ94" s="655"/>
      <c r="DR94" s="655"/>
      <c r="DS94" s="655"/>
      <c r="DT94" s="655"/>
      <c r="DU94" s="655"/>
      <c r="DV94" s="655"/>
      <c r="DW94" s="655"/>
      <c r="DX94" s="655"/>
      <c r="DY94" s="655"/>
      <c r="DZ94" s="655"/>
      <c r="EA94" s="655"/>
      <c r="EB94" s="655"/>
      <c r="EC94" s="655"/>
      <c r="ED94" s="655"/>
      <c r="EE94" s="655"/>
      <c r="EF94" s="655"/>
      <c r="EG94" s="655"/>
      <c r="EH94" s="655"/>
      <c r="EI94" s="655"/>
      <c r="EJ94" s="655"/>
      <c r="EK94" s="655"/>
      <c r="EL94" s="655"/>
      <c r="EM94" s="655"/>
      <c r="EN94" s="655"/>
      <c r="EO94" s="655"/>
      <c r="EP94" s="655"/>
      <c r="EQ94" s="655"/>
      <c r="ER94" s="655"/>
      <c r="ES94" s="655"/>
      <c r="ET94" s="655"/>
      <c r="EU94" s="655"/>
      <c r="EV94" s="655"/>
      <c r="EW94" s="655"/>
      <c r="EX94" s="655"/>
      <c r="EY94" s="655"/>
      <c r="EZ94" s="655"/>
      <c r="FB94" s="609" t="s">
        <v>243</v>
      </c>
    </row>
    <row r="95" spans="1:219" s="629" customFormat="1" x14ac:dyDescent="0.2">
      <c r="A95" s="630"/>
      <c r="B95" s="618" t="s">
        <v>856</v>
      </c>
      <c r="C95" s="618"/>
      <c r="D95" s="657">
        <f>SUBTOTAL(9,D8:D93)</f>
        <v>1300000</v>
      </c>
      <c r="E95" s="658">
        <f>IF(units=0,0,'Renovation Budget'!D95/units)</f>
        <v>5327.8688524590161</v>
      </c>
      <c r="F95" s="659">
        <f>MIN(F62,F39,F22,F93)</f>
        <v>0</v>
      </c>
      <c r="G95" s="659">
        <f>MAX(G62,G39,G22,G93)</f>
        <v>33</v>
      </c>
      <c r="H95" s="660">
        <f>G95-MAX(F95,1)+1</f>
        <v>33</v>
      </c>
      <c r="I95" s="657"/>
      <c r="J95" s="661"/>
      <c r="K95" s="627"/>
      <c r="L95" s="657">
        <f t="shared" ref="L95:V95" si="159">SUBTOTAL(9,L42:L93)+SUBTOTAL(9,L8:L39)</f>
        <v>0</v>
      </c>
      <c r="M95" s="657">
        <f t="shared" si="159"/>
        <v>510256.41025634058</v>
      </c>
      <c r="N95" s="657">
        <f t="shared" si="159"/>
        <v>502051.28205128206</v>
      </c>
      <c r="O95" s="657">
        <f t="shared" si="159"/>
        <v>287692.30769230763</v>
      </c>
      <c r="P95" s="657">
        <f t="shared" si="159"/>
        <v>0</v>
      </c>
      <c r="Q95" s="657">
        <f t="shared" si="159"/>
        <v>0</v>
      </c>
      <c r="R95" s="657">
        <f t="shared" si="159"/>
        <v>0</v>
      </c>
      <c r="S95" s="657">
        <f t="shared" si="159"/>
        <v>0</v>
      </c>
      <c r="T95" s="657">
        <f t="shared" si="159"/>
        <v>0</v>
      </c>
      <c r="U95" s="657">
        <f t="shared" si="159"/>
        <v>0</v>
      </c>
      <c r="V95" s="657">
        <f t="shared" si="159"/>
        <v>0</v>
      </c>
      <c r="W95" s="627"/>
      <c r="X95" s="657">
        <f>SUBTOTAL(9,X42:X93)+SUBTOTAL(9,X8:X39)</f>
        <v>0</v>
      </c>
      <c r="Y95" s="657">
        <f t="shared" ref="Y95:CJ95" si="160">SUBTOTAL(9,Y42:Y93)+SUBTOTAL(9,Y8:Y39)</f>
        <v>0</v>
      </c>
      <c r="Z95" s="657">
        <f t="shared" si="160"/>
        <v>78205.127955073374</v>
      </c>
      <c r="AA95" s="657">
        <f t="shared" si="160"/>
        <v>78205.128455183032</v>
      </c>
      <c r="AB95" s="657">
        <f t="shared" si="160"/>
        <v>78205.128455113459</v>
      </c>
      <c r="AC95" s="657">
        <f t="shared" si="160"/>
        <v>78205.127955073374</v>
      </c>
      <c r="AD95" s="657">
        <f t="shared" si="160"/>
        <v>28205.128205128203</v>
      </c>
      <c r="AE95" s="657">
        <f t="shared" si="160"/>
        <v>28205.128205128203</v>
      </c>
      <c r="AF95" s="657">
        <f t="shared" si="160"/>
        <v>28205.128205128203</v>
      </c>
      <c r="AG95" s="657">
        <f t="shared" si="160"/>
        <v>28205.128205128203</v>
      </c>
      <c r="AH95" s="657">
        <f t="shared" si="160"/>
        <v>28205.128205128203</v>
      </c>
      <c r="AI95" s="657">
        <f t="shared" si="160"/>
        <v>28205.128205128203</v>
      </c>
      <c r="AJ95" s="657">
        <f t="shared" si="160"/>
        <v>28205.128205128203</v>
      </c>
      <c r="AK95" s="657">
        <f t="shared" si="160"/>
        <v>28205.128205128203</v>
      </c>
      <c r="AL95" s="657">
        <f t="shared" si="160"/>
        <v>45128.205128205125</v>
      </c>
      <c r="AM95" s="657">
        <f t="shared" si="160"/>
        <v>45128.205128205125</v>
      </c>
      <c r="AN95" s="657">
        <f t="shared" si="160"/>
        <v>45128.205128205125</v>
      </c>
      <c r="AO95" s="657">
        <f t="shared" si="160"/>
        <v>45128.205128205125</v>
      </c>
      <c r="AP95" s="657">
        <f t="shared" si="160"/>
        <v>45128.205128205125</v>
      </c>
      <c r="AQ95" s="657">
        <f t="shared" si="160"/>
        <v>45128.205128205125</v>
      </c>
      <c r="AR95" s="657">
        <f t="shared" si="160"/>
        <v>45128.205128205125</v>
      </c>
      <c r="AS95" s="657">
        <f t="shared" si="160"/>
        <v>39487.179487179485</v>
      </c>
      <c r="AT95" s="657">
        <f t="shared" si="160"/>
        <v>39487.179487179485</v>
      </c>
      <c r="AU95" s="657">
        <f t="shared" si="160"/>
        <v>39487.179487179485</v>
      </c>
      <c r="AV95" s="657">
        <f t="shared" si="160"/>
        <v>39487.179487179485</v>
      </c>
      <c r="AW95" s="657">
        <f t="shared" si="160"/>
        <v>39487.179487179485</v>
      </c>
      <c r="AX95" s="657">
        <f t="shared" si="160"/>
        <v>39487.179487179485</v>
      </c>
      <c r="AY95" s="657">
        <f t="shared" si="160"/>
        <v>39487.179487179485</v>
      </c>
      <c r="AZ95" s="657">
        <f t="shared" si="160"/>
        <v>28205.128205128203</v>
      </c>
      <c r="BA95" s="657">
        <f t="shared" si="160"/>
        <v>28205.128205128203</v>
      </c>
      <c r="BB95" s="657">
        <f t="shared" si="160"/>
        <v>28205.128205128203</v>
      </c>
      <c r="BC95" s="657">
        <f t="shared" si="160"/>
        <v>28205.128205128203</v>
      </c>
      <c r="BD95" s="657">
        <f t="shared" si="160"/>
        <v>28205.128205128203</v>
      </c>
      <c r="BE95" s="657">
        <f t="shared" si="160"/>
        <v>28205.128205128203</v>
      </c>
      <c r="BF95" s="657">
        <f t="shared" si="160"/>
        <v>0</v>
      </c>
      <c r="BG95" s="657">
        <f t="shared" si="160"/>
        <v>0</v>
      </c>
      <c r="BH95" s="657">
        <f t="shared" si="160"/>
        <v>0</v>
      </c>
      <c r="BI95" s="657">
        <f t="shared" si="160"/>
        <v>0</v>
      </c>
      <c r="BJ95" s="657">
        <f t="shared" si="160"/>
        <v>0</v>
      </c>
      <c r="BK95" s="657">
        <f t="shared" si="160"/>
        <v>0</v>
      </c>
      <c r="BL95" s="657">
        <f t="shared" si="160"/>
        <v>0</v>
      </c>
      <c r="BM95" s="657">
        <f t="shared" si="160"/>
        <v>0</v>
      </c>
      <c r="BN95" s="657">
        <f t="shared" si="160"/>
        <v>0</v>
      </c>
      <c r="BO95" s="657">
        <f t="shared" si="160"/>
        <v>0</v>
      </c>
      <c r="BP95" s="657">
        <f t="shared" si="160"/>
        <v>0</v>
      </c>
      <c r="BQ95" s="657">
        <f t="shared" si="160"/>
        <v>0</v>
      </c>
      <c r="BR95" s="657">
        <f t="shared" si="160"/>
        <v>0</v>
      </c>
      <c r="BS95" s="657">
        <f t="shared" si="160"/>
        <v>0</v>
      </c>
      <c r="BT95" s="657">
        <f t="shared" si="160"/>
        <v>0</v>
      </c>
      <c r="BU95" s="657">
        <f t="shared" si="160"/>
        <v>0</v>
      </c>
      <c r="BV95" s="657">
        <f t="shared" si="160"/>
        <v>0</v>
      </c>
      <c r="BW95" s="657">
        <f t="shared" si="160"/>
        <v>0</v>
      </c>
      <c r="BX95" s="657">
        <f t="shared" si="160"/>
        <v>0</v>
      </c>
      <c r="BY95" s="657">
        <f t="shared" si="160"/>
        <v>0</v>
      </c>
      <c r="BZ95" s="657">
        <f t="shared" si="160"/>
        <v>0</v>
      </c>
      <c r="CA95" s="657">
        <f t="shared" si="160"/>
        <v>0</v>
      </c>
      <c r="CB95" s="657">
        <f t="shared" si="160"/>
        <v>0</v>
      </c>
      <c r="CC95" s="657">
        <f t="shared" si="160"/>
        <v>0</v>
      </c>
      <c r="CD95" s="657">
        <f t="shared" si="160"/>
        <v>0</v>
      </c>
      <c r="CE95" s="657">
        <f t="shared" si="160"/>
        <v>0</v>
      </c>
      <c r="CF95" s="657">
        <f t="shared" si="160"/>
        <v>0</v>
      </c>
      <c r="CG95" s="657">
        <f t="shared" si="160"/>
        <v>0</v>
      </c>
      <c r="CH95" s="657">
        <f t="shared" si="160"/>
        <v>0</v>
      </c>
      <c r="CI95" s="657">
        <f t="shared" si="160"/>
        <v>0</v>
      </c>
      <c r="CJ95" s="657">
        <f t="shared" si="160"/>
        <v>0</v>
      </c>
      <c r="CK95" s="657">
        <f t="shared" ref="CK95:EV95" si="161">SUBTOTAL(9,CK42:CK93)+SUBTOTAL(9,CK8:CK39)</f>
        <v>0</v>
      </c>
      <c r="CL95" s="657">
        <f t="shared" si="161"/>
        <v>0</v>
      </c>
      <c r="CM95" s="657">
        <f t="shared" si="161"/>
        <v>0</v>
      </c>
      <c r="CN95" s="657">
        <f t="shared" si="161"/>
        <v>0</v>
      </c>
      <c r="CO95" s="657">
        <f t="shared" si="161"/>
        <v>0</v>
      </c>
      <c r="CP95" s="657">
        <f t="shared" si="161"/>
        <v>0</v>
      </c>
      <c r="CQ95" s="657">
        <f t="shared" si="161"/>
        <v>0</v>
      </c>
      <c r="CR95" s="657">
        <f t="shared" si="161"/>
        <v>0</v>
      </c>
      <c r="CS95" s="657">
        <f t="shared" si="161"/>
        <v>0</v>
      </c>
      <c r="CT95" s="657">
        <f t="shared" si="161"/>
        <v>0</v>
      </c>
      <c r="CU95" s="657">
        <f t="shared" si="161"/>
        <v>0</v>
      </c>
      <c r="CV95" s="657">
        <f t="shared" si="161"/>
        <v>0</v>
      </c>
      <c r="CW95" s="657">
        <f t="shared" si="161"/>
        <v>0</v>
      </c>
      <c r="CX95" s="657">
        <f t="shared" si="161"/>
        <v>0</v>
      </c>
      <c r="CY95" s="657">
        <f t="shared" si="161"/>
        <v>0</v>
      </c>
      <c r="CZ95" s="657">
        <f t="shared" si="161"/>
        <v>0</v>
      </c>
      <c r="DA95" s="657">
        <f t="shared" si="161"/>
        <v>0</v>
      </c>
      <c r="DB95" s="657">
        <f t="shared" si="161"/>
        <v>0</v>
      </c>
      <c r="DC95" s="657">
        <f t="shared" si="161"/>
        <v>0</v>
      </c>
      <c r="DD95" s="657">
        <f t="shared" si="161"/>
        <v>0</v>
      </c>
      <c r="DE95" s="657">
        <f t="shared" si="161"/>
        <v>0</v>
      </c>
      <c r="DF95" s="657">
        <f t="shared" si="161"/>
        <v>0</v>
      </c>
      <c r="DG95" s="657">
        <f t="shared" si="161"/>
        <v>0</v>
      </c>
      <c r="DH95" s="657">
        <f t="shared" si="161"/>
        <v>0</v>
      </c>
      <c r="DI95" s="657">
        <f t="shared" si="161"/>
        <v>0</v>
      </c>
      <c r="DJ95" s="657">
        <f t="shared" si="161"/>
        <v>0</v>
      </c>
      <c r="DK95" s="657">
        <f t="shared" si="161"/>
        <v>0</v>
      </c>
      <c r="DL95" s="657">
        <f t="shared" si="161"/>
        <v>0</v>
      </c>
      <c r="DM95" s="657">
        <f t="shared" si="161"/>
        <v>0</v>
      </c>
      <c r="DN95" s="657">
        <f t="shared" si="161"/>
        <v>0</v>
      </c>
      <c r="DO95" s="657">
        <f t="shared" si="161"/>
        <v>0</v>
      </c>
      <c r="DP95" s="657">
        <f t="shared" si="161"/>
        <v>0</v>
      </c>
      <c r="DQ95" s="657">
        <f t="shared" si="161"/>
        <v>0</v>
      </c>
      <c r="DR95" s="657">
        <f t="shared" si="161"/>
        <v>0</v>
      </c>
      <c r="DS95" s="657">
        <f t="shared" si="161"/>
        <v>0</v>
      </c>
      <c r="DT95" s="657">
        <f t="shared" si="161"/>
        <v>0</v>
      </c>
      <c r="DU95" s="657">
        <f t="shared" si="161"/>
        <v>0</v>
      </c>
      <c r="DV95" s="657">
        <f t="shared" si="161"/>
        <v>0</v>
      </c>
      <c r="DW95" s="657">
        <f t="shared" si="161"/>
        <v>0</v>
      </c>
      <c r="DX95" s="657">
        <f t="shared" si="161"/>
        <v>0</v>
      </c>
      <c r="DY95" s="657">
        <f t="shared" si="161"/>
        <v>0</v>
      </c>
      <c r="DZ95" s="657">
        <f t="shared" si="161"/>
        <v>0</v>
      </c>
      <c r="EA95" s="657">
        <f t="shared" si="161"/>
        <v>0</v>
      </c>
      <c r="EB95" s="657">
        <f t="shared" si="161"/>
        <v>0</v>
      </c>
      <c r="EC95" s="657">
        <f t="shared" si="161"/>
        <v>0</v>
      </c>
      <c r="ED95" s="657">
        <f t="shared" si="161"/>
        <v>0</v>
      </c>
      <c r="EE95" s="657">
        <f t="shared" si="161"/>
        <v>0</v>
      </c>
      <c r="EF95" s="657">
        <f t="shared" si="161"/>
        <v>0</v>
      </c>
      <c r="EG95" s="657">
        <f t="shared" si="161"/>
        <v>0</v>
      </c>
      <c r="EH95" s="657">
        <f t="shared" si="161"/>
        <v>0</v>
      </c>
      <c r="EI95" s="657">
        <f t="shared" si="161"/>
        <v>0</v>
      </c>
      <c r="EJ95" s="657">
        <f t="shared" si="161"/>
        <v>0</v>
      </c>
      <c r="EK95" s="657">
        <f t="shared" si="161"/>
        <v>0</v>
      </c>
      <c r="EL95" s="657">
        <f t="shared" si="161"/>
        <v>0</v>
      </c>
      <c r="EM95" s="657">
        <f t="shared" si="161"/>
        <v>0</v>
      </c>
      <c r="EN95" s="657">
        <f t="shared" si="161"/>
        <v>0</v>
      </c>
      <c r="EO95" s="657">
        <f t="shared" si="161"/>
        <v>0</v>
      </c>
      <c r="EP95" s="657">
        <f t="shared" si="161"/>
        <v>0</v>
      </c>
      <c r="EQ95" s="657">
        <f t="shared" si="161"/>
        <v>0</v>
      </c>
      <c r="ER95" s="657">
        <f t="shared" si="161"/>
        <v>0</v>
      </c>
      <c r="ES95" s="657">
        <f t="shared" si="161"/>
        <v>0</v>
      </c>
      <c r="ET95" s="657">
        <f t="shared" si="161"/>
        <v>0</v>
      </c>
      <c r="EU95" s="657">
        <f t="shared" si="161"/>
        <v>0</v>
      </c>
      <c r="EV95" s="657">
        <f t="shared" si="161"/>
        <v>0</v>
      </c>
      <c r="EW95" s="657">
        <f t="shared" ref="EW95:EZ95" si="162">SUBTOTAL(9,EW42:EW93)+SUBTOTAL(9,EW8:EW39)</f>
        <v>0</v>
      </c>
      <c r="EX95" s="657">
        <f t="shared" si="162"/>
        <v>0</v>
      </c>
      <c r="EY95" s="657">
        <f t="shared" si="162"/>
        <v>0</v>
      </c>
      <c r="EZ95" s="657">
        <f t="shared" si="162"/>
        <v>0</v>
      </c>
      <c r="FB95" s="609" t="s">
        <v>243</v>
      </c>
    </row>
    <row r="96" spans="1:219" s="663" customFormat="1" x14ac:dyDescent="0.2">
      <c r="A96" s="630"/>
      <c r="B96" s="343"/>
      <c r="C96" s="662" t="str">
        <f>IF(D95=ROUND(SUM(X95:EZ95),0),"OK","ERROR")</f>
        <v>OK</v>
      </c>
      <c r="E96" s="664"/>
      <c r="F96" s="665"/>
      <c r="G96" s="665"/>
      <c r="H96" s="666"/>
      <c r="I96" s="667"/>
      <c r="J96" s="668"/>
      <c r="K96" s="669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637"/>
      <c r="X96" s="183"/>
      <c r="Y96" s="183"/>
      <c r="Z96" s="183"/>
      <c r="AA96" s="183"/>
      <c r="AB96" s="183"/>
      <c r="AC96" s="183"/>
      <c r="AD96" s="183"/>
      <c r="AE96" s="183"/>
      <c r="AF96" s="183"/>
      <c r="AG96" s="183"/>
      <c r="AH96" s="183"/>
      <c r="AI96" s="183"/>
      <c r="AJ96" s="183"/>
      <c r="AK96" s="183"/>
      <c r="AL96" s="183"/>
      <c r="AM96" s="183"/>
      <c r="AN96" s="183"/>
      <c r="AO96" s="183"/>
      <c r="AP96" s="183"/>
      <c r="AQ96" s="183"/>
      <c r="AR96" s="183"/>
      <c r="AS96" s="183"/>
      <c r="AT96" s="183"/>
      <c r="AU96" s="183"/>
      <c r="AV96" s="183"/>
      <c r="AW96" s="183"/>
      <c r="AX96" s="183"/>
      <c r="AY96" s="183"/>
      <c r="AZ96" s="183"/>
      <c r="BA96" s="183"/>
      <c r="BB96" s="183"/>
      <c r="BC96" s="183"/>
      <c r="BD96" s="183"/>
      <c r="BE96" s="183"/>
      <c r="BF96" s="183"/>
      <c r="BG96" s="183"/>
      <c r="BH96" s="183"/>
      <c r="BI96" s="183"/>
      <c r="BJ96" s="183"/>
      <c r="BK96" s="183"/>
      <c r="BL96" s="183"/>
      <c r="BM96" s="183"/>
      <c r="BN96" s="183"/>
      <c r="BO96" s="183"/>
      <c r="BP96" s="183"/>
      <c r="BQ96" s="183"/>
      <c r="BR96" s="183"/>
      <c r="BS96" s="183"/>
      <c r="BT96" s="183"/>
      <c r="BU96" s="183"/>
      <c r="BV96" s="183"/>
      <c r="BW96" s="183"/>
      <c r="BX96" s="183"/>
      <c r="BY96" s="183"/>
      <c r="BZ96" s="183"/>
      <c r="CA96" s="183"/>
      <c r="CB96" s="183"/>
      <c r="CC96" s="183"/>
      <c r="CD96" s="183"/>
      <c r="CE96" s="183"/>
      <c r="CF96" s="183"/>
      <c r="CG96" s="183"/>
      <c r="CH96" s="183"/>
      <c r="CI96" s="183"/>
      <c r="CJ96" s="183"/>
      <c r="CK96" s="183"/>
      <c r="CL96" s="183"/>
      <c r="CM96" s="183"/>
      <c r="CN96" s="183"/>
      <c r="CO96" s="183"/>
      <c r="CP96" s="183"/>
      <c r="CQ96" s="183"/>
      <c r="CR96" s="183"/>
      <c r="CS96" s="183"/>
      <c r="CT96" s="183"/>
      <c r="CU96" s="183"/>
      <c r="CV96" s="183"/>
      <c r="CW96" s="183"/>
      <c r="CX96" s="183"/>
      <c r="CY96" s="183"/>
      <c r="CZ96" s="183"/>
      <c r="DA96" s="183"/>
      <c r="DB96" s="183"/>
      <c r="DC96" s="183"/>
      <c r="DD96" s="183"/>
      <c r="DE96" s="183"/>
      <c r="DF96" s="183"/>
      <c r="DG96" s="183"/>
      <c r="DH96" s="183"/>
      <c r="DI96" s="183"/>
      <c r="DJ96" s="183"/>
      <c r="DK96" s="183"/>
      <c r="DL96" s="183"/>
      <c r="DM96" s="183"/>
      <c r="DN96" s="183"/>
      <c r="DO96" s="183"/>
      <c r="DP96" s="183"/>
      <c r="DQ96" s="183"/>
      <c r="DR96" s="183"/>
      <c r="DS96" s="183"/>
      <c r="DT96" s="183"/>
      <c r="DU96" s="183"/>
      <c r="DV96" s="183"/>
      <c r="DW96" s="183"/>
      <c r="DX96" s="183"/>
      <c r="DY96" s="183"/>
      <c r="DZ96" s="183"/>
      <c r="EA96" s="183"/>
      <c r="EB96" s="183"/>
      <c r="EC96" s="183"/>
      <c r="ED96" s="183"/>
      <c r="EE96" s="183"/>
      <c r="EF96" s="183"/>
      <c r="EG96" s="183"/>
      <c r="EH96" s="183"/>
      <c r="EI96" s="183"/>
      <c r="EJ96" s="183"/>
      <c r="EK96" s="183"/>
      <c r="EL96" s="183"/>
      <c r="EM96" s="183"/>
      <c r="EN96" s="183"/>
      <c r="EO96" s="183"/>
      <c r="EP96" s="183"/>
      <c r="EQ96" s="183"/>
      <c r="ER96" s="183"/>
      <c r="ES96" s="183"/>
      <c r="ET96" s="183"/>
      <c r="EU96" s="183"/>
      <c r="EV96" s="183"/>
      <c r="EW96" s="183"/>
      <c r="EX96" s="183"/>
      <c r="EY96" s="183"/>
      <c r="EZ96" s="183"/>
      <c r="FB96" s="609" t="s">
        <v>243</v>
      </c>
    </row>
    <row r="97" spans="1:219" s="663" customFormat="1" ht="15" x14ac:dyDescent="0.2">
      <c r="A97" s="630"/>
      <c r="B97" s="631" t="s">
        <v>857</v>
      </c>
      <c r="C97" s="255"/>
      <c r="D97" s="632"/>
      <c r="E97" s="633"/>
      <c r="F97" s="634"/>
      <c r="G97" s="634"/>
      <c r="H97" s="635"/>
      <c r="I97" s="635"/>
      <c r="J97" s="636"/>
      <c r="K97" s="637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637"/>
      <c r="X97" s="183"/>
      <c r="Y97" s="183"/>
      <c r="Z97" s="183"/>
      <c r="AA97" s="183"/>
      <c r="AB97" s="183"/>
      <c r="AC97" s="183"/>
      <c r="AD97" s="183"/>
      <c r="AE97" s="183"/>
      <c r="AF97" s="183"/>
      <c r="AG97" s="183"/>
      <c r="AH97" s="183"/>
      <c r="AI97" s="183"/>
      <c r="AJ97" s="183"/>
      <c r="AK97" s="183"/>
      <c r="AL97" s="183"/>
      <c r="AM97" s="183"/>
      <c r="AN97" s="183"/>
      <c r="AO97" s="183"/>
      <c r="AP97" s="183"/>
      <c r="AQ97" s="183"/>
      <c r="AR97" s="183"/>
      <c r="AS97" s="183"/>
      <c r="AT97" s="183"/>
      <c r="AU97" s="183"/>
      <c r="AV97" s="183"/>
      <c r="AW97" s="183"/>
      <c r="AX97" s="183"/>
      <c r="AY97" s="183"/>
      <c r="AZ97" s="183"/>
      <c r="BA97" s="183"/>
      <c r="BB97" s="183"/>
      <c r="BC97" s="183"/>
      <c r="BD97" s="183"/>
      <c r="BE97" s="183"/>
      <c r="BF97" s="183"/>
      <c r="BG97" s="183"/>
      <c r="BH97" s="183"/>
      <c r="BI97" s="183"/>
      <c r="BJ97" s="183"/>
      <c r="BK97" s="183"/>
      <c r="BL97" s="183"/>
      <c r="BM97" s="183"/>
      <c r="BN97" s="183"/>
      <c r="BO97" s="183"/>
      <c r="BP97" s="183"/>
      <c r="BQ97" s="183"/>
      <c r="BR97" s="183"/>
      <c r="BS97" s="183"/>
      <c r="BT97" s="183"/>
      <c r="BU97" s="183"/>
      <c r="BV97" s="183"/>
      <c r="BW97" s="183"/>
      <c r="BX97" s="183"/>
      <c r="BY97" s="183"/>
      <c r="BZ97" s="183"/>
      <c r="CA97" s="183"/>
      <c r="CB97" s="183"/>
      <c r="CC97" s="183"/>
      <c r="CD97" s="183"/>
      <c r="CE97" s="183"/>
      <c r="CF97" s="183"/>
      <c r="CG97" s="183"/>
      <c r="CH97" s="183"/>
      <c r="CI97" s="183"/>
      <c r="CJ97" s="183"/>
      <c r="CK97" s="183"/>
      <c r="CL97" s="183"/>
      <c r="CM97" s="183"/>
      <c r="CN97" s="183"/>
      <c r="CO97" s="183"/>
      <c r="CP97" s="183"/>
      <c r="CQ97" s="183"/>
      <c r="CR97" s="183"/>
      <c r="CS97" s="183"/>
      <c r="CT97" s="183"/>
      <c r="CU97" s="183"/>
      <c r="CV97" s="183"/>
      <c r="CW97" s="183"/>
      <c r="CX97" s="183"/>
      <c r="CY97" s="183"/>
      <c r="CZ97" s="183"/>
      <c r="DA97" s="183"/>
      <c r="DB97" s="183"/>
      <c r="DC97" s="183"/>
      <c r="DD97" s="183"/>
      <c r="DE97" s="183"/>
      <c r="DF97" s="183"/>
      <c r="DG97" s="183"/>
      <c r="DH97" s="183"/>
      <c r="DI97" s="183"/>
      <c r="DJ97" s="183"/>
      <c r="DK97" s="183"/>
      <c r="DL97" s="183"/>
      <c r="DM97" s="183"/>
      <c r="DN97" s="183"/>
      <c r="DO97" s="183"/>
      <c r="DP97" s="183"/>
      <c r="DQ97" s="183"/>
      <c r="DR97" s="183"/>
      <c r="DS97" s="183"/>
      <c r="DT97" s="183"/>
      <c r="DU97" s="183"/>
      <c r="DV97" s="183"/>
      <c r="DW97" s="183"/>
      <c r="DX97" s="183"/>
      <c r="DY97" s="183"/>
      <c r="DZ97" s="183"/>
      <c r="EA97" s="183"/>
      <c r="EB97" s="183"/>
      <c r="EC97" s="183"/>
      <c r="ED97" s="183"/>
      <c r="EE97" s="183"/>
      <c r="EF97" s="183"/>
      <c r="EG97" s="183"/>
      <c r="EH97" s="183"/>
      <c r="EI97" s="183"/>
      <c r="EJ97" s="183"/>
      <c r="EK97" s="183"/>
      <c r="EL97" s="183"/>
      <c r="EM97" s="183"/>
      <c r="EN97" s="183"/>
      <c r="EO97" s="183"/>
      <c r="EP97" s="183"/>
      <c r="EQ97" s="183"/>
      <c r="ER97" s="183"/>
      <c r="ES97" s="183"/>
      <c r="ET97" s="183"/>
      <c r="EU97" s="183"/>
      <c r="EV97" s="183"/>
      <c r="EW97" s="183"/>
      <c r="EX97" s="183"/>
      <c r="EY97" s="183"/>
      <c r="EZ97" s="183"/>
      <c r="FB97" s="609" t="s">
        <v>243</v>
      </c>
    </row>
    <row r="98" spans="1:219" s="663" customFormat="1" x14ac:dyDescent="0.2">
      <c r="A98" s="630"/>
      <c r="B98" s="360" t="s">
        <v>858</v>
      </c>
      <c r="C98" s="343"/>
      <c r="D98" s="443">
        <v>0</v>
      </c>
      <c r="E98" s="670">
        <f>IF(units=0,0,'Renovation Budget'!D98/units)</f>
        <v>0</v>
      </c>
      <c r="F98" s="640">
        <v>0</v>
      </c>
      <c r="G98" s="640">
        <v>0</v>
      </c>
      <c r="H98" s="641">
        <f t="shared" ref="H98:H104" si="163">IF(G98+F98=0,0,G98-F98)</f>
        <v>0</v>
      </c>
      <c r="I98" s="642" t="s">
        <v>107</v>
      </c>
      <c r="J98" s="668"/>
      <c r="K98" s="669"/>
      <c r="L98" s="183">
        <f t="shared" ref="L98:V102" si="164">SUMIF($X$4:$EZ$4,L$4,$X98:$EZ98)</f>
        <v>0</v>
      </c>
      <c r="M98" s="183">
        <f t="shared" si="164"/>
        <v>0</v>
      </c>
      <c r="N98" s="183">
        <f t="shared" si="164"/>
        <v>0</v>
      </c>
      <c r="O98" s="183">
        <f t="shared" si="164"/>
        <v>0</v>
      </c>
      <c r="P98" s="183">
        <f t="shared" si="164"/>
        <v>0</v>
      </c>
      <c r="Q98" s="183">
        <f t="shared" si="164"/>
        <v>0</v>
      </c>
      <c r="R98" s="183">
        <f t="shared" si="164"/>
        <v>0</v>
      </c>
      <c r="S98" s="183">
        <f t="shared" si="164"/>
        <v>0</v>
      </c>
      <c r="T98" s="183">
        <f t="shared" si="164"/>
        <v>0</v>
      </c>
      <c r="U98" s="183">
        <f t="shared" si="164"/>
        <v>0</v>
      </c>
      <c r="V98" s="183">
        <f t="shared" si="164"/>
        <v>0</v>
      </c>
      <c r="W98" s="644"/>
      <c r="X98" s="183">
        <f>IF(G98+F98=0,D98,0)</f>
        <v>0</v>
      </c>
      <c r="Y98" s="183">
        <f t="shared" ref="Y98:AN103" si="165">IF(OR(Y$3&gt;=$G98,Y$3&lt;$F98),0,(_xlfn.NORM.DIST(Y$3-$F98+1,$H98/2,INDEX($E$115:$E$118,MATCH($I98,$D$115:$D$118,0)),TRUE)-_xlfn.NORM.DIST(X$3-$F98+1,$H98/2,INDEX($E$115:$E$118,MATCH($I98,$D$115:$D$118,0)),TRUE))/(1-2*_xlfn.NORM.DIST(0,$H98/2,INDEX($E$115:$E$118,MATCH($I98,$D$115:$D$118,0)),TRUE))*$D98)</f>
        <v>0</v>
      </c>
      <c r="Z98" s="183">
        <f t="shared" si="165"/>
        <v>0</v>
      </c>
      <c r="AA98" s="183">
        <f t="shared" si="165"/>
        <v>0</v>
      </c>
      <c r="AB98" s="183">
        <f t="shared" si="165"/>
        <v>0</v>
      </c>
      <c r="AC98" s="183">
        <f t="shared" si="165"/>
        <v>0</v>
      </c>
      <c r="AD98" s="183">
        <f t="shared" si="165"/>
        <v>0</v>
      </c>
      <c r="AE98" s="183">
        <f t="shared" si="165"/>
        <v>0</v>
      </c>
      <c r="AF98" s="183">
        <f t="shared" si="165"/>
        <v>0</v>
      </c>
      <c r="AG98" s="183">
        <f t="shared" si="165"/>
        <v>0</v>
      </c>
      <c r="AH98" s="183">
        <f t="shared" si="165"/>
        <v>0</v>
      </c>
      <c r="AI98" s="183">
        <f t="shared" si="165"/>
        <v>0</v>
      </c>
      <c r="AJ98" s="183">
        <f t="shared" si="165"/>
        <v>0</v>
      </c>
      <c r="AK98" s="183">
        <f t="shared" si="165"/>
        <v>0</v>
      </c>
      <c r="AL98" s="183">
        <f t="shared" si="165"/>
        <v>0</v>
      </c>
      <c r="AM98" s="183">
        <f t="shared" si="165"/>
        <v>0</v>
      </c>
      <c r="AN98" s="183">
        <f t="shared" si="165"/>
        <v>0</v>
      </c>
      <c r="AO98" s="183">
        <f t="shared" ref="AO98:CZ101" si="166">IF(OR(AO$3&gt;=$G98,AO$3&lt;$F98),0,(_xlfn.NORM.DIST(AO$3-$F98+1,$H98/2,INDEX($E$115:$E$118,MATCH($I98,$D$115:$D$118,0)),TRUE)-_xlfn.NORM.DIST(AN$3-$F98+1,$H98/2,INDEX($E$115:$E$118,MATCH($I98,$D$115:$D$118,0)),TRUE))/(1-2*_xlfn.NORM.DIST(0,$H98/2,INDEX($E$115:$E$118,MATCH($I98,$D$115:$D$118,0)),TRUE))*$D98)</f>
        <v>0</v>
      </c>
      <c r="AP98" s="183">
        <f t="shared" si="166"/>
        <v>0</v>
      </c>
      <c r="AQ98" s="183">
        <f t="shared" si="166"/>
        <v>0</v>
      </c>
      <c r="AR98" s="183">
        <f t="shared" si="166"/>
        <v>0</v>
      </c>
      <c r="AS98" s="183">
        <f t="shared" si="166"/>
        <v>0</v>
      </c>
      <c r="AT98" s="183">
        <f t="shared" si="166"/>
        <v>0</v>
      </c>
      <c r="AU98" s="183">
        <f t="shared" si="166"/>
        <v>0</v>
      </c>
      <c r="AV98" s="183">
        <f t="shared" si="166"/>
        <v>0</v>
      </c>
      <c r="AW98" s="183">
        <f t="shared" si="166"/>
        <v>0</v>
      </c>
      <c r="AX98" s="183">
        <f t="shared" si="166"/>
        <v>0</v>
      </c>
      <c r="AY98" s="183">
        <f t="shared" si="166"/>
        <v>0</v>
      </c>
      <c r="AZ98" s="183">
        <f t="shared" si="166"/>
        <v>0</v>
      </c>
      <c r="BA98" s="183">
        <f t="shared" si="166"/>
        <v>0</v>
      </c>
      <c r="BB98" s="183">
        <f t="shared" si="166"/>
        <v>0</v>
      </c>
      <c r="BC98" s="183">
        <f t="shared" si="166"/>
        <v>0</v>
      </c>
      <c r="BD98" s="183">
        <f t="shared" si="166"/>
        <v>0</v>
      </c>
      <c r="BE98" s="183">
        <f t="shared" si="166"/>
        <v>0</v>
      </c>
      <c r="BF98" s="183">
        <f t="shared" si="166"/>
        <v>0</v>
      </c>
      <c r="BG98" s="183">
        <f t="shared" si="166"/>
        <v>0</v>
      </c>
      <c r="BH98" s="183">
        <f t="shared" si="166"/>
        <v>0</v>
      </c>
      <c r="BI98" s="183">
        <f t="shared" si="166"/>
        <v>0</v>
      </c>
      <c r="BJ98" s="183">
        <f t="shared" si="166"/>
        <v>0</v>
      </c>
      <c r="BK98" s="183">
        <f t="shared" si="166"/>
        <v>0</v>
      </c>
      <c r="BL98" s="183">
        <f t="shared" si="166"/>
        <v>0</v>
      </c>
      <c r="BM98" s="183">
        <f t="shared" si="166"/>
        <v>0</v>
      </c>
      <c r="BN98" s="183">
        <f t="shared" si="166"/>
        <v>0</v>
      </c>
      <c r="BO98" s="183">
        <f t="shared" si="166"/>
        <v>0</v>
      </c>
      <c r="BP98" s="183">
        <f t="shared" si="166"/>
        <v>0</v>
      </c>
      <c r="BQ98" s="183">
        <f t="shared" si="166"/>
        <v>0</v>
      </c>
      <c r="BR98" s="183">
        <f t="shared" si="166"/>
        <v>0</v>
      </c>
      <c r="BS98" s="183">
        <f t="shared" si="166"/>
        <v>0</v>
      </c>
      <c r="BT98" s="183">
        <f t="shared" si="166"/>
        <v>0</v>
      </c>
      <c r="BU98" s="183">
        <f t="shared" si="166"/>
        <v>0</v>
      </c>
      <c r="BV98" s="183">
        <f t="shared" si="166"/>
        <v>0</v>
      </c>
      <c r="BW98" s="183">
        <f t="shared" si="166"/>
        <v>0</v>
      </c>
      <c r="BX98" s="183">
        <f t="shared" si="166"/>
        <v>0</v>
      </c>
      <c r="BY98" s="183">
        <f t="shared" si="166"/>
        <v>0</v>
      </c>
      <c r="BZ98" s="183">
        <f t="shared" si="166"/>
        <v>0</v>
      </c>
      <c r="CA98" s="183">
        <f t="shared" si="166"/>
        <v>0</v>
      </c>
      <c r="CB98" s="183">
        <f t="shared" si="166"/>
        <v>0</v>
      </c>
      <c r="CC98" s="183">
        <f t="shared" si="166"/>
        <v>0</v>
      </c>
      <c r="CD98" s="183">
        <f t="shared" si="166"/>
        <v>0</v>
      </c>
      <c r="CE98" s="183">
        <f t="shared" si="166"/>
        <v>0</v>
      </c>
      <c r="CF98" s="183">
        <f t="shared" si="166"/>
        <v>0</v>
      </c>
      <c r="CG98" s="183">
        <f t="shared" si="166"/>
        <v>0</v>
      </c>
      <c r="CH98" s="183">
        <f t="shared" si="166"/>
        <v>0</v>
      </c>
      <c r="CI98" s="183">
        <f t="shared" si="166"/>
        <v>0</v>
      </c>
      <c r="CJ98" s="183">
        <f t="shared" si="166"/>
        <v>0</v>
      </c>
      <c r="CK98" s="183">
        <f t="shared" si="166"/>
        <v>0</v>
      </c>
      <c r="CL98" s="183">
        <f t="shared" si="166"/>
        <v>0</v>
      </c>
      <c r="CM98" s="183">
        <f t="shared" si="166"/>
        <v>0</v>
      </c>
      <c r="CN98" s="183">
        <f t="shared" si="166"/>
        <v>0</v>
      </c>
      <c r="CO98" s="183">
        <f t="shared" si="166"/>
        <v>0</v>
      </c>
      <c r="CP98" s="183">
        <f t="shared" si="166"/>
        <v>0</v>
      </c>
      <c r="CQ98" s="183">
        <f t="shared" si="166"/>
        <v>0</v>
      </c>
      <c r="CR98" s="183">
        <f t="shared" si="166"/>
        <v>0</v>
      </c>
      <c r="CS98" s="183">
        <f t="shared" si="166"/>
        <v>0</v>
      </c>
      <c r="CT98" s="183">
        <f t="shared" si="166"/>
        <v>0</v>
      </c>
      <c r="CU98" s="183">
        <f t="shared" si="166"/>
        <v>0</v>
      </c>
      <c r="CV98" s="183">
        <f t="shared" si="166"/>
        <v>0</v>
      </c>
      <c r="CW98" s="183">
        <f t="shared" si="166"/>
        <v>0</v>
      </c>
      <c r="CX98" s="183">
        <f t="shared" si="166"/>
        <v>0</v>
      </c>
      <c r="CY98" s="183">
        <f t="shared" si="166"/>
        <v>0</v>
      </c>
      <c r="CZ98" s="183">
        <f t="shared" si="166"/>
        <v>0</v>
      </c>
      <c r="DA98" s="183">
        <f t="shared" ref="DA98:EZ103" si="167">IF(OR(DA$3&gt;=$G98,DA$3&lt;$F98),0,(_xlfn.NORM.DIST(DA$3-$F98+1,$H98/2,INDEX($E$115:$E$118,MATCH($I98,$D$115:$D$118,0)),TRUE)-_xlfn.NORM.DIST(CZ$3-$F98+1,$H98/2,INDEX($E$115:$E$118,MATCH($I98,$D$115:$D$118,0)),TRUE))/(1-2*_xlfn.NORM.DIST(0,$H98/2,INDEX($E$115:$E$118,MATCH($I98,$D$115:$D$118,0)),TRUE))*$D98)</f>
        <v>0</v>
      </c>
      <c r="DB98" s="183">
        <f t="shared" si="167"/>
        <v>0</v>
      </c>
      <c r="DC98" s="183">
        <f t="shared" si="167"/>
        <v>0</v>
      </c>
      <c r="DD98" s="183">
        <f t="shared" si="167"/>
        <v>0</v>
      </c>
      <c r="DE98" s="183">
        <f t="shared" si="167"/>
        <v>0</v>
      </c>
      <c r="DF98" s="183">
        <f t="shared" si="167"/>
        <v>0</v>
      </c>
      <c r="DG98" s="183">
        <f t="shared" si="167"/>
        <v>0</v>
      </c>
      <c r="DH98" s="183">
        <f t="shared" si="167"/>
        <v>0</v>
      </c>
      <c r="DI98" s="183">
        <f t="shared" si="167"/>
        <v>0</v>
      </c>
      <c r="DJ98" s="183">
        <f t="shared" si="167"/>
        <v>0</v>
      </c>
      <c r="DK98" s="183">
        <f t="shared" si="167"/>
        <v>0</v>
      </c>
      <c r="DL98" s="183">
        <f t="shared" si="167"/>
        <v>0</v>
      </c>
      <c r="DM98" s="183">
        <f t="shared" si="167"/>
        <v>0</v>
      </c>
      <c r="DN98" s="183">
        <f t="shared" si="167"/>
        <v>0</v>
      </c>
      <c r="DO98" s="183">
        <f t="shared" si="167"/>
        <v>0</v>
      </c>
      <c r="DP98" s="183">
        <f t="shared" si="167"/>
        <v>0</v>
      </c>
      <c r="DQ98" s="183">
        <f t="shared" si="167"/>
        <v>0</v>
      </c>
      <c r="DR98" s="183">
        <f t="shared" si="167"/>
        <v>0</v>
      </c>
      <c r="DS98" s="183">
        <f t="shared" si="167"/>
        <v>0</v>
      </c>
      <c r="DT98" s="183">
        <f t="shared" si="167"/>
        <v>0</v>
      </c>
      <c r="DU98" s="183">
        <f t="shared" si="167"/>
        <v>0</v>
      </c>
      <c r="DV98" s="183">
        <f t="shared" si="167"/>
        <v>0</v>
      </c>
      <c r="DW98" s="183">
        <f t="shared" si="167"/>
        <v>0</v>
      </c>
      <c r="DX98" s="183">
        <f t="shared" si="167"/>
        <v>0</v>
      </c>
      <c r="DY98" s="183">
        <f t="shared" si="167"/>
        <v>0</v>
      </c>
      <c r="DZ98" s="183">
        <f t="shared" si="167"/>
        <v>0</v>
      </c>
      <c r="EA98" s="183">
        <f t="shared" si="167"/>
        <v>0</v>
      </c>
      <c r="EB98" s="183">
        <f t="shared" si="167"/>
        <v>0</v>
      </c>
      <c r="EC98" s="183">
        <f t="shared" si="167"/>
        <v>0</v>
      </c>
      <c r="ED98" s="183">
        <f t="shared" si="167"/>
        <v>0</v>
      </c>
      <c r="EE98" s="183">
        <f t="shared" si="167"/>
        <v>0</v>
      </c>
      <c r="EF98" s="183">
        <f t="shared" si="167"/>
        <v>0</v>
      </c>
      <c r="EG98" s="183">
        <f t="shared" si="167"/>
        <v>0</v>
      </c>
      <c r="EH98" s="183">
        <f t="shared" si="167"/>
        <v>0</v>
      </c>
      <c r="EI98" s="183">
        <f t="shared" si="167"/>
        <v>0</v>
      </c>
      <c r="EJ98" s="183">
        <f t="shared" si="167"/>
        <v>0</v>
      </c>
      <c r="EK98" s="183">
        <f t="shared" si="167"/>
        <v>0</v>
      </c>
      <c r="EL98" s="183">
        <f t="shared" si="167"/>
        <v>0</v>
      </c>
      <c r="EM98" s="183">
        <f t="shared" si="167"/>
        <v>0</v>
      </c>
      <c r="EN98" s="183">
        <f t="shared" si="167"/>
        <v>0</v>
      </c>
      <c r="EO98" s="183">
        <f t="shared" si="167"/>
        <v>0</v>
      </c>
      <c r="EP98" s="183">
        <f t="shared" si="167"/>
        <v>0</v>
      </c>
      <c r="EQ98" s="183">
        <f t="shared" si="167"/>
        <v>0</v>
      </c>
      <c r="ER98" s="183">
        <f t="shared" si="167"/>
        <v>0</v>
      </c>
      <c r="ES98" s="183">
        <f t="shared" si="167"/>
        <v>0</v>
      </c>
      <c r="ET98" s="183">
        <f t="shared" si="167"/>
        <v>0</v>
      </c>
      <c r="EU98" s="183">
        <f t="shared" si="167"/>
        <v>0</v>
      </c>
      <c r="EV98" s="183">
        <f t="shared" si="167"/>
        <v>0</v>
      </c>
      <c r="EW98" s="183">
        <f t="shared" si="167"/>
        <v>0</v>
      </c>
      <c r="EX98" s="183">
        <f t="shared" si="167"/>
        <v>0</v>
      </c>
      <c r="EY98" s="183">
        <f t="shared" si="167"/>
        <v>0</v>
      </c>
      <c r="EZ98" s="183">
        <f t="shared" si="167"/>
        <v>0</v>
      </c>
      <c r="FB98" s="609" t="s">
        <v>243</v>
      </c>
    </row>
    <row r="99" spans="1:219" s="663" customFormat="1" x14ac:dyDescent="0.2">
      <c r="A99" s="630"/>
      <c r="B99" s="360" t="s">
        <v>859</v>
      </c>
      <c r="C99" s="343"/>
      <c r="D99" s="443">
        <v>0</v>
      </c>
      <c r="E99" s="670">
        <f>IF(units=0,0,'Renovation Budget'!D99/units)</f>
        <v>0</v>
      </c>
      <c r="F99" s="640">
        <v>0</v>
      </c>
      <c r="G99" s="640">
        <v>0</v>
      </c>
      <c r="H99" s="641">
        <f t="shared" si="163"/>
        <v>0</v>
      </c>
      <c r="I99" s="642" t="s">
        <v>107</v>
      </c>
      <c r="J99" s="668"/>
      <c r="K99" s="669"/>
      <c r="L99" s="183">
        <f t="shared" si="164"/>
        <v>0</v>
      </c>
      <c r="M99" s="183">
        <f t="shared" si="164"/>
        <v>0</v>
      </c>
      <c r="N99" s="183">
        <f t="shared" si="164"/>
        <v>0</v>
      </c>
      <c r="O99" s="183">
        <f t="shared" si="164"/>
        <v>0</v>
      </c>
      <c r="P99" s="183">
        <f t="shared" si="164"/>
        <v>0</v>
      </c>
      <c r="Q99" s="183">
        <f t="shared" si="164"/>
        <v>0</v>
      </c>
      <c r="R99" s="183">
        <f t="shared" si="164"/>
        <v>0</v>
      </c>
      <c r="S99" s="183">
        <f t="shared" si="164"/>
        <v>0</v>
      </c>
      <c r="T99" s="183">
        <f t="shared" si="164"/>
        <v>0</v>
      </c>
      <c r="U99" s="183">
        <f t="shared" si="164"/>
        <v>0</v>
      </c>
      <c r="V99" s="183">
        <f t="shared" si="164"/>
        <v>0</v>
      </c>
      <c r="W99" s="669"/>
      <c r="X99" s="183">
        <f>IF(G99+F99=0,D99,0)</f>
        <v>0</v>
      </c>
      <c r="Y99" s="183">
        <f t="shared" si="165"/>
        <v>0</v>
      </c>
      <c r="Z99" s="183">
        <f t="shared" ref="Z99:CK102" si="168">IF(OR(Z$3&gt;=$G99,Z$3&lt;$F99),0,(_xlfn.NORM.DIST(Z$3-$F99+1,$H99/2,INDEX($E$115:$E$118,MATCH($I99,$D$115:$D$118,0)),TRUE)-_xlfn.NORM.DIST(Y$3-$F99+1,$H99/2,INDEX($E$115:$E$118,MATCH($I99,$D$115:$D$118,0)),TRUE))/(1-2*_xlfn.NORM.DIST(0,$H99/2,INDEX($E$115:$E$118,MATCH($I99,$D$115:$D$118,0)),TRUE))*$D99)</f>
        <v>0</v>
      </c>
      <c r="AA99" s="183">
        <f t="shared" si="168"/>
        <v>0</v>
      </c>
      <c r="AB99" s="183">
        <f t="shared" si="168"/>
        <v>0</v>
      </c>
      <c r="AC99" s="183">
        <f t="shared" si="168"/>
        <v>0</v>
      </c>
      <c r="AD99" s="183">
        <f t="shared" si="168"/>
        <v>0</v>
      </c>
      <c r="AE99" s="183">
        <f t="shared" si="168"/>
        <v>0</v>
      </c>
      <c r="AF99" s="183">
        <f t="shared" si="168"/>
        <v>0</v>
      </c>
      <c r="AG99" s="183">
        <f t="shared" si="168"/>
        <v>0</v>
      </c>
      <c r="AH99" s="183">
        <f t="shared" si="168"/>
        <v>0</v>
      </c>
      <c r="AI99" s="183">
        <f t="shared" si="168"/>
        <v>0</v>
      </c>
      <c r="AJ99" s="183">
        <f t="shared" si="168"/>
        <v>0</v>
      </c>
      <c r="AK99" s="183">
        <f t="shared" si="168"/>
        <v>0</v>
      </c>
      <c r="AL99" s="183">
        <f t="shared" si="168"/>
        <v>0</v>
      </c>
      <c r="AM99" s="183">
        <f t="shared" si="168"/>
        <v>0</v>
      </c>
      <c r="AN99" s="183">
        <f t="shared" si="168"/>
        <v>0</v>
      </c>
      <c r="AO99" s="183">
        <f t="shared" si="168"/>
        <v>0</v>
      </c>
      <c r="AP99" s="183">
        <f t="shared" si="168"/>
        <v>0</v>
      </c>
      <c r="AQ99" s="183">
        <f t="shared" si="168"/>
        <v>0</v>
      </c>
      <c r="AR99" s="183">
        <f t="shared" si="168"/>
        <v>0</v>
      </c>
      <c r="AS99" s="183">
        <f t="shared" si="168"/>
        <v>0</v>
      </c>
      <c r="AT99" s="183">
        <f t="shared" si="168"/>
        <v>0</v>
      </c>
      <c r="AU99" s="183">
        <f t="shared" si="168"/>
        <v>0</v>
      </c>
      <c r="AV99" s="183">
        <f t="shared" si="168"/>
        <v>0</v>
      </c>
      <c r="AW99" s="183">
        <f t="shared" si="168"/>
        <v>0</v>
      </c>
      <c r="AX99" s="183">
        <f t="shared" si="168"/>
        <v>0</v>
      </c>
      <c r="AY99" s="183">
        <f t="shared" si="168"/>
        <v>0</v>
      </c>
      <c r="AZ99" s="183">
        <f t="shared" si="168"/>
        <v>0</v>
      </c>
      <c r="BA99" s="183">
        <f t="shared" si="168"/>
        <v>0</v>
      </c>
      <c r="BB99" s="183">
        <f t="shared" si="168"/>
        <v>0</v>
      </c>
      <c r="BC99" s="183">
        <f t="shared" si="168"/>
        <v>0</v>
      </c>
      <c r="BD99" s="183">
        <f t="shared" si="168"/>
        <v>0</v>
      </c>
      <c r="BE99" s="183">
        <f t="shared" si="168"/>
        <v>0</v>
      </c>
      <c r="BF99" s="183">
        <f t="shared" si="168"/>
        <v>0</v>
      </c>
      <c r="BG99" s="183">
        <f t="shared" si="168"/>
        <v>0</v>
      </c>
      <c r="BH99" s="183">
        <f t="shared" si="168"/>
        <v>0</v>
      </c>
      <c r="BI99" s="183">
        <f t="shared" si="168"/>
        <v>0</v>
      </c>
      <c r="BJ99" s="183">
        <f t="shared" si="168"/>
        <v>0</v>
      </c>
      <c r="BK99" s="183">
        <f t="shared" si="168"/>
        <v>0</v>
      </c>
      <c r="BL99" s="183">
        <f t="shared" si="168"/>
        <v>0</v>
      </c>
      <c r="BM99" s="183">
        <f t="shared" si="168"/>
        <v>0</v>
      </c>
      <c r="BN99" s="183">
        <f t="shared" si="168"/>
        <v>0</v>
      </c>
      <c r="BO99" s="183">
        <f t="shared" si="168"/>
        <v>0</v>
      </c>
      <c r="BP99" s="183">
        <f t="shared" si="168"/>
        <v>0</v>
      </c>
      <c r="BQ99" s="183">
        <f t="shared" si="168"/>
        <v>0</v>
      </c>
      <c r="BR99" s="183">
        <f t="shared" si="168"/>
        <v>0</v>
      </c>
      <c r="BS99" s="183">
        <f t="shared" si="168"/>
        <v>0</v>
      </c>
      <c r="BT99" s="183">
        <f t="shared" si="168"/>
        <v>0</v>
      </c>
      <c r="BU99" s="183">
        <f t="shared" si="168"/>
        <v>0</v>
      </c>
      <c r="BV99" s="183">
        <f t="shared" si="168"/>
        <v>0</v>
      </c>
      <c r="BW99" s="183">
        <f t="shared" si="168"/>
        <v>0</v>
      </c>
      <c r="BX99" s="183">
        <f t="shared" si="168"/>
        <v>0</v>
      </c>
      <c r="BY99" s="183">
        <f t="shared" si="168"/>
        <v>0</v>
      </c>
      <c r="BZ99" s="183">
        <f t="shared" si="168"/>
        <v>0</v>
      </c>
      <c r="CA99" s="183">
        <f t="shared" si="168"/>
        <v>0</v>
      </c>
      <c r="CB99" s="183">
        <f t="shared" si="168"/>
        <v>0</v>
      </c>
      <c r="CC99" s="183">
        <f t="shared" si="168"/>
        <v>0</v>
      </c>
      <c r="CD99" s="183">
        <f t="shared" si="168"/>
        <v>0</v>
      </c>
      <c r="CE99" s="183">
        <f t="shared" si="168"/>
        <v>0</v>
      </c>
      <c r="CF99" s="183">
        <f t="shared" si="168"/>
        <v>0</v>
      </c>
      <c r="CG99" s="183">
        <f t="shared" si="168"/>
        <v>0</v>
      </c>
      <c r="CH99" s="183">
        <f t="shared" si="168"/>
        <v>0</v>
      </c>
      <c r="CI99" s="183">
        <f t="shared" si="168"/>
        <v>0</v>
      </c>
      <c r="CJ99" s="183">
        <f t="shared" si="168"/>
        <v>0</v>
      </c>
      <c r="CK99" s="183">
        <f t="shared" si="168"/>
        <v>0</v>
      </c>
      <c r="CL99" s="183">
        <f t="shared" si="166"/>
        <v>0</v>
      </c>
      <c r="CM99" s="183">
        <f t="shared" si="166"/>
        <v>0</v>
      </c>
      <c r="CN99" s="183">
        <f t="shared" si="166"/>
        <v>0</v>
      </c>
      <c r="CO99" s="183">
        <f t="shared" si="166"/>
        <v>0</v>
      </c>
      <c r="CP99" s="183">
        <f t="shared" si="166"/>
        <v>0</v>
      </c>
      <c r="CQ99" s="183">
        <f t="shared" si="166"/>
        <v>0</v>
      </c>
      <c r="CR99" s="183">
        <f t="shared" si="166"/>
        <v>0</v>
      </c>
      <c r="CS99" s="183">
        <f t="shared" si="166"/>
        <v>0</v>
      </c>
      <c r="CT99" s="183">
        <f t="shared" si="166"/>
        <v>0</v>
      </c>
      <c r="CU99" s="183">
        <f t="shared" si="166"/>
        <v>0</v>
      </c>
      <c r="CV99" s="183">
        <f t="shared" si="166"/>
        <v>0</v>
      </c>
      <c r="CW99" s="183">
        <f t="shared" si="166"/>
        <v>0</v>
      </c>
      <c r="CX99" s="183">
        <f t="shared" si="166"/>
        <v>0</v>
      </c>
      <c r="CY99" s="183">
        <f t="shared" si="166"/>
        <v>0</v>
      </c>
      <c r="CZ99" s="183">
        <f t="shared" si="166"/>
        <v>0</v>
      </c>
      <c r="DA99" s="183">
        <f t="shared" si="167"/>
        <v>0</v>
      </c>
      <c r="DB99" s="183">
        <f t="shared" si="167"/>
        <v>0</v>
      </c>
      <c r="DC99" s="183">
        <f t="shared" si="167"/>
        <v>0</v>
      </c>
      <c r="DD99" s="183">
        <f t="shared" si="167"/>
        <v>0</v>
      </c>
      <c r="DE99" s="183">
        <f t="shared" si="167"/>
        <v>0</v>
      </c>
      <c r="DF99" s="183">
        <f t="shared" si="167"/>
        <v>0</v>
      </c>
      <c r="DG99" s="183">
        <f t="shared" si="167"/>
        <v>0</v>
      </c>
      <c r="DH99" s="183">
        <f t="shared" si="167"/>
        <v>0</v>
      </c>
      <c r="DI99" s="183">
        <f t="shared" si="167"/>
        <v>0</v>
      </c>
      <c r="DJ99" s="183">
        <f t="shared" si="167"/>
        <v>0</v>
      </c>
      <c r="DK99" s="183">
        <f t="shared" si="167"/>
        <v>0</v>
      </c>
      <c r="DL99" s="183">
        <f t="shared" si="167"/>
        <v>0</v>
      </c>
      <c r="DM99" s="183">
        <f t="shared" si="167"/>
        <v>0</v>
      </c>
      <c r="DN99" s="183">
        <f t="shared" si="167"/>
        <v>0</v>
      </c>
      <c r="DO99" s="183">
        <f t="shared" si="167"/>
        <v>0</v>
      </c>
      <c r="DP99" s="183">
        <f t="shared" si="167"/>
        <v>0</v>
      </c>
      <c r="DQ99" s="183">
        <f t="shared" si="167"/>
        <v>0</v>
      </c>
      <c r="DR99" s="183">
        <f t="shared" si="167"/>
        <v>0</v>
      </c>
      <c r="DS99" s="183">
        <f t="shared" si="167"/>
        <v>0</v>
      </c>
      <c r="DT99" s="183">
        <f t="shared" si="167"/>
        <v>0</v>
      </c>
      <c r="DU99" s="183">
        <f t="shared" si="167"/>
        <v>0</v>
      </c>
      <c r="DV99" s="183">
        <f t="shared" si="167"/>
        <v>0</v>
      </c>
      <c r="DW99" s="183">
        <f t="shared" si="167"/>
        <v>0</v>
      </c>
      <c r="DX99" s="183">
        <f t="shared" si="167"/>
        <v>0</v>
      </c>
      <c r="DY99" s="183">
        <f t="shared" si="167"/>
        <v>0</v>
      </c>
      <c r="DZ99" s="183">
        <f t="shared" si="167"/>
        <v>0</v>
      </c>
      <c r="EA99" s="183">
        <f t="shared" si="167"/>
        <v>0</v>
      </c>
      <c r="EB99" s="183">
        <f t="shared" si="167"/>
        <v>0</v>
      </c>
      <c r="EC99" s="183">
        <f t="shared" si="167"/>
        <v>0</v>
      </c>
      <c r="ED99" s="183">
        <f t="shared" si="167"/>
        <v>0</v>
      </c>
      <c r="EE99" s="183">
        <f t="shared" si="167"/>
        <v>0</v>
      </c>
      <c r="EF99" s="183">
        <f t="shared" si="167"/>
        <v>0</v>
      </c>
      <c r="EG99" s="183">
        <f t="shared" si="167"/>
        <v>0</v>
      </c>
      <c r="EH99" s="183">
        <f t="shared" si="167"/>
        <v>0</v>
      </c>
      <c r="EI99" s="183">
        <f t="shared" si="167"/>
        <v>0</v>
      </c>
      <c r="EJ99" s="183">
        <f t="shared" si="167"/>
        <v>0</v>
      </c>
      <c r="EK99" s="183">
        <f t="shared" si="167"/>
        <v>0</v>
      </c>
      <c r="EL99" s="183">
        <f t="shared" si="167"/>
        <v>0</v>
      </c>
      <c r="EM99" s="183">
        <f t="shared" si="167"/>
        <v>0</v>
      </c>
      <c r="EN99" s="183">
        <f t="shared" si="167"/>
        <v>0</v>
      </c>
      <c r="EO99" s="183">
        <f t="shared" si="167"/>
        <v>0</v>
      </c>
      <c r="EP99" s="183">
        <f t="shared" si="167"/>
        <v>0</v>
      </c>
      <c r="EQ99" s="183">
        <f t="shared" si="167"/>
        <v>0</v>
      </c>
      <c r="ER99" s="183">
        <f t="shared" si="167"/>
        <v>0</v>
      </c>
      <c r="ES99" s="183">
        <f t="shared" si="167"/>
        <v>0</v>
      </c>
      <c r="ET99" s="183">
        <f t="shared" si="167"/>
        <v>0</v>
      </c>
      <c r="EU99" s="183">
        <f t="shared" si="167"/>
        <v>0</v>
      </c>
      <c r="EV99" s="183">
        <f t="shared" si="167"/>
        <v>0</v>
      </c>
      <c r="EW99" s="183">
        <f t="shared" si="167"/>
        <v>0</v>
      </c>
      <c r="EX99" s="183">
        <f t="shared" si="167"/>
        <v>0</v>
      </c>
      <c r="EY99" s="183">
        <f t="shared" si="167"/>
        <v>0</v>
      </c>
      <c r="EZ99" s="183">
        <f t="shared" si="167"/>
        <v>0</v>
      </c>
      <c r="FB99" s="609" t="s">
        <v>243</v>
      </c>
    </row>
    <row r="100" spans="1:219" s="663" customFormat="1" x14ac:dyDescent="0.2">
      <c r="A100" s="630"/>
      <c r="B100" s="638" t="s">
        <v>861</v>
      </c>
      <c r="C100" s="343"/>
      <c r="D100" s="443">
        <v>0</v>
      </c>
      <c r="E100" s="670">
        <f>IF(units=0,0,'Renovation Budget'!D100/units)</f>
        <v>0</v>
      </c>
      <c r="F100" s="640">
        <v>0</v>
      </c>
      <c r="G100" s="640">
        <v>0</v>
      </c>
      <c r="H100" s="641">
        <f t="shared" si="163"/>
        <v>0</v>
      </c>
      <c r="I100" s="642" t="s">
        <v>107</v>
      </c>
      <c r="J100" s="668"/>
      <c r="K100" s="669"/>
      <c r="L100" s="183">
        <f t="shared" si="164"/>
        <v>0</v>
      </c>
      <c r="M100" s="183">
        <f t="shared" si="164"/>
        <v>0</v>
      </c>
      <c r="N100" s="183">
        <f t="shared" si="164"/>
        <v>0</v>
      </c>
      <c r="O100" s="183">
        <f t="shared" si="164"/>
        <v>0</v>
      </c>
      <c r="P100" s="183">
        <f t="shared" si="164"/>
        <v>0</v>
      </c>
      <c r="Q100" s="183">
        <f t="shared" si="164"/>
        <v>0</v>
      </c>
      <c r="R100" s="183">
        <f t="shared" si="164"/>
        <v>0</v>
      </c>
      <c r="S100" s="183">
        <f t="shared" si="164"/>
        <v>0</v>
      </c>
      <c r="T100" s="183">
        <f t="shared" si="164"/>
        <v>0</v>
      </c>
      <c r="U100" s="183">
        <f t="shared" si="164"/>
        <v>0</v>
      </c>
      <c r="V100" s="183">
        <f t="shared" si="164"/>
        <v>0</v>
      </c>
      <c r="W100" s="669"/>
      <c r="X100" s="183">
        <f>IF(G100+F100=0,D100,0)</f>
        <v>0</v>
      </c>
      <c r="Y100" s="183">
        <f t="shared" si="165"/>
        <v>0</v>
      </c>
      <c r="Z100" s="183">
        <f t="shared" si="168"/>
        <v>0</v>
      </c>
      <c r="AA100" s="183">
        <f t="shared" si="168"/>
        <v>0</v>
      </c>
      <c r="AB100" s="183">
        <f t="shared" si="168"/>
        <v>0</v>
      </c>
      <c r="AC100" s="183">
        <f t="shared" si="168"/>
        <v>0</v>
      </c>
      <c r="AD100" s="183">
        <f t="shared" si="168"/>
        <v>0</v>
      </c>
      <c r="AE100" s="183">
        <f t="shared" si="168"/>
        <v>0</v>
      </c>
      <c r="AF100" s="183">
        <f t="shared" si="168"/>
        <v>0</v>
      </c>
      <c r="AG100" s="183">
        <f t="shared" si="168"/>
        <v>0</v>
      </c>
      <c r="AH100" s="183">
        <f t="shared" si="168"/>
        <v>0</v>
      </c>
      <c r="AI100" s="183">
        <f t="shared" si="168"/>
        <v>0</v>
      </c>
      <c r="AJ100" s="183">
        <f t="shared" si="168"/>
        <v>0</v>
      </c>
      <c r="AK100" s="183">
        <f t="shared" si="168"/>
        <v>0</v>
      </c>
      <c r="AL100" s="183">
        <f t="shared" si="168"/>
        <v>0</v>
      </c>
      <c r="AM100" s="183">
        <f t="shared" si="168"/>
        <v>0</v>
      </c>
      <c r="AN100" s="183">
        <f t="shared" si="168"/>
        <v>0</v>
      </c>
      <c r="AO100" s="183">
        <f t="shared" si="168"/>
        <v>0</v>
      </c>
      <c r="AP100" s="183">
        <f t="shared" si="168"/>
        <v>0</v>
      </c>
      <c r="AQ100" s="183">
        <f t="shared" si="168"/>
        <v>0</v>
      </c>
      <c r="AR100" s="183">
        <f t="shared" si="168"/>
        <v>0</v>
      </c>
      <c r="AS100" s="183">
        <f t="shared" si="168"/>
        <v>0</v>
      </c>
      <c r="AT100" s="183">
        <f t="shared" si="168"/>
        <v>0</v>
      </c>
      <c r="AU100" s="183">
        <f t="shared" si="168"/>
        <v>0</v>
      </c>
      <c r="AV100" s="183">
        <f t="shared" si="168"/>
        <v>0</v>
      </c>
      <c r="AW100" s="183">
        <f t="shared" si="168"/>
        <v>0</v>
      </c>
      <c r="AX100" s="183">
        <f t="shared" si="168"/>
        <v>0</v>
      </c>
      <c r="AY100" s="183">
        <f t="shared" si="168"/>
        <v>0</v>
      </c>
      <c r="AZ100" s="183">
        <f t="shared" si="168"/>
        <v>0</v>
      </c>
      <c r="BA100" s="183">
        <f t="shared" si="168"/>
        <v>0</v>
      </c>
      <c r="BB100" s="183">
        <f t="shared" si="168"/>
        <v>0</v>
      </c>
      <c r="BC100" s="183">
        <f t="shared" si="168"/>
        <v>0</v>
      </c>
      <c r="BD100" s="183">
        <f t="shared" si="168"/>
        <v>0</v>
      </c>
      <c r="BE100" s="183">
        <f t="shared" si="168"/>
        <v>0</v>
      </c>
      <c r="BF100" s="183">
        <f t="shared" si="168"/>
        <v>0</v>
      </c>
      <c r="BG100" s="183">
        <f t="shared" si="168"/>
        <v>0</v>
      </c>
      <c r="BH100" s="183">
        <f t="shared" si="168"/>
        <v>0</v>
      </c>
      <c r="BI100" s="183">
        <f t="shared" si="168"/>
        <v>0</v>
      </c>
      <c r="BJ100" s="183">
        <f t="shared" si="168"/>
        <v>0</v>
      </c>
      <c r="BK100" s="183">
        <f t="shared" si="168"/>
        <v>0</v>
      </c>
      <c r="BL100" s="183">
        <f t="shared" si="168"/>
        <v>0</v>
      </c>
      <c r="BM100" s="183">
        <f t="shared" si="168"/>
        <v>0</v>
      </c>
      <c r="BN100" s="183">
        <f t="shared" si="168"/>
        <v>0</v>
      </c>
      <c r="BO100" s="183">
        <f t="shared" si="168"/>
        <v>0</v>
      </c>
      <c r="BP100" s="183">
        <f t="shared" si="168"/>
        <v>0</v>
      </c>
      <c r="BQ100" s="183">
        <f t="shared" si="168"/>
        <v>0</v>
      </c>
      <c r="BR100" s="183">
        <f t="shared" si="168"/>
        <v>0</v>
      </c>
      <c r="BS100" s="183">
        <f t="shared" si="168"/>
        <v>0</v>
      </c>
      <c r="BT100" s="183">
        <f t="shared" si="168"/>
        <v>0</v>
      </c>
      <c r="BU100" s="183">
        <f t="shared" si="168"/>
        <v>0</v>
      </c>
      <c r="BV100" s="183">
        <f t="shared" si="168"/>
        <v>0</v>
      </c>
      <c r="BW100" s="183">
        <f t="shared" si="168"/>
        <v>0</v>
      </c>
      <c r="BX100" s="183">
        <f t="shared" si="168"/>
        <v>0</v>
      </c>
      <c r="BY100" s="183">
        <f t="shared" si="168"/>
        <v>0</v>
      </c>
      <c r="BZ100" s="183">
        <f t="shared" si="168"/>
        <v>0</v>
      </c>
      <c r="CA100" s="183">
        <f t="shared" si="168"/>
        <v>0</v>
      </c>
      <c r="CB100" s="183">
        <f t="shared" si="168"/>
        <v>0</v>
      </c>
      <c r="CC100" s="183">
        <f t="shared" si="168"/>
        <v>0</v>
      </c>
      <c r="CD100" s="183">
        <f t="shared" si="168"/>
        <v>0</v>
      </c>
      <c r="CE100" s="183">
        <f t="shared" si="168"/>
        <v>0</v>
      </c>
      <c r="CF100" s="183">
        <f t="shared" si="168"/>
        <v>0</v>
      </c>
      <c r="CG100" s="183">
        <f t="shared" si="168"/>
        <v>0</v>
      </c>
      <c r="CH100" s="183">
        <f t="shared" si="168"/>
        <v>0</v>
      </c>
      <c r="CI100" s="183">
        <f t="shared" si="168"/>
        <v>0</v>
      </c>
      <c r="CJ100" s="183">
        <f t="shared" si="168"/>
        <v>0</v>
      </c>
      <c r="CK100" s="183">
        <f t="shared" si="168"/>
        <v>0</v>
      </c>
      <c r="CL100" s="183">
        <f t="shared" si="166"/>
        <v>0</v>
      </c>
      <c r="CM100" s="183">
        <f t="shared" si="166"/>
        <v>0</v>
      </c>
      <c r="CN100" s="183">
        <f t="shared" si="166"/>
        <v>0</v>
      </c>
      <c r="CO100" s="183">
        <f t="shared" si="166"/>
        <v>0</v>
      </c>
      <c r="CP100" s="183">
        <f t="shared" si="166"/>
        <v>0</v>
      </c>
      <c r="CQ100" s="183">
        <f t="shared" si="166"/>
        <v>0</v>
      </c>
      <c r="CR100" s="183">
        <f t="shared" si="166"/>
        <v>0</v>
      </c>
      <c r="CS100" s="183">
        <f t="shared" si="166"/>
        <v>0</v>
      </c>
      <c r="CT100" s="183">
        <f t="shared" si="166"/>
        <v>0</v>
      </c>
      <c r="CU100" s="183">
        <f t="shared" si="166"/>
        <v>0</v>
      </c>
      <c r="CV100" s="183">
        <f t="shared" si="166"/>
        <v>0</v>
      </c>
      <c r="CW100" s="183">
        <f t="shared" si="166"/>
        <v>0</v>
      </c>
      <c r="CX100" s="183">
        <f t="shared" si="166"/>
        <v>0</v>
      </c>
      <c r="CY100" s="183">
        <f t="shared" si="166"/>
        <v>0</v>
      </c>
      <c r="CZ100" s="183">
        <f t="shared" si="166"/>
        <v>0</v>
      </c>
      <c r="DA100" s="183">
        <f t="shared" si="167"/>
        <v>0</v>
      </c>
      <c r="DB100" s="183">
        <f t="shared" si="167"/>
        <v>0</v>
      </c>
      <c r="DC100" s="183">
        <f t="shared" si="167"/>
        <v>0</v>
      </c>
      <c r="DD100" s="183">
        <f t="shared" si="167"/>
        <v>0</v>
      </c>
      <c r="DE100" s="183">
        <f t="shared" si="167"/>
        <v>0</v>
      </c>
      <c r="DF100" s="183">
        <f t="shared" si="167"/>
        <v>0</v>
      </c>
      <c r="DG100" s="183">
        <f t="shared" si="167"/>
        <v>0</v>
      </c>
      <c r="DH100" s="183">
        <f t="shared" si="167"/>
        <v>0</v>
      </c>
      <c r="DI100" s="183">
        <f t="shared" si="167"/>
        <v>0</v>
      </c>
      <c r="DJ100" s="183">
        <f t="shared" si="167"/>
        <v>0</v>
      </c>
      <c r="DK100" s="183">
        <f t="shared" si="167"/>
        <v>0</v>
      </c>
      <c r="DL100" s="183">
        <f t="shared" si="167"/>
        <v>0</v>
      </c>
      <c r="DM100" s="183">
        <f t="shared" si="167"/>
        <v>0</v>
      </c>
      <c r="DN100" s="183">
        <f t="shared" si="167"/>
        <v>0</v>
      </c>
      <c r="DO100" s="183">
        <f t="shared" si="167"/>
        <v>0</v>
      </c>
      <c r="DP100" s="183">
        <f t="shared" si="167"/>
        <v>0</v>
      </c>
      <c r="DQ100" s="183">
        <f t="shared" si="167"/>
        <v>0</v>
      </c>
      <c r="DR100" s="183">
        <f t="shared" si="167"/>
        <v>0</v>
      </c>
      <c r="DS100" s="183">
        <f t="shared" si="167"/>
        <v>0</v>
      </c>
      <c r="DT100" s="183">
        <f t="shared" si="167"/>
        <v>0</v>
      </c>
      <c r="DU100" s="183">
        <f t="shared" si="167"/>
        <v>0</v>
      </c>
      <c r="DV100" s="183">
        <f t="shared" si="167"/>
        <v>0</v>
      </c>
      <c r="DW100" s="183">
        <f t="shared" si="167"/>
        <v>0</v>
      </c>
      <c r="DX100" s="183">
        <f t="shared" si="167"/>
        <v>0</v>
      </c>
      <c r="DY100" s="183">
        <f t="shared" si="167"/>
        <v>0</v>
      </c>
      <c r="DZ100" s="183">
        <f t="shared" si="167"/>
        <v>0</v>
      </c>
      <c r="EA100" s="183">
        <f t="shared" si="167"/>
        <v>0</v>
      </c>
      <c r="EB100" s="183">
        <f t="shared" si="167"/>
        <v>0</v>
      </c>
      <c r="EC100" s="183">
        <f t="shared" si="167"/>
        <v>0</v>
      </c>
      <c r="ED100" s="183">
        <f t="shared" si="167"/>
        <v>0</v>
      </c>
      <c r="EE100" s="183">
        <f t="shared" si="167"/>
        <v>0</v>
      </c>
      <c r="EF100" s="183">
        <f t="shared" si="167"/>
        <v>0</v>
      </c>
      <c r="EG100" s="183">
        <f t="shared" si="167"/>
        <v>0</v>
      </c>
      <c r="EH100" s="183">
        <f t="shared" si="167"/>
        <v>0</v>
      </c>
      <c r="EI100" s="183">
        <f t="shared" si="167"/>
        <v>0</v>
      </c>
      <c r="EJ100" s="183">
        <f t="shared" si="167"/>
        <v>0</v>
      </c>
      <c r="EK100" s="183">
        <f t="shared" si="167"/>
        <v>0</v>
      </c>
      <c r="EL100" s="183">
        <f t="shared" si="167"/>
        <v>0</v>
      </c>
      <c r="EM100" s="183">
        <f t="shared" si="167"/>
        <v>0</v>
      </c>
      <c r="EN100" s="183">
        <f t="shared" si="167"/>
        <v>0</v>
      </c>
      <c r="EO100" s="183">
        <f t="shared" si="167"/>
        <v>0</v>
      </c>
      <c r="EP100" s="183">
        <f t="shared" si="167"/>
        <v>0</v>
      </c>
      <c r="EQ100" s="183">
        <f t="shared" si="167"/>
        <v>0</v>
      </c>
      <c r="ER100" s="183">
        <f t="shared" si="167"/>
        <v>0</v>
      </c>
      <c r="ES100" s="183">
        <f t="shared" si="167"/>
        <v>0</v>
      </c>
      <c r="ET100" s="183">
        <f t="shared" si="167"/>
        <v>0</v>
      </c>
      <c r="EU100" s="183">
        <f t="shared" si="167"/>
        <v>0</v>
      </c>
      <c r="EV100" s="183">
        <f t="shared" si="167"/>
        <v>0</v>
      </c>
      <c r="EW100" s="183">
        <f t="shared" si="167"/>
        <v>0</v>
      </c>
      <c r="EX100" s="183">
        <f t="shared" si="167"/>
        <v>0</v>
      </c>
      <c r="EY100" s="183">
        <f t="shared" si="167"/>
        <v>0</v>
      </c>
      <c r="EZ100" s="183">
        <f t="shared" si="167"/>
        <v>0</v>
      </c>
      <c r="FB100" s="609" t="s">
        <v>243</v>
      </c>
    </row>
    <row r="101" spans="1:219" s="663" customFormat="1" x14ac:dyDescent="0.2">
      <c r="A101" s="630"/>
      <c r="B101" s="638" t="s">
        <v>861</v>
      </c>
      <c r="C101" s="343"/>
      <c r="D101" s="443">
        <v>0</v>
      </c>
      <c r="E101" s="670">
        <f>IF(units=0,0,'Renovation Budget'!D101/units)</f>
        <v>0</v>
      </c>
      <c r="F101" s="640">
        <v>0</v>
      </c>
      <c r="G101" s="640">
        <v>0</v>
      </c>
      <c r="H101" s="641">
        <f t="shared" si="163"/>
        <v>0</v>
      </c>
      <c r="I101" s="642" t="s">
        <v>107</v>
      </c>
      <c r="J101" s="668"/>
      <c r="K101" s="669"/>
      <c r="L101" s="183">
        <f t="shared" si="164"/>
        <v>0</v>
      </c>
      <c r="M101" s="183">
        <f t="shared" si="164"/>
        <v>0</v>
      </c>
      <c r="N101" s="183">
        <f t="shared" si="164"/>
        <v>0</v>
      </c>
      <c r="O101" s="183">
        <f t="shared" si="164"/>
        <v>0</v>
      </c>
      <c r="P101" s="183">
        <f t="shared" si="164"/>
        <v>0</v>
      </c>
      <c r="Q101" s="183">
        <f t="shared" si="164"/>
        <v>0</v>
      </c>
      <c r="R101" s="183">
        <f t="shared" si="164"/>
        <v>0</v>
      </c>
      <c r="S101" s="183">
        <f t="shared" si="164"/>
        <v>0</v>
      </c>
      <c r="T101" s="183">
        <f t="shared" si="164"/>
        <v>0</v>
      </c>
      <c r="U101" s="183">
        <f t="shared" si="164"/>
        <v>0</v>
      </c>
      <c r="V101" s="183">
        <f t="shared" si="164"/>
        <v>0</v>
      </c>
      <c r="W101" s="669"/>
      <c r="X101" s="183">
        <f>IF(G101+F101=0,D101,0)</f>
        <v>0</v>
      </c>
      <c r="Y101" s="183">
        <f t="shared" si="165"/>
        <v>0</v>
      </c>
      <c r="Z101" s="183">
        <f t="shared" si="168"/>
        <v>0</v>
      </c>
      <c r="AA101" s="183">
        <f t="shared" si="168"/>
        <v>0</v>
      </c>
      <c r="AB101" s="183">
        <f t="shared" si="168"/>
        <v>0</v>
      </c>
      <c r="AC101" s="183">
        <f t="shared" si="168"/>
        <v>0</v>
      </c>
      <c r="AD101" s="183">
        <f t="shared" si="168"/>
        <v>0</v>
      </c>
      <c r="AE101" s="183">
        <f t="shared" si="168"/>
        <v>0</v>
      </c>
      <c r="AF101" s="183">
        <f t="shared" si="168"/>
        <v>0</v>
      </c>
      <c r="AG101" s="183">
        <f t="shared" si="168"/>
        <v>0</v>
      </c>
      <c r="AH101" s="183">
        <f t="shared" si="168"/>
        <v>0</v>
      </c>
      <c r="AI101" s="183">
        <f t="shared" si="168"/>
        <v>0</v>
      </c>
      <c r="AJ101" s="183">
        <f t="shared" si="168"/>
        <v>0</v>
      </c>
      <c r="AK101" s="183">
        <f t="shared" si="168"/>
        <v>0</v>
      </c>
      <c r="AL101" s="183">
        <f t="shared" si="168"/>
        <v>0</v>
      </c>
      <c r="AM101" s="183">
        <f t="shared" si="168"/>
        <v>0</v>
      </c>
      <c r="AN101" s="183">
        <f t="shared" si="168"/>
        <v>0</v>
      </c>
      <c r="AO101" s="183">
        <f t="shared" si="168"/>
        <v>0</v>
      </c>
      <c r="AP101" s="183">
        <f t="shared" si="168"/>
        <v>0</v>
      </c>
      <c r="AQ101" s="183">
        <f t="shared" si="168"/>
        <v>0</v>
      </c>
      <c r="AR101" s="183">
        <f t="shared" si="168"/>
        <v>0</v>
      </c>
      <c r="AS101" s="183">
        <f t="shared" si="168"/>
        <v>0</v>
      </c>
      <c r="AT101" s="183">
        <f t="shared" si="168"/>
        <v>0</v>
      </c>
      <c r="AU101" s="183">
        <f t="shared" si="168"/>
        <v>0</v>
      </c>
      <c r="AV101" s="183">
        <f t="shared" si="168"/>
        <v>0</v>
      </c>
      <c r="AW101" s="183">
        <f t="shared" si="168"/>
        <v>0</v>
      </c>
      <c r="AX101" s="183">
        <f t="shared" si="168"/>
        <v>0</v>
      </c>
      <c r="AY101" s="183">
        <f t="shared" si="168"/>
        <v>0</v>
      </c>
      <c r="AZ101" s="183">
        <f t="shared" si="168"/>
        <v>0</v>
      </c>
      <c r="BA101" s="183">
        <f t="shared" si="168"/>
        <v>0</v>
      </c>
      <c r="BB101" s="183">
        <f t="shared" si="168"/>
        <v>0</v>
      </c>
      <c r="BC101" s="183">
        <f t="shared" si="168"/>
        <v>0</v>
      </c>
      <c r="BD101" s="183">
        <f t="shared" si="168"/>
        <v>0</v>
      </c>
      <c r="BE101" s="183">
        <f t="shared" si="168"/>
        <v>0</v>
      </c>
      <c r="BF101" s="183">
        <f t="shared" si="168"/>
        <v>0</v>
      </c>
      <c r="BG101" s="183">
        <f t="shared" si="168"/>
        <v>0</v>
      </c>
      <c r="BH101" s="183">
        <f t="shared" si="168"/>
        <v>0</v>
      </c>
      <c r="BI101" s="183">
        <f t="shared" si="168"/>
        <v>0</v>
      </c>
      <c r="BJ101" s="183">
        <f t="shared" si="168"/>
        <v>0</v>
      </c>
      <c r="BK101" s="183">
        <f t="shared" si="168"/>
        <v>0</v>
      </c>
      <c r="BL101" s="183">
        <f t="shared" si="168"/>
        <v>0</v>
      </c>
      <c r="BM101" s="183">
        <f t="shared" si="168"/>
        <v>0</v>
      </c>
      <c r="BN101" s="183">
        <f t="shared" si="168"/>
        <v>0</v>
      </c>
      <c r="BO101" s="183">
        <f t="shared" si="168"/>
        <v>0</v>
      </c>
      <c r="BP101" s="183">
        <f t="shared" si="168"/>
        <v>0</v>
      </c>
      <c r="BQ101" s="183">
        <f t="shared" si="168"/>
        <v>0</v>
      </c>
      <c r="BR101" s="183">
        <f t="shared" si="168"/>
        <v>0</v>
      </c>
      <c r="BS101" s="183">
        <f t="shared" si="168"/>
        <v>0</v>
      </c>
      <c r="BT101" s="183">
        <f t="shared" si="168"/>
        <v>0</v>
      </c>
      <c r="BU101" s="183">
        <f t="shared" si="168"/>
        <v>0</v>
      </c>
      <c r="BV101" s="183">
        <f t="shared" si="168"/>
        <v>0</v>
      </c>
      <c r="BW101" s="183">
        <f t="shared" si="168"/>
        <v>0</v>
      </c>
      <c r="BX101" s="183">
        <f t="shared" si="168"/>
        <v>0</v>
      </c>
      <c r="BY101" s="183">
        <f t="shared" si="168"/>
        <v>0</v>
      </c>
      <c r="BZ101" s="183">
        <f t="shared" si="168"/>
        <v>0</v>
      </c>
      <c r="CA101" s="183">
        <f t="shared" si="168"/>
        <v>0</v>
      </c>
      <c r="CB101" s="183">
        <f t="shared" si="168"/>
        <v>0</v>
      </c>
      <c r="CC101" s="183">
        <f t="shared" si="168"/>
        <v>0</v>
      </c>
      <c r="CD101" s="183">
        <f t="shared" si="168"/>
        <v>0</v>
      </c>
      <c r="CE101" s="183">
        <f t="shared" si="168"/>
        <v>0</v>
      </c>
      <c r="CF101" s="183">
        <f t="shared" si="168"/>
        <v>0</v>
      </c>
      <c r="CG101" s="183">
        <f t="shared" si="168"/>
        <v>0</v>
      </c>
      <c r="CH101" s="183">
        <f t="shared" si="168"/>
        <v>0</v>
      </c>
      <c r="CI101" s="183">
        <f t="shared" si="168"/>
        <v>0</v>
      </c>
      <c r="CJ101" s="183">
        <f t="shared" si="168"/>
        <v>0</v>
      </c>
      <c r="CK101" s="183">
        <f t="shared" si="168"/>
        <v>0</v>
      </c>
      <c r="CL101" s="183">
        <f t="shared" si="166"/>
        <v>0</v>
      </c>
      <c r="CM101" s="183">
        <f t="shared" si="166"/>
        <v>0</v>
      </c>
      <c r="CN101" s="183">
        <f t="shared" si="166"/>
        <v>0</v>
      </c>
      <c r="CO101" s="183">
        <f t="shared" si="166"/>
        <v>0</v>
      </c>
      <c r="CP101" s="183">
        <f t="shared" si="166"/>
        <v>0</v>
      </c>
      <c r="CQ101" s="183">
        <f t="shared" si="166"/>
        <v>0</v>
      </c>
      <c r="CR101" s="183">
        <f t="shared" si="166"/>
        <v>0</v>
      </c>
      <c r="CS101" s="183">
        <f t="shared" si="166"/>
        <v>0</v>
      </c>
      <c r="CT101" s="183">
        <f t="shared" si="166"/>
        <v>0</v>
      </c>
      <c r="CU101" s="183">
        <f t="shared" si="166"/>
        <v>0</v>
      </c>
      <c r="CV101" s="183">
        <f t="shared" si="166"/>
        <v>0</v>
      </c>
      <c r="CW101" s="183">
        <f t="shared" si="166"/>
        <v>0</v>
      </c>
      <c r="CX101" s="183">
        <f t="shared" si="166"/>
        <v>0</v>
      </c>
      <c r="CY101" s="183">
        <f t="shared" si="166"/>
        <v>0</v>
      </c>
      <c r="CZ101" s="183">
        <f t="shared" si="166"/>
        <v>0</v>
      </c>
      <c r="DA101" s="183">
        <f t="shared" si="167"/>
        <v>0</v>
      </c>
      <c r="DB101" s="183">
        <f t="shared" si="167"/>
        <v>0</v>
      </c>
      <c r="DC101" s="183">
        <f t="shared" si="167"/>
        <v>0</v>
      </c>
      <c r="DD101" s="183">
        <f t="shared" si="167"/>
        <v>0</v>
      </c>
      <c r="DE101" s="183">
        <f t="shared" si="167"/>
        <v>0</v>
      </c>
      <c r="DF101" s="183">
        <f t="shared" si="167"/>
        <v>0</v>
      </c>
      <c r="DG101" s="183">
        <f t="shared" si="167"/>
        <v>0</v>
      </c>
      <c r="DH101" s="183">
        <f t="shared" si="167"/>
        <v>0</v>
      </c>
      <c r="DI101" s="183">
        <f t="shared" si="167"/>
        <v>0</v>
      </c>
      <c r="DJ101" s="183">
        <f t="shared" si="167"/>
        <v>0</v>
      </c>
      <c r="DK101" s="183">
        <f t="shared" si="167"/>
        <v>0</v>
      </c>
      <c r="DL101" s="183">
        <f t="shared" si="167"/>
        <v>0</v>
      </c>
      <c r="DM101" s="183">
        <f t="shared" si="167"/>
        <v>0</v>
      </c>
      <c r="DN101" s="183">
        <f t="shared" si="167"/>
        <v>0</v>
      </c>
      <c r="DO101" s="183">
        <f t="shared" si="167"/>
        <v>0</v>
      </c>
      <c r="DP101" s="183">
        <f t="shared" si="167"/>
        <v>0</v>
      </c>
      <c r="DQ101" s="183">
        <f t="shared" si="167"/>
        <v>0</v>
      </c>
      <c r="DR101" s="183">
        <f t="shared" si="167"/>
        <v>0</v>
      </c>
      <c r="DS101" s="183">
        <f t="shared" si="167"/>
        <v>0</v>
      </c>
      <c r="DT101" s="183">
        <f t="shared" si="167"/>
        <v>0</v>
      </c>
      <c r="DU101" s="183">
        <f t="shared" si="167"/>
        <v>0</v>
      </c>
      <c r="DV101" s="183">
        <f t="shared" si="167"/>
        <v>0</v>
      </c>
      <c r="DW101" s="183">
        <f t="shared" si="167"/>
        <v>0</v>
      </c>
      <c r="DX101" s="183">
        <f t="shared" si="167"/>
        <v>0</v>
      </c>
      <c r="DY101" s="183">
        <f t="shared" si="167"/>
        <v>0</v>
      </c>
      <c r="DZ101" s="183">
        <f t="shared" si="167"/>
        <v>0</v>
      </c>
      <c r="EA101" s="183">
        <f t="shared" si="167"/>
        <v>0</v>
      </c>
      <c r="EB101" s="183">
        <f t="shared" si="167"/>
        <v>0</v>
      </c>
      <c r="EC101" s="183">
        <f t="shared" si="167"/>
        <v>0</v>
      </c>
      <c r="ED101" s="183">
        <f t="shared" si="167"/>
        <v>0</v>
      </c>
      <c r="EE101" s="183">
        <f t="shared" si="167"/>
        <v>0</v>
      </c>
      <c r="EF101" s="183">
        <f t="shared" si="167"/>
        <v>0</v>
      </c>
      <c r="EG101" s="183">
        <f t="shared" si="167"/>
        <v>0</v>
      </c>
      <c r="EH101" s="183">
        <f t="shared" si="167"/>
        <v>0</v>
      </c>
      <c r="EI101" s="183">
        <f t="shared" si="167"/>
        <v>0</v>
      </c>
      <c r="EJ101" s="183">
        <f t="shared" si="167"/>
        <v>0</v>
      </c>
      <c r="EK101" s="183">
        <f t="shared" si="167"/>
        <v>0</v>
      </c>
      <c r="EL101" s="183">
        <f t="shared" si="167"/>
        <v>0</v>
      </c>
      <c r="EM101" s="183">
        <f t="shared" si="167"/>
        <v>0</v>
      </c>
      <c r="EN101" s="183">
        <f t="shared" si="167"/>
        <v>0</v>
      </c>
      <c r="EO101" s="183">
        <f t="shared" si="167"/>
        <v>0</v>
      </c>
      <c r="EP101" s="183">
        <f t="shared" si="167"/>
        <v>0</v>
      </c>
      <c r="EQ101" s="183">
        <f t="shared" si="167"/>
        <v>0</v>
      </c>
      <c r="ER101" s="183">
        <f t="shared" si="167"/>
        <v>0</v>
      </c>
      <c r="ES101" s="183">
        <f t="shared" si="167"/>
        <v>0</v>
      </c>
      <c r="ET101" s="183">
        <f t="shared" si="167"/>
        <v>0</v>
      </c>
      <c r="EU101" s="183">
        <f t="shared" si="167"/>
        <v>0</v>
      </c>
      <c r="EV101" s="183">
        <f t="shared" si="167"/>
        <v>0</v>
      </c>
      <c r="EW101" s="183">
        <f t="shared" si="167"/>
        <v>0</v>
      </c>
      <c r="EX101" s="183">
        <f t="shared" si="167"/>
        <v>0</v>
      </c>
      <c r="EY101" s="183">
        <f t="shared" si="167"/>
        <v>0</v>
      </c>
      <c r="EZ101" s="183">
        <f t="shared" si="167"/>
        <v>0</v>
      </c>
      <c r="FB101" s="609" t="s">
        <v>243</v>
      </c>
    </row>
    <row r="102" spans="1:219" s="663" customFormat="1" x14ac:dyDescent="0.2">
      <c r="A102" s="630"/>
      <c r="B102" s="638" t="s">
        <v>864</v>
      </c>
      <c r="C102" s="343"/>
      <c r="D102" s="443">
        <v>0</v>
      </c>
      <c r="E102" s="670">
        <f>IF(units=0,0,'Renovation Budget'!D102/units)</f>
        <v>0</v>
      </c>
      <c r="F102" s="640">
        <v>0</v>
      </c>
      <c r="G102" s="640">
        <v>0</v>
      </c>
      <c r="H102" s="641">
        <f t="shared" si="163"/>
        <v>0</v>
      </c>
      <c r="I102" s="642" t="s">
        <v>107</v>
      </c>
      <c r="J102" s="668"/>
      <c r="K102" s="669"/>
      <c r="L102" s="183">
        <f t="shared" si="164"/>
        <v>0</v>
      </c>
      <c r="M102" s="183">
        <f t="shared" si="164"/>
        <v>0</v>
      </c>
      <c r="N102" s="183">
        <f t="shared" si="164"/>
        <v>0</v>
      </c>
      <c r="O102" s="183">
        <f t="shared" si="164"/>
        <v>0</v>
      </c>
      <c r="P102" s="183">
        <f t="shared" si="164"/>
        <v>0</v>
      </c>
      <c r="Q102" s="183">
        <f t="shared" si="164"/>
        <v>0</v>
      </c>
      <c r="R102" s="183">
        <f t="shared" si="164"/>
        <v>0</v>
      </c>
      <c r="S102" s="183">
        <f t="shared" si="164"/>
        <v>0</v>
      </c>
      <c r="T102" s="183">
        <f t="shared" si="164"/>
        <v>0</v>
      </c>
      <c r="U102" s="183">
        <f t="shared" si="164"/>
        <v>0</v>
      </c>
      <c r="V102" s="183">
        <f t="shared" si="164"/>
        <v>0</v>
      </c>
      <c r="W102" s="669"/>
      <c r="X102" s="183">
        <f>IF(G102+F102=0,D102,0)</f>
        <v>0</v>
      </c>
      <c r="Y102" s="183">
        <f t="shared" si="165"/>
        <v>0</v>
      </c>
      <c r="Z102" s="183">
        <f t="shared" si="168"/>
        <v>0</v>
      </c>
      <c r="AA102" s="183">
        <f t="shared" si="168"/>
        <v>0</v>
      </c>
      <c r="AB102" s="183">
        <f t="shared" si="168"/>
        <v>0</v>
      </c>
      <c r="AC102" s="183">
        <f t="shared" si="168"/>
        <v>0</v>
      </c>
      <c r="AD102" s="183">
        <f t="shared" si="168"/>
        <v>0</v>
      </c>
      <c r="AE102" s="183">
        <f t="shared" si="168"/>
        <v>0</v>
      </c>
      <c r="AF102" s="183">
        <f t="shared" si="168"/>
        <v>0</v>
      </c>
      <c r="AG102" s="183">
        <f t="shared" si="168"/>
        <v>0</v>
      </c>
      <c r="AH102" s="183">
        <f t="shared" si="168"/>
        <v>0</v>
      </c>
      <c r="AI102" s="183">
        <f t="shared" si="168"/>
        <v>0</v>
      </c>
      <c r="AJ102" s="183">
        <f t="shared" si="168"/>
        <v>0</v>
      </c>
      <c r="AK102" s="183">
        <f t="shared" si="168"/>
        <v>0</v>
      </c>
      <c r="AL102" s="183">
        <f t="shared" si="168"/>
        <v>0</v>
      </c>
      <c r="AM102" s="183">
        <f t="shared" si="168"/>
        <v>0</v>
      </c>
      <c r="AN102" s="183">
        <f t="shared" si="168"/>
        <v>0</v>
      </c>
      <c r="AO102" s="183">
        <f t="shared" si="168"/>
        <v>0</v>
      </c>
      <c r="AP102" s="183">
        <f t="shared" si="168"/>
        <v>0</v>
      </c>
      <c r="AQ102" s="183">
        <f t="shared" si="168"/>
        <v>0</v>
      </c>
      <c r="AR102" s="183">
        <f t="shared" si="168"/>
        <v>0</v>
      </c>
      <c r="AS102" s="183">
        <f t="shared" si="168"/>
        <v>0</v>
      </c>
      <c r="AT102" s="183">
        <f t="shared" si="168"/>
        <v>0</v>
      </c>
      <c r="AU102" s="183">
        <f t="shared" si="168"/>
        <v>0</v>
      </c>
      <c r="AV102" s="183">
        <f t="shared" si="168"/>
        <v>0</v>
      </c>
      <c r="AW102" s="183">
        <f t="shared" si="168"/>
        <v>0</v>
      </c>
      <c r="AX102" s="183">
        <f t="shared" si="168"/>
        <v>0</v>
      </c>
      <c r="AY102" s="183">
        <f t="shared" si="168"/>
        <v>0</v>
      </c>
      <c r="AZ102" s="183">
        <f t="shared" si="168"/>
        <v>0</v>
      </c>
      <c r="BA102" s="183">
        <f t="shared" si="168"/>
        <v>0</v>
      </c>
      <c r="BB102" s="183">
        <f t="shared" si="168"/>
        <v>0</v>
      </c>
      <c r="BC102" s="183">
        <f t="shared" si="168"/>
        <v>0</v>
      </c>
      <c r="BD102" s="183">
        <f t="shared" si="168"/>
        <v>0</v>
      </c>
      <c r="BE102" s="183">
        <f t="shared" si="168"/>
        <v>0</v>
      </c>
      <c r="BF102" s="183">
        <f t="shared" si="168"/>
        <v>0</v>
      </c>
      <c r="BG102" s="183">
        <f t="shared" si="168"/>
        <v>0</v>
      </c>
      <c r="BH102" s="183">
        <f t="shared" si="168"/>
        <v>0</v>
      </c>
      <c r="BI102" s="183">
        <f t="shared" si="168"/>
        <v>0</v>
      </c>
      <c r="BJ102" s="183">
        <f t="shared" si="168"/>
        <v>0</v>
      </c>
      <c r="BK102" s="183">
        <f t="shared" si="168"/>
        <v>0</v>
      </c>
      <c r="BL102" s="183">
        <f t="shared" si="168"/>
        <v>0</v>
      </c>
      <c r="BM102" s="183">
        <f t="shared" si="168"/>
        <v>0</v>
      </c>
      <c r="BN102" s="183">
        <f t="shared" si="168"/>
        <v>0</v>
      </c>
      <c r="BO102" s="183">
        <f t="shared" si="168"/>
        <v>0</v>
      </c>
      <c r="BP102" s="183">
        <f t="shared" si="168"/>
        <v>0</v>
      </c>
      <c r="BQ102" s="183">
        <f t="shared" si="168"/>
        <v>0</v>
      </c>
      <c r="BR102" s="183">
        <f t="shared" si="168"/>
        <v>0</v>
      </c>
      <c r="BS102" s="183">
        <f t="shared" si="168"/>
        <v>0</v>
      </c>
      <c r="BT102" s="183">
        <f t="shared" si="168"/>
        <v>0</v>
      </c>
      <c r="BU102" s="183">
        <f t="shared" si="168"/>
        <v>0</v>
      </c>
      <c r="BV102" s="183">
        <f t="shared" si="168"/>
        <v>0</v>
      </c>
      <c r="BW102" s="183">
        <f t="shared" si="168"/>
        <v>0</v>
      </c>
      <c r="BX102" s="183">
        <f t="shared" si="168"/>
        <v>0</v>
      </c>
      <c r="BY102" s="183">
        <f t="shared" si="168"/>
        <v>0</v>
      </c>
      <c r="BZ102" s="183">
        <f t="shared" si="168"/>
        <v>0</v>
      </c>
      <c r="CA102" s="183">
        <f t="shared" si="168"/>
        <v>0</v>
      </c>
      <c r="CB102" s="183">
        <f t="shared" si="168"/>
        <v>0</v>
      </c>
      <c r="CC102" s="183">
        <f t="shared" si="168"/>
        <v>0</v>
      </c>
      <c r="CD102" s="183">
        <f t="shared" si="168"/>
        <v>0</v>
      </c>
      <c r="CE102" s="183">
        <f t="shared" si="168"/>
        <v>0</v>
      </c>
      <c r="CF102" s="183">
        <f t="shared" si="168"/>
        <v>0</v>
      </c>
      <c r="CG102" s="183">
        <f t="shared" si="168"/>
        <v>0</v>
      </c>
      <c r="CH102" s="183">
        <f t="shared" si="168"/>
        <v>0</v>
      </c>
      <c r="CI102" s="183">
        <f t="shared" si="168"/>
        <v>0</v>
      </c>
      <c r="CJ102" s="183">
        <f t="shared" si="168"/>
        <v>0</v>
      </c>
      <c r="CK102" s="183">
        <f t="shared" ref="CK102:EV103" si="169">IF(OR(CK$3&gt;=$G102,CK$3&lt;$F102),0,(_xlfn.NORM.DIST(CK$3-$F102+1,$H102/2,INDEX($E$115:$E$118,MATCH($I102,$D$115:$D$118,0)),TRUE)-_xlfn.NORM.DIST(CJ$3-$F102+1,$H102/2,INDEX($E$115:$E$118,MATCH($I102,$D$115:$D$118,0)),TRUE))/(1-2*_xlfn.NORM.DIST(0,$H102/2,INDEX($E$115:$E$118,MATCH($I102,$D$115:$D$118,0)),TRUE))*$D102)</f>
        <v>0</v>
      </c>
      <c r="CL102" s="183">
        <f t="shared" si="169"/>
        <v>0</v>
      </c>
      <c r="CM102" s="183">
        <f t="shared" si="169"/>
        <v>0</v>
      </c>
      <c r="CN102" s="183">
        <f t="shared" si="169"/>
        <v>0</v>
      </c>
      <c r="CO102" s="183">
        <f t="shared" si="169"/>
        <v>0</v>
      </c>
      <c r="CP102" s="183">
        <f t="shared" si="169"/>
        <v>0</v>
      </c>
      <c r="CQ102" s="183">
        <f t="shared" si="169"/>
        <v>0</v>
      </c>
      <c r="CR102" s="183">
        <f t="shared" si="169"/>
        <v>0</v>
      </c>
      <c r="CS102" s="183">
        <f t="shared" si="169"/>
        <v>0</v>
      </c>
      <c r="CT102" s="183">
        <f t="shared" si="169"/>
        <v>0</v>
      </c>
      <c r="CU102" s="183">
        <f t="shared" si="169"/>
        <v>0</v>
      </c>
      <c r="CV102" s="183">
        <f t="shared" si="169"/>
        <v>0</v>
      </c>
      <c r="CW102" s="183">
        <f t="shared" si="169"/>
        <v>0</v>
      </c>
      <c r="CX102" s="183">
        <f t="shared" si="169"/>
        <v>0</v>
      </c>
      <c r="CY102" s="183">
        <f t="shared" si="169"/>
        <v>0</v>
      </c>
      <c r="CZ102" s="183">
        <f t="shared" si="169"/>
        <v>0</v>
      </c>
      <c r="DA102" s="183">
        <f t="shared" si="169"/>
        <v>0</v>
      </c>
      <c r="DB102" s="183">
        <f t="shared" si="169"/>
        <v>0</v>
      </c>
      <c r="DC102" s="183">
        <f t="shared" si="169"/>
        <v>0</v>
      </c>
      <c r="DD102" s="183">
        <f t="shared" si="169"/>
        <v>0</v>
      </c>
      <c r="DE102" s="183">
        <f t="shared" si="169"/>
        <v>0</v>
      </c>
      <c r="DF102" s="183">
        <f t="shared" si="169"/>
        <v>0</v>
      </c>
      <c r="DG102" s="183">
        <f t="shared" si="169"/>
        <v>0</v>
      </c>
      <c r="DH102" s="183">
        <f t="shared" si="169"/>
        <v>0</v>
      </c>
      <c r="DI102" s="183">
        <f t="shared" si="169"/>
        <v>0</v>
      </c>
      <c r="DJ102" s="183">
        <f t="shared" si="169"/>
        <v>0</v>
      </c>
      <c r="DK102" s="183">
        <f t="shared" si="169"/>
        <v>0</v>
      </c>
      <c r="DL102" s="183">
        <f t="shared" si="169"/>
        <v>0</v>
      </c>
      <c r="DM102" s="183">
        <f t="shared" si="169"/>
        <v>0</v>
      </c>
      <c r="DN102" s="183">
        <f t="shared" si="169"/>
        <v>0</v>
      </c>
      <c r="DO102" s="183">
        <f t="shared" si="169"/>
        <v>0</v>
      </c>
      <c r="DP102" s="183">
        <f t="shared" si="169"/>
        <v>0</v>
      </c>
      <c r="DQ102" s="183">
        <f t="shared" si="169"/>
        <v>0</v>
      </c>
      <c r="DR102" s="183">
        <f t="shared" si="169"/>
        <v>0</v>
      </c>
      <c r="DS102" s="183">
        <f t="shared" si="169"/>
        <v>0</v>
      </c>
      <c r="DT102" s="183">
        <f t="shared" si="169"/>
        <v>0</v>
      </c>
      <c r="DU102" s="183">
        <f t="shared" si="169"/>
        <v>0</v>
      </c>
      <c r="DV102" s="183">
        <f t="shared" si="169"/>
        <v>0</v>
      </c>
      <c r="DW102" s="183">
        <f t="shared" si="169"/>
        <v>0</v>
      </c>
      <c r="DX102" s="183">
        <f t="shared" si="169"/>
        <v>0</v>
      </c>
      <c r="DY102" s="183">
        <f t="shared" si="169"/>
        <v>0</v>
      </c>
      <c r="DZ102" s="183">
        <f t="shared" si="169"/>
        <v>0</v>
      </c>
      <c r="EA102" s="183">
        <f t="shared" si="169"/>
        <v>0</v>
      </c>
      <c r="EB102" s="183">
        <f t="shared" si="169"/>
        <v>0</v>
      </c>
      <c r="EC102" s="183">
        <f t="shared" si="169"/>
        <v>0</v>
      </c>
      <c r="ED102" s="183">
        <f t="shared" si="169"/>
        <v>0</v>
      </c>
      <c r="EE102" s="183">
        <f t="shared" si="169"/>
        <v>0</v>
      </c>
      <c r="EF102" s="183">
        <f t="shared" si="169"/>
        <v>0</v>
      </c>
      <c r="EG102" s="183">
        <f t="shared" si="169"/>
        <v>0</v>
      </c>
      <c r="EH102" s="183">
        <f t="shared" si="169"/>
        <v>0</v>
      </c>
      <c r="EI102" s="183">
        <f t="shared" si="169"/>
        <v>0</v>
      </c>
      <c r="EJ102" s="183">
        <f t="shared" si="169"/>
        <v>0</v>
      </c>
      <c r="EK102" s="183">
        <f t="shared" si="169"/>
        <v>0</v>
      </c>
      <c r="EL102" s="183">
        <f t="shared" si="169"/>
        <v>0</v>
      </c>
      <c r="EM102" s="183">
        <f t="shared" si="169"/>
        <v>0</v>
      </c>
      <c r="EN102" s="183">
        <f t="shared" si="169"/>
        <v>0</v>
      </c>
      <c r="EO102" s="183">
        <f t="shared" si="169"/>
        <v>0</v>
      </c>
      <c r="EP102" s="183">
        <f t="shared" si="169"/>
        <v>0</v>
      </c>
      <c r="EQ102" s="183">
        <f t="shared" si="169"/>
        <v>0</v>
      </c>
      <c r="ER102" s="183">
        <f t="shared" si="169"/>
        <v>0</v>
      </c>
      <c r="ES102" s="183">
        <f t="shared" si="169"/>
        <v>0</v>
      </c>
      <c r="ET102" s="183">
        <f t="shared" si="169"/>
        <v>0</v>
      </c>
      <c r="EU102" s="183">
        <f t="shared" si="169"/>
        <v>0</v>
      </c>
      <c r="EV102" s="183">
        <f t="shared" si="169"/>
        <v>0</v>
      </c>
      <c r="EW102" s="183">
        <f t="shared" si="167"/>
        <v>0</v>
      </c>
      <c r="EX102" s="183">
        <f t="shared" si="167"/>
        <v>0</v>
      </c>
      <c r="EY102" s="183">
        <f t="shared" si="167"/>
        <v>0</v>
      </c>
      <c r="EZ102" s="183">
        <f t="shared" si="167"/>
        <v>0</v>
      </c>
      <c r="FB102" s="609" t="s">
        <v>243</v>
      </c>
    </row>
    <row r="103" spans="1:219" s="675" customFormat="1" x14ac:dyDescent="0.2">
      <c r="A103" s="177"/>
      <c r="B103" s="209" t="s">
        <v>205</v>
      </c>
      <c r="C103" s="671">
        <v>0</v>
      </c>
      <c r="D103" s="672">
        <f>(D95*$C$103)+$C$103*SUM(D98:D102)</f>
        <v>0</v>
      </c>
      <c r="E103" s="670">
        <f>IF(units=0,0,'Renovation Budget'!D103/units)</f>
        <v>0</v>
      </c>
      <c r="F103" s="640">
        <v>1</v>
      </c>
      <c r="G103" s="640">
        <v>28</v>
      </c>
      <c r="H103" s="641">
        <f t="shared" si="163"/>
        <v>27</v>
      </c>
      <c r="I103" s="642" t="s">
        <v>107</v>
      </c>
      <c r="J103" s="673" t="s">
        <v>42</v>
      </c>
      <c r="K103" s="674"/>
      <c r="L103" s="672">
        <f t="shared" si="139"/>
        <v>0</v>
      </c>
      <c r="M103" s="672">
        <f t="shared" si="139"/>
        <v>0</v>
      </c>
      <c r="N103" s="672">
        <f t="shared" si="139"/>
        <v>0</v>
      </c>
      <c r="O103" s="672">
        <f t="shared" si="139"/>
        <v>0</v>
      </c>
      <c r="P103" s="672">
        <f t="shared" si="139"/>
        <v>0</v>
      </c>
      <c r="Q103" s="672">
        <f t="shared" si="139"/>
        <v>0</v>
      </c>
      <c r="R103" s="672">
        <f t="shared" si="139"/>
        <v>0</v>
      </c>
      <c r="S103" s="672">
        <f t="shared" si="139"/>
        <v>0</v>
      </c>
      <c r="T103" s="672">
        <f t="shared" si="139"/>
        <v>0</v>
      </c>
      <c r="U103" s="672">
        <f t="shared" si="139"/>
        <v>0</v>
      </c>
      <c r="V103" s="672">
        <f t="shared" si="139"/>
        <v>0</v>
      </c>
      <c r="W103" s="674"/>
      <c r="X103" s="672">
        <f>(X95*$C$103)+$C$103*SUM(X98:X102)</f>
        <v>0</v>
      </c>
      <c r="Y103" s="183">
        <f t="shared" si="165"/>
        <v>0</v>
      </c>
      <c r="Z103" s="183">
        <f t="shared" ref="Z103:CK103" si="170">IF(OR(Z$3&gt;=$G103,Z$3&lt;$F103),0,(_xlfn.NORM.DIST(Z$3-$F103+1,$H103/2,INDEX($E$115:$E$118,MATCH($I103,$D$115:$D$118,0)),TRUE)-_xlfn.NORM.DIST(Y$3-$F103+1,$H103/2,INDEX($E$115:$E$118,MATCH($I103,$D$115:$D$118,0)),TRUE))/(1-2*_xlfn.NORM.DIST(0,$H103/2,INDEX($E$115:$E$118,MATCH($I103,$D$115:$D$118,0)),TRUE))*$D103)</f>
        <v>0</v>
      </c>
      <c r="AA103" s="183">
        <f t="shared" si="170"/>
        <v>0</v>
      </c>
      <c r="AB103" s="183">
        <f t="shared" si="170"/>
        <v>0</v>
      </c>
      <c r="AC103" s="183">
        <f t="shared" si="170"/>
        <v>0</v>
      </c>
      <c r="AD103" s="183">
        <f t="shared" si="170"/>
        <v>0</v>
      </c>
      <c r="AE103" s="183">
        <f t="shared" si="170"/>
        <v>0</v>
      </c>
      <c r="AF103" s="183">
        <f t="shared" si="170"/>
        <v>0</v>
      </c>
      <c r="AG103" s="183">
        <f t="shared" si="170"/>
        <v>0</v>
      </c>
      <c r="AH103" s="183">
        <f t="shared" si="170"/>
        <v>0</v>
      </c>
      <c r="AI103" s="183">
        <f t="shared" si="170"/>
        <v>0</v>
      </c>
      <c r="AJ103" s="183">
        <f t="shared" si="170"/>
        <v>0</v>
      </c>
      <c r="AK103" s="183">
        <f t="shared" si="170"/>
        <v>0</v>
      </c>
      <c r="AL103" s="183">
        <f t="shared" si="170"/>
        <v>0</v>
      </c>
      <c r="AM103" s="183">
        <f t="shared" si="170"/>
        <v>0</v>
      </c>
      <c r="AN103" s="183">
        <f t="shared" si="170"/>
        <v>0</v>
      </c>
      <c r="AO103" s="183">
        <f t="shared" si="170"/>
        <v>0</v>
      </c>
      <c r="AP103" s="183">
        <f t="shared" si="170"/>
        <v>0</v>
      </c>
      <c r="AQ103" s="183">
        <f t="shared" si="170"/>
        <v>0</v>
      </c>
      <c r="AR103" s="183">
        <f t="shared" si="170"/>
        <v>0</v>
      </c>
      <c r="AS103" s="183">
        <f t="shared" si="170"/>
        <v>0</v>
      </c>
      <c r="AT103" s="183">
        <f t="shared" si="170"/>
        <v>0</v>
      </c>
      <c r="AU103" s="183">
        <f t="shared" si="170"/>
        <v>0</v>
      </c>
      <c r="AV103" s="183">
        <f t="shared" si="170"/>
        <v>0</v>
      </c>
      <c r="AW103" s="183">
        <f t="shared" si="170"/>
        <v>0</v>
      </c>
      <c r="AX103" s="183">
        <f t="shared" si="170"/>
        <v>0</v>
      </c>
      <c r="AY103" s="183">
        <f t="shared" si="170"/>
        <v>0</v>
      </c>
      <c r="AZ103" s="183">
        <f t="shared" si="170"/>
        <v>0</v>
      </c>
      <c r="BA103" s="183">
        <f t="shared" si="170"/>
        <v>0</v>
      </c>
      <c r="BB103" s="183">
        <f t="shared" si="170"/>
        <v>0</v>
      </c>
      <c r="BC103" s="183">
        <f t="shared" si="170"/>
        <v>0</v>
      </c>
      <c r="BD103" s="183">
        <f t="shared" si="170"/>
        <v>0</v>
      </c>
      <c r="BE103" s="183">
        <f t="shared" si="170"/>
        <v>0</v>
      </c>
      <c r="BF103" s="183">
        <f t="shared" si="170"/>
        <v>0</v>
      </c>
      <c r="BG103" s="183">
        <f t="shared" si="170"/>
        <v>0</v>
      </c>
      <c r="BH103" s="183">
        <f t="shared" si="170"/>
        <v>0</v>
      </c>
      <c r="BI103" s="183">
        <f t="shared" si="170"/>
        <v>0</v>
      </c>
      <c r="BJ103" s="183">
        <f t="shared" si="170"/>
        <v>0</v>
      </c>
      <c r="BK103" s="183">
        <f t="shared" si="170"/>
        <v>0</v>
      </c>
      <c r="BL103" s="183">
        <f t="shared" si="170"/>
        <v>0</v>
      </c>
      <c r="BM103" s="183">
        <f t="shared" si="170"/>
        <v>0</v>
      </c>
      <c r="BN103" s="183">
        <f t="shared" si="170"/>
        <v>0</v>
      </c>
      <c r="BO103" s="183">
        <f t="shared" si="170"/>
        <v>0</v>
      </c>
      <c r="BP103" s="183">
        <f t="shared" si="170"/>
        <v>0</v>
      </c>
      <c r="BQ103" s="183">
        <f t="shared" si="170"/>
        <v>0</v>
      </c>
      <c r="BR103" s="183">
        <f t="shared" si="170"/>
        <v>0</v>
      </c>
      <c r="BS103" s="183">
        <f t="shared" si="170"/>
        <v>0</v>
      </c>
      <c r="BT103" s="183">
        <f t="shared" si="170"/>
        <v>0</v>
      </c>
      <c r="BU103" s="183">
        <f t="shared" si="170"/>
        <v>0</v>
      </c>
      <c r="BV103" s="183">
        <f t="shared" si="170"/>
        <v>0</v>
      </c>
      <c r="BW103" s="183">
        <f t="shared" si="170"/>
        <v>0</v>
      </c>
      <c r="BX103" s="183">
        <f t="shared" si="170"/>
        <v>0</v>
      </c>
      <c r="BY103" s="183">
        <f t="shared" si="170"/>
        <v>0</v>
      </c>
      <c r="BZ103" s="183">
        <f t="shared" si="170"/>
        <v>0</v>
      </c>
      <c r="CA103" s="183">
        <f t="shared" si="170"/>
        <v>0</v>
      </c>
      <c r="CB103" s="183">
        <f t="shared" si="170"/>
        <v>0</v>
      </c>
      <c r="CC103" s="183">
        <f t="shared" si="170"/>
        <v>0</v>
      </c>
      <c r="CD103" s="183">
        <f t="shared" si="170"/>
        <v>0</v>
      </c>
      <c r="CE103" s="183">
        <f t="shared" si="170"/>
        <v>0</v>
      </c>
      <c r="CF103" s="183">
        <f t="shared" si="170"/>
        <v>0</v>
      </c>
      <c r="CG103" s="183">
        <f t="shared" si="170"/>
        <v>0</v>
      </c>
      <c r="CH103" s="183">
        <f t="shared" si="170"/>
        <v>0</v>
      </c>
      <c r="CI103" s="183">
        <f t="shared" si="170"/>
        <v>0</v>
      </c>
      <c r="CJ103" s="183">
        <f t="shared" si="170"/>
        <v>0</v>
      </c>
      <c r="CK103" s="183">
        <f t="shared" si="170"/>
        <v>0</v>
      </c>
      <c r="CL103" s="183">
        <f t="shared" si="169"/>
        <v>0</v>
      </c>
      <c r="CM103" s="183">
        <f t="shared" si="169"/>
        <v>0</v>
      </c>
      <c r="CN103" s="183">
        <f t="shared" si="169"/>
        <v>0</v>
      </c>
      <c r="CO103" s="183">
        <f t="shared" si="169"/>
        <v>0</v>
      </c>
      <c r="CP103" s="183">
        <f t="shared" si="169"/>
        <v>0</v>
      </c>
      <c r="CQ103" s="183">
        <f t="shared" si="169"/>
        <v>0</v>
      </c>
      <c r="CR103" s="183">
        <f t="shared" si="169"/>
        <v>0</v>
      </c>
      <c r="CS103" s="183">
        <f t="shared" si="169"/>
        <v>0</v>
      </c>
      <c r="CT103" s="183">
        <f t="shared" si="169"/>
        <v>0</v>
      </c>
      <c r="CU103" s="183">
        <f t="shared" si="169"/>
        <v>0</v>
      </c>
      <c r="CV103" s="183">
        <f t="shared" si="169"/>
        <v>0</v>
      </c>
      <c r="CW103" s="183">
        <f t="shared" si="169"/>
        <v>0</v>
      </c>
      <c r="CX103" s="183">
        <f t="shared" si="169"/>
        <v>0</v>
      </c>
      <c r="CY103" s="183">
        <f t="shared" si="169"/>
        <v>0</v>
      </c>
      <c r="CZ103" s="183">
        <f t="shared" si="169"/>
        <v>0</v>
      </c>
      <c r="DA103" s="183">
        <f t="shared" si="169"/>
        <v>0</v>
      </c>
      <c r="DB103" s="183">
        <f t="shared" si="169"/>
        <v>0</v>
      </c>
      <c r="DC103" s="183">
        <f t="shared" si="169"/>
        <v>0</v>
      </c>
      <c r="DD103" s="183">
        <f t="shared" si="169"/>
        <v>0</v>
      </c>
      <c r="DE103" s="183">
        <f t="shared" si="169"/>
        <v>0</v>
      </c>
      <c r="DF103" s="183">
        <f t="shared" si="169"/>
        <v>0</v>
      </c>
      <c r="DG103" s="183">
        <f t="shared" si="169"/>
        <v>0</v>
      </c>
      <c r="DH103" s="183">
        <f t="shared" si="169"/>
        <v>0</v>
      </c>
      <c r="DI103" s="183">
        <f t="shared" si="169"/>
        <v>0</v>
      </c>
      <c r="DJ103" s="183">
        <f t="shared" si="169"/>
        <v>0</v>
      </c>
      <c r="DK103" s="183">
        <f t="shared" si="169"/>
        <v>0</v>
      </c>
      <c r="DL103" s="183">
        <f t="shared" si="169"/>
        <v>0</v>
      </c>
      <c r="DM103" s="183">
        <f t="shared" si="169"/>
        <v>0</v>
      </c>
      <c r="DN103" s="183">
        <f t="shared" si="169"/>
        <v>0</v>
      </c>
      <c r="DO103" s="183">
        <f t="shared" si="169"/>
        <v>0</v>
      </c>
      <c r="DP103" s="183">
        <f t="shared" si="169"/>
        <v>0</v>
      </c>
      <c r="DQ103" s="183">
        <f t="shared" si="169"/>
        <v>0</v>
      </c>
      <c r="DR103" s="183">
        <f t="shared" si="169"/>
        <v>0</v>
      </c>
      <c r="DS103" s="183">
        <f t="shared" si="169"/>
        <v>0</v>
      </c>
      <c r="DT103" s="183">
        <f t="shared" si="169"/>
        <v>0</v>
      </c>
      <c r="DU103" s="183">
        <f t="shared" si="169"/>
        <v>0</v>
      </c>
      <c r="DV103" s="183">
        <f t="shared" si="169"/>
        <v>0</v>
      </c>
      <c r="DW103" s="183">
        <f t="shared" si="169"/>
        <v>0</v>
      </c>
      <c r="DX103" s="183">
        <f t="shared" si="169"/>
        <v>0</v>
      </c>
      <c r="DY103" s="183">
        <f t="shared" si="169"/>
        <v>0</v>
      </c>
      <c r="DZ103" s="183">
        <f t="shared" si="169"/>
        <v>0</v>
      </c>
      <c r="EA103" s="183">
        <f t="shared" si="169"/>
        <v>0</v>
      </c>
      <c r="EB103" s="183">
        <f t="shared" si="169"/>
        <v>0</v>
      </c>
      <c r="EC103" s="183">
        <f t="shared" si="169"/>
        <v>0</v>
      </c>
      <c r="ED103" s="183">
        <f t="shared" si="169"/>
        <v>0</v>
      </c>
      <c r="EE103" s="183">
        <f t="shared" si="169"/>
        <v>0</v>
      </c>
      <c r="EF103" s="183">
        <f t="shared" si="169"/>
        <v>0</v>
      </c>
      <c r="EG103" s="183">
        <f t="shared" si="169"/>
        <v>0</v>
      </c>
      <c r="EH103" s="183">
        <f t="shared" si="169"/>
        <v>0</v>
      </c>
      <c r="EI103" s="183">
        <f t="shared" si="169"/>
        <v>0</v>
      </c>
      <c r="EJ103" s="183">
        <f t="shared" si="169"/>
        <v>0</v>
      </c>
      <c r="EK103" s="183">
        <f t="shared" si="169"/>
        <v>0</v>
      </c>
      <c r="EL103" s="183">
        <f t="shared" si="169"/>
        <v>0</v>
      </c>
      <c r="EM103" s="183">
        <f t="shared" si="169"/>
        <v>0</v>
      </c>
      <c r="EN103" s="183">
        <f t="shared" si="169"/>
        <v>0</v>
      </c>
      <c r="EO103" s="183">
        <f t="shared" si="169"/>
        <v>0</v>
      </c>
      <c r="EP103" s="183">
        <f t="shared" si="169"/>
        <v>0</v>
      </c>
      <c r="EQ103" s="183">
        <f t="shared" si="169"/>
        <v>0</v>
      </c>
      <c r="ER103" s="183">
        <f t="shared" si="169"/>
        <v>0</v>
      </c>
      <c r="ES103" s="183">
        <f t="shared" si="169"/>
        <v>0</v>
      </c>
      <c r="ET103" s="183">
        <f t="shared" si="169"/>
        <v>0</v>
      </c>
      <c r="EU103" s="183">
        <f t="shared" si="169"/>
        <v>0</v>
      </c>
      <c r="EV103" s="183">
        <f t="shared" si="169"/>
        <v>0</v>
      </c>
      <c r="EW103" s="183">
        <f t="shared" si="167"/>
        <v>0</v>
      </c>
      <c r="EX103" s="183">
        <f t="shared" si="167"/>
        <v>0</v>
      </c>
      <c r="EY103" s="183">
        <f t="shared" si="167"/>
        <v>0</v>
      </c>
      <c r="EZ103" s="183">
        <f t="shared" si="167"/>
        <v>0</v>
      </c>
      <c r="FB103" s="609" t="s">
        <v>243</v>
      </c>
    </row>
    <row r="104" spans="1:219" s="629" customFormat="1" x14ac:dyDescent="0.2">
      <c r="A104" s="630"/>
      <c r="B104" s="218" t="s">
        <v>862</v>
      </c>
      <c r="C104" s="218"/>
      <c r="D104" s="645">
        <f>SUBTOTAL(9,D98:D103)</f>
        <v>0</v>
      </c>
      <c r="E104" s="646">
        <f>IF(units=0,0,'Renovation Budget'!D104/units)</f>
        <v>0</v>
      </c>
      <c r="F104" s="296">
        <f>MIN(F98:F103)</f>
        <v>0</v>
      </c>
      <c r="G104" s="296">
        <f>MAX(G98:G103)</f>
        <v>28</v>
      </c>
      <c r="H104" s="647">
        <f t="shared" si="163"/>
        <v>28</v>
      </c>
      <c r="I104" s="645"/>
      <c r="J104" s="648"/>
      <c r="K104" s="627"/>
      <c r="L104" s="645">
        <f t="shared" ref="L104:V104" si="171">SUBTOTAL(9,L98:L103)</f>
        <v>0</v>
      </c>
      <c r="M104" s="645">
        <f t="shared" si="171"/>
        <v>0</v>
      </c>
      <c r="N104" s="645">
        <f t="shared" si="171"/>
        <v>0</v>
      </c>
      <c r="O104" s="645">
        <f t="shared" si="171"/>
        <v>0</v>
      </c>
      <c r="P104" s="645">
        <f t="shared" si="171"/>
        <v>0</v>
      </c>
      <c r="Q104" s="645">
        <f t="shared" si="171"/>
        <v>0</v>
      </c>
      <c r="R104" s="645">
        <f t="shared" si="171"/>
        <v>0</v>
      </c>
      <c r="S104" s="645">
        <f t="shared" si="171"/>
        <v>0</v>
      </c>
      <c r="T104" s="645">
        <f t="shared" si="171"/>
        <v>0</v>
      </c>
      <c r="U104" s="645">
        <f t="shared" si="171"/>
        <v>0</v>
      </c>
      <c r="V104" s="645">
        <f t="shared" si="171"/>
        <v>0</v>
      </c>
      <c r="W104" s="627"/>
      <c r="X104" s="645">
        <f>SUBTOTAL(9,X98:X103)</f>
        <v>0</v>
      </c>
      <c r="Y104" s="645">
        <f t="shared" ref="Y104:CJ104" si="172">SUBTOTAL(9,Y98:Y103)</f>
        <v>0</v>
      </c>
      <c r="Z104" s="645">
        <f t="shared" si="172"/>
        <v>0</v>
      </c>
      <c r="AA104" s="645">
        <f t="shared" si="172"/>
        <v>0</v>
      </c>
      <c r="AB104" s="645">
        <f t="shared" si="172"/>
        <v>0</v>
      </c>
      <c r="AC104" s="645">
        <f t="shared" si="172"/>
        <v>0</v>
      </c>
      <c r="AD104" s="645">
        <f t="shared" si="172"/>
        <v>0</v>
      </c>
      <c r="AE104" s="645">
        <f t="shared" si="172"/>
        <v>0</v>
      </c>
      <c r="AF104" s="645">
        <f t="shared" si="172"/>
        <v>0</v>
      </c>
      <c r="AG104" s="645">
        <f t="shared" si="172"/>
        <v>0</v>
      </c>
      <c r="AH104" s="645">
        <f t="shared" si="172"/>
        <v>0</v>
      </c>
      <c r="AI104" s="645">
        <f t="shared" si="172"/>
        <v>0</v>
      </c>
      <c r="AJ104" s="645">
        <f t="shared" si="172"/>
        <v>0</v>
      </c>
      <c r="AK104" s="645">
        <f t="shared" si="172"/>
        <v>0</v>
      </c>
      <c r="AL104" s="645">
        <f t="shared" si="172"/>
        <v>0</v>
      </c>
      <c r="AM104" s="645">
        <f t="shared" si="172"/>
        <v>0</v>
      </c>
      <c r="AN104" s="645">
        <f t="shared" si="172"/>
        <v>0</v>
      </c>
      <c r="AO104" s="645">
        <f t="shared" si="172"/>
        <v>0</v>
      </c>
      <c r="AP104" s="645">
        <f t="shared" si="172"/>
        <v>0</v>
      </c>
      <c r="AQ104" s="645">
        <f t="shared" si="172"/>
        <v>0</v>
      </c>
      <c r="AR104" s="645">
        <f t="shared" si="172"/>
        <v>0</v>
      </c>
      <c r="AS104" s="645">
        <f t="shared" si="172"/>
        <v>0</v>
      </c>
      <c r="AT104" s="645">
        <f t="shared" si="172"/>
        <v>0</v>
      </c>
      <c r="AU104" s="645">
        <f t="shared" si="172"/>
        <v>0</v>
      </c>
      <c r="AV104" s="645">
        <f t="shared" si="172"/>
        <v>0</v>
      </c>
      <c r="AW104" s="645">
        <f t="shared" si="172"/>
        <v>0</v>
      </c>
      <c r="AX104" s="645">
        <f t="shared" si="172"/>
        <v>0</v>
      </c>
      <c r="AY104" s="645">
        <f t="shared" si="172"/>
        <v>0</v>
      </c>
      <c r="AZ104" s="645">
        <f t="shared" si="172"/>
        <v>0</v>
      </c>
      <c r="BA104" s="645">
        <f t="shared" si="172"/>
        <v>0</v>
      </c>
      <c r="BB104" s="645">
        <f t="shared" si="172"/>
        <v>0</v>
      </c>
      <c r="BC104" s="645">
        <f t="shared" si="172"/>
        <v>0</v>
      </c>
      <c r="BD104" s="645">
        <f t="shared" si="172"/>
        <v>0</v>
      </c>
      <c r="BE104" s="645">
        <f t="shared" si="172"/>
        <v>0</v>
      </c>
      <c r="BF104" s="645">
        <f t="shared" si="172"/>
        <v>0</v>
      </c>
      <c r="BG104" s="645">
        <f t="shared" si="172"/>
        <v>0</v>
      </c>
      <c r="BH104" s="645">
        <f t="shared" si="172"/>
        <v>0</v>
      </c>
      <c r="BI104" s="645">
        <f t="shared" si="172"/>
        <v>0</v>
      </c>
      <c r="BJ104" s="645">
        <f t="shared" si="172"/>
        <v>0</v>
      </c>
      <c r="BK104" s="645">
        <f t="shared" si="172"/>
        <v>0</v>
      </c>
      <c r="BL104" s="645">
        <f t="shared" si="172"/>
        <v>0</v>
      </c>
      <c r="BM104" s="645">
        <f t="shared" si="172"/>
        <v>0</v>
      </c>
      <c r="BN104" s="645">
        <f t="shared" si="172"/>
        <v>0</v>
      </c>
      <c r="BO104" s="645">
        <f t="shared" si="172"/>
        <v>0</v>
      </c>
      <c r="BP104" s="645">
        <f t="shared" si="172"/>
        <v>0</v>
      </c>
      <c r="BQ104" s="645">
        <f t="shared" si="172"/>
        <v>0</v>
      </c>
      <c r="BR104" s="645">
        <f t="shared" si="172"/>
        <v>0</v>
      </c>
      <c r="BS104" s="645">
        <f t="shared" si="172"/>
        <v>0</v>
      </c>
      <c r="BT104" s="645">
        <f t="shared" si="172"/>
        <v>0</v>
      </c>
      <c r="BU104" s="645">
        <f t="shared" si="172"/>
        <v>0</v>
      </c>
      <c r="BV104" s="645">
        <f t="shared" si="172"/>
        <v>0</v>
      </c>
      <c r="BW104" s="645">
        <f t="shared" si="172"/>
        <v>0</v>
      </c>
      <c r="BX104" s="645">
        <f t="shared" si="172"/>
        <v>0</v>
      </c>
      <c r="BY104" s="645">
        <f t="shared" si="172"/>
        <v>0</v>
      </c>
      <c r="BZ104" s="645">
        <f t="shared" si="172"/>
        <v>0</v>
      </c>
      <c r="CA104" s="645">
        <f t="shared" si="172"/>
        <v>0</v>
      </c>
      <c r="CB104" s="645">
        <f t="shared" si="172"/>
        <v>0</v>
      </c>
      <c r="CC104" s="645">
        <f t="shared" si="172"/>
        <v>0</v>
      </c>
      <c r="CD104" s="645">
        <f t="shared" si="172"/>
        <v>0</v>
      </c>
      <c r="CE104" s="645">
        <f t="shared" si="172"/>
        <v>0</v>
      </c>
      <c r="CF104" s="645">
        <f t="shared" si="172"/>
        <v>0</v>
      </c>
      <c r="CG104" s="645">
        <f t="shared" si="172"/>
        <v>0</v>
      </c>
      <c r="CH104" s="645">
        <f t="shared" si="172"/>
        <v>0</v>
      </c>
      <c r="CI104" s="645">
        <f t="shared" si="172"/>
        <v>0</v>
      </c>
      <c r="CJ104" s="645">
        <f t="shared" si="172"/>
        <v>0</v>
      </c>
      <c r="CK104" s="645">
        <f t="shared" ref="CK104:EV104" si="173">SUBTOTAL(9,CK98:CK103)</f>
        <v>0</v>
      </c>
      <c r="CL104" s="645">
        <f t="shared" si="173"/>
        <v>0</v>
      </c>
      <c r="CM104" s="645">
        <f t="shared" si="173"/>
        <v>0</v>
      </c>
      <c r="CN104" s="645">
        <f t="shared" si="173"/>
        <v>0</v>
      </c>
      <c r="CO104" s="645">
        <f t="shared" si="173"/>
        <v>0</v>
      </c>
      <c r="CP104" s="645">
        <f t="shared" si="173"/>
        <v>0</v>
      </c>
      <c r="CQ104" s="645">
        <f t="shared" si="173"/>
        <v>0</v>
      </c>
      <c r="CR104" s="645">
        <f t="shared" si="173"/>
        <v>0</v>
      </c>
      <c r="CS104" s="645">
        <f t="shared" si="173"/>
        <v>0</v>
      </c>
      <c r="CT104" s="645">
        <f t="shared" si="173"/>
        <v>0</v>
      </c>
      <c r="CU104" s="645">
        <f t="shared" si="173"/>
        <v>0</v>
      </c>
      <c r="CV104" s="645">
        <f t="shared" si="173"/>
        <v>0</v>
      </c>
      <c r="CW104" s="645">
        <f t="shared" si="173"/>
        <v>0</v>
      </c>
      <c r="CX104" s="645">
        <f t="shared" si="173"/>
        <v>0</v>
      </c>
      <c r="CY104" s="645">
        <f t="shared" si="173"/>
        <v>0</v>
      </c>
      <c r="CZ104" s="645">
        <f t="shared" si="173"/>
        <v>0</v>
      </c>
      <c r="DA104" s="645">
        <f t="shared" si="173"/>
        <v>0</v>
      </c>
      <c r="DB104" s="645">
        <f t="shared" si="173"/>
        <v>0</v>
      </c>
      <c r="DC104" s="645">
        <f t="shared" si="173"/>
        <v>0</v>
      </c>
      <c r="DD104" s="645">
        <f t="shared" si="173"/>
        <v>0</v>
      </c>
      <c r="DE104" s="645">
        <f t="shared" si="173"/>
        <v>0</v>
      </c>
      <c r="DF104" s="645">
        <f t="shared" si="173"/>
        <v>0</v>
      </c>
      <c r="DG104" s="645">
        <f t="shared" si="173"/>
        <v>0</v>
      </c>
      <c r="DH104" s="645">
        <f t="shared" si="173"/>
        <v>0</v>
      </c>
      <c r="DI104" s="645">
        <f t="shared" si="173"/>
        <v>0</v>
      </c>
      <c r="DJ104" s="645">
        <f t="shared" si="173"/>
        <v>0</v>
      </c>
      <c r="DK104" s="645">
        <f t="shared" si="173"/>
        <v>0</v>
      </c>
      <c r="DL104" s="645">
        <f t="shared" si="173"/>
        <v>0</v>
      </c>
      <c r="DM104" s="645">
        <f t="shared" si="173"/>
        <v>0</v>
      </c>
      <c r="DN104" s="645">
        <f t="shared" si="173"/>
        <v>0</v>
      </c>
      <c r="DO104" s="645">
        <f t="shared" si="173"/>
        <v>0</v>
      </c>
      <c r="DP104" s="645">
        <f t="shared" si="173"/>
        <v>0</v>
      </c>
      <c r="DQ104" s="645">
        <f t="shared" si="173"/>
        <v>0</v>
      </c>
      <c r="DR104" s="645">
        <f t="shared" si="173"/>
        <v>0</v>
      </c>
      <c r="DS104" s="645">
        <f t="shared" si="173"/>
        <v>0</v>
      </c>
      <c r="DT104" s="645">
        <f t="shared" si="173"/>
        <v>0</v>
      </c>
      <c r="DU104" s="645">
        <f t="shared" si="173"/>
        <v>0</v>
      </c>
      <c r="DV104" s="645">
        <f t="shared" si="173"/>
        <v>0</v>
      </c>
      <c r="DW104" s="645">
        <f t="shared" si="173"/>
        <v>0</v>
      </c>
      <c r="DX104" s="645">
        <f t="shared" si="173"/>
        <v>0</v>
      </c>
      <c r="DY104" s="645">
        <f t="shared" si="173"/>
        <v>0</v>
      </c>
      <c r="DZ104" s="645">
        <f t="shared" si="173"/>
        <v>0</v>
      </c>
      <c r="EA104" s="645">
        <f t="shared" si="173"/>
        <v>0</v>
      </c>
      <c r="EB104" s="645">
        <f t="shared" si="173"/>
        <v>0</v>
      </c>
      <c r="EC104" s="645">
        <f t="shared" si="173"/>
        <v>0</v>
      </c>
      <c r="ED104" s="645">
        <f t="shared" si="173"/>
        <v>0</v>
      </c>
      <c r="EE104" s="645">
        <f t="shared" si="173"/>
        <v>0</v>
      </c>
      <c r="EF104" s="645">
        <f t="shared" si="173"/>
        <v>0</v>
      </c>
      <c r="EG104" s="645">
        <f t="shared" si="173"/>
        <v>0</v>
      </c>
      <c r="EH104" s="645">
        <f t="shared" si="173"/>
        <v>0</v>
      </c>
      <c r="EI104" s="645">
        <f t="shared" si="173"/>
        <v>0</v>
      </c>
      <c r="EJ104" s="645">
        <f t="shared" si="173"/>
        <v>0</v>
      </c>
      <c r="EK104" s="645">
        <f t="shared" si="173"/>
        <v>0</v>
      </c>
      <c r="EL104" s="645">
        <f t="shared" si="173"/>
        <v>0</v>
      </c>
      <c r="EM104" s="645">
        <f t="shared" si="173"/>
        <v>0</v>
      </c>
      <c r="EN104" s="645">
        <f t="shared" si="173"/>
        <v>0</v>
      </c>
      <c r="EO104" s="645">
        <f t="shared" si="173"/>
        <v>0</v>
      </c>
      <c r="EP104" s="645">
        <f t="shared" si="173"/>
        <v>0</v>
      </c>
      <c r="EQ104" s="645">
        <f t="shared" si="173"/>
        <v>0</v>
      </c>
      <c r="ER104" s="645">
        <f t="shared" si="173"/>
        <v>0</v>
      </c>
      <c r="ES104" s="645">
        <f t="shared" si="173"/>
        <v>0</v>
      </c>
      <c r="ET104" s="645">
        <f t="shared" si="173"/>
        <v>0</v>
      </c>
      <c r="EU104" s="645">
        <f t="shared" si="173"/>
        <v>0</v>
      </c>
      <c r="EV104" s="645">
        <f t="shared" si="173"/>
        <v>0</v>
      </c>
      <c r="EW104" s="645">
        <f t="shared" ref="EW104:EZ104" si="174">SUBTOTAL(9,EW98:EW103)</f>
        <v>0</v>
      </c>
      <c r="EX104" s="645">
        <f t="shared" si="174"/>
        <v>0</v>
      </c>
      <c r="EY104" s="645">
        <f t="shared" si="174"/>
        <v>0</v>
      </c>
      <c r="EZ104" s="645">
        <f t="shared" si="174"/>
        <v>0</v>
      </c>
      <c r="FB104" s="609" t="s">
        <v>243</v>
      </c>
    </row>
    <row r="105" spans="1:219" x14ac:dyDescent="0.2">
      <c r="C105" s="662" t="str">
        <f>IF(D104=SUM(X104:EZ104),"OK","ERROR")</f>
        <v>OK</v>
      </c>
      <c r="FB105" s="609" t="s">
        <v>243</v>
      </c>
    </row>
    <row r="106" spans="1:219" s="158" customFormat="1" x14ac:dyDescent="0.2">
      <c r="A106" s="155"/>
      <c r="B106" s="618" t="s">
        <v>863</v>
      </c>
      <c r="C106" s="618"/>
      <c r="D106" s="657">
        <f>D104+D95</f>
        <v>1300000</v>
      </c>
      <c r="E106" s="658">
        <f>IF(units=0,0,'Renovation Budget'!D106/units)</f>
        <v>5327.8688524590161</v>
      </c>
      <c r="F106" s="659">
        <f>MIN(F104,F95)</f>
        <v>0</v>
      </c>
      <c r="G106" s="659">
        <f>MAX(G104,G95)</f>
        <v>33</v>
      </c>
      <c r="H106" s="660">
        <f>G106-MAX(F106,1)+1</f>
        <v>33</v>
      </c>
      <c r="I106" s="657"/>
      <c r="J106" s="661"/>
      <c r="K106" s="627"/>
      <c r="L106" s="657">
        <f t="shared" ref="L106:V106" si="175">L104+L95</f>
        <v>0</v>
      </c>
      <c r="M106" s="657">
        <f t="shared" si="175"/>
        <v>510256.41025634058</v>
      </c>
      <c r="N106" s="657">
        <f t="shared" si="175"/>
        <v>502051.28205128206</v>
      </c>
      <c r="O106" s="657">
        <f t="shared" si="175"/>
        <v>287692.30769230763</v>
      </c>
      <c r="P106" s="657">
        <f t="shared" si="175"/>
        <v>0</v>
      </c>
      <c r="Q106" s="657">
        <f t="shared" si="175"/>
        <v>0</v>
      </c>
      <c r="R106" s="657">
        <f t="shared" si="175"/>
        <v>0</v>
      </c>
      <c r="S106" s="657">
        <f t="shared" si="175"/>
        <v>0</v>
      </c>
      <c r="T106" s="657">
        <f t="shared" si="175"/>
        <v>0</v>
      </c>
      <c r="U106" s="657">
        <f t="shared" si="175"/>
        <v>0</v>
      </c>
      <c r="V106" s="657">
        <f t="shared" si="175"/>
        <v>0</v>
      </c>
      <c r="W106" s="627"/>
      <c r="X106" s="657">
        <f t="shared" ref="X106:CI106" si="176">X104+X95</f>
        <v>0</v>
      </c>
      <c r="Y106" s="657">
        <f t="shared" si="176"/>
        <v>0</v>
      </c>
      <c r="Z106" s="657">
        <f t="shared" si="176"/>
        <v>78205.127955073374</v>
      </c>
      <c r="AA106" s="657">
        <f t="shared" si="176"/>
        <v>78205.128455183032</v>
      </c>
      <c r="AB106" s="657">
        <f t="shared" si="176"/>
        <v>78205.128455113459</v>
      </c>
      <c r="AC106" s="657">
        <f t="shared" si="176"/>
        <v>78205.127955073374</v>
      </c>
      <c r="AD106" s="657">
        <f t="shared" si="176"/>
        <v>28205.128205128203</v>
      </c>
      <c r="AE106" s="657">
        <f t="shared" si="176"/>
        <v>28205.128205128203</v>
      </c>
      <c r="AF106" s="657">
        <f t="shared" si="176"/>
        <v>28205.128205128203</v>
      </c>
      <c r="AG106" s="657">
        <f t="shared" si="176"/>
        <v>28205.128205128203</v>
      </c>
      <c r="AH106" s="657">
        <f t="shared" si="176"/>
        <v>28205.128205128203</v>
      </c>
      <c r="AI106" s="657">
        <f t="shared" si="176"/>
        <v>28205.128205128203</v>
      </c>
      <c r="AJ106" s="657">
        <f t="shared" si="176"/>
        <v>28205.128205128203</v>
      </c>
      <c r="AK106" s="657">
        <f t="shared" si="176"/>
        <v>28205.128205128203</v>
      </c>
      <c r="AL106" s="657">
        <f t="shared" si="176"/>
        <v>45128.205128205125</v>
      </c>
      <c r="AM106" s="657">
        <f t="shared" si="176"/>
        <v>45128.205128205125</v>
      </c>
      <c r="AN106" s="657">
        <f t="shared" si="176"/>
        <v>45128.205128205125</v>
      </c>
      <c r="AO106" s="657">
        <f t="shared" si="176"/>
        <v>45128.205128205125</v>
      </c>
      <c r="AP106" s="657">
        <f t="shared" si="176"/>
        <v>45128.205128205125</v>
      </c>
      <c r="AQ106" s="657">
        <f t="shared" si="176"/>
        <v>45128.205128205125</v>
      </c>
      <c r="AR106" s="657">
        <f t="shared" si="176"/>
        <v>45128.205128205125</v>
      </c>
      <c r="AS106" s="657">
        <f t="shared" si="176"/>
        <v>39487.179487179485</v>
      </c>
      <c r="AT106" s="657">
        <f t="shared" si="176"/>
        <v>39487.179487179485</v>
      </c>
      <c r="AU106" s="657">
        <f t="shared" si="176"/>
        <v>39487.179487179485</v>
      </c>
      <c r="AV106" s="657">
        <f t="shared" si="176"/>
        <v>39487.179487179485</v>
      </c>
      <c r="AW106" s="657">
        <f t="shared" si="176"/>
        <v>39487.179487179485</v>
      </c>
      <c r="AX106" s="657">
        <f t="shared" si="176"/>
        <v>39487.179487179485</v>
      </c>
      <c r="AY106" s="657">
        <f t="shared" si="176"/>
        <v>39487.179487179485</v>
      </c>
      <c r="AZ106" s="657">
        <f t="shared" si="176"/>
        <v>28205.128205128203</v>
      </c>
      <c r="BA106" s="657">
        <f t="shared" si="176"/>
        <v>28205.128205128203</v>
      </c>
      <c r="BB106" s="657">
        <f t="shared" si="176"/>
        <v>28205.128205128203</v>
      </c>
      <c r="BC106" s="657">
        <f t="shared" si="176"/>
        <v>28205.128205128203</v>
      </c>
      <c r="BD106" s="657">
        <f t="shared" si="176"/>
        <v>28205.128205128203</v>
      </c>
      <c r="BE106" s="657">
        <f t="shared" si="176"/>
        <v>28205.128205128203</v>
      </c>
      <c r="BF106" s="657">
        <f t="shared" si="176"/>
        <v>0</v>
      </c>
      <c r="BG106" s="657">
        <f t="shared" si="176"/>
        <v>0</v>
      </c>
      <c r="BH106" s="657">
        <f t="shared" si="176"/>
        <v>0</v>
      </c>
      <c r="BI106" s="657">
        <f t="shared" si="176"/>
        <v>0</v>
      </c>
      <c r="BJ106" s="657">
        <f t="shared" si="176"/>
        <v>0</v>
      </c>
      <c r="BK106" s="657">
        <f t="shared" si="176"/>
        <v>0</v>
      </c>
      <c r="BL106" s="657">
        <f t="shared" si="176"/>
        <v>0</v>
      </c>
      <c r="BM106" s="657">
        <f t="shared" si="176"/>
        <v>0</v>
      </c>
      <c r="BN106" s="657">
        <f t="shared" si="176"/>
        <v>0</v>
      </c>
      <c r="BO106" s="657">
        <f t="shared" si="176"/>
        <v>0</v>
      </c>
      <c r="BP106" s="657">
        <f t="shared" si="176"/>
        <v>0</v>
      </c>
      <c r="BQ106" s="657">
        <f t="shared" si="176"/>
        <v>0</v>
      </c>
      <c r="BR106" s="657">
        <f t="shared" si="176"/>
        <v>0</v>
      </c>
      <c r="BS106" s="657">
        <f t="shared" si="176"/>
        <v>0</v>
      </c>
      <c r="BT106" s="657">
        <f t="shared" si="176"/>
        <v>0</v>
      </c>
      <c r="BU106" s="657">
        <f t="shared" si="176"/>
        <v>0</v>
      </c>
      <c r="BV106" s="657">
        <f t="shared" si="176"/>
        <v>0</v>
      </c>
      <c r="BW106" s="657">
        <f t="shared" si="176"/>
        <v>0</v>
      </c>
      <c r="BX106" s="657">
        <f t="shared" si="176"/>
        <v>0</v>
      </c>
      <c r="BY106" s="657">
        <f t="shared" si="176"/>
        <v>0</v>
      </c>
      <c r="BZ106" s="657">
        <f t="shared" si="176"/>
        <v>0</v>
      </c>
      <c r="CA106" s="657">
        <f t="shared" si="176"/>
        <v>0</v>
      </c>
      <c r="CB106" s="657">
        <f t="shared" si="176"/>
        <v>0</v>
      </c>
      <c r="CC106" s="657">
        <f t="shared" si="176"/>
        <v>0</v>
      </c>
      <c r="CD106" s="657">
        <f t="shared" si="176"/>
        <v>0</v>
      </c>
      <c r="CE106" s="657">
        <f t="shared" si="176"/>
        <v>0</v>
      </c>
      <c r="CF106" s="657">
        <f t="shared" si="176"/>
        <v>0</v>
      </c>
      <c r="CG106" s="657">
        <f t="shared" si="176"/>
        <v>0</v>
      </c>
      <c r="CH106" s="657">
        <f t="shared" si="176"/>
        <v>0</v>
      </c>
      <c r="CI106" s="657">
        <f t="shared" si="176"/>
        <v>0</v>
      </c>
      <c r="CJ106" s="657">
        <f t="shared" ref="CJ106:EU106" si="177">CJ104+CJ95</f>
        <v>0</v>
      </c>
      <c r="CK106" s="657">
        <f t="shared" si="177"/>
        <v>0</v>
      </c>
      <c r="CL106" s="657">
        <f t="shared" si="177"/>
        <v>0</v>
      </c>
      <c r="CM106" s="657">
        <f t="shared" si="177"/>
        <v>0</v>
      </c>
      <c r="CN106" s="657">
        <f t="shared" si="177"/>
        <v>0</v>
      </c>
      <c r="CO106" s="657">
        <f t="shared" si="177"/>
        <v>0</v>
      </c>
      <c r="CP106" s="657">
        <f t="shared" si="177"/>
        <v>0</v>
      </c>
      <c r="CQ106" s="657">
        <f t="shared" si="177"/>
        <v>0</v>
      </c>
      <c r="CR106" s="657">
        <f t="shared" si="177"/>
        <v>0</v>
      </c>
      <c r="CS106" s="657">
        <f t="shared" si="177"/>
        <v>0</v>
      </c>
      <c r="CT106" s="657">
        <f t="shared" si="177"/>
        <v>0</v>
      </c>
      <c r="CU106" s="657">
        <f t="shared" si="177"/>
        <v>0</v>
      </c>
      <c r="CV106" s="657">
        <f t="shared" si="177"/>
        <v>0</v>
      </c>
      <c r="CW106" s="657">
        <f t="shared" si="177"/>
        <v>0</v>
      </c>
      <c r="CX106" s="657">
        <f t="shared" si="177"/>
        <v>0</v>
      </c>
      <c r="CY106" s="657">
        <f t="shared" si="177"/>
        <v>0</v>
      </c>
      <c r="CZ106" s="657">
        <f t="shared" si="177"/>
        <v>0</v>
      </c>
      <c r="DA106" s="657">
        <f t="shared" si="177"/>
        <v>0</v>
      </c>
      <c r="DB106" s="657">
        <f t="shared" si="177"/>
        <v>0</v>
      </c>
      <c r="DC106" s="657">
        <f t="shared" si="177"/>
        <v>0</v>
      </c>
      <c r="DD106" s="657">
        <f t="shared" si="177"/>
        <v>0</v>
      </c>
      <c r="DE106" s="657">
        <f t="shared" si="177"/>
        <v>0</v>
      </c>
      <c r="DF106" s="657">
        <f t="shared" si="177"/>
        <v>0</v>
      </c>
      <c r="DG106" s="657">
        <f t="shared" si="177"/>
        <v>0</v>
      </c>
      <c r="DH106" s="657">
        <f t="shared" si="177"/>
        <v>0</v>
      </c>
      <c r="DI106" s="657">
        <f t="shared" si="177"/>
        <v>0</v>
      </c>
      <c r="DJ106" s="657">
        <f t="shared" si="177"/>
        <v>0</v>
      </c>
      <c r="DK106" s="657">
        <f t="shared" si="177"/>
        <v>0</v>
      </c>
      <c r="DL106" s="657">
        <f t="shared" si="177"/>
        <v>0</v>
      </c>
      <c r="DM106" s="657">
        <f t="shared" si="177"/>
        <v>0</v>
      </c>
      <c r="DN106" s="657">
        <f t="shared" si="177"/>
        <v>0</v>
      </c>
      <c r="DO106" s="657">
        <f t="shared" si="177"/>
        <v>0</v>
      </c>
      <c r="DP106" s="657">
        <f t="shared" si="177"/>
        <v>0</v>
      </c>
      <c r="DQ106" s="657">
        <f t="shared" si="177"/>
        <v>0</v>
      </c>
      <c r="DR106" s="657">
        <f t="shared" si="177"/>
        <v>0</v>
      </c>
      <c r="DS106" s="657">
        <f t="shared" si="177"/>
        <v>0</v>
      </c>
      <c r="DT106" s="657">
        <f t="shared" si="177"/>
        <v>0</v>
      </c>
      <c r="DU106" s="657">
        <f t="shared" si="177"/>
        <v>0</v>
      </c>
      <c r="DV106" s="657">
        <f t="shared" si="177"/>
        <v>0</v>
      </c>
      <c r="DW106" s="657">
        <f t="shared" si="177"/>
        <v>0</v>
      </c>
      <c r="DX106" s="657">
        <f t="shared" si="177"/>
        <v>0</v>
      </c>
      <c r="DY106" s="657">
        <f t="shared" si="177"/>
        <v>0</v>
      </c>
      <c r="DZ106" s="657">
        <f t="shared" si="177"/>
        <v>0</v>
      </c>
      <c r="EA106" s="657">
        <f t="shared" si="177"/>
        <v>0</v>
      </c>
      <c r="EB106" s="657">
        <f t="shared" si="177"/>
        <v>0</v>
      </c>
      <c r="EC106" s="657">
        <f t="shared" si="177"/>
        <v>0</v>
      </c>
      <c r="ED106" s="657">
        <f t="shared" si="177"/>
        <v>0</v>
      </c>
      <c r="EE106" s="657">
        <f t="shared" si="177"/>
        <v>0</v>
      </c>
      <c r="EF106" s="657">
        <f t="shared" si="177"/>
        <v>0</v>
      </c>
      <c r="EG106" s="657">
        <f t="shared" si="177"/>
        <v>0</v>
      </c>
      <c r="EH106" s="657">
        <f t="shared" si="177"/>
        <v>0</v>
      </c>
      <c r="EI106" s="657">
        <f t="shared" si="177"/>
        <v>0</v>
      </c>
      <c r="EJ106" s="657">
        <f t="shared" si="177"/>
        <v>0</v>
      </c>
      <c r="EK106" s="657">
        <f t="shared" si="177"/>
        <v>0</v>
      </c>
      <c r="EL106" s="657">
        <f t="shared" si="177"/>
        <v>0</v>
      </c>
      <c r="EM106" s="657">
        <f t="shared" si="177"/>
        <v>0</v>
      </c>
      <c r="EN106" s="657">
        <f t="shared" si="177"/>
        <v>0</v>
      </c>
      <c r="EO106" s="657">
        <f t="shared" si="177"/>
        <v>0</v>
      </c>
      <c r="EP106" s="657">
        <f t="shared" si="177"/>
        <v>0</v>
      </c>
      <c r="EQ106" s="657">
        <f t="shared" si="177"/>
        <v>0</v>
      </c>
      <c r="ER106" s="657">
        <f t="shared" si="177"/>
        <v>0</v>
      </c>
      <c r="ES106" s="657">
        <f t="shared" si="177"/>
        <v>0</v>
      </c>
      <c r="ET106" s="657">
        <f t="shared" si="177"/>
        <v>0</v>
      </c>
      <c r="EU106" s="657">
        <f t="shared" si="177"/>
        <v>0</v>
      </c>
      <c r="EV106" s="657">
        <f t="shared" ref="EV106:EZ106" si="178">EV104+EV95</f>
        <v>0</v>
      </c>
      <c r="EW106" s="657">
        <f t="shared" si="178"/>
        <v>0</v>
      </c>
      <c r="EX106" s="657">
        <f t="shared" si="178"/>
        <v>0</v>
      </c>
      <c r="EY106" s="657">
        <f t="shared" si="178"/>
        <v>0</v>
      </c>
      <c r="EZ106" s="657">
        <f t="shared" si="178"/>
        <v>0</v>
      </c>
      <c r="FA106" s="144"/>
      <c r="FB106" s="609" t="s">
        <v>243</v>
      </c>
      <c r="FC106" s="144"/>
      <c r="FD106" s="144"/>
      <c r="FE106" s="144"/>
      <c r="FF106" s="144"/>
      <c r="FG106" s="144"/>
      <c r="FH106" s="144"/>
      <c r="FI106" s="144"/>
      <c r="FJ106" s="144"/>
      <c r="FK106" s="144"/>
      <c r="FL106" s="144"/>
      <c r="FM106" s="144"/>
      <c r="FN106" s="144"/>
      <c r="FO106" s="144"/>
      <c r="FP106" s="144"/>
      <c r="FQ106" s="144"/>
      <c r="FR106" s="144"/>
      <c r="FS106" s="144"/>
      <c r="FT106" s="144"/>
      <c r="FU106" s="144"/>
      <c r="FV106" s="144"/>
      <c r="FW106" s="144"/>
      <c r="FX106" s="144"/>
      <c r="FY106" s="144"/>
      <c r="FZ106" s="144"/>
      <c r="GA106" s="144"/>
      <c r="GB106" s="144"/>
      <c r="GC106" s="144"/>
      <c r="GD106" s="144"/>
      <c r="GE106" s="144"/>
      <c r="GF106" s="144"/>
      <c r="GG106" s="144"/>
      <c r="GH106" s="144"/>
      <c r="GI106" s="144"/>
      <c r="GJ106" s="144"/>
      <c r="GK106" s="144"/>
      <c r="GL106" s="144"/>
      <c r="GM106" s="144"/>
      <c r="GN106" s="144"/>
      <c r="GO106" s="144"/>
      <c r="GP106" s="144"/>
      <c r="GQ106" s="144"/>
      <c r="GR106" s="144"/>
      <c r="GS106" s="144"/>
      <c r="GT106" s="144"/>
      <c r="GU106" s="144"/>
      <c r="GV106" s="144"/>
      <c r="GW106" s="144"/>
      <c r="GX106" s="144"/>
      <c r="GY106" s="144"/>
      <c r="GZ106" s="144"/>
      <c r="HA106" s="144"/>
      <c r="HB106" s="144"/>
      <c r="HC106" s="144"/>
      <c r="HD106" s="144"/>
      <c r="HE106" s="144"/>
      <c r="HF106" s="144"/>
      <c r="HG106" s="144"/>
      <c r="HH106" s="144"/>
      <c r="HI106" s="144"/>
      <c r="HJ106" s="144"/>
      <c r="HK106" s="144"/>
    </row>
    <row r="107" spans="1:219" s="158" customFormat="1" x14ac:dyDescent="0.2">
      <c r="A107" s="155"/>
      <c r="C107" s="662" t="str">
        <f>IF(D106=ROUND(SUM(X106:EZ106),0),"OK","ERROR")</f>
        <v>OK</v>
      </c>
      <c r="J107" s="608"/>
      <c r="K107" s="609"/>
      <c r="L107" s="609"/>
      <c r="M107" s="609"/>
      <c r="N107" s="609"/>
      <c r="O107" s="609"/>
      <c r="P107" s="609"/>
      <c r="Q107" s="609"/>
      <c r="R107" s="609"/>
      <c r="S107" s="609"/>
      <c r="T107" s="609"/>
      <c r="U107" s="609"/>
      <c r="V107" s="609"/>
      <c r="W107" s="609"/>
      <c r="FA107" s="144"/>
      <c r="FB107" s="609" t="s">
        <v>243</v>
      </c>
      <c r="FC107" s="144"/>
      <c r="FD107" s="144"/>
      <c r="FE107" s="144"/>
      <c r="FF107" s="144"/>
      <c r="FG107" s="144"/>
      <c r="FH107" s="144"/>
      <c r="FI107" s="144"/>
      <c r="FJ107" s="144"/>
      <c r="FK107" s="144"/>
      <c r="FL107" s="144"/>
      <c r="FM107" s="144"/>
      <c r="FN107" s="144"/>
      <c r="FO107" s="144"/>
      <c r="FP107" s="144"/>
      <c r="FQ107" s="144"/>
      <c r="FR107" s="144"/>
      <c r="FS107" s="144"/>
      <c r="FT107" s="144"/>
      <c r="FU107" s="144"/>
      <c r="FV107" s="144"/>
      <c r="FW107" s="144"/>
      <c r="FX107" s="144"/>
      <c r="FY107" s="144"/>
      <c r="FZ107" s="144"/>
      <c r="GA107" s="144"/>
      <c r="GB107" s="144"/>
      <c r="GC107" s="144"/>
      <c r="GD107" s="144"/>
      <c r="GE107" s="144"/>
      <c r="GF107" s="144"/>
      <c r="GG107" s="144"/>
      <c r="GH107" s="144"/>
      <c r="GI107" s="144"/>
      <c r="GJ107" s="144"/>
      <c r="GK107" s="144"/>
      <c r="GL107" s="144"/>
      <c r="GM107" s="144"/>
      <c r="GN107" s="144"/>
      <c r="GO107" s="144"/>
      <c r="GP107" s="144"/>
      <c r="GQ107" s="144"/>
      <c r="GR107" s="144"/>
      <c r="GS107" s="144"/>
      <c r="GT107" s="144"/>
      <c r="GU107" s="144"/>
      <c r="GV107" s="144"/>
      <c r="GW107" s="144"/>
      <c r="GX107" s="144"/>
      <c r="GY107" s="144"/>
      <c r="GZ107" s="144"/>
      <c r="HA107" s="144"/>
      <c r="HB107" s="144"/>
      <c r="HC107" s="144"/>
      <c r="HD107" s="144"/>
      <c r="HE107" s="144"/>
      <c r="HF107" s="144"/>
      <c r="HG107" s="144"/>
      <c r="HH107" s="144"/>
      <c r="HI107" s="144"/>
      <c r="HJ107" s="144"/>
      <c r="HK107" s="144"/>
    </row>
    <row r="108" spans="1:219" s="158" customFormat="1" x14ac:dyDescent="0.2">
      <c r="A108" s="155"/>
      <c r="F108" s="676"/>
      <c r="J108" s="608"/>
      <c r="K108" s="609"/>
      <c r="L108" s="609"/>
      <c r="M108" s="609"/>
      <c r="N108" s="609"/>
      <c r="O108" s="609"/>
      <c r="P108" s="609"/>
      <c r="Q108" s="609"/>
      <c r="R108" s="609"/>
      <c r="S108" s="609"/>
      <c r="T108" s="609"/>
      <c r="U108" s="609"/>
      <c r="V108" s="609"/>
      <c r="W108" s="609"/>
      <c r="FA108" s="144"/>
      <c r="FB108" s="609" t="s">
        <v>243</v>
      </c>
      <c r="FC108" s="144"/>
      <c r="FD108" s="144"/>
      <c r="FE108" s="144"/>
      <c r="FF108" s="144"/>
      <c r="FG108" s="144"/>
      <c r="FH108" s="144"/>
      <c r="FI108" s="144"/>
      <c r="FJ108" s="144"/>
      <c r="FK108" s="144"/>
      <c r="FL108" s="144"/>
      <c r="FM108" s="144"/>
      <c r="FN108" s="144"/>
      <c r="FO108" s="144"/>
      <c r="FP108" s="144"/>
      <c r="FQ108" s="144"/>
      <c r="FR108" s="144"/>
      <c r="FS108" s="144"/>
      <c r="FT108" s="144"/>
      <c r="FU108" s="144"/>
      <c r="FV108" s="144"/>
      <c r="FW108" s="144"/>
      <c r="FX108" s="144"/>
      <c r="FY108" s="144"/>
      <c r="FZ108" s="144"/>
      <c r="GA108" s="144"/>
      <c r="GB108" s="144"/>
      <c r="GC108" s="144"/>
      <c r="GD108" s="144"/>
      <c r="GE108" s="144"/>
      <c r="GF108" s="144"/>
      <c r="GG108" s="144"/>
      <c r="GH108" s="144"/>
      <c r="GI108" s="144"/>
      <c r="GJ108" s="144"/>
      <c r="GK108" s="144"/>
      <c r="GL108" s="144"/>
      <c r="GM108" s="144"/>
      <c r="GN108" s="144"/>
      <c r="GO108" s="144"/>
      <c r="GP108" s="144"/>
      <c r="GQ108" s="144"/>
      <c r="GR108" s="144"/>
      <c r="GS108" s="144"/>
      <c r="GT108" s="144"/>
      <c r="GU108" s="144"/>
      <c r="GV108" s="144"/>
      <c r="GW108" s="144"/>
      <c r="GX108" s="144"/>
      <c r="GY108" s="144"/>
      <c r="GZ108" s="144"/>
      <c r="HA108" s="144"/>
      <c r="HB108" s="144"/>
      <c r="HC108" s="144"/>
      <c r="HD108" s="144"/>
      <c r="HE108" s="144"/>
      <c r="HF108" s="144"/>
      <c r="HG108" s="144"/>
      <c r="HH108" s="144"/>
      <c r="HI108" s="144"/>
      <c r="HJ108" s="144"/>
      <c r="HK108" s="144"/>
    </row>
    <row r="109" spans="1:219" x14ac:dyDescent="0.2">
      <c r="FB109" s="609" t="s">
        <v>243</v>
      </c>
    </row>
    <row r="110" spans="1:219" x14ac:dyDescent="0.2">
      <c r="FB110" s="609" t="s">
        <v>243</v>
      </c>
    </row>
    <row r="111" spans="1:219" s="158" customFormat="1" x14ac:dyDescent="0.2">
      <c r="A111" s="155"/>
      <c r="B111" s="162"/>
      <c r="C111" s="162"/>
      <c r="J111" s="608"/>
      <c r="K111" s="609"/>
      <c r="L111" s="609"/>
      <c r="M111" s="609"/>
      <c r="N111" s="609"/>
      <c r="O111" s="609"/>
      <c r="P111" s="609"/>
      <c r="Q111" s="609"/>
      <c r="R111" s="609"/>
      <c r="S111" s="609"/>
      <c r="T111" s="609"/>
      <c r="U111" s="609"/>
      <c r="V111" s="609"/>
      <c r="W111" s="609"/>
      <c r="FA111" s="144"/>
      <c r="FB111" s="609" t="s">
        <v>243</v>
      </c>
      <c r="FC111" s="144"/>
      <c r="FD111" s="144"/>
      <c r="FE111" s="144"/>
      <c r="FF111" s="144"/>
      <c r="FG111" s="144"/>
      <c r="FH111" s="144"/>
      <c r="FI111" s="144"/>
      <c r="FJ111" s="144"/>
      <c r="FK111" s="144"/>
      <c r="FL111" s="144"/>
      <c r="FM111" s="144"/>
      <c r="FN111" s="144"/>
      <c r="FO111" s="144"/>
      <c r="FP111" s="144"/>
      <c r="FQ111" s="144"/>
      <c r="FR111" s="144"/>
      <c r="FS111" s="144"/>
      <c r="FT111" s="144"/>
      <c r="FU111" s="144"/>
      <c r="FV111" s="144"/>
      <c r="FW111" s="144"/>
      <c r="FX111" s="144"/>
      <c r="FY111" s="144"/>
      <c r="FZ111" s="144"/>
      <c r="GA111" s="144"/>
      <c r="GB111" s="144"/>
      <c r="GC111" s="144"/>
      <c r="GD111" s="144"/>
      <c r="GE111" s="144"/>
      <c r="GF111" s="144"/>
      <c r="GG111" s="144"/>
      <c r="GH111" s="144"/>
      <c r="GI111" s="144"/>
      <c r="GJ111" s="144"/>
      <c r="GK111" s="144"/>
      <c r="GL111" s="144"/>
      <c r="GM111" s="144"/>
      <c r="GN111" s="144"/>
      <c r="GO111" s="144"/>
      <c r="GP111" s="144"/>
      <c r="GQ111" s="144"/>
      <c r="GR111" s="144"/>
      <c r="GS111" s="144"/>
      <c r="GT111" s="144"/>
      <c r="GU111" s="144"/>
      <c r="GV111" s="144"/>
      <c r="GW111" s="144"/>
      <c r="GX111" s="144"/>
      <c r="GY111" s="144"/>
      <c r="GZ111" s="144"/>
      <c r="HA111" s="144"/>
      <c r="HB111" s="144"/>
      <c r="HC111" s="144"/>
      <c r="HD111" s="144"/>
      <c r="HE111" s="144"/>
      <c r="HF111" s="144"/>
      <c r="HG111" s="144"/>
      <c r="HH111" s="144"/>
      <c r="HI111" s="144"/>
      <c r="HJ111" s="144"/>
      <c r="HK111" s="144"/>
    </row>
    <row r="112" spans="1:219" x14ac:dyDescent="0.2">
      <c r="FB112" s="609" t="s">
        <v>243</v>
      </c>
    </row>
    <row r="113" spans="1:219" x14ac:dyDescent="0.2">
      <c r="FB113" s="609" t="s">
        <v>243</v>
      </c>
    </row>
    <row r="114" spans="1:219" x14ac:dyDescent="0.2">
      <c r="FB114" s="609" t="s">
        <v>243</v>
      </c>
    </row>
    <row r="115" spans="1:219" hidden="1" outlineLevel="1" x14ac:dyDescent="0.2">
      <c r="D115" s="677" t="str">
        <f>Dropdowns!K6</f>
        <v>Straight Line</v>
      </c>
      <c r="E115" s="677">
        <v>9999</v>
      </c>
      <c r="FB115" s="609" t="s">
        <v>243</v>
      </c>
    </row>
    <row r="116" spans="1:219" hidden="1" outlineLevel="1" x14ac:dyDescent="0.2">
      <c r="D116" s="677" t="str">
        <f>Dropdowns!K7</f>
        <v>Low S-Curve</v>
      </c>
      <c r="E116" s="677">
        <v>7</v>
      </c>
      <c r="FB116" s="609" t="s">
        <v>243</v>
      </c>
    </row>
    <row r="117" spans="1:219" hidden="1" outlineLevel="1" x14ac:dyDescent="0.2">
      <c r="D117" s="677" t="str">
        <f>Dropdowns!K8</f>
        <v>Medium - S Curve</v>
      </c>
      <c r="E117" s="677">
        <v>6</v>
      </c>
      <c r="FB117" s="609" t="s">
        <v>243</v>
      </c>
    </row>
    <row r="118" spans="1:219" hidden="1" outlineLevel="1" x14ac:dyDescent="0.2">
      <c r="D118" s="677" t="str">
        <f>Dropdowns!K9</f>
        <v>High - S Curve</v>
      </c>
      <c r="E118" s="677">
        <v>5</v>
      </c>
      <c r="FB118" s="609" t="s">
        <v>243</v>
      </c>
    </row>
    <row r="119" spans="1:219" collapsed="1" x14ac:dyDescent="0.2">
      <c r="FB119" s="609" t="s">
        <v>243</v>
      </c>
    </row>
    <row r="120" spans="1:219" x14ac:dyDescent="0.2">
      <c r="FB120" s="609" t="s">
        <v>243</v>
      </c>
    </row>
    <row r="121" spans="1:219" s="158" customFormat="1" x14ac:dyDescent="0.2">
      <c r="A121" s="144"/>
      <c r="B121" s="144"/>
      <c r="C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144"/>
      <c r="AD121" s="144"/>
      <c r="AE121" s="144"/>
      <c r="AF121" s="144"/>
      <c r="AG121" s="144"/>
      <c r="AH121" s="144"/>
      <c r="AI121" s="144"/>
      <c r="AJ121" s="144"/>
      <c r="AK121" s="144"/>
      <c r="AL121" s="144"/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  <c r="BZ121" s="144"/>
      <c r="CA121" s="144"/>
      <c r="CB121" s="144"/>
      <c r="CC121" s="144"/>
      <c r="CD121" s="144"/>
      <c r="CE121" s="144"/>
      <c r="CF121" s="144"/>
      <c r="CG121" s="144"/>
      <c r="CH121" s="144"/>
      <c r="CI121" s="144"/>
      <c r="CJ121" s="144"/>
      <c r="CK121" s="144"/>
      <c r="CL121" s="144"/>
      <c r="CM121" s="144"/>
      <c r="CN121" s="144"/>
      <c r="CO121" s="144"/>
      <c r="CP121" s="144"/>
      <c r="CQ121" s="144"/>
      <c r="CR121" s="144"/>
      <c r="CS121" s="144"/>
      <c r="CT121" s="144"/>
      <c r="CU121" s="144"/>
      <c r="CV121" s="144"/>
      <c r="CW121" s="144"/>
      <c r="CX121" s="144"/>
      <c r="CY121" s="144"/>
      <c r="CZ121" s="144"/>
      <c r="DA121" s="144"/>
      <c r="DB121" s="144"/>
      <c r="DC121" s="144"/>
      <c r="DD121" s="144"/>
      <c r="DE121" s="144"/>
      <c r="DF121" s="144"/>
      <c r="DG121" s="144"/>
      <c r="DH121" s="144"/>
      <c r="DI121" s="144"/>
      <c r="DJ121" s="144"/>
      <c r="DK121" s="144"/>
      <c r="DL121" s="144"/>
      <c r="DM121" s="144"/>
      <c r="DN121" s="144"/>
      <c r="DO121" s="144"/>
      <c r="DP121" s="144"/>
      <c r="DQ121" s="144"/>
      <c r="DR121" s="144"/>
      <c r="DS121" s="144"/>
      <c r="DT121" s="144"/>
      <c r="DU121" s="144"/>
      <c r="DV121" s="144"/>
      <c r="DW121" s="144"/>
      <c r="DX121" s="144"/>
      <c r="DY121" s="144"/>
      <c r="DZ121" s="144"/>
      <c r="EA121" s="144"/>
      <c r="EB121" s="144"/>
      <c r="EC121" s="144"/>
      <c r="ED121" s="144"/>
      <c r="EE121" s="144"/>
      <c r="EF121" s="144"/>
      <c r="EG121" s="144"/>
      <c r="EH121" s="144"/>
      <c r="EI121" s="144"/>
      <c r="EJ121" s="144"/>
      <c r="EK121" s="144"/>
      <c r="EL121" s="144"/>
      <c r="EM121" s="144"/>
      <c r="EN121" s="144"/>
      <c r="EO121" s="144"/>
      <c r="EP121" s="144"/>
      <c r="EQ121" s="144"/>
      <c r="ER121" s="144"/>
      <c r="ES121" s="144"/>
      <c r="ET121" s="144"/>
      <c r="EU121" s="144"/>
      <c r="EV121" s="144"/>
      <c r="EW121" s="144"/>
      <c r="EX121" s="144"/>
      <c r="EY121" s="144"/>
      <c r="EZ121" s="144"/>
      <c r="FA121" s="144"/>
      <c r="FB121" s="609" t="s">
        <v>243</v>
      </c>
      <c r="FC121" s="144"/>
      <c r="FD121" s="144"/>
      <c r="FE121" s="144"/>
      <c r="FF121" s="144"/>
      <c r="FG121" s="144"/>
      <c r="FH121" s="144"/>
      <c r="FI121" s="144"/>
      <c r="FJ121" s="144"/>
      <c r="FK121" s="144"/>
      <c r="FL121" s="144"/>
      <c r="FM121" s="144"/>
      <c r="FN121" s="144"/>
      <c r="FO121" s="144"/>
      <c r="FP121" s="144"/>
      <c r="FQ121" s="144"/>
      <c r="FR121" s="144"/>
      <c r="FS121" s="144"/>
      <c r="FT121" s="144"/>
      <c r="FU121" s="144"/>
      <c r="FV121" s="144"/>
      <c r="FW121" s="144"/>
      <c r="FX121" s="144"/>
      <c r="FY121" s="144"/>
      <c r="FZ121" s="144"/>
      <c r="GA121" s="144"/>
      <c r="GB121" s="144"/>
      <c r="GC121" s="144"/>
      <c r="GD121" s="144"/>
      <c r="GE121" s="144"/>
      <c r="GF121" s="144"/>
      <c r="GG121" s="144"/>
      <c r="GH121" s="144"/>
      <c r="GI121" s="144"/>
      <c r="GJ121" s="144"/>
      <c r="GK121" s="144"/>
      <c r="GL121" s="144"/>
      <c r="GM121" s="144"/>
      <c r="GN121" s="144"/>
      <c r="GO121" s="144"/>
      <c r="GP121" s="144"/>
      <c r="GQ121" s="144"/>
      <c r="GR121" s="144"/>
      <c r="GS121" s="144"/>
      <c r="GT121" s="144"/>
      <c r="GU121" s="144"/>
      <c r="GV121" s="144"/>
      <c r="GW121" s="144"/>
      <c r="GX121" s="144"/>
      <c r="GY121" s="144"/>
      <c r="GZ121" s="144"/>
      <c r="HA121" s="144"/>
      <c r="HB121" s="144"/>
      <c r="HC121" s="144"/>
      <c r="HD121" s="144"/>
      <c r="HE121" s="144"/>
      <c r="HF121" s="144"/>
      <c r="HG121" s="144"/>
      <c r="HH121" s="144"/>
      <c r="HI121" s="144"/>
      <c r="HJ121" s="144"/>
      <c r="HK121" s="144"/>
    </row>
    <row r="122" spans="1:219" s="158" customFormat="1" x14ac:dyDescent="0.2">
      <c r="A122" s="144"/>
      <c r="B122" s="144"/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  <c r="AA122" s="144"/>
      <c r="AB122" s="144"/>
      <c r="AC122" s="144"/>
      <c r="AD122" s="144"/>
      <c r="AE122" s="144"/>
      <c r="AF122" s="144"/>
      <c r="AG122" s="144"/>
      <c r="AH122" s="144"/>
      <c r="AI122" s="144"/>
      <c r="AJ122" s="144"/>
      <c r="AK122" s="144"/>
      <c r="AL122" s="144"/>
      <c r="AM122" s="144"/>
      <c r="AN122" s="144"/>
      <c r="AO122" s="144"/>
      <c r="AP122" s="144"/>
      <c r="AQ122" s="144"/>
      <c r="AR122" s="144"/>
      <c r="AS122" s="144"/>
      <c r="AT122" s="144"/>
      <c r="AU122" s="144"/>
      <c r="AV122" s="144"/>
      <c r="AW122" s="144"/>
      <c r="AX122" s="144"/>
      <c r="AY122" s="144"/>
      <c r="AZ122" s="144"/>
      <c r="BA122" s="144"/>
      <c r="BB122" s="144"/>
      <c r="BC122" s="144"/>
      <c r="BD122" s="144"/>
      <c r="BE122" s="144"/>
      <c r="BF122" s="144"/>
      <c r="BG122" s="144"/>
      <c r="BH122" s="144"/>
      <c r="BI122" s="144"/>
      <c r="BJ122" s="144"/>
      <c r="BK122" s="144"/>
      <c r="BL122" s="144"/>
      <c r="BM122" s="144"/>
      <c r="BN122" s="144"/>
      <c r="BO122" s="144"/>
      <c r="BP122" s="144"/>
      <c r="BQ122" s="144"/>
      <c r="BR122" s="144"/>
      <c r="BS122" s="144"/>
      <c r="BT122" s="144"/>
      <c r="BU122" s="144"/>
      <c r="BV122" s="144"/>
      <c r="BW122" s="144"/>
      <c r="BX122" s="144"/>
      <c r="BY122" s="144"/>
      <c r="BZ122" s="144"/>
      <c r="CA122" s="144"/>
      <c r="CB122" s="144"/>
      <c r="CC122" s="144"/>
      <c r="CD122" s="144"/>
      <c r="CE122" s="144"/>
      <c r="CF122" s="144"/>
      <c r="CG122" s="144"/>
      <c r="CH122" s="144"/>
      <c r="CI122" s="144"/>
      <c r="CJ122" s="144"/>
      <c r="CK122" s="144"/>
      <c r="CL122" s="144"/>
      <c r="CM122" s="144"/>
      <c r="CN122" s="144"/>
      <c r="CO122" s="144"/>
      <c r="CP122" s="144"/>
      <c r="CQ122" s="144"/>
      <c r="CR122" s="144"/>
      <c r="CS122" s="144"/>
      <c r="CT122" s="144"/>
      <c r="CU122" s="144"/>
      <c r="CV122" s="144"/>
      <c r="CW122" s="144"/>
      <c r="CX122" s="144"/>
      <c r="CY122" s="144"/>
      <c r="CZ122" s="144"/>
      <c r="DA122" s="144"/>
      <c r="DB122" s="144"/>
      <c r="DC122" s="144"/>
      <c r="DD122" s="144"/>
      <c r="DE122" s="144"/>
      <c r="DF122" s="144"/>
      <c r="DG122" s="144"/>
      <c r="DH122" s="144"/>
      <c r="DI122" s="144"/>
      <c r="DJ122" s="144"/>
      <c r="DK122" s="144"/>
      <c r="DL122" s="144"/>
      <c r="DM122" s="144"/>
      <c r="DN122" s="144"/>
      <c r="DO122" s="144"/>
      <c r="DP122" s="144"/>
      <c r="DQ122" s="144"/>
      <c r="DR122" s="144"/>
      <c r="DS122" s="144"/>
      <c r="DT122" s="144"/>
      <c r="DU122" s="144"/>
      <c r="DV122" s="144"/>
      <c r="DW122" s="144"/>
      <c r="DX122" s="144"/>
      <c r="DY122" s="144"/>
      <c r="DZ122" s="144"/>
      <c r="EA122" s="144"/>
      <c r="EB122" s="144"/>
      <c r="EC122" s="144"/>
      <c r="ED122" s="144"/>
      <c r="EE122" s="144"/>
      <c r="EF122" s="144"/>
      <c r="EG122" s="144"/>
      <c r="EH122" s="144"/>
      <c r="EI122" s="144"/>
      <c r="EJ122" s="144"/>
      <c r="EK122" s="144"/>
      <c r="EL122" s="144"/>
      <c r="EM122" s="144"/>
      <c r="EN122" s="144"/>
      <c r="EO122" s="144"/>
      <c r="EP122" s="144"/>
      <c r="EQ122" s="144"/>
      <c r="ER122" s="144"/>
      <c r="ES122" s="144"/>
      <c r="ET122" s="144"/>
      <c r="EU122" s="144"/>
      <c r="EV122" s="144"/>
      <c r="EW122" s="144"/>
      <c r="EX122" s="144"/>
      <c r="EY122" s="144"/>
      <c r="EZ122" s="144"/>
      <c r="FA122" s="144"/>
      <c r="FB122" s="609" t="s">
        <v>243</v>
      </c>
      <c r="FC122" s="144"/>
      <c r="FD122" s="144"/>
      <c r="FE122" s="144"/>
      <c r="FF122" s="144"/>
      <c r="FG122" s="144"/>
      <c r="FH122" s="144"/>
      <c r="FI122" s="144"/>
      <c r="FJ122" s="144"/>
      <c r="FK122" s="144"/>
      <c r="FL122" s="144"/>
      <c r="FM122" s="144"/>
      <c r="FN122" s="144"/>
      <c r="FO122" s="144"/>
      <c r="FP122" s="144"/>
      <c r="FQ122" s="144"/>
      <c r="FR122" s="144"/>
      <c r="FS122" s="144"/>
      <c r="FT122" s="144"/>
      <c r="FU122" s="144"/>
      <c r="FV122" s="144"/>
      <c r="FW122" s="144"/>
      <c r="FX122" s="144"/>
      <c r="FY122" s="144"/>
      <c r="FZ122" s="144"/>
      <c r="GA122" s="144"/>
      <c r="GB122" s="144"/>
      <c r="GC122" s="144"/>
      <c r="GD122" s="144"/>
      <c r="GE122" s="144"/>
      <c r="GF122" s="144"/>
      <c r="GG122" s="144"/>
      <c r="GH122" s="144"/>
      <c r="GI122" s="144"/>
      <c r="GJ122" s="144"/>
      <c r="GK122" s="144"/>
      <c r="GL122" s="144"/>
      <c r="GM122" s="144"/>
      <c r="GN122" s="144"/>
      <c r="GO122" s="144"/>
      <c r="GP122" s="144"/>
      <c r="GQ122" s="144"/>
      <c r="GR122" s="144"/>
      <c r="GS122" s="144"/>
      <c r="GT122" s="144"/>
      <c r="GU122" s="144"/>
      <c r="GV122" s="144"/>
      <c r="GW122" s="144"/>
      <c r="GX122" s="144"/>
      <c r="GY122" s="144"/>
      <c r="GZ122" s="144"/>
      <c r="HA122" s="144"/>
      <c r="HB122" s="144"/>
      <c r="HC122" s="144"/>
      <c r="HD122" s="144"/>
      <c r="HE122" s="144"/>
      <c r="HF122" s="144"/>
      <c r="HG122" s="144"/>
      <c r="HH122" s="144"/>
      <c r="HI122" s="144"/>
      <c r="HJ122" s="144"/>
      <c r="HK122" s="144"/>
    </row>
    <row r="123" spans="1:219" s="158" customFormat="1" x14ac:dyDescent="0.2">
      <c r="A123" s="144"/>
      <c r="B123" s="144"/>
      <c r="C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44"/>
      <c r="AH123" s="144"/>
      <c r="AI123" s="144"/>
      <c r="AJ123" s="144"/>
      <c r="AK123" s="144"/>
      <c r="AL123" s="144"/>
      <c r="AM123" s="144"/>
      <c r="AN123" s="144"/>
      <c r="AO123" s="144"/>
      <c r="AP123" s="144"/>
      <c r="AQ123" s="144"/>
      <c r="AR123" s="144"/>
      <c r="AS123" s="144"/>
      <c r="AT123" s="144"/>
      <c r="AU123" s="144"/>
      <c r="AV123" s="144"/>
      <c r="AW123" s="144"/>
      <c r="AX123" s="144"/>
      <c r="AY123" s="144"/>
      <c r="AZ123" s="144"/>
      <c r="BA123" s="144"/>
      <c r="BB123" s="144"/>
      <c r="BC123" s="144"/>
      <c r="BD123" s="144"/>
      <c r="BE123" s="144"/>
      <c r="BF123" s="144"/>
      <c r="BG123" s="144"/>
      <c r="BH123" s="144"/>
      <c r="BI123" s="144"/>
      <c r="BJ123" s="144"/>
      <c r="BK123" s="144"/>
      <c r="BL123" s="144"/>
      <c r="BM123" s="144"/>
      <c r="BN123" s="144"/>
      <c r="BO123" s="144"/>
      <c r="BP123" s="144"/>
      <c r="BQ123" s="144"/>
      <c r="BR123" s="144"/>
      <c r="BS123" s="144"/>
      <c r="BT123" s="144"/>
      <c r="BU123" s="144"/>
      <c r="BV123" s="144"/>
      <c r="BW123" s="144"/>
      <c r="BX123" s="144"/>
      <c r="BY123" s="144"/>
      <c r="BZ123" s="144"/>
      <c r="CA123" s="144"/>
      <c r="CB123" s="144"/>
      <c r="CC123" s="144"/>
      <c r="CD123" s="144"/>
      <c r="CE123" s="144"/>
      <c r="CF123" s="144"/>
      <c r="CG123" s="144"/>
      <c r="CH123" s="144"/>
      <c r="CI123" s="144"/>
      <c r="CJ123" s="144"/>
      <c r="CK123" s="144"/>
      <c r="CL123" s="144"/>
      <c r="CM123" s="144"/>
      <c r="CN123" s="144"/>
      <c r="CO123" s="144"/>
      <c r="CP123" s="144"/>
      <c r="CQ123" s="144"/>
      <c r="CR123" s="144"/>
      <c r="CS123" s="144"/>
      <c r="CT123" s="144"/>
      <c r="CU123" s="144"/>
      <c r="CV123" s="144"/>
      <c r="CW123" s="144"/>
      <c r="CX123" s="144"/>
      <c r="CY123" s="144"/>
      <c r="CZ123" s="144"/>
      <c r="DA123" s="144"/>
      <c r="DB123" s="144"/>
      <c r="DC123" s="144"/>
      <c r="DD123" s="144"/>
      <c r="DE123" s="144"/>
      <c r="DF123" s="144"/>
      <c r="DG123" s="144"/>
      <c r="DH123" s="144"/>
      <c r="DI123" s="144"/>
      <c r="DJ123" s="144"/>
      <c r="DK123" s="144"/>
      <c r="DL123" s="144"/>
      <c r="DM123" s="144"/>
      <c r="DN123" s="144"/>
      <c r="DO123" s="144"/>
      <c r="DP123" s="144"/>
      <c r="DQ123" s="144"/>
      <c r="DR123" s="144"/>
      <c r="DS123" s="144"/>
      <c r="DT123" s="144"/>
      <c r="DU123" s="144"/>
      <c r="DV123" s="144"/>
      <c r="DW123" s="144"/>
      <c r="DX123" s="144"/>
      <c r="DY123" s="144"/>
      <c r="DZ123" s="144"/>
      <c r="EA123" s="144"/>
      <c r="EB123" s="144"/>
      <c r="EC123" s="144"/>
      <c r="ED123" s="144"/>
      <c r="EE123" s="144"/>
      <c r="EF123" s="144"/>
      <c r="EG123" s="144"/>
      <c r="EH123" s="144"/>
      <c r="EI123" s="144"/>
      <c r="EJ123" s="144"/>
      <c r="EK123" s="144"/>
      <c r="EL123" s="144"/>
      <c r="EM123" s="144"/>
      <c r="EN123" s="144"/>
      <c r="EO123" s="144"/>
      <c r="EP123" s="144"/>
      <c r="EQ123" s="144"/>
      <c r="ER123" s="144"/>
      <c r="ES123" s="144"/>
      <c r="ET123" s="144"/>
      <c r="EU123" s="144"/>
      <c r="EV123" s="144"/>
      <c r="EW123" s="144"/>
      <c r="EX123" s="144"/>
      <c r="EY123" s="144"/>
      <c r="EZ123" s="144"/>
      <c r="FA123" s="144"/>
      <c r="FB123" s="609" t="s">
        <v>243</v>
      </c>
      <c r="FC123" s="144"/>
      <c r="FD123" s="144"/>
      <c r="FE123" s="144"/>
      <c r="FF123" s="144"/>
      <c r="FG123" s="144"/>
      <c r="FH123" s="144"/>
      <c r="FI123" s="144"/>
      <c r="FJ123" s="144"/>
      <c r="FK123" s="144"/>
      <c r="FL123" s="144"/>
      <c r="FM123" s="144"/>
      <c r="FN123" s="144"/>
      <c r="FO123" s="144"/>
      <c r="FP123" s="144"/>
      <c r="FQ123" s="144"/>
      <c r="FR123" s="144"/>
      <c r="FS123" s="144"/>
      <c r="FT123" s="144"/>
      <c r="FU123" s="144"/>
      <c r="FV123" s="144"/>
      <c r="FW123" s="144"/>
      <c r="FX123" s="144"/>
      <c r="FY123" s="144"/>
      <c r="FZ123" s="144"/>
      <c r="GA123" s="144"/>
      <c r="GB123" s="144"/>
      <c r="GC123" s="144"/>
      <c r="GD123" s="144"/>
      <c r="GE123" s="144"/>
      <c r="GF123" s="144"/>
      <c r="GG123" s="144"/>
      <c r="GH123" s="144"/>
      <c r="GI123" s="144"/>
      <c r="GJ123" s="144"/>
      <c r="GK123" s="144"/>
      <c r="GL123" s="144"/>
      <c r="GM123" s="144"/>
      <c r="GN123" s="144"/>
      <c r="GO123" s="144"/>
      <c r="GP123" s="144"/>
      <c r="GQ123" s="144"/>
      <c r="GR123" s="144"/>
      <c r="GS123" s="144"/>
      <c r="GT123" s="144"/>
      <c r="GU123" s="144"/>
      <c r="GV123" s="144"/>
      <c r="GW123" s="144"/>
      <c r="GX123" s="144"/>
      <c r="GY123" s="144"/>
      <c r="GZ123" s="144"/>
      <c r="HA123" s="144"/>
      <c r="HB123" s="144"/>
      <c r="HC123" s="144"/>
      <c r="HD123" s="144"/>
      <c r="HE123" s="144"/>
      <c r="HF123" s="144"/>
      <c r="HG123" s="144"/>
      <c r="HH123" s="144"/>
      <c r="HI123" s="144"/>
      <c r="HJ123" s="144"/>
      <c r="HK123" s="144"/>
    </row>
    <row r="124" spans="1:219" s="158" customFormat="1" x14ac:dyDescent="0.2">
      <c r="A124" s="144"/>
      <c r="B124" s="144"/>
      <c r="C124" s="144"/>
      <c r="G124" s="144"/>
      <c r="H124" s="144"/>
      <c r="I124" s="144"/>
      <c r="J124" s="144"/>
      <c r="K124" s="144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  <c r="Y124" s="144"/>
      <c r="Z124" s="144"/>
      <c r="AA124" s="144"/>
      <c r="AB124" s="144"/>
      <c r="AC124" s="144"/>
      <c r="AD124" s="144"/>
      <c r="AE124" s="144"/>
      <c r="AF124" s="144"/>
      <c r="AG124" s="144"/>
      <c r="AH124" s="144"/>
      <c r="AI124" s="144"/>
      <c r="AJ124" s="144"/>
      <c r="AK124" s="144"/>
      <c r="AL124" s="144"/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  <c r="BZ124" s="144"/>
      <c r="CA124" s="144"/>
      <c r="CB124" s="144"/>
      <c r="CC124" s="144"/>
      <c r="CD124" s="144"/>
      <c r="CE124" s="144"/>
      <c r="CF124" s="144"/>
      <c r="CG124" s="144"/>
      <c r="CH124" s="144"/>
      <c r="CI124" s="144"/>
      <c r="CJ124" s="144"/>
      <c r="CK124" s="144"/>
      <c r="CL124" s="144"/>
      <c r="CM124" s="144"/>
      <c r="CN124" s="144"/>
      <c r="CO124" s="144"/>
      <c r="CP124" s="144"/>
      <c r="CQ124" s="144"/>
      <c r="CR124" s="144"/>
      <c r="CS124" s="144"/>
      <c r="CT124" s="144"/>
      <c r="CU124" s="144"/>
      <c r="CV124" s="144"/>
      <c r="CW124" s="144"/>
      <c r="CX124" s="144"/>
      <c r="CY124" s="144"/>
      <c r="CZ124" s="144"/>
      <c r="DA124" s="144"/>
      <c r="DB124" s="144"/>
      <c r="DC124" s="144"/>
      <c r="DD124" s="144"/>
      <c r="DE124" s="144"/>
      <c r="DF124" s="144"/>
      <c r="DG124" s="144"/>
      <c r="DH124" s="144"/>
      <c r="DI124" s="144"/>
      <c r="DJ124" s="144"/>
      <c r="DK124" s="144"/>
      <c r="DL124" s="144"/>
      <c r="DM124" s="144"/>
      <c r="DN124" s="144"/>
      <c r="DO124" s="144"/>
      <c r="DP124" s="144"/>
      <c r="DQ124" s="144"/>
      <c r="DR124" s="144"/>
      <c r="DS124" s="144"/>
      <c r="DT124" s="144"/>
      <c r="DU124" s="144"/>
      <c r="DV124" s="144"/>
      <c r="DW124" s="144"/>
      <c r="DX124" s="144"/>
      <c r="DY124" s="144"/>
      <c r="DZ124" s="144"/>
      <c r="EA124" s="144"/>
      <c r="EB124" s="144"/>
      <c r="EC124" s="144"/>
      <c r="ED124" s="144"/>
      <c r="EE124" s="144"/>
      <c r="EF124" s="144"/>
      <c r="EG124" s="144"/>
      <c r="EH124" s="144"/>
      <c r="EI124" s="144"/>
      <c r="EJ124" s="144"/>
      <c r="EK124" s="144"/>
      <c r="EL124" s="144"/>
      <c r="EM124" s="144"/>
      <c r="EN124" s="144"/>
      <c r="EO124" s="144"/>
      <c r="EP124" s="144"/>
      <c r="EQ124" s="144"/>
      <c r="ER124" s="144"/>
      <c r="ES124" s="144"/>
      <c r="ET124" s="144"/>
      <c r="EU124" s="144"/>
      <c r="EV124" s="144"/>
      <c r="EW124" s="144"/>
      <c r="EX124" s="144"/>
      <c r="EY124" s="144"/>
      <c r="EZ124" s="144"/>
      <c r="FA124" s="144"/>
      <c r="FB124" s="609" t="s">
        <v>243</v>
      </c>
      <c r="FC124" s="144"/>
      <c r="FD124" s="144"/>
      <c r="FE124" s="144"/>
      <c r="FF124" s="144"/>
      <c r="FG124" s="144"/>
      <c r="FH124" s="144"/>
      <c r="FI124" s="144"/>
      <c r="FJ124" s="144"/>
      <c r="FK124" s="144"/>
      <c r="FL124" s="144"/>
      <c r="FM124" s="144"/>
      <c r="FN124" s="144"/>
      <c r="FO124" s="144"/>
      <c r="FP124" s="144"/>
      <c r="FQ124" s="144"/>
      <c r="FR124" s="144"/>
      <c r="FS124" s="144"/>
      <c r="FT124" s="144"/>
      <c r="FU124" s="144"/>
      <c r="FV124" s="144"/>
      <c r="FW124" s="144"/>
      <c r="FX124" s="144"/>
      <c r="FY124" s="144"/>
      <c r="FZ124" s="144"/>
      <c r="GA124" s="144"/>
      <c r="GB124" s="144"/>
      <c r="GC124" s="144"/>
      <c r="GD124" s="144"/>
      <c r="GE124" s="144"/>
      <c r="GF124" s="144"/>
      <c r="GG124" s="144"/>
      <c r="GH124" s="144"/>
      <c r="GI124" s="144"/>
      <c r="GJ124" s="144"/>
      <c r="GK124" s="144"/>
      <c r="GL124" s="144"/>
      <c r="GM124" s="144"/>
      <c r="GN124" s="144"/>
      <c r="GO124" s="144"/>
      <c r="GP124" s="144"/>
      <c r="GQ124" s="144"/>
      <c r="GR124" s="144"/>
      <c r="GS124" s="144"/>
      <c r="GT124" s="144"/>
      <c r="GU124" s="144"/>
      <c r="GV124" s="144"/>
      <c r="GW124" s="144"/>
      <c r="GX124" s="144"/>
      <c r="GY124" s="144"/>
      <c r="GZ124" s="144"/>
      <c r="HA124" s="144"/>
      <c r="HB124" s="144"/>
      <c r="HC124" s="144"/>
      <c r="HD124" s="144"/>
      <c r="HE124" s="144"/>
      <c r="HF124" s="144"/>
      <c r="HG124" s="144"/>
      <c r="HH124" s="144"/>
      <c r="HI124" s="144"/>
      <c r="HJ124" s="144"/>
      <c r="HK124" s="144"/>
    </row>
    <row r="125" spans="1:219" s="158" customFormat="1" x14ac:dyDescent="0.2">
      <c r="A125" s="144"/>
      <c r="B125" s="144"/>
      <c r="C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  <c r="W125" s="144"/>
      <c r="X125" s="144"/>
      <c r="Y125" s="144"/>
      <c r="Z125" s="144"/>
      <c r="AA125" s="144"/>
      <c r="AB125" s="144"/>
      <c r="AC125" s="144"/>
      <c r="AD125" s="144"/>
      <c r="AE125" s="144"/>
      <c r="AF125" s="144"/>
      <c r="AG125" s="144"/>
      <c r="AH125" s="144"/>
      <c r="AI125" s="144"/>
      <c r="AJ125" s="144"/>
      <c r="AK125" s="144"/>
      <c r="AL125" s="14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  <c r="BZ125" s="144"/>
      <c r="CA125" s="144"/>
      <c r="CB125" s="144"/>
      <c r="CC125" s="144"/>
      <c r="CD125" s="144"/>
      <c r="CE125" s="144"/>
      <c r="CF125" s="144"/>
      <c r="CG125" s="144"/>
      <c r="CH125" s="144"/>
      <c r="CI125" s="144"/>
      <c r="CJ125" s="144"/>
      <c r="CK125" s="144"/>
      <c r="CL125" s="144"/>
      <c r="CM125" s="144"/>
      <c r="CN125" s="144"/>
      <c r="CO125" s="144"/>
      <c r="CP125" s="144"/>
      <c r="CQ125" s="144"/>
      <c r="CR125" s="144"/>
      <c r="CS125" s="144"/>
      <c r="CT125" s="144"/>
      <c r="CU125" s="144"/>
      <c r="CV125" s="144"/>
      <c r="CW125" s="144"/>
      <c r="CX125" s="144"/>
      <c r="CY125" s="144"/>
      <c r="CZ125" s="144"/>
      <c r="DA125" s="144"/>
      <c r="DB125" s="144"/>
      <c r="DC125" s="144"/>
      <c r="DD125" s="144"/>
      <c r="DE125" s="144"/>
      <c r="DF125" s="144"/>
      <c r="DG125" s="144"/>
      <c r="DH125" s="144"/>
      <c r="DI125" s="144"/>
      <c r="DJ125" s="144"/>
      <c r="DK125" s="144"/>
      <c r="DL125" s="144"/>
      <c r="DM125" s="144"/>
      <c r="DN125" s="144"/>
      <c r="DO125" s="144"/>
      <c r="DP125" s="144"/>
      <c r="DQ125" s="144"/>
      <c r="DR125" s="144"/>
      <c r="DS125" s="144"/>
      <c r="DT125" s="144"/>
      <c r="DU125" s="144"/>
      <c r="DV125" s="144"/>
      <c r="DW125" s="144"/>
      <c r="DX125" s="144"/>
      <c r="DY125" s="144"/>
      <c r="DZ125" s="144"/>
      <c r="EA125" s="144"/>
      <c r="EB125" s="144"/>
      <c r="EC125" s="144"/>
      <c r="ED125" s="144"/>
      <c r="EE125" s="144"/>
      <c r="EF125" s="144"/>
      <c r="EG125" s="144"/>
      <c r="EH125" s="144"/>
      <c r="EI125" s="144"/>
      <c r="EJ125" s="144"/>
      <c r="EK125" s="144"/>
      <c r="EL125" s="144"/>
      <c r="EM125" s="144"/>
      <c r="EN125" s="144"/>
      <c r="EO125" s="144"/>
      <c r="EP125" s="144"/>
      <c r="EQ125" s="144"/>
      <c r="ER125" s="144"/>
      <c r="ES125" s="144"/>
      <c r="ET125" s="144"/>
      <c r="EU125" s="144"/>
      <c r="EV125" s="144"/>
      <c r="EW125" s="144"/>
      <c r="EX125" s="144"/>
      <c r="EY125" s="144"/>
      <c r="EZ125" s="144"/>
      <c r="FA125" s="144"/>
      <c r="FB125" s="609" t="s">
        <v>243</v>
      </c>
      <c r="FC125" s="144"/>
      <c r="FD125" s="144"/>
      <c r="FE125" s="144"/>
      <c r="FF125" s="144"/>
      <c r="FG125" s="144"/>
      <c r="FH125" s="144"/>
      <c r="FI125" s="144"/>
      <c r="FJ125" s="144"/>
      <c r="FK125" s="144"/>
      <c r="FL125" s="144"/>
      <c r="FM125" s="144"/>
      <c r="FN125" s="144"/>
      <c r="FO125" s="144"/>
      <c r="FP125" s="144"/>
      <c r="FQ125" s="144"/>
      <c r="FR125" s="144"/>
      <c r="FS125" s="144"/>
      <c r="FT125" s="144"/>
      <c r="FU125" s="144"/>
      <c r="FV125" s="144"/>
      <c r="FW125" s="144"/>
      <c r="FX125" s="144"/>
      <c r="FY125" s="144"/>
      <c r="FZ125" s="144"/>
      <c r="GA125" s="144"/>
      <c r="GB125" s="144"/>
      <c r="GC125" s="144"/>
      <c r="GD125" s="144"/>
      <c r="GE125" s="144"/>
      <c r="GF125" s="144"/>
      <c r="GG125" s="144"/>
      <c r="GH125" s="144"/>
      <c r="GI125" s="144"/>
      <c r="GJ125" s="144"/>
      <c r="GK125" s="144"/>
      <c r="GL125" s="144"/>
      <c r="GM125" s="144"/>
      <c r="GN125" s="144"/>
      <c r="GO125" s="144"/>
      <c r="GP125" s="144"/>
      <c r="GQ125" s="144"/>
      <c r="GR125" s="144"/>
      <c r="GS125" s="144"/>
      <c r="GT125" s="144"/>
      <c r="GU125" s="144"/>
      <c r="GV125" s="144"/>
      <c r="GW125" s="144"/>
      <c r="GX125" s="144"/>
      <c r="GY125" s="144"/>
      <c r="GZ125" s="144"/>
      <c r="HA125" s="144"/>
      <c r="HB125" s="144"/>
      <c r="HC125" s="144"/>
      <c r="HD125" s="144"/>
      <c r="HE125" s="144"/>
      <c r="HF125" s="144"/>
      <c r="HG125" s="144"/>
      <c r="HH125" s="144"/>
      <c r="HI125" s="144"/>
      <c r="HJ125" s="144"/>
      <c r="HK125" s="144"/>
    </row>
    <row r="126" spans="1:219" s="158" customFormat="1" x14ac:dyDescent="0.2">
      <c r="A126" s="144"/>
      <c r="B126" s="144"/>
      <c r="C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  <c r="AA126" s="144"/>
      <c r="AB126" s="144"/>
      <c r="AC126" s="144"/>
      <c r="AD126" s="144"/>
      <c r="AE126" s="144"/>
      <c r="AF126" s="144"/>
      <c r="AG126" s="144"/>
      <c r="AH126" s="144"/>
      <c r="AI126" s="144"/>
      <c r="AJ126" s="144"/>
      <c r="AK126" s="144"/>
      <c r="AL126" s="14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  <c r="BZ126" s="144"/>
      <c r="CA126" s="144"/>
      <c r="CB126" s="144"/>
      <c r="CC126" s="144"/>
      <c r="CD126" s="144"/>
      <c r="CE126" s="144"/>
      <c r="CF126" s="144"/>
      <c r="CG126" s="144"/>
      <c r="CH126" s="144"/>
      <c r="CI126" s="144"/>
      <c r="CJ126" s="144"/>
      <c r="CK126" s="144"/>
      <c r="CL126" s="144"/>
      <c r="CM126" s="144"/>
      <c r="CN126" s="144"/>
      <c r="CO126" s="144"/>
      <c r="CP126" s="144"/>
      <c r="CQ126" s="144"/>
      <c r="CR126" s="144"/>
      <c r="CS126" s="144"/>
      <c r="CT126" s="144"/>
      <c r="CU126" s="144"/>
      <c r="CV126" s="144"/>
      <c r="CW126" s="144"/>
      <c r="CX126" s="144"/>
      <c r="CY126" s="144"/>
      <c r="CZ126" s="144"/>
      <c r="DA126" s="144"/>
      <c r="DB126" s="144"/>
      <c r="DC126" s="144"/>
      <c r="DD126" s="144"/>
      <c r="DE126" s="144"/>
      <c r="DF126" s="144"/>
      <c r="DG126" s="144"/>
      <c r="DH126" s="144"/>
      <c r="DI126" s="144"/>
      <c r="DJ126" s="144"/>
      <c r="DK126" s="144"/>
      <c r="DL126" s="144"/>
      <c r="DM126" s="144"/>
      <c r="DN126" s="144"/>
      <c r="DO126" s="144"/>
      <c r="DP126" s="144"/>
      <c r="DQ126" s="144"/>
      <c r="DR126" s="144"/>
      <c r="DS126" s="144"/>
      <c r="DT126" s="144"/>
      <c r="DU126" s="144"/>
      <c r="DV126" s="144"/>
      <c r="DW126" s="144"/>
      <c r="DX126" s="144"/>
      <c r="DY126" s="144"/>
      <c r="DZ126" s="144"/>
      <c r="EA126" s="144"/>
      <c r="EB126" s="144"/>
      <c r="EC126" s="144"/>
      <c r="ED126" s="144"/>
      <c r="EE126" s="144"/>
      <c r="EF126" s="144"/>
      <c r="EG126" s="144"/>
      <c r="EH126" s="144"/>
      <c r="EI126" s="144"/>
      <c r="EJ126" s="144"/>
      <c r="EK126" s="144"/>
      <c r="EL126" s="144"/>
      <c r="EM126" s="144"/>
      <c r="EN126" s="144"/>
      <c r="EO126" s="144"/>
      <c r="EP126" s="144"/>
      <c r="EQ126" s="144"/>
      <c r="ER126" s="144"/>
      <c r="ES126" s="144"/>
      <c r="ET126" s="144"/>
      <c r="EU126" s="144"/>
      <c r="EV126" s="144"/>
      <c r="EW126" s="144"/>
      <c r="EX126" s="144"/>
      <c r="EY126" s="144"/>
      <c r="EZ126" s="144"/>
      <c r="FA126" s="144"/>
      <c r="FB126" s="609" t="s">
        <v>243</v>
      </c>
      <c r="FC126" s="144"/>
      <c r="FD126" s="144"/>
      <c r="FE126" s="144"/>
      <c r="FF126" s="144"/>
      <c r="FG126" s="144"/>
      <c r="FH126" s="144"/>
      <c r="FI126" s="144"/>
      <c r="FJ126" s="144"/>
      <c r="FK126" s="144"/>
      <c r="FL126" s="144"/>
      <c r="FM126" s="144"/>
      <c r="FN126" s="144"/>
      <c r="FO126" s="144"/>
      <c r="FP126" s="144"/>
      <c r="FQ126" s="144"/>
      <c r="FR126" s="144"/>
      <c r="FS126" s="144"/>
      <c r="FT126" s="144"/>
      <c r="FU126" s="144"/>
      <c r="FV126" s="144"/>
      <c r="FW126" s="144"/>
      <c r="FX126" s="144"/>
      <c r="FY126" s="144"/>
      <c r="FZ126" s="144"/>
      <c r="GA126" s="144"/>
      <c r="GB126" s="144"/>
      <c r="GC126" s="144"/>
      <c r="GD126" s="144"/>
      <c r="GE126" s="144"/>
      <c r="GF126" s="144"/>
      <c r="GG126" s="144"/>
      <c r="GH126" s="144"/>
      <c r="GI126" s="144"/>
      <c r="GJ126" s="144"/>
      <c r="GK126" s="144"/>
      <c r="GL126" s="144"/>
      <c r="GM126" s="144"/>
      <c r="GN126" s="144"/>
      <c r="GO126" s="144"/>
      <c r="GP126" s="144"/>
      <c r="GQ126" s="144"/>
      <c r="GR126" s="144"/>
      <c r="GS126" s="144"/>
      <c r="GT126" s="144"/>
      <c r="GU126" s="144"/>
      <c r="GV126" s="144"/>
      <c r="GW126" s="144"/>
      <c r="GX126" s="144"/>
      <c r="GY126" s="144"/>
      <c r="GZ126" s="144"/>
      <c r="HA126" s="144"/>
      <c r="HB126" s="144"/>
      <c r="HC126" s="144"/>
      <c r="HD126" s="144"/>
      <c r="HE126" s="144"/>
      <c r="HF126" s="144"/>
      <c r="HG126" s="144"/>
      <c r="HH126" s="144"/>
      <c r="HI126" s="144"/>
      <c r="HJ126" s="144"/>
      <c r="HK126" s="144"/>
    </row>
    <row r="127" spans="1:219" s="158" customFormat="1" x14ac:dyDescent="0.2">
      <c r="A127" s="144"/>
      <c r="B127" s="144"/>
      <c r="C127" s="144"/>
      <c r="D127" s="678"/>
      <c r="E127" s="678"/>
      <c r="F127" s="678"/>
      <c r="G127" s="678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/>
      <c r="AC127" s="144"/>
      <c r="AD127" s="144"/>
      <c r="AE127" s="144"/>
      <c r="AF127" s="144"/>
      <c r="AG127" s="144"/>
      <c r="AH127" s="144"/>
      <c r="AI127" s="144"/>
      <c r="AJ127" s="144"/>
      <c r="AK127" s="144"/>
      <c r="AL127" s="14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  <c r="BZ127" s="144"/>
      <c r="CA127" s="144"/>
      <c r="CB127" s="144"/>
      <c r="CC127" s="144"/>
      <c r="CD127" s="144"/>
      <c r="CE127" s="144"/>
      <c r="CF127" s="144"/>
      <c r="CG127" s="144"/>
      <c r="CH127" s="144"/>
      <c r="CI127" s="144"/>
      <c r="CJ127" s="144"/>
      <c r="CK127" s="144"/>
      <c r="CL127" s="144"/>
      <c r="CM127" s="144"/>
      <c r="CN127" s="144"/>
      <c r="CO127" s="144"/>
      <c r="CP127" s="144"/>
      <c r="CQ127" s="144"/>
      <c r="CR127" s="144"/>
      <c r="CS127" s="144"/>
      <c r="CT127" s="144"/>
      <c r="CU127" s="144"/>
      <c r="CV127" s="144"/>
      <c r="CW127" s="144"/>
      <c r="CX127" s="144"/>
      <c r="CY127" s="144"/>
      <c r="CZ127" s="144"/>
      <c r="DA127" s="144"/>
      <c r="DB127" s="144"/>
      <c r="DC127" s="144"/>
      <c r="DD127" s="144"/>
      <c r="DE127" s="144"/>
      <c r="DF127" s="144"/>
      <c r="DG127" s="144"/>
      <c r="DH127" s="144"/>
      <c r="DI127" s="144"/>
      <c r="DJ127" s="144"/>
      <c r="DK127" s="144"/>
      <c r="DL127" s="144"/>
      <c r="DM127" s="144"/>
      <c r="DN127" s="144"/>
      <c r="DO127" s="144"/>
      <c r="DP127" s="144"/>
      <c r="DQ127" s="144"/>
      <c r="DR127" s="144"/>
      <c r="DS127" s="144"/>
      <c r="DT127" s="144"/>
      <c r="DU127" s="144"/>
      <c r="DV127" s="144"/>
      <c r="DW127" s="144"/>
      <c r="DX127" s="144"/>
      <c r="DY127" s="144"/>
      <c r="DZ127" s="144"/>
      <c r="EA127" s="144"/>
      <c r="EB127" s="144"/>
      <c r="EC127" s="144"/>
      <c r="ED127" s="144"/>
      <c r="EE127" s="144"/>
      <c r="EF127" s="144"/>
      <c r="EG127" s="144"/>
      <c r="EH127" s="144"/>
      <c r="EI127" s="144"/>
      <c r="EJ127" s="144"/>
      <c r="EK127" s="144"/>
      <c r="EL127" s="144"/>
      <c r="EM127" s="144"/>
      <c r="EN127" s="144"/>
      <c r="EO127" s="144"/>
      <c r="EP127" s="144"/>
      <c r="EQ127" s="144"/>
      <c r="ER127" s="144"/>
      <c r="ES127" s="144"/>
      <c r="ET127" s="144"/>
      <c r="EU127" s="144"/>
      <c r="EV127" s="144"/>
      <c r="EW127" s="144"/>
      <c r="EX127" s="144"/>
      <c r="EY127" s="144"/>
      <c r="EZ127" s="144"/>
      <c r="FA127" s="144"/>
      <c r="FB127" s="609" t="s">
        <v>243</v>
      </c>
      <c r="FC127" s="144"/>
      <c r="FD127" s="144"/>
      <c r="FE127" s="144"/>
      <c r="FF127" s="144"/>
      <c r="FG127" s="144"/>
      <c r="FH127" s="144"/>
      <c r="FI127" s="144"/>
      <c r="FJ127" s="144"/>
      <c r="FK127" s="144"/>
      <c r="FL127" s="144"/>
      <c r="FM127" s="144"/>
      <c r="FN127" s="144"/>
      <c r="FO127" s="144"/>
      <c r="FP127" s="144"/>
      <c r="FQ127" s="144"/>
      <c r="FR127" s="144"/>
      <c r="FS127" s="144"/>
      <c r="FT127" s="144"/>
      <c r="FU127" s="144"/>
      <c r="FV127" s="144"/>
      <c r="FW127" s="144"/>
      <c r="FX127" s="144"/>
      <c r="FY127" s="144"/>
      <c r="FZ127" s="144"/>
      <c r="GA127" s="144"/>
      <c r="GB127" s="144"/>
      <c r="GC127" s="144"/>
      <c r="GD127" s="144"/>
      <c r="GE127" s="144"/>
      <c r="GF127" s="144"/>
      <c r="GG127" s="144"/>
      <c r="GH127" s="144"/>
      <c r="GI127" s="144"/>
      <c r="GJ127" s="144"/>
      <c r="GK127" s="144"/>
      <c r="GL127" s="144"/>
      <c r="GM127" s="144"/>
      <c r="GN127" s="144"/>
      <c r="GO127" s="144"/>
      <c r="GP127" s="144"/>
      <c r="GQ127" s="144"/>
      <c r="GR127" s="144"/>
      <c r="GS127" s="144"/>
      <c r="GT127" s="144"/>
      <c r="GU127" s="144"/>
      <c r="GV127" s="144"/>
      <c r="GW127" s="144"/>
      <c r="GX127" s="144"/>
      <c r="GY127" s="144"/>
      <c r="GZ127" s="144"/>
      <c r="HA127" s="144"/>
      <c r="HB127" s="144"/>
      <c r="HC127" s="144"/>
      <c r="HD127" s="144"/>
      <c r="HE127" s="144"/>
      <c r="HF127" s="144"/>
      <c r="HG127" s="144"/>
      <c r="HH127" s="144"/>
      <c r="HI127" s="144"/>
      <c r="HJ127" s="144"/>
      <c r="HK127" s="144"/>
    </row>
    <row r="128" spans="1:219" s="158" customFormat="1" x14ac:dyDescent="0.2">
      <c r="A128" s="144"/>
      <c r="B128" s="144"/>
      <c r="C128" s="144"/>
      <c r="D128" s="678"/>
      <c r="E128" s="678"/>
      <c r="F128" s="678"/>
      <c r="G128" s="678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144"/>
      <c r="AD128" s="144"/>
      <c r="AE128" s="144"/>
      <c r="AF128" s="144"/>
      <c r="AG128" s="144"/>
      <c r="AH128" s="144"/>
      <c r="AI128" s="144"/>
      <c r="AJ128" s="144"/>
      <c r="AK128" s="144"/>
      <c r="AL128" s="144"/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  <c r="BZ128" s="144"/>
      <c r="CA128" s="144"/>
      <c r="CB128" s="144"/>
      <c r="CC128" s="144"/>
      <c r="CD128" s="144"/>
      <c r="CE128" s="144"/>
      <c r="CF128" s="144"/>
      <c r="CG128" s="144"/>
      <c r="CH128" s="144"/>
      <c r="CI128" s="144"/>
      <c r="CJ128" s="144"/>
      <c r="CK128" s="144"/>
      <c r="CL128" s="144"/>
      <c r="CM128" s="144"/>
      <c r="CN128" s="144"/>
      <c r="CO128" s="144"/>
      <c r="CP128" s="144"/>
      <c r="CQ128" s="144"/>
      <c r="CR128" s="144"/>
      <c r="CS128" s="144"/>
      <c r="CT128" s="144"/>
      <c r="CU128" s="144"/>
      <c r="CV128" s="144"/>
      <c r="CW128" s="144"/>
      <c r="CX128" s="144"/>
      <c r="CY128" s="144"/>
      <c r="CZ128" s="144"/>
      <c r="DA128" s="144"/>
      <c r="DB128" s="144"/>
      <c r="DC128" s="144"/>
      <c r="DD128" s="144"/>
      <c r="DE128" s="144"/>
      <c r="DF128" s="144"/>
      <c r="DG128" s="144"/>
      <c r="DH128" s="144"/>
      <c r="DI128" s="144"/>
      <c r="DJ128" s="144"/>
      <c r="DK128" s="144"/>
      <c r="DL128" s="144"/>
      <c r="DM128" s="144"/>
      <c r="DN128" s="144"/>
      <c r="DO128" s="144"/>
      <c r="DP128" s="144"/>
      <c r="DQ128" s="144"/>
      <c r="DR128" s="144"/>
      <c r="DS128" s="144"/>
      <c r="DT128" s="144"/>
      <c r="DU128" s="144"/>
      <c r="DV128" s="144"/>
      <c r="DW128" s="144"/>
      <c r="DX128" s="144"/>
      <c r="DY128" s="144"/>
      <c r="DZ128" s="144"/>
      <c r="EA128" s="144"/>
      <c r="EB128" s="144"/>
      <c r="EC128" s="144"/>
      <c r="ED128" s="144"/>
      <c r="EE128" s="144"/>
      <c r="EF128" s="144"/>
      <c r="EG128" s="144"/>
      <c r="EH128" s="144"/>
      <c r="EI128" s="144"/>
      <c r="EJ128" s="144"/>
      <c r="EK128" s="144"/>
      <c r="EL128" s="144"/>
      <c r="EM128" s="144"/>
      <c r="EN128" s="144"/>
      <c r="EO128" s="144"/>
      <c r="EP128" s="144"/>
      <c r="EQ128" s="144"/>
      <c r="ER128" s="144"/>
      <c r="ES128" s="144"/>
      <c r="ET128" s="144"/>
      <c r="EU128" s="144"/>
      <c r="EV128" s="144"/>
      <c r="EW128" s="144"/>
      <c r="EX128" s="144"/>
      <c r="EY128" s="144"/>
      <c r="EZ128" s="144"/>
      <c r="FA128" s="144"/>
      <c r="FB128" s="609" t="s">
        <v>243</v>
      </c>
      <c r="FC128" s="144"/>
      <c r="FD128" s="144"/>
      <c r="FE128" s="144"/>
      <c r="FF128" s="144"/>
      <c r="FG128" s="144"/>
      <c r="FH128" s="144"/>
      <c r="FI128" s="144"/>
      <c r="FJ128" s="144"/>
      <c r="FK128" s="144"/>
      <c r="FL128" s="144"/>
      <c r="FM128" s="144"/>
      <c r="FN128" s="144"/>
      <c r="FO128" s="144"/>
      <c r="FP128" s="144"/>
      <c r="FQ128" s="144"/>
      <c r="FR128" s="144"/>
      <c r="FS128" s="144"/>
      <c r="FT128" s="144"/>
      <c r="FU128" s="144"/>
      <c r="FV128" s="144"/>
      <c r="FW128" s="144"/>
      <c r="FX128" s="144"/>
      <c r="FY128" s="144"/>
      <c r="FZ128" s="144"/>
      <c r="GA128" s="144"/>
      <c r="GB128" s="144"/>
      <c r="GC128" s="144"/>
      <c r="GD128" s="144"/>
      <c r="GE128" s="144"/>
      <c r="GF128" s="144"/>
      <c r="GG128" s="144"/>
      <c r="GH128" s="144"/>
      <c r="GI128" s="144"/>
      <c r="GJ128" s="144"/>
      <c r="GK128" s="144"/>
      <c r="GL128" s="144"/>
      <c r="GM128" s="144"/>
      <c r="GN128" s="144"/>
      <c r="GO128" s="144"/>
      <c r="GP128" s="144"/>
      <c r="GQ128" s="144"/>
      <c r="GR128" s="144"/>
      <c r="GS128" s="144"/>
      <c r="GT128" s="144"/>
      <c r="GU128" s="144"/>
      <c r="GV128" s="144"/>
      <c r="GW128" s="144"/>
      <c r="GX128" s="144"/>
      <c r="GY128" s="144"/>
      <c r="GZ128" s="144"/>
      <c r="HA128" s="144"/>
      <c r="HB128" s="144"/>
      <c r="HC128" s="144"/>
      <c r="HD128" s="144"/>
      <c r="HE128" s="144"/>
      <c r="HF128" s="144"/>
      <c r="HG128" s="144"/>
      <c r="HH128" s="144"/>
      <c r="HI128" s="144"/>
      <c r="HJ128" s="144"/>
      <c r="HK128" s="144"/>
    </row>
    <row r="129" spans="4:158" x14ac:dyDescent="0.2">
      <c r="D129" s="678"/>
      <c r="E129" s="678"/>
      <c r="F129" s="678"/>
      <c r="G129" s="678"/>
      <c r="FB129" s="609" t="s">
        <v>243</v>
      </c>
    </row>
    <row r="130" spans="4:158" x14ac:dyDescent="0.2">
      <c r="D130" s="678"/>
      <c r="E130" s="678"/>
      <c r="F130" s="678"/>
      <c r="G130" s="678"/>
      <c r="FB130" s="609" t="s">
        <v>243</v>
      </c>
    </row>
    <row r="131" spans="4:158" x14ac:dyDescent="0.2">
      <c r="D131" s="678"/>
      <c r="E131" s="678"/>
      <c r="F131" s="678"/>
      <c r="G131" s="678"/>
      <c r="FB131" s="609" t="s">
        <v>243</v>
      </c>
    </row>
    <row r="132" spans="4:158" hidden="1" x14ac:dyDescent="0.2">
      <c r="D132" s="678"/>
      <c r="E132" s="678"/>
      <c r="F132" s="678"/>
      <c r="G132" s="678"/>
      <c r="FB132" s="609" t="s">
        <v>243</v>
      </c>
    </row>
    <row r="133" spans="4:158" hidden="1" x14ac:dyDescent="0.2">
      <c r="D133" s="678"/>
      <c r="E133" s="678"/>
      <c r="F133" s="678"/>
      <c r="G133" s="678"/>
      <c r="FB133" s="609" t="s">
        <v>243</v>
      </c>
    </row>
    <row r="134" spans="4:158" hidden="1" x14ac:dyDescent="0.2">
      <c r="D134" s="678"/>
      <c r="E134" s="678"/>
      <c r="F134" s="678"/>
      <c r="G134" s="678"/>
      <c r="FB134" s="609" t="s">
        <v>243</v>
      </c>
    </row>
    <row r="135" spans="4:158" hidden="1" x14ac:dyDescent="0.2">
      <c r="D135" s="678"/>
      <c r="E135" s="678"/>
      <c r="F135" s="678"/>
      <c r="G135" s="678"/>
      <c r="FB135" s="609" t="s">
        <v>243</v>
      </c>
    </row>
    <row r="136" spans="4:158" hidden="1" x14ac:dyDescent="0.2">
      <c r="D136" s="678"/>
      <c r="E136" s="678"/>
      <c r="F136" s="678"/>
      <c r="G136" s="678"/>
      <c r="FB136" s="609" t="s">
        <v>243</v>
      </c>
    </row>
    <row r="137" spans="4:158" hidden="1" x14ac:dyDescent="0.2">
      <c r="D137" s="678"/>
      <c r="E137" s="678"/>
      <c r="F137" s="678"/>
      <c r="G137" s="678"/>
      <c r="FB137" s="609" t="s">
        <v>243</v>
      </c>
    </row>
    <row r="138" spans="4:158" hidden="1" x14ac:dyDescent="0.2">
      <c r="D138" s="678"/>
      <c r="E138" s="678"/>
      <c r="F138" s="678"/>
      <c r="G138" s="678"/>
      <c r="FB138" s="609" t="s">
        <v>243</v>
      </c>
    </row>
    <row r="139" spans="4:158" hidden="1" x14ac:dyDescent="0.2">
      <c r="D139" s="678"/>
      <c r="E139" s="678"/>
      <c r="F139" s="678"/>
      <c r="G139" s="678"/>
      <c r="FB139" s="609" t="s">
        <v>243</v>
      </c>
    </row>
    <row r="140" spans="4:158" hidden="1" x14ac:dyDescent="0.2">
      <c r="D140" s="678"/>
      <c r="E140" s="678"/>
      <c r="F140" s="678"/>
      <c r="G140" s="678"/>
      <c r="FB140" s="609" t="s">
        <v>243</v>
      </c>
    </row>
    <row r="141" spans="4:158" hidden="1" x14ac:dyDescent="0.2">
      <c r="D141" s="678"/>
      <c r="E141" s="678"/>
      <c r="F141" s="678"/>
      <c r="G141" s="678"/>
      <c r="FB141" s="609" t="s">
        <v>243</v>
      </c>
    </row>
    <row r="142" spans="4:158" hidden="1" x14ac:dyDescent="0.2">
      <c r="D142" s="678"/>
      <c r="E142" s="678"/>
      <c r="F142" s="678"/>
      <c r="G142" s="678"/>
      <c r="FB142" s="609" t="s">
        <v>243</v>
      </c>
    </row>
    <row r="143" spans="4:158" hidden="1" x14ac:dyDescent="0.2">
      <c r="D143" s="678"/>
      <c r="E143" s="678"/>
      <c r="F143" s="678"/>
      <c r="G143" s="678"/>
    </row>
    <row r="144" spans="4:158" hidden="1" x14ac:dyDescent="0.2">
      <c r="D144" s="678"/>
      <c r="E144" s="678"/>
      <c r="F144" s="678"/>
      <c r="G144" s="678"/>
    </row>
  </sheetData>
  <sheetProtection selectLockedCells="1" selectUnlockedCells="1"/>
  <conditionalFormatting sqref="A64:A67">
    <cfRule type="containsText" dxfId="99" priority="188" operator="containsText" text="ERROR">
      <formula>NOT(ISERROR(SEARCH("ERROR",A64)))</formula>
    </cfRule>
  </conditionalFormatting>
  <conditionalFormatting sqref="A64:A67">
    <cfRule type="containsText" dxfId="98" priority="187" operator="containsText" text="OK">
      <formula>NOT(ISERROR(SEARCH("OK",A64)))</formula>
    </cfRule>
  </conditionalFormatting>
  <conditionalFormatting sqref="A7 A9:A21">
    <cfRule type="containsText" dxfId="97" priority="170" operator="containsText" text="ERROR">
      <formula>NOT(ISERROR(SEARCH("ERROR",A7)))</formula>
    </cfRule>
  </conditionalFormatting>
  <conditionalFormatting sqref="A7 A9:A21">
    <cfRule type="containsText" dxfId="96" priority="169" operator="containsText" text="OK">
      <formula>NOT(ISERROR(SEARCH("OK",A7)))</formula>
    </cfRule>
  </conditionalFormatting>
  <conditionalFormatting sqref="A23">
    <cfRule type="containsText" dxfId="95" priority="166" operator="containsText" text="ERROR">
      <formula>NOT(ISERROR(SEARCH("ERROR",A23)))</formula>
    </cfRule>
  </conditionalFormatting>
  <conditionalFormatting sqref="A23">
    <cfRule type="containsText" dxfId="94" priority="165" operator="containsText" text="OK">
      <formula>NOT(ISERROR(SEARCH("OK",A23)))</formula>
    </cfRule>
  </conditionalFormatting>
  <conditionalFormatting sqref="A104">
    <cfRule type="containsText" dxfId="93" priority="172" operator="containsText" text="ERROR">
      <formula>NOT(ISERROR(SEARCH("ERROR",A104)))</formula>
    </cfRule>
  </conditionalFormatting>
  <conditionalFormatting sqref="A104">
    <cfRule type="containsText" dxfId="92" priority="171" operator="containsText" text="OK">
      <formula>NOT(ISERROR(SEARCH("OK",A104)))</formula>
    </cfRule>
  </conditionalFormatting>
  <conditionalFormatting sqref="A24:A38">
    <cfRule type="containsText" dxfId="91" priority="164" operator="containsText" text="ERROR">
      <formula>NOT(ISERROR(SEARCH("ERROR",A24)))</formula>
    </cfRule>
  </conditionalFormatting>
  <conditionalFormatting sqref="A24:A38">
    <cfRule type="containsText" dxfId="90" priority="163" operator="containsText" text="OK">
      <formula>NOT(ISERROR(SEARCH("OK",A24)))</formula>
    </cfRule>
  </conditionalFormatting>
  <conditionalFormatting sqref="A39">
    <cfRule type="containsText" dxfId="89" priority="160" operator="containsText" text="ERROR">
      <formula>NOT(ISERROR(SEARCH("ERROR",A39)))</formula>
    </cfRule>
  </conditionalFormatting>
  <conditionalFormatting sqref="A39">
    <cfRule type="containsText" dxfId="88" priority="159" operator="containsText" text="OK">
      <formula>NOT(ISERROR(SEARCH("OK",A39)))</formula>
    </cfRule>
  </conditionalFormatting>
  <conditionalFormatting sqref="A41:A61">
    <cfRule type="containsText" dxfId="87" priority="158" operator="containsText" text="ERROR">
      <formula>NOT(ISERROR(SEARCH("ERROR",A41)))</formula>
    </cfRule>
  </conditionalFormatting>
  <conditionalFormatting sqref="A41:A61">
    <cfRule type="containsText" dxfId="86" priority="157" operator="containsText" text="OK">
      <formula>NOT(ISERROR(SEARCH("OK",A41)))</formula>
    </cfRule>
  </conditionalFormatting>
  <conditionalFormatting sqref="A62">
    <cfRule type="containsText" dxfId="85" priority="154" operator="containsText" text="ERROR">
      <formula>NOT(ISERROR(SEARCH("ERROR",A62)))</formula>
    </cfRule>
  </conditionalFormatting>
  <conditionalFormatting sqref="A62">
    <cfRule type="containsText" dxfId="84" priority="153" operator="containsText" text="OK">
      <formula>NOT(ISERROR(SEARCH("OK",A62)))</formula>
    </cfRule>
  </conditionalFormatting>
  <conditionalFormatting sqref="G105:H105 G145:H1001 H127:H144 G107:H126">
    <cfRule type="expression" dxfId="83" priority="120">
      <formula>$F105="Upfront"</formula>
    </cfRule>
  </conditionalFormatting>
  <conditionalFormatting sqref="A63 A94">
    <cfRule type="containsText" dxfId="82" priority="82" operator="containsText" text="ERROR">
      <formula>NOT(ISERROR(SEARCH("ERROR",A63)))</formula>
    </cfRule>
  </conditionalFormatting>
  <conditionalFormatting sqref="A63 A94">
    <cfRule type="containsText" dxfId="81" priority="81" operator="containsText" text="OK">
      <formula>NOT(ISERROR(SEARCH("OK",A63)))</formula>
    </cfRule>
  </conditionalFormatting>
  <conditionalFormatting sqref="A95:A102">
    <cfRule type="containsText" dxfId="80" priority="79" operator="containsText" text="ERROR">
      <formula>NOT(ISERROR(SEARCH("ERROR",A95)))</formula>
    </cfRule>
  </conditionalFormatting>
  <conditionalFormatting sqref="A95:A102">
    <cfRule type="containsText" dxfId="79" priority="78" operator="containsText" text="OK">
      <formula>NOT(ISERROR(SEARCH("OK",A95)))</formula>
    </cfRule>
  </conditionalFormatting>
  <conditionalFormatting sqref="A40">
    <cfRule type="containsText" dxfId="78" priority="52" operator="containsText" text="ERROR">
      <formula>NOT(ISERROR(SEARCH("ERROR",A40)))</formula>
    </cfRule>
  </conditionalFormatting>
  <conditionalFormatting sqref="A40">
    <cfRule type="containsText" dxfId="77" priority="51" operator="containsText" text="OK">
      <formula>NOT(ISERROR(SEARCH("OK",A40)))</formula>
    </cfRule>
  </conditionalFormatting>
  <conditionalFormatting sqref="A6">
    <cfRule type="containsText" dxfId="76" priority="49" operator="containsText" text="ERROR">
      <formula>NOT(ISERROR(SEARCH("ERROR",A6)))</formula>
    </cfRule>
  </conditionalFormatting>
  <conditionalFormatting sqref="A6">
    <cfRule type="containsText" dxfId="75" priority="48" operator="containsText" text="OK">
      <formula>NOT(ISERROR(SEARCH("OK",A6)))</formula>
    </cfRule>
  </conditionalFormatting>
  <conditionalFormatting sqref="A22">
    <cfRule type="containsText" dxfId="74" priority="46" operator="containsText" text="ERROR">
      <formula>NOT(ISERROR(SEARCH("ERROR",A22)))</formula>
    </cfRule>
  </conditionalFormatting>
  <conditionalFormatting sqref="A22">
    <cfRule type="containsText" dxfId="73" priority="45" operator="containsText" text="OK">
      <formula>NOT(ISERROR(SEARCH("OK",A22)))</formula>
    </cfRule>
  </conditionalFormatting>
  <conditionalFormatting sqref="A103">
    <cfRule type="containsText" dxfId="72" priority="40" operator="containsText" text="ERROR">
      <formula>NOT(ISERROR(SEARCH("ERROR",A103)))</formula>
    </cfRule>
  </conditionalFormatting>
  <conditionalFormatting sqref="A103">
    <cfRule type="containsText" dxfId="71" priority="39" operator="containsText" text="OK">
      <formula>NOT(ISERROR(SEARCH("OK",A103)))</formula>
    </cfRule>
  </conditionalFormatting>
  <conditionalFormatting sqref="F94:G96 F62:G64 F6:G41">
    <cfRule type="expression" dxfId="70" priority="273">
      <formula>$I6="Upfront"</formula>
    </cfRule>
  </conditionalFormatting>
  <conditionalFormatting sqref="A69:A92">
    <cfRule type="containsText" dxfId="69" priority="34" operator="containsText" text="ERROR">
      <formula>NOT(ISERROR(SEARCH("ERROR",A69)))</formula>
    </cfRule>
  </conditionalFormatting>
  <conditionalFormatting sqref="A69:A92">
    <cfRule type="containsText" dxfId="68" priority="33" operator="containsText" text="OK">
      <formula>NOT(ISERROR(SEARCH("OK",A69)))</formula>
    </cfRule>
  </conditionalFormatting>
  <conditionalFormatting sqref="A93">
    <cfRule type="containsText" dxfId="67" priority="31" operator="containsText" text="ERROR">
      <formula>NOT(ISERROR(SEARCH("ERROR",A93)))</formula>
    </cfRule>
  </conditionalFormatting>
  <conditionalFormatting sqref="A93">
    <cfRule type="containsText" dxfId="66" priority="30" operator="containsText" text="OK">
      <formula>NOT(ISERROR(SEARCH("OK",A93)))</formula>
    </cfRule>
  </conditionalFormatting>
  <conditionalFormatting sqref="F93:G93">
    <cfRule type="expression" dxfId="65" priority="32">
      <formula>$I93="Upfront"</formula>
    </cfRule>
  </conditionalFormatting>
  <conditionalFormatting sqref="A68">
    <cfRule type="containsText" dxfId="64" priority="28" operator="containsText" text="ERROR">
      <formula>NOT(ISERROR(SEARCH("ERROR",A68)))</formula>
    </cfRule>
  </conditionalFormatting>
  <conditionalFormatting sqref="A68">
    <cfRule type="containsText" dxfId="63" priority="27" operator="containsText" text="OK">
      <formula>NOT(ISERROR(SEARCH("OK",A68)))</formula>
    </cfRule>
  </conditionalFormatting>
  <conditionalFormatting sqref="A8">
    <cfRule type="containsText" dxfId="62" priority="26" operator="containsText" text="ERROR">
      <formula>NOT(ISERROR(SEARCH("ERROR",A8)))</formula>
    </cfRule>
  </conditionalFormatting>
  <conditionalFormatting sqref="A8">
    <cfRule type="containsText" dxfId="61" priority="25" operator="containsText" text="OK">
      <formula>NOT(ISERROR(SEARCH("OK",A8)))</formula>
    </cfRule>
  </conditionalFormatting>
  <conditionalFormatting sqref="F42:G61">
    <cfRule type="expression" dxfId="60" priority="24">
      <formula>$I42="Upfront"</formula>
    </cfRule>
  </conditionalFormatting>
  <conditionalFormatting sqref="F65:G92">
    <cfRule type="expression" dxfId="59" priority="22">
      <formula>$I65="Upfront"</formula>
    </cfRule>
  </conditionalFormatting>
  <conditionalFormatting sqref="H22">
    <cfRule type="expression" dxfId="58" priority="20">
      <formula>$I22="Upfront"</formula>
    </cfRule>
  </conditionalFormatting>
  <conditionalFormatting sqref="F97:G97">
    <cfRule type="expression" dxfId="57" priority="19">
      <formula>$I97="Upfront"</formula>
    </cfRule>
  </conditionalFormatting>
  <conditionalFormatting sqref="H93">
    <cfRule type="expression" dxfId="56" priority="14">
      <formula>$I93="Upfront"</formula>
    </cfRule>
  </conditionalFormatting>
  <conditionalFormatting sqref="C96">
    <cfRule type="containsText" dxfId="55" priority="11" operator="containsText" text="OK">
      <formula>NOT(ISERROR(SEARCH("OK",C96)))</formula>
    </cfRule>
    <cfRule type="containsText" dxfId="54" priority="12" operator="containsText" text="ERROR">
      <formula>NOT(ISERROR(SEARCH("ERROR",C96)))</formula>
    </cfRule>
  </conditionalFormatting>
  <conditionalFormatting sqref="F104:G104">
    <cfRule type="expression" dxfId="53" priority="10">
      <formula>$I104="Upfront"</formula>
    </cfRule>
  </conditionalFormatting>
  <conditionalFormatting sqref="H104">
    <cfRule type="expression" dxfId="52" priority="9">
      <formula>$I104="Upfront"</formula>
    </cfRule>
  </conditionalFormatting>
  <conditionalFormatting sqref="F98:G103">
    <cfRule type="expression" dxfId="51" priority="8">
      <formula>$I98="Upfront"</formula>
    </cfRule>
  </conditionalFormatting>
  <conditionalFormatting sqref="F106:G106">
    <cfRule type="expression" dxfId="50" priority="7">
      <formula>$I106="Upfront"</formula>
    </cfRule>
  </conditionalFormatting>
  <conditionalFormatting sqref="C105">
    <cfRule type="containsText" dxfId="49" priority="5" operator="containsText" text="OK">
      <formula>NOT(ISERROR(SEARCH("OK",C105)))</formula>
    </cfRule>
    <cfRule type="containsText" dxfId="48" priority="6" operator="containsText" text="ERROR">
      <formula>NOT(ISERROR(SEARCH("ERROR",C105)))</formula>
    </cfRule>
  </conditionalFormatting>
  <conditionalFormatting sqref="C107">
    <cfRule type="containsText" dxfId="47" priority="3" operator="containsText" text="OK">
      <formula>NOT(ISERROR(SEARCH("OK",C107)))</formula>
    </cfRule>
    <cfRule type="containsText" dxfId="46" priority="4" operator="containsText" text="ERROR">
      <formula>NOT(ISERROR(SEARCH("ERROR",C107)))</formula>
    </cfRule>
  </conditionalFormatting>
  <conditionalFormatting sqref="H39">
    <cfRule type="expression" dxfId="45" priority="2">
      <formula>$I39="Upfront"</formula>
    </cfRule>
  </conditionalFormatting>
  <conditionalFormatting sqref="H62">
    <cfRule type="expression" dxfId="44" priority="1">
      <formula>$I62="Upfront"</formula>
    </cfRule>
  </conditionalFormatting>
  <printOptions horizontalCentered="1"/>
  <pageMargins left="0" right="0" top="0" bottom="0" header="0" footer="0"/>
  <pageSetup scale="10" orientation="landscape" r:id="rId1"/>
  <headerFooter>
    <oddFooter>&amp;R&amp;"Calibri,Regular"&amp;K000000Page &amp;P of &amp;N</oddFooter>
  </headerFooter>
  <colBreaks count="15" manualBreakCount="15">
    <brk id="38" min="1" max="49" man="1"/>
    <brk id="40" min="1" max="49" man="1"/>
    <brk id="43" min="1" max="49" man="1"/>
    <brk id="47" min="1" max="49" man="1"/>
    <brk id="48" min="1" max="49" man="1"/>
    <brk id="49" min="1" max="49" man="1"/>
    <brk id="51" min="1" max="49" man="1"/>
    <brk id="53" min="1" max="49" man="1"/>
    <brk id="72" min="1" max="49" man="1"/>
    <brk id="84" min="1" max="49" man="1"/>
    <brk id="96" min="1" max="49" man="1"/>
    <brk id="108" min="1" max="49" man="1"/>
    <brk id="120" min="1" max="49" man="1"/>
    <brk id="132" max="1048575" man="1"/>
    <brk id="144" min="1" max="49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9ECABBC-C2D8-452A-9B37-BCEC35CD4580}">
          <x14:formula1>
            <xm:f>Dropdowns!$G$6:$G$7</xm:f>
          </x14:formula1>
          <xm:sqref>I62:I64 F145:F448 I22:I24 I39:I41 I6:I7 I94:I96 I104 F107:F126</xm:sqref>
        </x14:dataValidation>
        <x14:dataValidation type="list" allowBlank="1" showInputMessage="1" showErrorMessage="1" xr:uid="{A8AB95DD-E9AA-4649-BE03-3B93D409E83F}">
          <x14:formula1>
            <xm:f>Dropdowns!$K$6:$K$9</xm:f>
          </x14:formula1>
          <xm:sqref>I65:I93 I25:I38 I8:I21 I98:I103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35D3-A4C0-4D11-840A-7F8C6611A6A8}">
  <sheetPr codeName="Sheet17">
    <tabColor rgb="FF002641"/>
    <pageSetUpPr fitToPage="1"/>
  </sheetPr>
  <dimension ref="A1:CC91"/>
  <sheetViews>
    <sheetView showGridLines="0" zoomScale="85" zoomScaleNormal="85" zoomScaleSheetLayoutView="70" workbookViewId="0">
      <selection activeCell="B42" sqref="B42"/>
    </sheetView>
  </sheetViews>
  <sheetFormatPr defaultColWidth="9.140625" defaultRowHeight="14.25" zeroHeight="1" outlineLevelCol="1" x14ac:dyDescent="0.2"/>
  <cols>
    <col min="1" max="1" width="3.42578125" style="144" customWidth="1"/>
    <col min="2" max="2" width="3.5703125" style="144" customWidth="1"/>
    <col min="3" max="3" width="5.5703125" style="144" customWidth="1"/>
    <col min="4" max="4" width="20" style="144" customWidth="1"/>
    <col min="5" max="5" width="2.140625" style="144" hidden="1" customWidth="1" outlineLevel="1"/>
    <col min="6" max="6" width="12" style="158" hidden="1" customWidth="1" outlineLevel="1"/>
    <col min="7" max="8" width="8" style="158" hidden="1" customWidth="1" outlineLevel="1"/>
    <col min="9" max="9" width="8.28515625" style="158" hidden="1" customWidth="1" outlineLevel="1"/>
    <col min="10" max="10" width="10.7109375" style="158" hidden="1" customWidth="1" outlineLevel="1"/>
    <col min="11" max="11" width="8" style="158" hidden="1" customWidth="1" outlineLevel="1"/>
    <col min="12" max="12" width="1.7109375" style="158" hidden="1" customWidth="1" outlineLevel="1"/>
    <col min="13" max="13" width="12" style="158" hidden="1" customWidth="1" outlineLevel="1"/>
    <col min="14" max="15" width="8" style="158" hidden="1" customWidth="1" outlineLevel="1"/>
    <col min="16" max="16" width="8.28515625" style="158" hidden="1" customWidth="1" outlineLevel="1"/>
    <col min="17" max="17" width="10.7109375" style="158" hidden="1" customWidth="1" outlineLevel="1"/>
    <col min="18" max="18" width="8" style="158" hidden="1" customWidth="1" outlineLevel="1"/>
    <col min="19" max="19" width="1.7109375" style="158" customWidth="1" collapsed="1"/>
    <col min="20" max="20" width="12" style="158" customWidth="1"/>
    <col min="21" max="22" width="8" style="158" customWidth="1"/>
    <col min="23" max="23" width="8.28515625" style="158" customWidth="1"/>
    <col min="24" max="24" width="10.7109375" style="158" customWidth="1"/>
    <col min="25" max="25" width="8" style="158" customWidth="1"/>
    <col min="26" max="26" width="1.7109375" style="158" customWidth="1"/>
    <col min="27" max="27" width="12" style="158" customWidth="1"/>
    <col min="28" max="28" width="11" style="158" customWidth="1"/>
    <col min="29" max="29" width="8" style="158" customWidth="1"/>
    <col min="30" max="30" width="8.28515625" style="158" customWidth="1"/>
    <col min="31" max="31" width="10.7109375" style="158" customWidth="1"/>
    <col min="32" max="32" width="8" style="158" customWidth="1"/>
    <col min="33" max="33" width="1.7109375" style="158" customWidth="1"/>
    <col min="34" max="34" width="13.85546875" style="158" customWidth="1"/>
    <col min="35" max="36" width="8" style="158" customWidth="1"/>
    <col min="37" max="37" width="8.28515625" style="158" customWidth="1"/>
    <col min="38" max="38" width="10.7109375" style="158" customWidth="1"/>
    <col min="39" max="39" width="8" style="158" customWidth="1"/>
    <col min="40" max="40" width="1" style="144" customWidth="1"/>
    <col min="41" max="41" width="18.42578125" style="144" customWidth="1" outlineLevel="1"/>
    <col min="42" max="42" width="10.7109375" style="144" customWidth="1" outlineLevel="1"/>
    <col min="43" max="43" width="8" style="144" customWidth="1" outlineLevel="1"/>
    <col min="44" max="44" width="8.28515625" style="144" customWidth="1" outlineLevel="1"/>
    <col min="45" max="45" width="1" style="144" customWidth="1" outlineLevel="1"/>
    <col min="46" max="46" width="12" style="144" customWidth="1" outlineLevel="1"/>
    <col min="47" max="47" width="13.7109375" style="144" customWidth="1" outlineLevel="1"/>
    <col min="48" max="48" width="8" style="144" customWidth="1" outlineLevel="1"/>
    <col min="49" max="49" width="10.42578125" style="144" bestFit="1" customWidth="1" outlineLevel="1"/>
    <col min="50" max="50" width="1" style="144" customWidth="1" outlineLevel="1"/>
    <col min="51" max="51" width="50" style="144" customWidth="1" outlineLevel="1"/>
    <col min="52" max="52" width="1.7109375" style="144" customWidth="1"/>
    <col min="53" max="53" width="16.5703125" style="144" customWidth="1"/>
    <col min="54" max="55" width="8" style="144" customWidth="1"/>
    <col min="56" max="56" width="8.28515625" style="144" customWidth="1"/>
    <col min="57" max="57" width="10.85546875" style="144" customWidth="1"/>
    <col min="58" max="58" width="8" style="144" customWidth="1"/>
    <col min="59" max="59" width="1.7109375" style="144" customWidth="1"/>
    <col min="60" max="60" width="19" style="144" customWidth="1"/>
    <col min="61" max="62" width="8" style="144" customWidth="1"/>
    <col min="63" max="63" width="8.28515625" style="144" customWidth="1"/>
    <col min="64" max="64" width="10.85546875" style="144" customWidth="1"/>
    <col min="65" max="65" width="8" style="144" customWidth="1"/>
    <col min="66" max="66" width="1.85546875" style="144" customWidth="1"/>
    <col min="67" max="67" width="16" style="144" customWidth="1"/>
    <col min="68" max="69" width="8" style="144" customWidth="1"/>
    <col min="70" max="70" width="8.28515625" style="144" customWidth="1"/>
    <col min="71" max="71" width="10.85546875" style="144" customWidth="1"/>
    <col min="72" max="72" width="8" style="144" customWidth="1"/>
    <col min="73" max="73" width="2" style="144" customWidth="1"/>
    <col min="74" max="16384" width="9.140625" style="144"/>
  </cols>
  <sheetData>
    <row r="1" spans="1:81" x14ac:dyDescent="0.2"/>
    <row r="2" spans="1:81" ht="19.5" x14ac:dyDescent="0.25">
      <c r="B2" s="167" t="s">
        <v>434</v>
      </c>
    </row>
    <row r="3" spans="1:81" ht="18" x14ac:dyDescent="0.25">
      <c r="B3" s="168" t="str">
        <f>Name</f>
        <v>Property Name</v>
      </c>
    </row>
    <row r="4" spans="1:81" x14ac:dyDescent="0.2">
      <c r="AO4" s="392" t="s">
        <v>927</v>
      </c>
      <c r="BA4" s="145"/>
    </row>
    <row r="5" spans="1:81" x14ac:dyDescent="0.2">
      <c r="AH5" s="393">
        <f>'Rent Roll'!Q3</f>
        <v>44819</v>
      </c>
      <c r="AO5" s="1286">
        <v>0</v>
      </c>
    </row>
    <row r="6" spans="1:81" ht="14.65" customHeight="1" thickBot="1" x14ac:dyDescent="0.25">
      <c r="B6" s="394" t="s">
        <v>435</v>
      </c>
      <c r="C6" s="394"/>
      <c r="D6" s="394"/>
      <c r="E6" s="395"/>
      <c r="F6" s="396">
        <v>2020</v>
      </c>
      <c r="G6" s="396"/>
      <c r="H6" s="396"/>
      <c r="I6" s="396"/>
      <c r="J6" s="396"/>
      <c r="K6" s="396"/>
      <c r="L6" s="397"/>
      <c r="M6" s="396">
        <v>2021</v>
      </c>
      <c r="N6" s="396"/>
      <c r="O6" s="396"/>
      <c r="P6" s="396"/>
      <c r="Q6" s="396"/>
      <c r="R6" s="396"/>
      <c r="S6" s="397"/>
      <c r="T6" s="398" t="s">
        <v>874</v>
      </c>
      <c r="U6" s="398"/>
      <c r="V6" s="398"/>
      <c r="W6" s="398"/>
      <c r="X6" s="398"/>
      <c r="Y6" s="398"/>
      <c r="Z6" s="399"/>
      <c r="AA6" s="398" t="s">
        <v>436</v>
      </c>
      <c r="AB6" s="398"/>
      <c r="AC6" s="398"/>
      <c r="AD6" s="398"/>
      <c r="AE6" s="398"/>
      <c r="AF6" s="398"/>
      <c r="AG6" s="399"/>
      <c r="AH6" s="394" t="s">
        <v>437</v>
      </c>
      <c r="AI6" s="394"/>
      <c r="AJ6" s="394"/>
      <c r="AK6" s="394"/>
      <c r="AL6" s="394"/>
      <c r="AM6" s="394"/>
      <c r="AN6" s="400"/>
      <c r="AO6" s="401" t="s">
        <v>438</v>
      </c>
      <c r="AP6" s="401"/>
      <c r="AQ6" s="401"/>
      <c r="AR6" s="401"/>
      <c r="AS6" s="401"/>
      <c r="AT6" s="401"/>
      <c r="AU6" s="401"/>
      <c r="AV6" s="401"/>
      <c r="AW6" s="401"/>
      <c r="AX6" s="402"/>
      <c r="AY6" s="401" t="s">
        <v>439</v>
      </c>
      <c r="AZ6" s="403"/>
      <c r="BA6" s="404">
        <v>1</v>
      </c>
      <c r="BB6" s="404"/>
      <c r="BC6" s="404"/>
      <c r="BD6" s="404"/>
      <c r="BE6" s="404"/>
      <c r="BF6" s="404"/>
      <c r="BG6" s="405"/>
      <c r="BH6" s="404">
        <v>2</v>
      </c>
      <c r="BI6" s="404"/>
      <c r="BJ6" s="404"/>
      <c r="BK6" s="404"/>
      <c r="BL6" s="404"/>
      <c r="BM6" s="404"/>
      <c r="BN6" s="405"/>
      <c r="BO6" s="404">
        <v>3</v>
      </c>
      <c r="BP6" s="404"/>
      <c r="BQ6" s="404"/>
      <c r="BR6" s="404"/>
      <c r="BS6" s="404"/>
      <c r="BT6" s="404"/>
      <c r="BU6" s="402"/>
    </row>
    <row r="7" spans="1:81" ht="14.45" customHeight="1" thickBot="1" x14ac:dyDescent="0.25">
      <c r="B7" s="406"/>
      <c r="C7" s="406"/>
      <c r="D7" s="406"/>
      <c r="E7" s="395"/>
      <c r="F7" s="407" t="s">
        <v>440</v>
      </c>
      <c r="G7" s="407"/>
      <c r="H7" s="407"/>
      <c r="I7" s="407"/>
      <c r="J7" s="408" t="s">
        <v>238</v>
      </c>
      <c r="K7" s="409"/>
      <c r="L7" s="397"/>
      <c r="M7" s="410" t="s">
        <v>440</v>
      </c>
      <c r="N7" s="410"/>
      <c r="O7" s="410"/>
      <c r="P7" s="411"/>
      <c r="Q7" s="408" t="s">
        <v>238</v>
      </c>
      <c r="R7" s="409"/>
      <c r="S7" s="397"/>
      <c r="T7" s="410" t="s">
        <v>440</v>
      </c>
      <c r="U7" s="410"/>
      <c r="V7" s="410"/>
      <c r="W7" s="411"/>
      <c r="X7" s="408" t="s">
        <v>238</v>
      </c>
      <c r="Y7" s="409"/>
      <c r="Z7" s="397"/>
      <c r="AA7" s="410" t="s">
        <v>440</v>
      </c>
      <c r="AB7" s="410"/>
      <c r="AC7" s="410"/>
      <c r="AD7" s="411"/>
      <c r="AE7" s="408" t="s">
        <v>238</v>
      </c>
      <c r="AF7" s="409"/>
      <c r="AG7" s="397"/>
      <c r="AH7" s="410" t="s">
        <v>440</v>
      </c>
      <c r="AI7" s="410"/>
      <c r="AJ7" s="410"/>
      <c r="AK7" s="411"/>
      <c r="AL7" s="408" t="s">
        <v>238</v>
      </c>
      <c r="AM7" s="409"/>
      <c r="AN7" s="412"/>
      <c r="AO7" s="413" t="str">
        <f>IF(AO5=0,"In-Place (RR) Income",AO5)</f>
        <v>In-Place (RR) Income</v>
      </c>
      <c r="AP7" s="413"/>
      <c r="AQ7" s="413"/>
      <c r="AR7" s="414"/>
      <c r="AS7" s="415"/>
      <c r="AT7" s="416" t="s">
        <v>441</v>
      </c>
      <c r="AU7" s="415"/>
      <c r="AV7" s="415"/>
      <c r="AW7" s="415"/>
      <c r="AX7" s="402"/>
      <c r="AY7" s="415"/>
      <c r="AZ7" s="395"/>
      <c r="BA7" s="417" t="s">
        <v>440</v>
      </c>
      <c r="BB7" s="417"/>
      <c r="BC7" s="417"/>
      <c r="BD7" s="418"/>
      <c r="BE7" s="419" t="s">
        <v>238</v>
      </c>
      <c r="BF7" s="420"/>
      <c r="BG7" s="405"/>
      <c r="BH7" s="417" t="s">
        <v>440</v>
      </c>
      <c r="BI7" s="417"/>
      <c r="BJ7" s="417"/>
      <c r="BK7" s="418"/>
      <c r="BL7" s="419" t="s">
        <v>238</v>
      </c>
      <c r="BM7" s="420"/>
      <c r="BN7" s="405"/>
      <c r="BO7" s="417" t="s">
        <v>440</v>
      </c>
      <c r="BP7" s="417"/>
      <c r="BQ7" s="417"/>
      <c r="BR7" s="418"/>
      <c r="BS7" s="419" t="s">
        <v>238</v>
      </c>
      <c r="BT7" s="420"/>
      <c r="BU7" s="402"/>
    </row>
    <row r="8" spans="1:81" x14ac:dyDescent="0.2">
      <c r="B8" s="421" t="s">
        <v>442</v>
      </c>
      <c r="C8" s="422"/>
      <c r="D8" s="422"/>
      <c r="E8" s="423"/>
      <c r="F8" s="424" t="s">
        <v>5</v>
      </c>
      <c r="G8" s="424" t="s">
        <v>95</v>
      </c>
      <c r="H8" s="424" t="s">
        <v>443</v>
      </c>
      <c r="I8" s="424" t="s">
        <v>359</v>
      </c>
      <c r="J8" s="425" t="s">
        <v>5</v>
      </c>
      <c r="K8" s="424" t="s">
        <v>95</v>
      </c>
      <c r="L8" s="426"/>
      <c r="M8" s="424" t="s">
        <v>5</v>
      </c>
      <c r="N8" s="424" t="s">
        <v>95</v>
      </c>
      <c r="O8" s="424" t="s">
        <v>443</v>
      </c>
      <c r="P8" s="424" t="s">
        <v>359</v>
      </c>
      <c r="Q8" s="425" t="s">
        <v>5</v>
      </c>
      <c r="R8" s="424" t="s">
        <v>95</v>
      </c>
      <c r="S8" s="426"/>
      <c r="T8" s="424" t="s">
        <v>5</v>
      </c>
      <c r="U8" s="424" t="s">
        <v>95</v>
      </c>
      <c r="V8" s="424" t="s">
        <v>443</v>
      </c>
      <c r="W8" s="424" t="s">
        <v>359</v>
      </c>
      <c r="X8" s="425" t="s">
        <v>5</v>
      </c>
      <c r="Y8" s="424" t="s">
        <v>95</v>
      </c>
      <c r="Z8" s="426"/>
      <c r="AA8" s="424" t="s">
        <v>5</v>
      </c>
      <c r="AB8" s="424" t="s">
        <v>95</v>
      </c>
      <c r="AC8" s="424" t="s">
        <v>443</v>
      </c>
      <c r="AD8" s="424" t="s">
        <v>359</v>
      </c>
      <c r="AE8" s="425" t="s">
        <v>5</v>
      </c>
      <c r="AF8" s="424" t="s">
        <v>95</v>
      </c>
      <c r="AG8" s="426"/>
      <c r="AH8" s="424" t="s">
        <v>5</v>
      </c>
      <c r="AI8" s="424" t="s">
        <v>95</v>
      </c>
      <c r="AJ8" s="424" t="s">
        <v>443</v>
      </c>
      <c r="AK8" s="424" t="s">
        <v>359</v>
      </c>
      <c r="AL8" s="425" t="s">
        <v>5</v>
      </c>
      <c r="AM8" s="424" t="s">
        <v>95</v>
      </c>
      <c r="AN8" s="427"/>
      <c r="AO8" s="428" t="str">
        <f>IF(AO5=12,"Annual","Annualized")</f>
        <v>Annualized</v>
      </c>
      <c r="AP8" s="428" t="s">
        <v>95</v>
      </c>
      <c r="AQ8" s="428" t="s">
        <v>443</v>
      </c>
      <c r="AR8" s="429" t="s">
        <v>359</v>
      </c>
      <c r="AS8" s="428"/>
      <c r="AT8" s="430" t="s">
        <v>5</v>
      </c>
      <c r="AU8" s="428" t="s">
        <v>95</v>
      </c>
      <c r="AV8" s="428" t="s">
        <v>443</v>
      </c>
      <c r="AW8" s="428" t="s">
        <v>359</v>
      </c>
      <c r="AX8" s="431"/>
      <c r="AY8" s="432" t="s">
        <v>444</v>
      </c>
      <c r="AZ8" s="433"/>
      <c r="BA8" s="434" t="s">
        <v>5</v>
      </c>
      <c r="BB8" s="434" t="s">
        <v>95</v>
      </c>
      <c r="BC8" s="434" t="s">
        <v>443</v>
      </c>
      <c r="BD8" s="434" t="s">
        <v>359</v>
      </c>
      <c r="BE8" s="435" t="s">
        <v>5</v>
      </c>
      <c r="BF8" s="434" t="s">
        <v>95</v>
      </c>
      <c r="BG8" s="405"/>
      <c r="BH8" s="434" t="s">
        <v>5</v>
      </c>
      <c r="BI8" s="434" t="s">
        <v>95</v>
      </c>
      <c r="BJ8" s="434" t="s">
        <v>443</v>
      </c>
      <c r="BK8" s="434" t="s">
        <v>359</v>
      </c>
      <c r="BL8" s="435" t="s">
        <v>5</v>
      </c>
      <c r="BM8" s="434" t="s">
        <v>95</v>
      </c>
      <c r="BN8" s="405"/>
      <c r="BO8" s="434" t="s">
        <v>5</v>
      </c>
      <c r="BP8" s="434" t="s">
        <v>95</v>
      </c>
      <c r="BQ8" s="434" t="s">
        <v>443</v>
      </c>
      <c r="BR8" s="434" t="s">
        <v>359</v>
      </c>
      <c r="BS8" s="435" t="s">
        <v>5</v>
      </c>
      <c r="BT8" s="434" t="s">
        <v>95</v>
      </c>
      <c r="BU8" s="402"/>
    </row>
    <row r="9" spans="1:81" ht="15" thickBot="1" x14ac:dyDescent="0.25">
      <c r="B9" s="427"/>
      <c r="C9" s="427" t="s">
        <v>96</v>
      </c>
      <c r="D9" s="427"/>
      <c r="E9" s="433"/>
      <c r="F9" s="436">
        <v>0</v>
      </c>
      <c r="G9" s="437">
        <f t="shared" ref="G9:G14" si="0">IFERROR(F9/units,0)</f>
        <v>0</v>
      </c>
      <c r="H9" s="438">
        <f t="shared" ref="H9:H14" si="1">IFERROR(F9/NRA,0)</f>
        <v>0</v>
      </c>
      <c r="I9" s="439">
        <f>IFERROR(F9/$F$9,0)</f>
        <v>0</v>
      </c>
      <c r="J9" s="440">
        <f>IFERROR(F9/12,0)</f>
        <v>0</v>
      </c>
      <c r="K9" s="441">
        <f t="shared" ref="K9:K14" si="2">IFERROR(J9/units,0)</f>
        <v>0</v>
      </c>
      <c r="L9" s="442"/>
      <c r="M9" s="436">
        <v>0</v>
      </c>
      <c r="N9" s="437">
        <f>IFERROR(M9/units,0)</f>
        <v>0</v>
      </c>
      <c r="O9" s="438">
        <f>IFERROR(M9/NRA,0)</f>
        <v>0</v>
      </c>
      <c r="P9" s="439">
        <f>IFERROR(M9/$M$9,0)</f>
        <v>0</v>
      </c>
      <c r="Q9" s="440">
        <f>IFERROR(M9/12,0)</f>
        <v>0</v>
      </c>
      <c r="R9" s="441">
        <f>IFERROR(Q9/units,0)</f>
        <v>0</v>
      </c>
      <c r="S9" s="442"/>
      <c r="T9" s="436">
        <v>3469927.1399999997</v>
      </c>
      <c r="U9" s="437">
        <f t="shared" ref="U9" si="3">IFERROR(T9/units,0)</f>
        <v>14221.012868852458</v>
      </c>
      <c r="V9" s="438">
        <f t="shared" ref="V9" si="4">IFERROR(T9/NRA,0)</f>
        <v>14.86228387129934</v>
      </c>
      <c r="W9" s="439">
        <f>IFERROR(T9/$T$9,0)</f>
        <v>1</v>
      </c>
      <c r="X9" s="440">
        <f>IFERROR(T9/12,0)</f>
        <v>289160.59499999997</v>
      </c>
      <c r="Y9" s="441">
        <f t="shared" ref="Y9" si="5">IFERROR(X9/units,0)</f>
        <v>1185.0844057377049</v>
      </c>
      <c r="Z9" s="442"/>
      <c r="AA9" s="443">
        <v>3524275.88</v>
      </c>
      <c r="AB9" s="437">
        <f t="shared" ref="AB9" si="6">IFERROR(AA9/units,0)</f>
        <v>14443.753606557377</v>
      </c>
      <c r="AC9" s="438">
        <f t="shared" ref="AC9" si="7">IFERROR(AA9/NRA,0)</f>
        <v>15.095068702028508</v>
      </c>
      <c r="AD9" s="439">
        <f>IFERROR(AA9/$AA$9,0)</f>
        <v>1</v>
      </c>
      <c r="AE9" s="440">
        <f>IFERROR(AA9/12,0)</f>
        <v>293689.65666666668</v>
      </c>
      <c r="AF9" s="441">
        <f t="shared" ref="AF9" si="8">IFERROR(AE9/units,0)</f>
        <v>1203.6461338797815</v>
      </c>
      <c r="AG9" s="442"/>
      <c r="AH9" s="441">
        <f>'Unit Mix-Reno Schedule'!E49</f>
        <v>3855720</v>
      </c>
      <c r="AI9" s="437">
        <f t="shared" ref="AI9:AI15" si="9">IFERROR(AH9/units,0)</f>
        <v>15802.131147540984</v>
      </c>
      <c r="AJ9" s="438">
        <f t="shared" ref="AJ9" si="10">IFERROR(AH9/NRA,0)</f>
        <v>16.514699835526315</v>
      </c>
      <c r="AK9" s="439">
        <f>IFERROR(AH9/$AH$9,0)</f>
        <v>1</v>
      </c>
      <c r="AL9" s="440">
        <f>IFERROR(AH9/12,0)</f>
        <v>321310</v>
      </c>
      <c r="AM9" s="441">
        <f t="shared" ref="AM9" si="11">IFERROR(AL9/units,0)</f>
        <v>1316.844262295082</v>
      </c>
      <c r="AN9" s="441"/>
      <c r="AO9" s="441" cm="1">
        <f t="array" ref="AO9">_xlfn.IFS($AO$5=0,AH9,$AO$5=3,AA9,$AO$5=12,T9)</f>
        <v>3855720</v>
      </c>
      <c r="AP9" s="441">
        <f t="shared" ref="AP9" si="12">IFERROR(AO9/units,0)</f>
        <v>15802.131147540984</v>
      </c>
      <c r="AQ9" s="444">
        <f t="shared" ref="AQ9" si="13">IFERROR(AO9/NRA,0)</f>
        <v>16.514699835526315</v>
      </c>
      <c r="AR9" s="445">
        <f>IFERROR(AO9/AO$9,0)</f>
        <v>1</v>
      </c>
      <c r="AS9" s="272"/>
      <c r="AT9" s="446">
        <f>AU9*units</f>
        <v>3855720</v>
      </c>
      <c r="AU9" s="447">
        <f>AP9</f>
        <v>15802.131147540984</v>
      </c>
      <c r="AV9" s="444">
        <f t="shared" ref="AV9" si="14">IFERROR(AT9/NRA,0)</f>
        <v>16.514699835526315</v>
      </c>
      <c r="AW9" s="272">
        <f>IFERROR(AT9/AT$9,0)</f>
        <v>1</v>
      </c>
      <c r="AX9" s="431"/>
      <c r="AY9" s="448"/>
      <c r="AZ9" s="449"/>
      <c r="BA9" s="441">
        <f ca="1">SUMIF('Monthly Pro Forma'!$G$5:$EH$5,1,'Monthly Pro Forma'!$G29:$EH29)</f>
        <v>4192877.7516614981</v>
      </c>
      <c r="BB9" s="437">
        <f t="shared" ref="BB9" ca="1" si="15">IFERROR(BA9/units,0)</f>
        <v>17183.925211727452</v>
      </c>
      <c r="BC9" s="438">
        <f t="shared" ref="BC9" ca="1" si="16">IFERROR(BA9/NRA,0)</f>
        <v>17.958803418232158</v>
      </c>
      <c r="BD9" s="439">
        <f t="shared" ref="BD9:BD10" ca="1" si="17">IFERROR(BA9/BA$9,0)</f>
        <v>1</v>
      </c>
      <c r="BE9" s="440">
        <f t="shared" ref="BE9:BE18" ca="1" si="18">IFERROR(BA9/12,0)</f>
        <v>349406.47930512484</v>
      </c>
      <c r="BF9" s="441">
        <f t="shared" ref="BF9" ca="1" si="19">IFERROR(BE9/units,0)</f>
        <v>1431.9937676439542</v>
      </c>
      <c r="BG9" s="405"/>
      <c r="BH9" s="441">
        <f ca="1">SUMIF('Monthly Pro Forma'!$G$5:$EH$5,2,'Monthly Pro Forma'!$G29:$EH29)</f>
        <v>4708229.4984993357</v>
      </c>
      <c r="BI9" s="437">
        <f t="shared" ref="BI9" ca="1" si="20">IFERROR(BH9/units,0)</f>
        <v>19296.022534833344</v>
      </c>
      <c r="BJ9" s="438">
        <f t="shared" ref="BJ9" ca="1" si="21">IFERROR(BH9/NRA,0)</f>
        <v>20.166141972053762</v>
      </c>
      <c r="BK9" s="439">
        <f t="shared" ref="BK9:BK10" ca="1" si="22">IFERROR(BH9/BH$9,0)</f>
        <v>1</v>
      </c>
      <c r="BL9" s="440">
        <f t="shared" ref="BL9:BL18" ca="1" si="23">IFERROR(BH9/12,0)</f>
        <v>392352.458208278</v>
      </c>
      <c r="BM9" s="441">
        <f t="shared" ref="BM9" ca="1" si="24">IFERROR(BL9/units,0)</f>
        <v>1608.0018779027787</v>
      </c>
      <c r="BN9" s="405"/>
      <c r="BO9" s="441">
        <f ca="1">SUMIF('Monthly Pro Forma'!$G$5:$EH$5,3,'Monthly Pro Forma'!$G29:$EH29)</f>
        <v>5267462.3600225756</v>
      </c>
      <c r="BP9" s="437">
        <f t="shared" ref="BP9:BP18" ca="1" si="25">IFERROR(BO9/units,0)</f>
        <v>21587.960491895803</v>
      </c>
      <c r="BQ9" s="438">
        <f t="shared" ref="BQ9:BQ18" ca="1" si="26">IFERROR(BO9/NRA,0)</f>
        <v>22.561430749822573</v>
      </c>
      <c r="BR9" s="439">
        <f t="shared" ref="BR9:BR10" ca="1" si="27">IFERROR(BO9/BO$9,0)</f>
        <v>1</v>
      </c>
      <c r="BS9" s="440">
        <f t="shared" ref="BS9:BS18" ca="1" si="28">IFERROR(BO9/12,0)</f>
        <v>438955.19666854799</v>
      </c>
      <c r="BT9" s="441">
        <f t="shared" ref="BT9:BT18" ca="1" si="29">IFERROR(BS9/units,0)</f>
        <v>1798.9967076579835</v>
      </c>
      <c r="BU9" s="402"/>
    </row>
    <row r="10" spans="1:81" ht="15" thickBot="1" x14ac:dyDescent="0.25">
      <c r="B10" s="427"/>
      <c r="C10" s="427" t="s">
        <v>84</v>
      </c>
      <c r="D10" s="427"/>
      <c r="E10" s="433"/>
      <c r="F10" s="450">
        <v>0</v>
      </c>
      <c r="G10" s="437">
        <f t="shared" si="0"/>
        <v>0</v>
      </c>
      <c r="H10" s="438">
        <f t="shared" si="1"/>
        <v>0</v>
      </c>
      <c r="I10" s="439">
        <f t="shared" ref="I10:I18" si="30">IFERROR(F10/$F$9,0)</f>
        <v>0</v>
      </c>
      <c r="J10" s="440">
        <f>IFERROR(F10/12,0)</f>
        <v>0</v>
      </c>
      <c r="K10" s="441">
        <f t="shared" si="2"/>
        <v>0</v>
      </c>
      <c r="L10" s="442"/>
      <c r="M10" s="450">
        <v>0</v>
      </c>
      <c r="N10" s="451">
        <f>M10/12</f>
        <v>0</v>
      </c>
      <c r="O10" s="451">
        <v>0</v>
      </c>
      <c r="P10" s="439">
        <f t="shared" ref="P10:P18" si="31">IFERROR(M10/$M$9,0)</f>
        <v>0</v>
      </c>
      <c r="Q10" s="452">
        <f>O10/12</f>
        <v>0</v>
      </c>
      <c r="R10" s="451"/>
      <c r="S10" s="453"/>
      <c r="T10" s="436">
        <v>0</v>
      </c>
      <c r="U10" s="437">
        <f t="shared" ref="U10" si="32">IFERROR(T10/units,0)</f>
        <v>0</v>
      </c>
      <c r="V10" s="438">
        <f t="shared" ref="V10" si="33">IFERROR(T10/NRA,0)</f>
        <v>0</v>
      </c>
      <c r="W10" s="439">
        <f t="shared" ref="W10:W18" si="34">IFERROR(T10/$T$9,0)</f>
        <v>0</v>
      </c>
      <c r="X10" s="440">
        <f>IFERROR(T10/12,0)</f>
        <v>0</v>
      </c>
      <c r="Y10" s="441">
        <f t="shared" ref="Y10" si="35">IFERROR(X10/units,0)</f>
        <v>0</v>
      </c>
      <c r="Z10" s="442"/>
      <c r="AA10" s="443">
        <v>0</v>
      </c>
      <c r="AB10" s="437">
        <f t="shared" ref="AB10" si="36">IFERROR(AA10/units,0)</f>
        <v>0</v>
      </c>
      <c r="AC10" s="438">
        <f t="shared" ref="AC10" si="37">IFERROR(AA10/NRA,0)</f>
        <v>0</v>
      </c>
      <c r="AD10" s="439">
        <f t="shared" ref="AD10:AD18" si="38">IFERROR(AA10/$AA$9,0)</f>
        <v>0</v>
      </c>
      <c r="AE10" s="440">
        <f>IFERROR(AA10/12,0)</f>
        <v>0</v>
      </c>
      <c r="AF10" s="441">
        <f t="shared" ref="AF10" si="39">IFERROR(AE10/units,0)</f>
        <v>0</v>
      </c>
      <c r="AG10" s="442"/>
      <c r="AH10" s="441">
        <f>'Unit Mix-Reno Schedule'!E50</f>
        <v>-261900</v>
      </c>
      <c r="AI10" s="437">
        <f t="shared" si="9"/>
        <v>-1073.360655737705</v>
      </c>
      <c r="AJ10" s="438">
        <f t="shared" ref="AJ10" si="40">IFERROR(AH10/NRA,0)</f>
        <v>-1.1217619243421053</v>
      </c>
      <c r="AK10" s="454">
        <f t="shared" ref="AK10:AK11" si="41">IFERROR(AH10/$AH$9,0)</f>
        <v>-6.7925056798730205E-2</v>
      </c>
      <c r="AL10" s="440">
        <f>IFERROR(AH10/12,0)</f>
        <v>-21825</v>
      </c>
      <c r="AM10" s="441">
        <f t="shared" ref="AM10" si="42">IFERROR(AL10/units,0)</f>
        <v>-89.446721311475414</v>
      </c>
      <c r="AN10" s="451"/>
      <c r="AO10" s="441" cm="1">
        <f t="array" ref="AO10">_xlfn.IFS($AO$5=0,AH10,$AO$5=3,AA10,$AO$5=12,T10)</f>
        <v>-261900</v>
      </c>
      <c r="AP10" s="441">
        <f t="shared" ref="AP10:AP11" si="43">IFERROR(AO10/units,0)</f>
        <v>-1073.360655737705</v>
      </c>
      <c r="AQ10" s="444">
        <f t="shared" ref="AQ10:AQ11" si="44">IFERROR(AO10/NRA,0)</f>
        <v>-1.1217619243421053</v>
      </c>
      <c r="AR10" s="445">
        <f t="shared" ref="AR10:AR18" si="45">IFERROR(AO10/AO$9,0)</f>
        <v>-6.7925056798730205E-2</v>
      </c>
      <c r="AS10" s="272"/>
      <c r="AT10" s="446">
        <f>AW10*AT9</f>
        <v>-261900.00000000003</v>
      </c>
      <c r="AU10" s="441">
        <f t="shared" ref="AU10:AU11" si="46">IFERROR(AT10/units,0)</f>
        <v>-1073.360655737705</v>
      </c>
      <c r="AV10" s="444">
        <f t="shared" ref="AV10:AV11" si="47">IFERROR(AT10/NRA,0)</f>
        <v>-1.1217619243421053</v>
      </c>
      <c r="AW10" s="455">
        <f>AR10</f>
        <v>-6.7925056798730205E-2</v>
      </c>
      <c r="AX10" s="431"/>
      <c r="AY10" s="456"/>
      <c r="AZ10" s="457"/>
      <c r="BA10" s="441">
        <f ca="1">SUMIF('Monthly Pro Forma'!$G$5:$EH$5,1,'Monthly Pro Forma'!$G30:$EH30)</f>
        <v>-176382.64825076767</v>
      </c>
      <c r="BB10" s="437">
        <f t="shared" ref="BB10:BB11" ca="1" si="48">IFERROR(BA10/units,0)</f>
        <v>-722.87970594576916</v>
      </c>
      <c r="BC10" s="438">
        <f t="shared" ref="BC10:BC11" ca="1" si="49">IFERROR(BA10/NRA,0)</f>
        <v>-0.75547666637013289</v>
      </c>
      <c r="BD10" s="439">
        <f t="shared" ca="1" si="17"/>
        <v>-4.2067205079106607E-2</v>
      </c>
      <c r="BE10" s="440">
        <f t="shared" ca="1" si="18"/>
        <v>-14698.554020897305</v>
      </c>
      <c r="BF10" s="441">
        <f t="shared" ref="BF10:BF11" ca="1" si="50">IFERROR(BE10/units,0)</f>
        <v>-60.239975495480756</v>
      </c>
      <c r="BG10" s="405"/>
      <c r="BH10" s="441">
        <f ca="1">SUMIF('Monthly Pro Forma'!$G$5:$EH$5,2,'Monthly Pro Forma'!$G30:$EH30)</f>
        <v>-92267.169972873104</v>
      </c>
      <c r="BI10" s="437">
        <f t="shared" ref="BI10:BI11" ca="1" si="51">IFERROR(BH10/units,0)</f>
        <v>-378.14413923308649</v>
      </c>
      <c r="BJ10" s="438">
        <f t="shared" ref="BJ10:BJ11" ca="1" si="52">IFERROR(BH10/NRA,0)</f>
        <v>-0.39519586919576266</v>
      </c>
      <c r="BK10" s="439">
        <f t="shared" ca="1" si="22"/>
        <v>-1.9596999254662847E-2</v>
      </c>
      <c r="BL10" s="440">
        <f t="shared" ca="1" si="23"/>
        <v>-7688.9308310727583</v>
      </c>
      <c r="BM10" s="441">
        <f t="shared" ref="BM10:BM11" ca="1" si="53">IFERROR(BL10/units,0)</f>
        <v>-31.512011602757205</v>
      </c>
      <c r="BN10" s="405"/>
      <c r="BO10" s="441">
        <f ca="1">SUMIF('Monthly Pro Forma'!$G$5:$EH$5,3,'Monthly Pro Forma'!$G30:$EH30)</f>
        <v>-105349.24720045147</v>
      </c>
      <c r="BP10" s="437">
        <f t="shared" ca="1" si="25"/>
        <v>-431.75920983791588</v>
      </c>
      <c r="BQ10" s="438">
        <f t="shared" ca="1" si="26"/>
        <v>-0.45122861499645128</v>
      </c>
      <c r="BR10" s="439">
        <f t="shared" ca="1" si="27"/>
        <v>-1.9999999999999993E-2</v>
      </c>
      <c r="BS10" s="440">
        <f t="shared" ca="1" si="28"/>
        <v>-8779.1039333709559</v>
      </c>
      <c r="BT10" s="441">
        <f t="shared" ca="1" si="29"/>
        <v>-35.979934153159654</v>
      </c>
      <c r="BU10" s="402"/>
    </row>
    <row r="11" spans="1:81" s="145" customFormat="1" ht="15" thickBot="1" x14ac:dyDescent="0.25">
      <c r="B11" s="458" t="s">
        <v>146</v>
      </c>
      <c r="C11" s="458"/>
      <c r="D11" s="458"/>
      <c r="E11" s="459"/>
      <c r="F11" s="460">
        <f>SUM(F9:F10)</f>
        <v>0</v>
      </c>
      <c r="G11" s="461">
        <f t="shared" si="0"/>
        <v>0</v>
      </c>
      <c r="H11" s="462">
        <f t="shared" si="1"/>
        <v>0</v>
      </c>
      <c r="I11" s="463">
        <f t="shared" si="30"/>
        <v>0</v>
      </c>
      <c r="J11" s="464">
        <f t="shared" ref="J11:J13" si="54">IFERROR(F11/12,0)</f>
        <v>0</v>
      </c>
      <c r="K11" s="460">
        <f t="shared" si="2"/>
        <v>0</v>
      </c>
      <c r="L11" s="465"/>
      <c r="M11" s="460">
        <f>SUM(M9:M10)</f>
        <v>0</v>
      </c>
      <c r="N11" s="461">
        <f t="shared" ref="N11:N12" si="55">IFERROR(M11/units,0)</f>
        <v>0</v>
      </c>
      <c r="O11" s="462">
        <f t="shared" ref="O11:O12" si="56">IFERROR(M11/NRA,0)</f>
        <v>0</v>
      </c>
      <c r="P11" s="463">
        <f t="shared" si="31"/>
        <v>0</v>
      </c>
      <c r="Q11" s="464">
        <f t="shared" ref="Q11:Q17" si="57">IFERROR(M11/12,0)</f>
        <v>0</v>
      </c>
      <c r="R11" s="460">
        <f t="shared" ref="R11:R12" si="58">IFERROR(Q11/units,0)</f>
        <v>0</v>
      </c>
      <c r="S11" s="465"/>
      <c r="T11" s="460">
        <f>SUM(T9:T10)</f>
        <v>3469927.1399999997</v>
      </c>
      <c r="U11" s="461">
        <f t="shared" ref="U11:U12" si="59">IFERROR(T11/units,0)</f>
        <v>14221.012868852458</v>
      </c>
      <c r="V11" s="462">
        <f t="shared" ref="V11:V12" si="60">IFERROR(T11/NRA,0)</f>
        <v>14.86228387129934</v>
      </c>
      <c r="W11" s="463">
        <f t="shared" si="34"/>
        <v>1</v>
      </c>
      <c r="X11" s="464">
        <f t="shared" ref="X11:X17" si="61">IFERROR(T11/12,0)</f>
        <v>289160.59499999997</v>
      </c>
      <c r="Y11" s="460">
        <f t="shared" ref="Y11:Y12" si="62">IFERROR(X11/units,0)</f>
        <v>1185.0844057377049</v>
      </c>
      <c r="Z11" s="465"/>
      <c r="AA11" s="460">
        <f>SUM(AA9:AA10)</f>
        <v>3524275.88</v>
      </c>
      <c r="AB11" s="461">
        <f t="shared" ref="AB11:AB12" si="63">IFERROR(AA11/units,0)</f>
        <v>14443.753606557377</v>
      </c>
      <c r="AC11" s="462">
        <f t="shared" ref="AC11:AC12" si="64">IFERROR(AA11/NRA,0)</f>
        <v>15.095068702028508</v>
      </c>
      <c r="AD11" s="463">
        <f t="shared" si="38"/>
        <v>1</v>
      </c>
      <c r="AE11" s="464">
        <f t="shared" ref="AE11:AE17" si="65">IFERROR(AA11/12,0)</f>
        <v>293689.65666666668</v>
      </c>
      <c r="AF11" s="460">
        <f t="shared" ref="AF11:AF12" si="66">IFERROR(AE11/units,0)</f>
        <v>1203.6461338797815</v>
      </c>
      <c r="AG11" s="465"/>
      <c r="AH11" s="460">
        <f>SUM(AH9:AH10)</f>
        <v>3593820</v>
      </c>
      <c r="AI11" s="461">
        <f t="shared" si="9"/>
        <v>14728.77049180328</v>
      </c>
      <c r="AJ11" s="462">
        <f t="shared" ref="AJ11:AJ12" si="67">IFERROR(AH11/NRA,0)</f>
        <v>15.392937911184211</v>
      </c>
      <c r="AK11" s="463">
        <f t="shared" si="41"/>
        <v>0.93207494320126982</v>
      </c>
      <c r="AL11" s="464">
        <f t="shared" ref="AL11:AL17" si="68">IFERROR(AH11/12,0)</f>
        <v>299485</v>
      </c>
      <c r="AM11" s="460">
        <f t="shared" ref="AM11:AM12" si="69">IFERROR(AL11/units,0)</f>
        <v>1227.3975409836066</v>
      </c>
      <c r="AN11" s="466"/>
      <c r="AO11" s="460">
        <f>SUM(AO9:AO10)</f>
        <v>3593820</v>
      </c>
      <c r="AP11" s="460">
        <f t="shared" si="43"/>
        <v>14728.77049180328</v>
      </c>
      <c r="AQ11" s="467">
        <f t="shared" si="44"/>
        <v>15.392937911184211</v>
      </c>
      <c r="AR11" s="468">
        <f t="shared" si="45"/>
        <v>0.93207494320126982</v>
      </c>
      <c r="AS11" s="469"/>
      <c r="AT11" s="470">
        <f>SUM(AT9:AT10)</f>
        <v>3593820</v>
      </c>
      <c r="AU11" s="460">
        <f t="shared" si="46"/>
        <v>14728.77049180328</v>
      </c>
      <c r="AV11" s="467">
        <f t="shared" si="47"/>
        <v>15.392937911184211</v>
      </c>
      <c r="AW11" s="471">
        <f t="shared" ref="AW11" si="70">IFERROR(AT11/AT$9,0)</f>
        <v>0.93207494320126982</v>
      </c>
      <c r="AX11" s="472"/>
      <c r="AY11" s="473"/>
      <c r="AZ11" s="474"/>
      <c r="BA11" s="460">
        <f ca="1">SUM(BA9:BA10)</f>
        <v>4016495.1034107306</v>
      </c>
      <c r="BB11" s="461">
        <f t="shared" ca="1" si="48"/>
        <v>16461.045505781683</v>
      </c>
      <c r="BC11" s="462">
        <f t="shared" ca="1" si="49"/>
        <v>17.203326751862026</v>
      </c>
      <c r="BD11" s="463">
        <f ca="1">IFERROR(BA11/BA$9,0)</f>
        <v>0.95793279492089345</v>
      </c>
      <c r="BE11" s="464">
        <f t="shared" ca="1" si="18"/>
        <v>334707.92528422753</v>
      </c>
      <c r="BF11" s="460">
        <f t="shared" ca="1" si="50"/>
        <v>1371.7537921484734</v>
      </c>
      <c r="BG11" s="475"/>
      <c r="BH11" s="460">
        <f ca="1">SUM(BH9:BH10)</f>
        <v>4615962.3285264624</v>
      </c>
      <c r="BI11" s="461">
        <f t="shared" ca="1" si="51"/>
        <v>18917.878395600255</v>
      </c>
      <c r="BJ11" s="462">
        <f t="shared" ca="1" si="52"/>
        <v>19.770946102857998</v>
      </c>
      <c r="BK11" s="463">
        <f ca="1">IFERROR(BH11/BH$9,0)</f>
        <v>0.98040300074533715</v>
      </c>
      <c r="BL11" s="464">
        <f t="shared" ca="1" si="23"/>
        <v>384663.5273772052</v>
      </c>
      <c r="BM11" s="460">
        <f t="shared" ca="1" si="53"/>
        <v>1576.4898663000213</v>
      </c>
      <c r="BN11" s="475"/>
      <c r="BO11" s="460">
        <f ca="1">SUM(BO9:BO10)</f>
        <v>5162113.1128221238</v>
      </c>
      <c r="BP11" s="461">
        <f t="shared" ca="1" si="25"/>
        <v>21156.201282057886</v>
      </c>
      <c r="BQ11" s="462">
        <f t="shared" ca="1" si="26"/>
        <v>22.110202134826121</v>
      </c>
      <c r="BR11" s="463">
        <f ca="1">IFERROR(BO11/BO$9,0)</f>
        <v>0.98</v>
      </c>
      <c r="BS11" s="464">
        <f t="shared" ca="1" si="28"/>
        <v>430176.09273517696</v>
      </c>
      <c r="BT11" s="460">
        <f t="shared" ca="1" si="29"/>
        <v>1763.0167735048237</v>
      </c>
      <c r="BU11" s="476"/>
    </row>
    <row r="12" spans="1:81" s="145" customFormat="1" ht="15" thickBot="1" x14ac:dyDescent="0.25">
      <c r="B12" s="458"/>
      <c r="C12" s="427" t="s">
        <v>14</v>
      </c>
      <c r="D12" s="458"/>
      <c r="E12" s="459"/>
      <c r="F12" s="443">
        <v>0</v>
      </c>
      <c r="G12" s="437">
        <f t="shared" si="0"/>
        <v>0</v>
      </c>
      <c r="H12" s="438">
        <f t="shared" si="1"/>
        <v>0</v>
      </c>
      <c r="I12" s="439">
        <f t="shared" si="30"/>
        <v>0</v>
      </c>
      <c r="J12" s="440">
        <f t="shared" si="54"/>
        <v>0</v>
      </c>
      <c r="K12" s="441">
        <f t="shared" si="2"/>
        <v>0</v>
      </c>
      <c r="L12" s="442"/>
      <c r="M12" s="443">
        <v>0</v>
      </c>
      <c r="N12" s="437">
        <f t="shared" si="55"/>
        <v>0</v>
      </c>
      <c r="O12" s="438">
        <f t="shared" si="56"/>
        <v>0</v>
      </c>
      <c r="P12" s="439">
        <f t="shared" si="31"/>
        <v>0</v>
      </c>
      <c r="Q12" s="440">
        <f t="shared" si="57"/>
        <v>0</v>
      </c>
      <c r="R12" s="441">
        <f t="shared" si="58"/>
        <v>0</v>
      </c>
      <c r="S12" s="442"/>
      <c r="T12" s="443">
        <v>-222568.22</v>
      </c>
      <c r="U12" s="437">
        <f t="shared" si="59"/>
        <v>-912.16483606557381</v>
      </c>
      <c r="V12" s="438">
        <f t="shared" si="60"/>
        <v>-0.95329726905153511</v>
      </c>
      <c r="W12" s="439">
        <f t="shared" si="34"/>
        <v>-6.4142044204420962E-2</v>
      </c>
      <c r="X12" s="440">
        <f t="shared" si="61"/>
        <v>-18547.351666666666</v>
      </c>
      <c r="Y12" s="441">
        <f t="shared" si="62"/>
        <v>-76.013736338797813</v>
      </c>
      <c r="Z12" s="442"/>
      <c r="AA12" s="443">
        <v>-201621.64</v>
      </c>
      <c r="AB12" s="437">
        <f t="shared" si="63"/>
        <v>-826.31819672131155</v>
      </c>
      <c r="AC12" s="438">
        <f t="shared" si="64"/>
        <v>-0.86357952987938602</v>
      </c>
      <c r="AD12" s="439">
        <f t="shared" si="38"/>
        <v>-5.7209380555077322E-2</v>
      </c>
      <c r="AE12" s="440">
        <f t="shared" si="65"/>
        <v>-16801.803333333333</v>
      </c>
      <c r="AF12" s="441">
        <f t="shared" si="66"/>
        <v>-68.859849726775963</v>
      </c>
      <c r="AG12" s="442"/>
      <c r="AH12" s="441">
        <f>'Unit Mix-Reno Schedule'!E52</f>
        <v>-163140</v>
      </c>
      <c r="AI12" s="437">
        <f t="shared" si="9"/>
        <v>-668.60655737704917</v>
      </c>
      <c r="AJ12" s="438">
        <f t="shared" si="67"/>
        <v>-0.69875616776315785</v>
      </c>
      <c r="AK12" s="439">
        <f>IFERROR(AH12/$AH$9,0)</f>
        <v>-4.2311163673710746E-2</v>
      </c>
      <c r="AL12" s="440">
        <f t="shared" si="68"/>
        <v>-13595</v>
      </c>
      <c r="AM12" s="441">
        <f t="shared" si="69"/>
        <v>-55.717213114754095</v>
      </c>
      <c r="AN12" s="466"/>
      <c r="AO12" s="441" cm="1">
        <f t="array" ref="AO12">_xlfn.IFS($AO$5=0,AH12,$AO$5=3,AA12,$AO$5=12,T12)</f>
        <v>-163140</v>
      </c>
      <c r="AP12" s="441">
        <f t="shared" ref="AP12" si="71">IFERROR(AO12/units,0)</f>
        <v>-668.60655737704917</v>
      </c>
      <c r="AQ12" s="444">
        <f t="shared" ref="AQ12" si="72">IFERROR(AO12/NRA,0)</f>
        <v>-0.69875616776315785</v>
      </c>
      <c r="AR12" s="445">
        <f>IFERROR(AO12/AO$9,0)</f>
        <v>-4.2311163673710746E-2</v>
      </c>
      <c r="AS12" s="272"/>
      <c r="AT12" s="446">
        <f>AW12*AT9</f>
        <v>-163140</v>
      </c>
      <c r="AU12" s="441">
        <f t="shared" ref="AU12" si="73">IFERROR(AT12/units,0)</f>
        <v>-668.60655737704917</v>
      </c>
      <c r="AV12" s="444">
        <f t="shared" ref="AV12" si="74">IFERROR(AT12/NRA,0)</f>
        <v>-0.69875616776315785</v>
      </c>
      <c r="AW12" s="477">
        <f>AK12</f>
        <v>-4.2311163673710746E-2</v>
      </c>
      <c r="AX12" s="472"/>
      <c r="AY12" s="478"/>
      <c r="AZ12" s="474"/>
      <c r="BA12" s="441">
        <f ca="1">SUMIF('Monthly Pro Forma'!$G$5:$EH$5,1,'Monthly Pro Forma'!$G32:$EH32)</f>
        <v>-251572.66509968988</v>
      </c>
      <c r="BB12" s="437">
        <f t="shared" ref="BB12" ca="1" si="75">IFERROR(BA12/units,0)</f>
        <v>-1031.0355127036471</v>
      </c>
      <c r="BC12" s="438">
        <f t="shared" ref="BC12" ca="1" si="76">IFERROR(BA12/NRA,0)</f>
        <v>-1.0775282050939294</v>
      </c>
      <c r="BD12" s="439">
        <f t="shared" ref="BD12:BD13" ca="1" si="77">IFERROR(BA12/BA$9,0)</f>
        <v>-0.06</v>
      </c>
      <c r="BE12" s="440">
        <f t="shared" ca="1" si="18"/>
        <v>-20964.38875830749</v>
      </c>
      <c r="BF12" s="441">
        <f t="shared" ref="BF12" ca="1" si="78">IFERROR(BE12/units,0)</f>
        <v>-85.919626058637249</v>
      </c>
      <c r="BG12" s="475"/>
      <c r="BH12" s="441">
        <f ca="1">SUMIF('Monthly Pro Forma'!$G$5:$EH$5,2,'Monthly Pro Forma'!$G32:$EH32)</f>
        <v>-282493.7699099601</v>
      </c>
      <c r="BI12" s="437">
        <f t="shared" ref="BI12" ca="1" si="79">IFERROR(BH12/units,0)</f>
        <v>-1157.7613520900004</v>
      </c>
      <c r="BJ12" s="438">
        <f t="shared" ref="BJ12" ca="1" si="80">IFERROR(BH12/NRA,0)</f>
        <v>-1.2099685183232254</v>
      </c>
      <c r="BK12" s="439">
        <f t="shared" ref="BK12:BK13" ca="1" si="81">IFERROR(BH12/BH$9,0)</f>
        <v>-5.9999999999999991E-2</v>
      </c>
      <c r="BL12" s="440">
        <f t="shared" ca="1" si="23"/>
        <v>-23541.147492496675</v>
      </c>
      <c r="BM12" s="441">
        <f t="shared" ref="BM12" ca="1" si="82">IFERROR(BL12/units,0)</f>
        <v>-96.480112674166705</v>
      </c>
      <c r="BN12" s="475"/>
      <c r="BO12" s="441">
        <f ca="1">SUMIF('Monthly Pro Forma'!$G$5:$EH$5,3,'Monthly Pro Forma'!$G32:$EH32)</f>
        <v>-263373.11800112884</v>
      </c>
      <c r="BP12" s="437">
        <f t="shared" ca="1" si="25"/>
        <v>-1079.3980245947903</v>
      </c>
      <c r="BQ12" s="438">
        <f t="shared" ca="1" si="26"/>
        <v>-1.1280715374911288</v>
      </c>
      <c r="BR12" s="439">
        <f t="shared" ref="BR12:BR13" ca="1" si="83">IFERROR(BO12/BO$9,0)</f>
        <v>-5.000000000000001E-2</v>
      </c>
      <c r="BS12" s="440">
        <f t="shared" ca="1" si="28"/>
        <v>-21947.759833427404</v>
      </c>
      <c r="BT12" s="441">
        <f t="shared" ca="1" si="29"/>
        <v>-89.949835382899195</v>
      </c>
      <c r="BU12" s="476"/>
    </row>
    <row r="13" spans="1:81" s="145" customFormat="1" ht="15" thickBot="1" x14ac:dyDescent="0.25">
      <c r="B13" s="458"/>
      <c r="C13" s="427" t="s">
        <v>15</v>
      </c>
      <c r="D13" s="458"/>
      <c r="E13" s="459"/>
      <c r="F13" s="443">
        <v>0</v>
      </c>
      <c r="G13" s="437">
        <f t="shared" si="0"/>
        <v>0</v>
      </c>
      <c r="H13" s="438">
        <f t="shared" si="1"/>
        <v>0</v>
      </c>
      <c r="I13" s="439">
        <f t="shared" si="30"/>
        <v>0</v>
      </c>
      <c r="J13" s="440">
        <f t="shared" si="54"/>
        <v>0</v>
      </c>
      <c r="K13" s="441">
        <f t="shared" si="2"/>
        <v>0</v>
      </c>
      <c r="L13" s="442"/>
      <c r="M13" s="443">
        <v>0</v>
      </c>
      <c r="N13" s="437">
        <f t="shared" ref="N13" si="84">IFERROR(M13/units,0)</f>
        <v>0</v>
      </c>
      <c r="O13" s="438">
        <f t="shared" ref="O13" si="85">IFERROR(M13/NRA,0)</f>
        <v>0</v>
      </c>
      <c r="P13" s="439">
        <f t="shared" si="31"/>
        <v>0</v>
      </c>
      <c r="Q13" s="440">
        <f t="shared" si="57"/>
        <v>0</v>
      </c>
      <c r="R13" s="441">
        <f t="shared" ref="R13" si="86">IFERROR(Q13/units,0)</f>
        <v>0</v>
      </c>
      <c r="S13" s="442"/>
      <c r="T13" s="443">
        <v>-31568</v>
      </c>
      <c r="U13" s="437">
        <f t="shared" ref="U13" si="87">IFERROR(T13/units,0)</f>
        <v>-129.37704918032787</v>
      </c>
      <c r="V13" s="438">
        <f t="shared" ref="V13" si="88">IFERROR(T13/NRA,0)</f>
        <v>-0.13521107456140352</v>
      </c>
      <c r="W13" s="439">
        <f t="shared" si="34"/>
        <v>-9.0975973633844083E-3</v>
      </c>
      <c r="X13" s="440">
        <f t="shared" si="61"/>
        <v>-2630.6666666666665</v>
      </c>
      <c r="Y13" s="441">
        <f t="shared" ref="Y13" si="89">IFERROR(X13/units,0)</f>
        <v>-10.781420765027322</v>
      </c>
      <c r="Z13" s="442"/>
      <c r="AA13" s="443">
        <v>-39832</v>
      </c>
      <c r="AB13" s="437">
        <f t="shared" ref="AB13" si="90">IFERROR(AA13/units,0)</f>
        <v>-163.24590163934425</v>
      </c>
      <c r="AC13" s="438">
        <f t="shared" ref="AC13" si="91">IFERROR(AA13/NRA,0)</f>
        <v>-0.17060718201754385</v>
      </c>
      <c r="AD13" s="439">
        <f t="shared" si="38"/>
        <v>-1.1302179896313906E-2</v>
      </c>
      <c r="AE13" s="440">
        <f t="shared" si="65"/>
        <v>-3319.3333333333335</v>
      </c>
      <c r="AF13" s="441">
        <f t="shared" ref="AF13" si="92">IFERROR(AE13/units,0)</f>
        <v>-13.603825136612022</v>
      </c>
      <c r="AG13" s="442"/>
      <c r="AH13" s="441">
        <f>T13</f>
        <v>-31568</v>
      </c>
      <c r="AI13" s="437">
        <f t="shared" si="9"/>
        <v>-129.37704918032787</v>
      </c>
      <c r="AJ13" s="438">
        <f t="shared" ref="AJ13" si="93">IFERROR(AH13/NRA,0)</f>
        <v>-0.13521107456140352</v>
      </c>
      <c r="AK13" s="439">
        <f>IFERROR(AH13/$AH$9,0)</f>
        <v>-8.1873165063853191E-3</v>
      </c>
      <c r="AL13" s="440">
        <f t="shared" si="68"/>
        <v>-2630.6666666666665</v>
      </c>
      <c r="AM13" s="441">
        <f t="shared" ref="AM13" si="94">IFERROR(AL13/units,0)</f>
        <v>-10.781420765027322</v>
      </c>
      <c r="AN13" s="466"/>
      <c r="AO13" s="441" cm="1">
        <f t="array" ref="AO13">_xlfn.IFS($AO$5=0,AH13,$AO$5=3,AA13,$AO$5=12,T13)</f>
        <v>-31568</v>
      </c>
      <c r="AP13" s="441">
        <f t="shared" ref="AP13:AP15" si="95">IFERROR(AO13/units,0)</f>
        <v>-129.37704918032787</v>
      </c>
      <c r="AQ13" s="444">
        <f t="shared" ref="AQ13:AQ15" si="96">IFERROR(AO13/NRA,0)</f>
        <v>-0.13521107456140352</v>
      </c>
      <c r="AR13" s="445">
        <f t="shared" si="45"/>
        <v>-8.1873165063853191E-3</v>
      </c>
      <c r="AS13" s="272"/>
      <c r="AT13" s="446">
        <f>AW13*AT9</f>
        <v>-38557.200000000004</v>
      </c>
      <c r="AU13" s="441">
        <f t="shared" ref="AU13:AU15" si="97">IFERROR(AT13/units,0)</f>
        <v>-158.02131147540985</v>
      </c>
      <c r="AV13" s="444">
        <f t="shared" ref="AV13:AV15" si="98">IFERROR(AT13/NRA,0)</f>
        <v>-0.16514699835526317</v>
      </c>
      <c r="AW13" s="477">
        <v>-0.01</v>
      </c>
      <c r="AX13" s="472"/>
      <c r="AY13" s="478"/>
      <c r="AZ13" s="474"/>
      <c r="BA13" s="441">
        <f ca="1">SUMIF('Monthly Pro Forma'!$G$5:$EH$5,1,'Monthly Pro Forma'!$G34:$EH34)</f>
        <v>-40164.951034107296</v>
      </c>
      <c r="BB13" s="437">
        <f t="shared" ref="BB13:BB15" ca="1" si="99">IFERROR(BA13/units,0)</f>
        <v>-164.61045505781678</v>
      </c>
      <c r="BC13" s="438">
        <f t="shared" ref="BC13:BC15" ca="1" si="100">IFERROR(BA13/NRA,0)</f>
        <v>-0.17203326751862019</v>
      </c>
      <c r="BD13" s="439">
        <f t="shared" ca="1" si="77"/>
        <v>-9.5793279492089323E-3</v>
      </c>
      <c r="BE13" s="440">
        <f t="shared" ca="1" si="18"/>
        <v>-3347.0792528422749</v>
      </c>
      <c r="BF13" s="441">
        <f t="shared" ref="BF13:BF15" ca="1" si="101">IFERROR(BE13/units,0)</f>
        <v>-13.717537921484732</v>
      </c>
      <c r="BG13" s="475"/>
      <c r="BH13" s="441">
        <f ca="1">SUMIF('Monthly Pro Forma'!$G$5:$EH$5,2,'Monthly Pro Forma'!$G34:$EH34)</f>
        <v>-23079.811642632314</v>
      </c>
      <c r="BI13" s="437">
        <f t="shared" ref="BI13:BI15" ca="1" si="102">IFERROR(BH13/units,0)</f>
        <v>-94.589391978001288</v>
      </c>
      <c r="BJ13" s="438">
        <f t="shared" ref="BJ13:BJ15" ca="1" si="103">IFERROR(BH13/NRA,0)</f>
        <v>-9.8854730514290001E-2</v>
      </c>
      <c r="BK13" s="439">
        <f t="shared" ca="1" si="81"/>
        <v>-4.9020150037266856E-3</v>
      </c>
      <c r="BL13" s="440">
        <f t="shared" ca="1" si="23"/>
        <v>-1923.3176368860261</v>
      </c>
      <c r="BM13" s="441">
        <f t="shared" ref="BM13:BM15" ca="1" si="104">IFERROR(BL13/units,0)</f>
        <v>-7.8824493315001067</v>
      </c>
      <c r="BN13" s="475"/>
      <c r="BO13" s="441">
        <f ca="1">SUMIF('Monthly Pro Forma'!$G$5:$EH$5,3,'Monthly Pro Forma'!$G34:$EH34)</f>
        <v>-25810.565564110617</v>
      </c>
      <c r="BP13" s="437">
        <f t="shared" ca="1" si="25"/>
        <v>-105.78100641028941</v>
      </c>
      <c r="BQ13" s="438">
        <f t="shared" ca="1" si="26"/>
        <v>-0.11055101067413059</v>
      </c>
      <c r="BR13" s="439">
        <f t="shared" ca="1" si="83"/>
        <v>-4.899999999999999E-3</v>
      </c>
      <c r="BS13" s="440">
        <f t="shared" ca="1" si="28"/>
        <v>-2150.8804636758846</v>
      </c>
      <c r="BT13" s="441">
        <f t="shared" ca="1" si="29"/>
        <v>-8.8150838675241179</v>
      </c>
      <c r="BU13" s="476"/>
    </row>
    <row r="14" spans="1:81" s="145" customFormat="1" ht="15" thickBot="1" x14ac:dyDescent="0.25">
      <c r="A14" s="479"/>
      <c r="B14" s="480"/>
      <c r="C14" s="427" t="s">
        <v>79</v>
      </c>
      <c r="D14" s="458"/>
      <c r="E14" s="459"/>
      <c r="F14" s="443">
        <v>0</v>
      </c>
      <c r="G14" s="437">
        <f t="shared" si="0"/>
        <v>0</v>
      </c>
      <c r="H14" s="438">
        <f t="shared" si="1"/>
        <v>0</v>
      </c>
      <c r="I14" s="439">
        <f>IFERROR(F14/$F$9,0)</f>
        <v>0</v>
      </c>
      <c r="J14" s="440">
        <f>IFERROR(F14/12,0)</f>
        <v>0</v>
      </c>
      <c r="K14" s="441">
        <f t="shared" si="2"/>
        <v>0</v>
      </c>
      <c r="L14" s="442"/>
      <c r="M14" s="481">
        <v>0</v>
      </c>
      <c r="N14" s="437">
        <f t="shared" ref="N14" si="105">IFERROR(M14/units,0)</f>
        <v>0</v>
      </c>
      <c r="O14" s="438">
        <f t="shared" ref="O14" si="106">IFERROR(M14/NRA,0)</f>
        <v>0</v>
      </c>
      <c r="P14" s="439">
        <f>IFERROR(M14/$M$9,0)</f>
        <v>0</v>
      </c>
      <c r="Q14" s="440">
        <f>IFERROR(M14/12,0)</f>
        <v>0</v>
      </c>
      <c r="R14" s="441">
        <f t="shared" ref="R14" si="107">IFERROR(Q14/units,0)</f>
        <v>0</v>
      </c>
      <c r="S14" s="442"/>
      <c r="T14" s="443">
        <v>-7669.36</v>
      </c>
      <c r="U14" s="437">
        <f t="shared" ref="U14" si="108">IFERROR(T14/units,0)</f>
        <v>-31.431803278688523</v>
      </c>
      <c r="V14" s="438">
        <f t="shared" ref="V14" si="109">IFERROR(T14/NRA,0)</f>
        <v>-3.2849163925438594E-2</v>
      </c>
      <c r="W14" s="439">
        <f>IFERROR(T14/$T$9,0)</f>
        <v>-2.2102366103283655E-3</v>
      </c>
      <c r="X14" s="440">
        <f>IFERROR(T14/12,0)</f>
        <v>-639.11333333333334</v>
      </c>
      <c r="Y14" s="441">
        <f t="shared" ref="Y14" si="110">IFERROR(X14/units,0)</f>
        <v>-2.6193169398907106</v>
      </c>
      <c r="Z14" s="442"/>
      <c r="AA14" s="443">
        <v>-17791.400000000001</v>
      </c>
      <c r="AB14" s="437">
        <f t="shared" ref="AB14" si="111">IFERROR(AA14/units,0)</f>
        <v>-72.915573770491804</v>
      </c>
      <c r="AC14" s="438">
        <f t="shared" ref="AC14" si="112">IFERROR(AA14/NRA,0)</f>
        <v>-7.6203570449561414E-2</v>
      </c>
      <c r="AD14" s="439">
        <f>IFERROR(AA14/$AA$9,0)</f>
        <v>-5.0482427045410536E-3</v>
      </c>
      <c r="AE14" s="440">
        <f>IFERROR(AA14/12,0)</f>
        <v>-1482.6166666666668</v>
      </c>
      <c r="AF14" s="441">
        <f t="shared" ref="AF14" si="113">IFERROR(AE14/units,0)</f>
        <v>-6.0762978142076509</v>
      </c>
      <c r="AG14" s="442"/>
      <c r="AH14" s="441">
        <f>T14</f>
        <v>-7669.36</v>
      </c>
      <c r="AI14" s="437">
        <f t="shared" si="9"/>
        <v>-31.431803278688523</v>
      </c>
      <c r="AJ14" s="438">
        <f t="shared" ref="AJ14" si="114">IFERROR(AH14/NRA,0)</f>
        <v>-3.2849163925438594E-2</v>
      </c>
      <c r="AK14" s="439">
        <f>IFERROR(AH14/$AH$9,0)</f>
        <v>-1.9890863444440984E-3</v>
      </c>
      <c r="AL14" s="440">
        <f>IFERROR(AH14/12,0)</f>
        <v>-639.11333333333334</v>
      </c>
      <c r="AM14" s="441">
        <f t="shared" ref="AM14" si="115">IFERROR(AL14/units,0)</f>
        <v>-2.6193169398907106</v>
      </c>
      <c r="AN14" s="482"/>
      <c r="AO14" s="441" cm="1">
        <f t="array" ref="AO14">_xlfn.IFS($AO$5=0,AH14,$AO$5=3,AA14,$AO$5=12,T14)</f>
        <v>-7669.36</v>
      </c>
      <c r="AP14" s="441">
        <f>IFERROR(AO14/units,0)</f>
        <v>-31.431803278688523</v>
      </c>
      <c r="AQ14" s="444">
        <f>IFERROR(AO14/NRA,0)</f>
        <v>-3.2849163925438594E-2</v>
      </c>
      <c r="AR14" s="445">
        <f>IFERROR(AO14/AO$9,0)</f>
        <v>-1.9890863444440984E-3</v>
      </c>
      <c r="AS14" s="272"/>
      <c r="AT14" s="446">
        <f>AW14*AT9</f>
        <v>-7669.3599999999988</v>
      </c>
      <c r="AU14" s="441">
        <f>IFERROR(AT14/units,0)</f>
        <v>-31.43180327868852</v>
      </c>
      <c r="AV14" s="444">
        <f>IFERROR(AT14/NRA,0)</f>
        <v>-3.2849163925438594E-2</v>
      </c>
      <c r="AW14" s="477">
        <f>AR14</f>
        <v>-1.9890863444440984E-3</v>
      </c>
      <c r="AX14" s="483"/>
      <c r="AY14" s="484"/>
      <c r="AZ14" s="485"/>
      <c r="BA14" s="441">
        <f ca="1">SUMIF('Monthly Pro Forma'!$G$5:$EH$5,1,'Monthly Pro Forma'!$G33:$EH33)</f>
        <v>-20082.475517053648</v>
      </c>
      <c r="BB14" s="437">
        <f ca="1">IFERROR(BA14/units,0)</f>
        <v>-82.305227528908389</v>
      </c>
      <c r="BC14" s="438">
        <f ca="1">IFERROR(BA14/NRA,0)</f>
        <v>-8.6016633759310096E-2</v>
      </c>
      <c r="BD14" s="439">
        <f ca="1">IFERROR(BA14/BA$9,0)</f>
        <v>-4.7896639746044661E-3</v>
      </c>
      <c r="BE14" s="440">
        <f ca="1">IFERROR(BA14/12,0)</f>
        <v>-1673.5396264211374</v>
      </c>
      <c r="BF14" s="441">
        <f ca="1">IFERROR(BE14/units,0)</f>
        <v>-6.8587689607423661</v>
      </c>
      <c r="BG14" s="486"/>
      <c r="BH14" s="441">
        <f ca="1">SUMIF('Monthly Pro Forma'!$G$5:$EH$5,2,'Monthly Pro Forma'!$G33:$EH33)</f>
        <v>-23079.811642632314</v>
      </c>
      <c r="BI14" s="437">
        <f ca="1">IFERROR(BH14/units,0)</f>
        <v>-94.589391978001288</v>
      </c>
      <c r="BJ14" s="438">
        <f ca="1">IFERROR(BH14/NRA,0)</f>
        <v>-9.8854730514290001E-2</v>
      </c>
      <c r="BK14" s="439">
        <f ca="1">IFERROR(BH14/BH$9,0)</f>
        <v>-4.9020150037266856E-3</v>
      </c>
      <c r="BL14" s="440">
        <f ca="1">IFERROR(BH14/12,0)</f>
        <v>-1923.3176368860261</v>
      </c>
      <c r="BM14" s="441">
        <f ca="1">IFERROR(BL14/units,0)</f>
        <v>-7.8824493315001067</v>
      </c>
      <c r="BN14" s="486"/>
      <c r="BO14" s="441">
        <f ca="1">SUMIF('Monthly Pro Forma'!$G$5:$EH$5,3,'Monthly Pro Forma'!$G33:$EH33)</f>
        <v>-25810.565564110617</v>
      </c>
      <c r="BP14" s="437">
        <f ca="1">IFERROR(BO14/units,0)</f>
        <v>-105.78100641028941</v>
      </c>
      <c r="BQ14" s="438">
        <f ca="1">IFERROR(BO14/NRA,0)</f>
        <v>-0.11055101067413059</v>
      </c>
      <c r="BR14" s="439">
        <f ca="1">IFERROR(BO14/BO$9,0)</f>
        <v>-4.899999999999999E-3</v>
      </c>
      <c r="BS14" s="440">
        <f ca="1">IFERROR(BO14/12,0)</f>
        <v>-2150.8804636758846</v>
      </c>
      <c r="BT14" s="441">
        <f ca="1">IFERROR(BS14/units,0)</f>
        <v>-8.8150838675241179</v>
      </c>
      <c r="BU14" s="487"/>
      <c r="BV14" s="479"/>
      <c r="BW14" s="479"/>
      <c r="BX14" s="479"/>
      <c r="BY14" s="479"/>
      <c r="BZ14" s="479"/>
      <c r="CA14" s="479"/>
      <c r="CB14" s="479"/>
      <c r="CC14" s="479"/>
    </row>
    <row r="15" spans="1:81" s="479" customFormat="1" ht="15" thickBot="1" x14ac:dyDescent="0.25">
      <c r="B15" s="458" t="s">
        <v>445</v>
      </c>
      <c r="C15" s="458"/>
      <c r="D15" s="458"/>
      <c r="E15" s="459"/>
      <c r="F15" s="460">
        <f>SUM(F11:F14)</f>
        <v>0</v>
      </c>
      <c r="G15" s="461">
        <f>SUM(G11:G14)</f>
        <v>0</v>
      </c>
      <c r="H15" s="462">
        <f>SUM(H11:H14)</f>
        <v>0</v>
      </c>
      <c r="I15" s="463">
        <f t="shared" si="30"/>
        <v>0</v>
      </c>
      <c r="J15" s="488">
        <f>SUM(J11:J14)</f>
        <v>0</v>
      </c>
      <c r="K15" s="461">
        <f>SUM(K11:K14)</f>
        <v>0</v>
      </c>
      <c r="L15" s="489"/>
      <c r="M15" s="461">
        <f>SUM(M11:M14)</f>
        <v>0</v>
      </c>
      <c r="N15" s="461">
        <f t="shared" ref="N15:N16" si="116">IFERROR(M15/units,0)</f>
        <v>0</v>
      </c>
      <c r="O15" s="462">
        <f t="shared" ref="O15:O16" si="117">IFERROR(M15/NRA,0)</f>
        <v>0</v>
      </c>
      <c r="P15" s="463">
        <f t="shared" si="31"/>
        <v>0</v>
      </c>
      <c r="Q15" s="464">
        <f t="shared" si="57"/>
        <v>0</v>
      </c>
      <c r="R15" s="460">
        <f t="shared" ref="R15:R16" si="118">IFERROR(Q15/units,0)</f>
        <v>0</v>
      </c>
      <c r="S15" s="465"/>
      <c r="T15" s="461">
        <f>SUM(T11:T14)</f>
        <v>3208121.5599999996</v>
      </c>
      <c r="U15" s="461">
        <f t="shared" ref="U15:U16" si="119">IFERROR(T15/units,0)</f>
        <v>13148.039180327867</v>
      </c>
      <c r="V15" s="462">
        <f t="shared" ref="V15:V16" si="120">IFERROR(T15/NRA,0)</f>
        <v>13.740926363760963</v>
      </c>
      <c r="W15" s="463">
        <f t="shared" si="34"/>
        <v>0.92455012182186624</v>
      </c>
      <c r="X15" s="464">
        <f t="shared" si="61"/>
        <v>267343.46333333332</v>
      </c>
      <c r="Y15" s="460">
        <f t="shared" ref="Y15:Y16" si="121">IFERROR(X15/units,0)</f>
        <v>1095.6699316939889</v>
      </c>
      <c r="Z15" s="465"/>
      <c r="AA15" s="461">
        <f>SUM(AA11:AA14)</f>
        <v>3265030.84</v>
      </c>
      <c r="AB15" s="461">
        <f t="shared" ref="AB15:AB16" si="122">IFERROR(AA15/units,0)</f>
        <v>13381.273934426228</v>
      </c>
      <c r="AC15" s="462">
        <f t="shared" ref="AC15:AC16" si="123">IFERROR(AA15/NRA,0)</f>
        <v>13.984678419682018</v>
      </c>
      <c r="AD15" s="463">
        <f t="shared" si="38"/>
        <v>0.92644019684406775</v>
      </c>
      <c r="AE15" s="464">
        <f t="shared" si="65"/>
        <v>272085.90333333332</v>
      </c>
      <c r="AF15" s="460">
        <f t="shared" ref="AF15:AF16" si="124">IFERROR(AE15/units,0)</f>
        <v>1115.1061612021858</v>
      </c>
      <c r="AG15" s="465"/>
      <c r="AH15" s="461">
        <f>SUM(AH11:AH14)</f>
        <v>3391442.64</v>
      </c>
      <c r="AI15" s="461">
        <f t="shared" si="9"/>
        <v>13899.355081967213</v>
      </c>
      <c r="AJ15" s="462">
        <f t="shared" ref="AJ15:AJ16" si="125">IFERROR(AH15/NRA,0)</f>
        <v>14.526121504934212</v>
      </c>
      <c r="AK15" s="463">
        <f>IFERROR(AH15/AH$9,0)</f>
        <v>0.8795873766767297</v>
      </c>
      <c r="AL15" s="464">
        <f t="shared" si="68"/>
        <v>282620.22000000003</v>
      </c>
      <c r="AM15" s="460">
        <f t="shared" ref="AM15:AM16" si="126">IFERROR(AL15/units,0)</f>
        <v>1158.2795901639345</v>
      </c>
      <c r="AN15" s="482"/>
      <c r="AO15" s="460">
        <f>SUM(AO11:AO14)</f>
        <v>3391442.64</v>
      </c>
      <c r="AP15" s="460">
        <f t="shared" si="95"/>
        <v>13899.355081967213</v>
      </c>
      <c r="AQ15" s="467">
        <f t="shared" si="96"/>
        <v>14.526121504934212</v>
      </c>
      <c r="AR15" s="468">
        <f t="shared" si="45"/>
        <v>0.8795873766767297</v>
      </c>
      <c r="AS15" s="469"/>
      <c r="AT15" s="470">
        <f>SUM(AT11:AT14)</f>
        <v>3384453.44</v>
      </c>
      <c r="AU15" s="460">
        <f t="shared" si="97"/>
        <v>13870.710819672131</v>
      </c>
      <c r="AV15" s="467">
        <f t="shared" si="98"/>
        <v>14.496185581140351</v>
      </c>
      <c r="AW15" s="471">
        <f t="shared" ref="AW15:AW17" si="127">IFERROR(AT15/AT$9,0)</f>
        <v>0.87777469318311496</v>
      </c>
      <c r="AX15" s="483"/>
      <c r="AY15" s="473"/>
      <c r="AZ15" s="485"/>
      <c r="BA15" s="461">
        <f ca="1">SUM(BA11:BA14)</f>
        <v>3704675.01175988</v>
      </c>
      <c r="BB15" s="461">
        <f t="shared" ca="1" si="99"/>
        <v>15183.094310491311</v>
      </c>
      <c r="BC15" s="462">
        <f t="shared" ca="1" si="100"/>
        <v>15.867748645490165</v>
      </c>
      <c r="BD15" s="463">
        <f ca="1">IFERROR(BA15/BA$9,0)</f>
        <v>0.88356380299708004</v>
      </c>
      <c r="BE15" s="464">
        <f t="shared" ca="1" si="18"/>
        <v>308722.91764665669</v>
      </c>
      <c r="BF15" s="460">
        <f t="shared" ca="1" si="101"/>
        <v>1265.2578592076093</v>
      </c>
      <c r="BG15" s="486"/>
      <c r="BH15" s="461">
        <f ca="1">SUM(BH11:BH14)</f>
        <v>4287308.9353312384</v>
      </c>
      <c r="BI15" s="461">
        <f t="shared" ca="1" si="102"/>
        <v>17570.938259554256</v>
      </c>
      <c r="BJ15" s="462">
        <f t="shared" ca="1" si="103"/>
        <v>18.363268123506195</v>
      </c>
      <c r="BK15" s="463">
        <f ca="1">IFERROR(BH15/BH$9,0)</f>
        <v>0.91059897073788387</v>
      </c>
      <c r="BL15" s="464">
        <f t="shared" ca="1" si="23"/>
        <v>357275.74461093656</v>
      </c>
      <c r="BM15" s="460">
        <f t="shared" ca="1" si="104"/>
        <v>1464.2448549628548</v>
      </c>
      <c r="BN15" s="486"/>
      <c r="BO15" s="461">
        <f ca="1">SUM(BO11:BO14)</f>
        <v>4847118.8636927735</v>
      </c>
      <c r="BP15" s="461">
        <f t="shared" ca="1" si="25"/>
        <v>19865.241244642515</v>
      </c>
      <c r="BQ15" s="462">
        <f t="shared" ca="1" si="26"/>
        <v>20.761028575986728</v>
      </c>
      <c r="BR15" s="463">
        <f ca="1">IFERROR(BO15/BO$9,0)</f>
        <v>0.92019999999999991</v>
      </c>
      <c r="BS15" s="464">
        <f t="shared" ca="1" si="28"/>
        <v>403926.57197439781</v>
      </c>
      <c r="BT15" s="460">
        <f t="shared" ca="1" si="29"/>
        <v>1655.4367703868763</v>
      </c>
      <c r="BU15" s="487"/>
    </row>
    <row r="16" spans="1:81" s="490" customFormat="1" ht="15" thickBot="1" x14ac:dyDescent="0.25">
      <c r="C16" s="427" t="s">
        <v>78</v>
      </c>
      <c r="D16" s="427"/>
      <c r="E16" s="433"/>
      <c r="F16" s="443">
        <v>0</v>
      </c>
      <c r="G16" s="437">
        <f>IFERROR(F16/units,0)</f>
        <v>0</v>
      </c>
      <c r="H16" s="438">
        <f>IFERROR(F16/NRA,0)</f>
        <v>0</v>
      </c>
      <c r="I16" s="439">
        <f t="shared" si="30"/>
        <v>0</v>
      </c>
      <c r="J16" s="440">
        <f t="shared" ref="J16:J18" si="128">IFERROR(F16/12,0)</f>
        <v>0</v>
      </c>
      <c r="K16" s="441">
        <f>IFERROR(J16/units,0)</f>
        <v>0</v>
      </c>
      <c r="L16" s="442"/>
      <c r="M16" s="443">
        <v>0</v>
      </c>
      <c r="N16" s="437">
        <f t="shared" si="116"/>
        <v>0</v>
      </c>
      <c r="O16" s="438">
        <f t="shared" si="117"/>
        <v>0</v>
      </c>
      <c r="P16" s="439">
        <f t="shared" si="31"/>
        <v>0</v>
      </c>
      <c r="Q16" s="440">
        <f t="shared" si="57"/>
        <v>0</v>
      </c>
      <c r="R16" s="441">
        <f t="shared" si="118"/>
        <v>0</v>
      </c>
      <c r="S16" s="442"/>
      <c r="T16" s="443">
        <v>273473.56</v>
      </c>
      <c r="U16" s="437">
        <f t="shared" si="119"/>
        <v>1120.7932786885247</v>
      </c>
      <c r="V16" s="438">
        <f t="shared" si="120"/>
        <v>1.1713334361293859</v>
      </c>
      <c r="W16" s="439">
        <f t="shared" si="34"/>
        <v>7.88124790424274E-2</v>
      </c>
      <c r="X16" s="440">
        <f t="shared" si="61"/>
        <v>22789.463333333333</v>
      </c>
      <c r="Y16" s="441">
        <f t="shared" si="121"/>
        <v>93.399439890710383</v>
      </c>
      <c r="Z16" s="442"/>
      <c r="AA16" s="443">
        <v>299945.23999999993</v>
      </c>
      <c r="AB16" s="437">
        <f t="shared" si="122"/>
        <v>1229.2837704918029</v>
      </c>
      <c r="AC16" s="438">
        <f t="shared" si="123"/>
        <v>1.2847161115679822</v>
      </c>
      <c r="AD16" s="439">
        <f t="shared" si="38"/>
        <v>8.5108331530504344E-2</v>
      </c>
      <c r="AE16" s="440">
        <f t="shared" si="65"/>
        <v>24995.436666666661</v>
      </c>
      <c r="AF16" s="441">
        <f t="shared" si="124"/>
        <v>102.44031420765025</v>
      </c>
      <c r="AG16" s="442"/>
      <c r="AH16" s="441">
        <f>AI16*units</f>
        <v>299945.23999999993</v>
      </c>
      <c r="AI16" s="491">
        <f>AB16</f>
        <v>1229.2837704918029</v>
      </c>
      <c r="AJ16" s="438">
        <f t="shared" si="125"/>
        <v>1.2847161115679822</v>
      </c>
      <c r="AK16" s="439">
        <f t="shared" ref="AK16:AK17" si="129">IFERROR(AH16/$AH$9,0)</f>
        <v>7.7792277447532476E-2</v>
      </c>
      <c r="AL16" s="440">
        <f t="shared" si="68"/>
        <v>24995.436666666661</v>
      </c>
      <c r="AM16" s="441">
        <f t="shared" si="126"/>
        <v>102.44031420765025</v>
      </c>
      <c r="AN16" s="437"/>
      <c r="AO16" s="441" cm="1">
        <f t="array" ref="AO16">_xlfn.IFS($AO$5=0,AH16,$AO$5=3,AA16,$AO$5=12,T16)</f>
        <v>299945.23999999993</v>
      </c>
      <c r="AP16" s="441">
        <f t="shared" ref="AP16" si="130">IFERROR(AO16/units,0)</f>
        <v>1229.2837704918029</v>
      </c>
      <c r="AQ16" s="444">
        <f t="shared" ref="AQ16" si="131">IFERROR(AO16/NRA,0)</f>
        <v>1.2847161115679822</v>
      </c>
      <c r="AR16" s="445">
        <f t="shared" si="45"/>
        <v>7.7792277447532476E-2</v>
      </c>
      <c r="AS16" s="272"/>
      <c r="AT16" s="492">
        <f>AO16</f>
        <v>299945.23999999993</v>
      </c>
      <c r="AU16" s="441">
        <f t="shared" ref="AU16" si="132">IFERROR(AT16/units,0)</f>
        <v>1229.2837704918029</v>
      </c>
      <c r="AV16" s="444">
        <f t="shared" ref="AV16" si="133">IFERROR(AT16/NRA,0)</f>
        <v>1.2847161115679822</v>
      </c>
      <c r="AW16" s="272">
        <f t="shared" si="127"/>
        <v>7.7792277447532476E-2</v>
      </c>
      <c r="AX16" s="493"/>
      <c r="AY16" s="478"/>
      <c r="AZ16" s="494"/>
      <c r="BA16" s="441">
        <f>SUMIF('Monthly Pro Forma'!$G$5:$EH$5,1,'Monthly Pro Forma'!$G38:$EH38)</f>
        <v>311943.04959999997</v>
      </c>
      <c r="BB16" s="437">
        <f t="shared" ref="BB16" si="134">IFERROR(BA16/units,0)</f>
        <v>1278.4551213114753</v>
      </c>
      <c r="BC16" s="438">
        <f t="shared" ref="BC16" si="135">IFERROR(BA16/NRA,0)</f>
        <v>1.3361047560307016</v>
      </c>
      <c r="BD16" s="439">
        <f t="shared" ref="BD16:BD17" ca="1" si="136">IFERROR(BA16/BA$9,0)</f>
        <v>7.4398317355278798E-2</v>
      </c>
      <c r="BE16" s="440">
        <f t="shared" si="18"/>
        <v>25995.254133333332</v>
      </c>
      <c r="BF16" s="441">
        <f t="shared" ref="BF16" si="137">IFERROR(BE16/units,0)</f>
        <v>106.53792677595628</v>
      </c>
      <c r="BG16" s="495"/>
      <c r="BH16" s="441">
        <f>SUMIF('Monthly Pro Forma'!$G$5:$EH$5,2,'Monthly Pro Forma'!$G38:$EH38)</f>
        <v>324420.77158399991</v>
      </c>
      <c r="BI16" s="437">
        <f t="shared" ref="BI16" si="138">IFERROR(BH16/units,0)</f>
        <v>1329.5933261639341</v>
      </c>
      <c r="BJ16" s="438">
        <f t="shared" ref="BJ16" si="139">IFERROR(BH16/NRA,0)</f>
        <v>1.3895489462719295</v>
      </c>
      <c r="BK16" s="439">
        <f t="shared" ref="BK16:BK17" ca="1" si="140">IFERROR(BH16/BH$9,0)</f>
        <v>6.8905046299761574E-2</v>
      </c>
      <c r="BL16" s="440">
        <f t="shared" si="23"/>
        <v>27035.064298666661</v>
      </c>
      <c r="BM16" s="441">
        <f t="shared" ref="BM16" si="141">IFERROR(BL16/units,0)</f>
        <v>110.79944384699451</v>
      </c>
      <c r="BN16" s="495"/>
      <c r="BO16" s="441">
        <f>SUMIF('Monthly Pro Forma'!$G$5:$EH$5,3,'Monthly Pro Forma'!$G38:$EH38)</f>
        <v>335775.49858943984</v>
      </c>
      <c r="BP16" s="437">
        <f t="shared" si="25"/>
        <v>1376.1290925796716</v>
      </c>
      <c r="BQ16" s="438">
        <f t="shared" si="26"/>
        <v>1.4381831593914467</v>
      </c>
      <c r="BR16" s="439">
        <f ca="1">IFERROR(BO16/BO$9,0)</f>
        <v>6.3745210813049027E-2</v>
      </c>
      <c r="BS16" s="440">
        <f t="shared" si="28"/>
        <v>27981.291549119986</v>
      </c>
      <c r="BT16" s="441">
        <f t="shared" si="29"/>
        <v>114.67742438163928</v>
      </c>
      <c r="BU16" s="496"/>
    </row>
    <row r="17" spans="2:73" s="490" customFormat="1" ht="15" thickBot="1" x14ac:dyDescent="0.25">
      <c r="C17" s="427" t="s">
        <v>446</v>
      </c>
      <c r="D17" s="427"/>
      <c r="E17" s="433"/>
      <c r="F17" s="443">
        <v>0</v>
      </c>
      <c r="G17" s="437">
        <f>IFERROR(F17/units,0)</f>
        <v>0</v>
      </c>
      <c r="H17" s="438">
        <f>IFERROR(F17/NRA,0)</f>
        <v>0</v>
      </c>
      <c r="I17" s="439">
        <f t="shared" si="30"/>
        <v>0</v>
      </c>
      <c r="J17" s="440">
        <f t="shared" si="128"/>
        <v>0</v>
      </c>
      <c r="K17" s="441">
        <f>IFERROR(J17/units,0)</f>
        <v>0</v>
      </c>
      <c r="L17" s="442"/>
      <c r="M17" s="443">
        <v>0</v>
      </c>
      <c r="N17" s="437">
        <f t="shared" ref="N17" si="142">IFERROR(M17/units,0)</f>
        <v>0</v>
      </c>
      <c r="O17" s="438">
        <f t="shared" ref="O17" si="143">IFERROR(M17/NRA,0)</f>
        <v>0</v>
      </c>
      <c r="P17" s="439">
        <f t="shared" si="31"/>
        <v>0</v>
      </c>
      <c r="Q17" s="440">
        <f t="shared" si="57"/>
        <v>0</v>
      </c>
      <c r="R17" s="441">
        <f t="shared" ref="R17" si="144">IFERROR(Q17/units,0)</f>
        <v>0</v>
      </c>
      <c r="S17" s="442"/>
      <c r="T17" s="443">
        <v>110890.12</v>
      </c>
      <c r="U17" s="437">
        <f t="shared" ref="U17" si="145">IFERROR(T17/units,0)</f>
        <v>454.46770491803278</v>
      </c>
      <c r="V17" s="438">
        <f t="shared" ref="V17" si="146">IFERROR(T17/NRA,0)</f>
        <v>0.47496110882675435</v>
      </c>
      <c r="W17" s="439">
        <f t="shared" si="34"/>
        <v>3.1957477931366593E-2</v>
      </c>
      <c r="X17" s="440">
        <f t="shared" si="61"/>
        <v>9240.8433333333323</v>
      </c>
      <c r="Y17" s="441">
        <f t="shared" ref="Y17" si="147">IFERROR(X17/units,0)</f>
        <v>37.872308743169398</v>
      </c>
      <c r="Z17" s="442"/>
      <c r="AA17" s="443">
        <v>118309.4</v>
      </c>
      <c r="AB17" s="437">
        <f t="shared" ref="AB17" si="148">IFERROR(AA17/units,0)</f>
        <v>484.87459016393439</v>
      </c>
      <c r="AC17" s="438">
        <f t="shared" ref="AC17" si="149">IFERROR(AA17/NRA,0)</f>
        <v>0.5067391378837719</v>
      </c>
      <c r="AD17" s="439">
        <f t="shared" si="38"/>
        <v>3.3569846410548311E-2</v>
      </c>
      <c r="AE17" s="440">
        <f t="shared" si="65"/>
        <v>9859.1166666666668</v>
      </c>
      <c r="AF17" s="441">
        <f t="shared" ref="AF17" si="150">IFERROR(AE17/units,0)</f>
        <v>40.406215846994535</v>
      </c>
      <c r="AG17" s="442"/>
      <c r="AH17" s="441">
        <f>AI17*units</f>
        <v>118309.4</v>
      </c>
      <c r="AI17" s="491">
        <f>AB17</f>
        <v>484.87459016393439</v>
      </c>
      <c r="AJ17" s="438">
        <f t="shared" ref="AJ17" si="151">IFERROR(AH17/NRA,0)</f>
        <v>0.5067391378837719</v>
      </c>
      <c r="AK17" s="439">
        <f t="shared" si="129"/>
        <v>3.068412644071665E-2</v>
      </c>
      <c r="AL17" s="440">
        <f t="shared" si="68"/>
        <v>9859.1166666666668</v>
      </c>
      <c r="AM17" s="441">
        <f t="shared" ref="AM17" si="152">IFERROR(AL17/units,0)</f>
        <v>40.406215846994535</v>
      </c>
      <c r="AN17" s="437"/>
      <c r="AO17" s="441" cm="1">
        <f t="array" ref="AO17">_xlfn.IFS($AO$5=0,AH17,$AO$5=3,AA17,$AO$5=12,T17)</f>
        <v>118309.4</v>
      </c>
      <c r="AP17" s="441">
        <f t="shared" ref="AP17" si="153">IFERROR(AO17/units,0)</f>
        <v>484.87459016393439</v>
      </c>
      <c r="AQ17" s="444">
        <f t="shared" ref="AQ17" si="154">IFERROR(AO17/NRA,0)</f>
        <v>0.5067391378837719</v>
      </c>
      <c r="AR17" s="445">
        <f t="shared" si="45"/>
        <v>3.068412644071665E-2</v>
      </c>
      <c r="AS17" s="272"/>
      <c r="AT17" s="492">
        <f>AO17</f>
        <v>118309.4</v>
      </c>
      <c r="AU17" s="441">
        <f t="shared" ref="AU17" si="155">IFERROR(AT17/units,0)</f>
        <v>484.87459016393439</v>
      </c>
      <c r="AV17" s="444">
        <f t="shared" ref="AV17" si="156">IFERROR(AT17/NRA,0)</f>
        <v>0.5067391378837719</v>
      </c>
      <c r="AW17" s="272">
        <f t="shared" si="127"/>
        <v>3.068412644071665E-2</v>
      </c>
      <c r="AX17" s="493"/>
      <c r="AY17" s="478"/>
      <c r="AZ17" s="494"/>
      <c r="BA17" s="441">
        <f>SUMIF('Monthly Pro Forma'!$G$5:$EH$5,1,'Monthly Pro Forma'!$G39:$EH39)</f>
        <v>123031.19280000002</v>
      </c>
      <c r="BB17" s="437">
        <f t="shared" ref="BB17" si="157">IFERROR(BA17/units,0)</f>
        <v>504.22620000000006</v>
      </c>
      <c r="BC17" s="438">
        <f t="shared" ref="BC17" si="158">IFERROR(BA17/NRA,0)</f>
        <v>0.52696337376644742</v>
      </c>
      <c r="BD17" s="439">
        <f t="shared" ca="1" si="136"/>
        <v>2.9342900052654015E-2</v>
      </c>
      <c r="BE17" s="440">
        <f t="shared" si="18"/>
        <v>10252.599400000001</v>
      </c>
      <c r="BF17" s="441">
        <f t="shared" ref="BF17" si="159">IFERROR(BE17/units,0)</f>
        <v>42.01885</v>
      </c>
      <c r="BG17" s="495"/>
      <c r="BH17" s="441">
        <f>SUMIF('Monthly Pro Forma'!$G$5:$EH$5,2,'Monthly Pro Forma'!$G39:$EH39)</f>
        <v>126722.12858399998</v>
      </c>
      <c r="BI17" s="437">
        <f t="shared" ref="BI17" si="160">IFERROR(BH17/units,0)</f>
        <v>519.35298599999987</v>
      </c>
      <c r="BJ17" s="438">
        <f t="shared" ref="BJ17" si="161">IFERROR(BH17/NRA,0)</f>
        <v>0.54277227497944069</v>
      </c>
      <c r="BK17" s="439">
        <f t="shared" ca="1" si="140"/>
        <v>2.6915027957832217E-2</v>
      </c>
      <c r="BL17" s="440">
        <f t="shared" si="23"/>
        <v>10560.177381999998</v>
      </c>
      <c r="BM17" s="441">
        <f t="shared" ref="BM17" si="162">IFERROR(BL17/units,0)</f>
        <v>43.279415499999992</v>
      </c>
      <c r="BN17" s="495"/>
      <c r="BO17" s="441">
        <f>SUMIF('Monthly Pro Forma'!$G$5:$EH$5,3,'Monthly Pro Forma'!$G39:$EH39)</f>
        <v>130523.79244152001</v>
      </c>
      <c r="BP17" s="437">
        <f t="shared" si="25"/>
        <v>534.93357558000002</v>
      </c>
      <c r="BQ17" s="438">
        <f t="shared" si="26"/>
        <v>0.55905544322882406</v>
      </c>
      <c r="BR17" s="439">
        <f t="shared" ref="BR17" ca="1" si="163">IFERROR(BO17/BO$9,0)</f>
        <v>2.4779254889817685E-2</v>
      </c>
      <c r="BS17" s="440">
        <f t="shared" si="28"/>
        <v>10876.98270346</v>
      </c>
      <c r="BT17" s="441">
        <f t="shared" si="29"/>
        <v>44.577797965000002</v>
      </c>
      <c r="BU17" s="496"/>
    </row>
    <row r="18" spans="2:73" s="479" customFormat="1" ht="15" thickBot="1" x14ac:dyDescent="0.25">
      <c r="B18" s="458" t="s">
        <v>21</v>
      </c>
      <c r="C18" s="458"/>
      <c r="D18" s="458"/>
      <c r="E18" s="459"/>
      <c r="F18" s="497">
        <f>SUM(F15:F17)</f>
        <v>0</v>
      </c>
      <c r="G18" s="498">
        <f>IFERROR(F18/units,0)</f>
        <v>0</v>
      </c>
      <c r="H18" s="499">
        <f>IFERROR(F18/NRA,0)</f>
        <v>0</v>
      </c>
      <c r="I18" s="500">
        <f t="shared" si="30"/>
        <v>0</v>
      </c>
      <c r="J18" s="501">
        <f t="shared" si="128"/>
        <v>0</v>
      </c>
      <c r="K18" s="497">
        <f>IFERROR(J18/units,0)</f>
        <v>0</v>
      </c>
      <c r="L18" s="465"/>
      <c r="M18" s="497">
        <f>SUM(M15:M17)</f>
        <v>0</v>
      </c>
      <c r="N18" s="498">
        <f t="shared" ref="N18" si="164">IFERROR(M18/units,0)</f>
        <v>0</v>
      </c>
      <c r="O18" s="499">
        <f t="shared" ref="O18" si="165">IFERROR(M18/NRA,0)</f>
        <v>0</v>
      </c>
      <c r="P18" s="500">
        <f t="shared" si="31"/>
        <v>0</v>
      </c>
      <c r="Q18" s="501">
        <f t="shared" ref="Q18" si="166">IFERROR(M18/12,0)</f>
        <v>0</v>
      </c>
      <c r="R18" s="497">
        <f t="shared" ref="R18" si="167">IFERROR(Q18/units,0)</f>
        <v>0</v>
      </c>
      <c r="S18" s="465"/>
      <c r="T18" s="497">
        <f>SUM(T15:T17)</f>
        <v>3592485.2399999998</v>
      </c>
      <c r="U18" s="498">
        <f t="shared" ref="U18" si="168">IFERROR(T18/units,0)</f>
        <v>14723.300163934426</v>
      </c>
      <c r="V18" s="499">
        <f t="shared" ref="V18" si="169">IFERROR(T18/NRA,0)</f>
        <v>15.387220908717104</v>
      </c>
      <c r="W18" s="500">
        <f t="shared" si="34"/>
        <v>1.0353200787956602</v>
      </c>
      <c r="X18" s="501">
        <f t="shared" ref="X18" si="170">IFERROR(T18/12,0)</f>
        <v>299373.76999999996</v>
      </c>
      <c r="Y18" s="497">
        <f t="shared" ref="Y18" si="171">IFERROR(X18/units,0)</f>
        <v>1226.9416803278687</v>
      </c>
      <c r="Z18" s="465"/>
      <c r="AA18" s="497">
        <f>SUM(AA15:AA17)</f>
        <v>3683285.4799999995</v>
      </c>
      <c r="AB18" s="498">
        <f t="shared" ref="AB18" si="172">IFERROR(AA18/units,0)</f>
        <v>15095.432295081966</v>
      </c>
      <c r="AC18" s="499">
        <f t="shared" ref="AC18" si="173">IFERROR(AA18/NRA,0)</f>
        <v>15.77613366913377</v>
      </c>
      <c r="AD18" s="500">
        <f t="shared" si="38"/>
        <v>1.0451183747851203</v>
      </c>
      <c r="AE18" s="501">
        <f t="shared" ref="AE18" si="174">IFERROR(AA18/12,0)</f>
        <v>306940.45666666661</v>
      </c>
      <c r="AF18" s="497">
        <f t="shared" ref="AF18" si="175">IFERROR(AE18/units,0)</f>
        <v>1257.9526912568303</v>
      </c>
      <c r="AG18" s="465"/>
      <c r="AH18" s="497">
        <f>SUM(AH15:AH17)</f>
        <v>3809697.28</v>
      </c>
      <c r="AI18" s="498">
        <f>IFERROR(AH18/units,0)</f>
        <v>15613.513442622951</v>
      </c>
      <c r="AJ18" s="499">
        <f t="shared" ref="AJ18" si="176">IFERROR(AH18/NRA,0)</f>
        <v>16.317576754385964</v>
      </c>
      <c r="AK18" s="500">
        <f>IFERROR(AH18/AH$9,0)</f>
        <v>0.98806378056497868</v>
      </c>
      <c r="AL18" s="501">
        <f t="shared" ref="AL18" si="177">IFERROR(AH18/12,0)</f>
        <v>317474.77333333332</v>
      </c>
      <c r="AM18" s="497">
        <f t="shared" ref="AM18" si="178">IFERROR(AL18/units,0)</f>
        <v>1301.1261202185792</v>
      </c>
      <c r="AN18" s="482"/>
      <c r="AO18" s="497">
        <f>SUM(AO15:AO17)</f>
        <v>3809697.28</v>
      </c>
      <c r="AP18" s="497">
        <f t="shared" ref="AP18" si="179">IFERROR(AO18/units,0)</f>
        <v>15613.513442622951</v>
      </c>
      <c r="AQ18" s="502">
        <f t="shared" ref="AQ18" si="180">IFERROR(AO18/NRA,0)</f>
        <v>16.317576754385964</v>
      </c>
      <c r="AR18" s="503">
        <f t="shared" si="45"/>
        <v>0.98806378056497868</v>
      </c>
      <c r="AS18" s="469"/>
      <c r="AT18" s="504">
        <f>SUM(AT15:AT17)</f>
        <v>3802708.0799999996</v>
      </c>
      <c r="AU18" s="497">
        <f t="shared" ref="AU18" si="181">IFERROR(AT18/units,0)</f>
        <v>15584.869180327867</v>
      </c>
      <c r="AV18" s="502">
        <f t="shared" ref="AV18" si="182">IFERROR(AT18/NRA,0)</f>
        <v>16.287640830592103</v>
      </c>
      <c r="AW18" s="505">
        <f t="shared" ref="AW18" si="183">IFERROR(AT18/AT$9,0)</f>
        <v>0.98625109707136405</v>
      </c>
      <c r="AX18" s="483"/>
      <c r="AY18" s="506"/>
      <c r="AZ18" s="485"/>
      <c r="BA18" s="497">
        <f ca="1">SUM(BA15:BA17)</f>
        <v>4139649.2541598799</v>
      </c>
      <c r="BB18" s="498">
        <f t="shared" ref="BB18" ca="1" si="184">IFERROR(BA18/units,0)</f>
        <v>16965.775631802786</v>
      </c>
      <c r="BC18" s="499">
        <f t="shared" ref="BC18" ca="1" si="185">IFERROR(BA18/NRA,0)</f>
        <v>17.730816775287316</v>
      </c>
      <c r="BD18" s="500">
        <f ca="1">IFERROR(BA18/BA$9,0)</f>
        <v>0.98730502040501289</v>
      </c>
      <c r="BE18" s="501">
        <f t="shared" ca="1" si="18"/>
        <v>344970.77117998997</v>
      </c>
      <c r="BF18" s="497">
        <f t="shared" ref="BF18" ca="1" si="186">IFERROR(BE18/units,0)</f>
        <v>1413.8146359835655</v>
      </c>
      <c r="BG18" s="486"/>
      <c r="BH18" s="497">
        <f ca="1">SUM(BH15:BH17)</f>
        <v>4738451.8354992382</v>
      </c>
      <c r="BI18" s="498">
        <f t="shared" ref="BI18" ca="1" si="187">IFERROR(BH18/units,0)</f>
        <v>19419.88457171819</v>
      </c>
      <c r="BJ18" s="499">
        <f t="shared" ref="BJ18" ca="1" si="188">IFERROR(BH18/NRA,0)</f>
        <v>20.295589344757566</v>
      </c>
      <c r="BK18" s="500">
        <f ca="1">IFERROR(BH18/BH$9,0)</f>
        <v>1.0064190449954777</v>
      </c>
      <c r="BL18" s="501">
        <f t="shared" ca="1" si="23"/>
        <v>394870.98629160319</v>
      </c>
      <c r="BM18" s="497">
        <f t="shared" ref="BM18" ca="1" si="189">IFERROR(BL18/units,0)</f>
        <v>1618.323714309849</v>
      </c>
      <c r="BN18" s="486"/>
      <c r="BO18" s="497">
        <f ca="1">SUM(BO15:BO17)</f>
        <v>5313418.1547237337</v>
      </c>
      <c r="BP18" s="498">
        <f t="shared" ca="1" si="25"/>
        <v>21776.303912802188</v>
      </c>
      <c r="BQ18" s="499">
        <f t="shared" ca="1" si="26"/>
        <v>22.758267178606999</v>
      </c>
      <c r="BR18" s="500">
        <f ca="1">IFERROR(BO18/BO$9,0)</f>
        <v>1.0087244657028667</v>
      </c>
      <c r="BS18" s="501">
        <f t="shared" ca="1" si="28"/>
        <v>442784.84622697782</v>
      </c>
      <c r="BT18" s="497">
        <f t="shared" ca="1" si="29"/>
        <v>1814.6919927335157</v>
      </c>
      <c r="BU18" s="487"/>
    </row>
    <row r="19" spans="2:73" ht="8.1" customHeight="1" x14ac:dyDescent="0.2">
      <c r="B19" s="427"/>
      <c r="C19" s="427"/>
      <c r="D19" s="427"/>
      <c r="E19" s="459"/>
      <c r="F19" s="507"/>
      <c r="G19" s="507"/>
      <c r="H19" s="507"/>
      <c r="I19" s="507"/>
      <c r="J19" s="452"/>
      <c r="K19" s="451"/>
      <c r="L19" s="453"/>
      <c r="M19" s="507"/>
      <c r="N19" s="451"/>
      <c r="O19" s="451"/>
      <c r="P19" s="451"/>
      <c r="Q19" s="452"/>
      <c r="R19" s="451"/>
      <c r="S19" s="453"/>
      <c r="T19" s="507"/>
      <c r="U19" s="451"/>
      <c r="V19" s="451"/>
      <c r="W19" s="451"/>
      <c r="X19" s="452"/>
      <c r="Y19" s="451"/>
      <c r="Z19" s="453"/>
      <c r="AA19" s="451"/>
      <c r="AB19" s="451"/>
      <c r="AC19" s="451"/>
      <c r="AD19" s="451"/>
      <c r="AE19" s="452"/>
      <c r="AF19" s="451"/>
      <c r="AG19" s="453"/>
      <c r="AH19" s="451"/>
      <c r="AI19" s="451"/>
      <c r="AJ19" s="451"/>
      <c r="AK19" s="451"/>
      <c r="AL19" s="452"/>
      <c r="AM19" s="451"/>
      <c r="AN19" s="451"/>
      <c r="AO19" s="451"/>
      <c r="AP19" s="451"/>
      <c r="AQ19" s="451"/>
      <c r="AR19" s="508"/>
      <c r="AS19" s="451"/>
      <c r="AT19" s="440"/>
      <c r="AU19" s="441"/>
      <c r="AV19" s="441"/>
      <c r="AW19" s="158"/>
      <c r="AX19" s="431"/>
      <c r="AY19" s="509"/>
      <c r="AZ19" s="457"/>
      <c r="BA19" s="451"/>
      <c r="BB19" s="451"/>
      <c r="BC19" s="451"/>
      <c r="BD19" s="451"/>
      <c r="BE19" s="452"/>
      <c r="BF19" s="451"/>
      <c r="BG19" s="405"/>
      <c r="BH19" s="451"/>
      <c r="BI19" s="451"/>
      <c r="BJ19" s="451"/>
      <c r="BK19" s="451"/>
      <c r="BL19" s="452"/>
      <c r="BM19" s="451"/>
      <c r="BN19" s="405"/>
      <c r="BO19" s="451"/>
      <c r="BP19" s="451"/>
      <c r="BQ19" s="451"/>
      <c r="BR19" s="451"/>
      <c r="BS19" s="452"/>
      <c r="BT19" s="451"/>
      <c r="BU19" s="402"/>
    </row>
    <row r="20" spans="2:73" x14ac:dyDescent="0.2">
      <c r="B20" s="510" t="s">
        <v>447</v>
      </c>
      <c r="C20" s="511"/>
      <c r="D20" s="511"/>
      <c r="E20" s="512"/>
      <c r="F20" s="513">
        <f>F6</f>
        <v>2020</v>
      </c>
      <c r="G20" s="514" t="s">
        <v>95</v>
      </c>
      <c r="H20" s="514" t="s">
        <v>443</v>
      </c>
      <c r="I20" s="514" t="s">
        <v>448</v>
      </c>
      <c r="J20" s="515" t="s">
        <v>5</v>
      </c>
      <c r="K20" s="516" t="s">
        <v>95</v>
      </c>
      <c r="L20" s="517"/>
      <c r="M20" s="513">
        <f>M6</f>
        <v>2021</v>
      </c>
      <c r="N20" s="514" t="s">
        <v>95</v>
      </c>
      <c r="O20" s="514" t="s">
        <v>443</v>
      </c>
      <c r="P20" s="514" t="s">
        <v>448</v>
      </c>
      <c r="Q20" s="515" t="s">
        <v>5</v>
      </c>
      <c r="R20" s="516" t="s">
        <v>95</v>
      </c>
      <c r="S20" s="517"/>
      <c r="T20" s="514" t="s">
        <v>449</v>
      </c>
      <c r="U20" s="514" t="s">
        <v>95</v>
      </c>
      <c r="V20" s="514" t="s">
        <v>443</v>
      </c>
      <c r="W20" s="514" t="s">
        <v>448</v>
      </c>
      <c r="X20" s="515" t="s">
        <v>5</v>
      </c>
      <c r="Y20" s="516" t="s">
        <v>95</v>
      </c>
      <c r="Z20" s="517"/>
      <c r="AA20" s="516" t="s">
        <v>449</v>
      </c>
      <c r="AB20" s="514" t="s">
        <v>95</v>
      </c>
      <c r="AC20" s="514" t="s">
        <v>443</v>
      </c>
      <c r="AD20" s="514" t="s">
        <v>448</v>
      </c>
      <c r="AE20" s="515" t="s">
        <v>5</v>
      </c>
      <c r="AF20" s="516" t="s">
        <v>95</v>
      </c>
      <c r="AG20" s="517"/>
      <c r="AH20" s="516" t="s">
        <v>449</v>
      </c>
      <c r="AI20" s="514" t="s">
        <v>95</v>
      </c>
      <c r="AJ20" s="514" t="s">
        <v>443</v>
      </c>
      <c r="AK20" s="514" t="s">
        <v>448</v>
      </c>
      <c r="AL20" s="515" t="s">
        <v>5</v>
      </c>
      <c r="AM20" s="516" t="s">
        <v>95</v>
      </c>
      <c r="AN20" s="518"/>
      <c r="AO20" s="519" t="s">
        <v>450</v>
      </c>
      <c r="AP20" s="519"/>
      <c r="AQ20" s="519"/>
      <c r="AR20" s="520"/>
      <c r="AS20" s="516"/>
      <c r="AT20" s="521" t="s">
        <v>451</v>
      </c>
      <c r="AU20" s="519"/>
      <c r="AV20" s="519"/>
      <c r="AW20" s="519"/>
      <c r="AX20" s="431"/>
      <c r="AY20" s="522" t="s">
        <v>452</v>
      </c>
      <c r="AZ20" s="523"/>
      <c r="BA20" s="524" t="s">
        <v>5</v>
      </c>
      <c r="BB20" s="525" t="s">
        <v>95</v>
      </c>
      <c r="BC20" s="525" t="s">
        <v>443</v>
      </c>
      <c r="BD20" s="525" t="s">
        <v>448</v>
      </c>
      <c r="BE20" s="526" t="s">
        <v>5</v>
      </c>
      <c r="BF20" s="524" t="s">
        <v>95</v>
      </c>
      <c r="BG20" s="405"/>
      <c r="BH20" s="524" t="s">
        <v>5</v>
      </c>
      <c r="BI20" s="525" t="s">
        <v>95</v>
      </c>
      <c r="BJ20" s="525" t="s">
        <v>443</v>
      </c>
      <c r="BK20" s="525" t="s">
        <v>448</v>
      </c>
      <c r="BL20" s="526" t="s">
        <v>5</v>
      </c>
      <c r="BM20" s="524" t="s">
        <v>95</v>
      </c>
      <c r="BN20" s="405"/>
      <c r="BO20" s="524" t="s">
        <v>5</v>
      </c>
      <c r="BP20" s="525" t="s">
        <v>95</v>
      </c>
      <c r="BQ20" s="525" t="s">
        <v>443</v>
      </c>
      <c r="BR20" s="525" t="s">
        <v>448</v>
      </c>
      <c r="BS20" s="526" t="s">
        <v>5</v>
      </c>
      <c r="BT20" s="524" t="s">
        <v>95</v>
      </c>
      <c r="BU20" s="402"/>
    </row>
    <row r="21" spans="2:73" ht="15" thickBot="1" x14ac:dyDescent="0.25">
      <c r="B21" s="427"/>
      <c r="C21" s="427" t="s">
        <v>93</v>
      </c>
      <c r="D21" s="427"/>
      <c r="E21" s="433"/>
      <c r="F21" s="436">
        <v>0</v>
      </c>
      <c r="G21" s="437">
        <f t="shared" ref="G21:G30" si="190">IFERROR(F21/units,0)</f>
        <v>0</v>
      </c>
      <c r="H21" s="438">
        <f t="shared" ref="H21:H30" si="191">IFERROR(F21/NRA,0)</f>
        <v>0</v>
      </c>
      <c r="I21" s="439">
        <f>IFERROR(F21/$F$18,0)</f>
        <v>0</v>
      </c>
      <c r="J21" s="440">
        <f>IFERROR(F21/12,0)</f>
        <v>0</v>
      </c>
      <c r="K21" s="441">
        <f t="shared" ref="K21:K30" si="192">IFERROR(J21/units,0)</f>
        <v>0</v>
      </c>
      <c r="L21" s="442"/>
      <c r="M21" s="436">
        <v>0</v>
      </c>
      <c r="N21" s="437">
        <f t="shared" ref="N21:N30" si="193">IFERROR(M21/units,0)</f>
        <v>0</v>
      </c>
      <c r="O21" s="438">
        <f t="shared" ref="O21:O30" si="194">IFERROR(M21/NRA,0)</f>
        <v>0</v>
      </c>
      <c r="P21" s="439">
        <f>IFERROR(M21/$M$18,0)</f>
        <v>0</v>
      </c>
      <c r="Q21" s="440">
        <f>IFERROR(M21/12,0)</f>
        <v>0</v>
      </c>
      <c r="R21" s="441">
        <f t="shared" ref="R21:R30" si="195">IFERROR(Q21/units,0)</f>
        <v>0</v>
      </c>
      <c r="S21" s="442"/>
      <c r="T21" s="436">
        <v>447792.20999999996</v>
      </c>
      <c r="U21" s="437">
        <f t="shared" ref="U21:U30" si="196">IFERROR(T21/units,0)</f>
        <v>1835.2139754098359</v>
      </c>
      <c r="V21" s="438">
        <f t="shared" ref="V21:V30" si="197">IFERROR(T21/NRA,0)</f>
        <v>1.9179696494654603</v>
      </c>
      <c r="W21" s="439">
        <f>IFERROR(T21/$T$18,0)</f>
        <v>0.12464691712971381</v>
      </c>
      <c r="X21" s="440">
        <f>IFERROR(T21/12,0)</f>
        <v>37316.017499999994</v>
      </c>
      <c r="Y21" s="441">
        <f t="shared" ref="Y21:Y30" si="198">IFERROR(X21/units,0)</f>
        <v>152.93449795081966</v>
      </c>
      <c r="Z21" s="442"/>
      <c r="AA21" s="441">
        <f>T21</f>
        <v>447792.20999999996</v>
      </c>
      <c r="AB21" s="437">
        <f t="shared" ref="AB21:AB30" si="199">IFERROR(AA21/units,0)</f>
        <v>1835.2139754098359</v>
      </c>
      <c r="AC21" s="438">
        <f t="shared" ref="AC21:AC30" si="200">IFERROR(AA21/NRA,0)</f>
        <v>1.9179696494654603</v>
      </c>
      <c r="AD21" s="439">
        <f>IFERROR(AA21/$AA$18,0)</f>
        <v>0.12157412517478824</v>
      </c>
      <c r="AE21" s="440">
        <f>IFERROR(AA21/12,0)</f>
        <v>37316.017499999994</v>
      </c>
      <c r="AF21" s="441">
        <f t="shared" ref="AF21:AF30" si="201">IFERROR(AE21/units,0)</f>
        <v>152.93449795081966</v>
      </c>
      <c r="AG21" s="442"/>
      <c r="AH21" s="441">
        <f>AA21</f>
        <v>447792.20999999996</v>
      </c>
      <c r="AI21" s="437">
        <f t="shared" ref="AI21:AI30" si="202">IFERROR(AH21/units,0)</f>
        <v>1835.2139754098359</v>
      </c>
      <c r="AJ21" s="438">
        <f t="shared" ref="AJ21:AJ30" si="203">IFERROR(AH21/NRA,0)</f>
        <v>1.9179696494654603</v>
      </c>
      <c r="AK21" s="439">
        <f>IFERROR(AH21/AH$18,0)</f>
        <v>0.11754010281887804</v>
      </c>
      <c r="AL21" s="440">
        <f>IFERROR(AH21/12,0)</f>
        <v>37316.017499999994</v>
      </c>
      <c r="AM21" s="441">
        <f t="shared" ref="AM21:AM30" si="204">IFERROR(AL21/units,0)</f>
        <v>152.93449795081966</v>
      </c>
      <c r="AN21" s="441"/>
      <c r="AO21" s="441">
        <f t="shared" ref="AO21:AO29" si="205">T21</f>
        <v>447792.20999999996</v>
      </c>
      <c r="AP21" s="441">
        <f t="shared" ref="AP21:AP30" si="206">IFERROR(AO21/units,0)</f>
        <v>1835.2139754098359</v>
      </c>
      <c r="AQ21" s="444">
        <f t="shared" ref="AQ21:AQ30" si="207">IFERROR(AO21/NRA,0)</f>
        <v>1.9179696494654603</v>
      </c>
      <c r="AR21" s="445">
        <f>IFERROR(AO21/AO$18,0)</f>
        <v>0.11754010281887804</v>
      </c>
      <c r="AS21" s="272"/>
      <c r="AT21" s="446">
        <f>AU21*units</f>
        <v>317200</v>
      </c>
      <c r="AU21" s="447">
        <v>1300</v>
      </c>
      <c r="AV21" s="444">
        <f t="shared" ref="AV21:AV30" si="208">IFERROR(AT21/NRA,0)</f>
        <v>1.3586211622807018</v>
      </c>
      <c r="AW21" s="272">
        <f>IFERROR(AT21/AT$18,0)</f>
        <v>8.3414238833710325E-2</v>
      </c>
      <c r="AX21" s="527"/>
      <c r="AY21" s="448"/>
      <c r="AZ21" s="449"/>
      <c r="BA21" s="441">
        <f>-SUMIF('Monthly Pro Forma'!$G$5:$EH$5,1,'Monthly Pro Forma'!$G45:$EH45)</f>
        <v>347480.8</v>
      </c>
      <c r="BB21" s="437">
        <f t="shared" ref="BB21:BB30" si="209">IFERROR(BA21/units,0)</f>
        <v>1424.1016393442621</v>
      </c>
      <c r="BC21" s="438">
        <f t="shared" ref="BC21:BC30" si="210">IFERROR(BA21/NRA,0)</f>
        <v>1.4883189418859648</v>
      </c>
      <c r="BD21" s="439">
        <f ca="1">IFERROR(BA21/BA$18,0)</f>
        <v>8.3939671857663073E-2</v>
      </c>
      <c r="BE21" s="440">
        <f t="shared" ref="BE21:BE30" si="211">IFERROR(BA21/12,0)</f>
        <v>28956.733333333334</v>
      </c>
      <c r="BF21" s="441">
        <f t="shared" ref="BF21:BF30" si="212">IFERROR(BE21/units,0)</f>
        <v>118.67513661202186</v>
      </c>
      <c r="BG21" s="405"/>
      <c r="BH21" s="441">
        <f>-SUMIF('Monthly Pro Forma'!$G$5:$EH$5,2,'Monthly Pro Forma'!$G45:$EH45)</f>
        <v>357905.22399999999</v>
      </c>
      <c r="BI21" s="437">
        <f t="shared" ref="BI21:BI30" si="213">IFERROR(BH21/units,0)</f>
        <v>1466.8246885245901</v>
      </c>
      <c r="BJ21" s="438">
        <f t="shared" ref="BJ21:BJ30" si="214">IFERROR(BH21/NRA,0)</f>
        <v>1.5329685101425439</v>
      </c>
      <c r="BK21" s="439">
        <f ca="1">IFERROR(BH21/BH$18,0)</f>
        <v>7.5532101290693293E-2</v>
      </c>
      <c r="BL21" s="440">
        <f t="shared" ref="BL21:BL30" si="215">IFERROR(BH21/12,0)</f>
        <v>29825.435333333331</v>
      </c>
      <c r="BM21" s="441">
        <f t="shared" ref="BM21:BM30" si="216">IFERROR(BL21/units,0)</f>
        <v>122.2353907103825</v>
      </c>
      <c r="BN21" s="405"/>
      <c r="BO21" s="441">
        <f>-SUMIF('Monthly Pro Forma'!$G$5:$EH$5,3,'Monthly Pro Forma'!$G45:$EH45)</f>
        <v>368642.38072000007</v>
      </c>
      <c r="BP21" s="437">
        <f t="shared" ref="BP21:BP30" si="217">IFERROR(BO21/units,0)</f>
        <v>1510.8294291803281</v>
      </c>
      <c r="BQ21" s="438">
        <f t="shared" ref="BQ21:BQ30" si="218">IFERROR(BO21/NRA,0)</f>
        <v>1.5789575654468204</v>
      </c>
      <c r="BR21" s="439">
        <f ca="1">IFERROR(BO21/BO$18,0)</f>
        <v>6.9379516158025262E-2</v>
      </c>
      <c r="BS21" s="440">
        <f t="shared" ref="BS21:BS30" si="219">IFERROR(BO21/12,0)</f>
        <v>30720.198393333339</v>
      </c>
      <c r="BT21" s="441">
        <f t="shared" ref="BT21:BT30" si="220">IFERROR(BS21/units,0)</f>
        <v>125.90245243169402</v>
      </c>
      <c r="BU21" s="402"/>
    </row>
    <row r="22" spans="2:73" ht="15" thickBot="1" x14ac:dyDescent="0.25">
      <c r="B22" s="427"/>
      <c r="C22" s="427" t="s">
        <v>397</v>
      </c>
      <c r="D22" s="427"/>
      <c r="E22" s="433"/>
      <c r="F22" s="436">
        <v>0</v>
      </c>
      <c r="G22" s="437">
        <f t="shared" si="190"/>
        <v>0</v>
      </c>
      <c r="H22" s="438">
        <f t="shared" si="191"/>
        <v>0</v>
      </c>
      <c r="I22" s="439">
        <f t="shared" ref="I22:I30" si="221">IFERROR(F22/$F$18,0)</f>
        <v>0</v>
      </c>
      <c r="J22" s="440">
        <f t="shared" ref="J22:J30" si="222">IFERROR(F22/12,0)</f>
        <v>0</v>
      </c>
      <c r="K22" s="441">
        <f t="shared" si="192"/>
        <v>0</v>
      </c>
      <c r="L22" s="528"/>
      <c r="M22" s="436">
        <v>0</v>
      </c>
      <c r="N22" s="437">
        <f t="shared" si="193"/>
        <v>0</v>
      </c>
      <c r="O22" s="438">
        <f t="shared" si="194"/>
        <v>0</v>
      </c>
      <c r="P22" s="439">
        <f t="shared" ref="P22:P30" si="223">IFERROR(M22/$M$18,0)</f>
        <v>0</v>
      </c>
      <c r="Q22" s="440">
        <f t="shared" ref="Q22:Q30" si="224">IFERROR(M22/12,0)</f>
        <v>0</v>
      </c>
      <c r="R22" s="441">
        <f t="shared" si="195"/>
        <v>0</v>
      </c>
      <c r="S22" s="528"/>
      <c r="T22" s="436">
        <v>96543.25</v>
      </c>
      <c r="U22" s="437">
        <f t="shared" si="196"/>
        <v>395.66905737704917</v>
      </c>
      <c r="V22" s="438">
        <f t="shared" si="197"/>
        <v>0.41351104200932015</v>
      </c>
      <c r="W22" s="439">
        <f t="shared" ref="W22:W30" si="225">IFERROR(T22/$T$18,0)</f>
        <v>2.6873666431542528E-2</v>
      </c>
      <c r="X22" s="440">
        <f t="shared" ref="X22:X30" si="226">IFERROR(T22/12,0)</f>
        <v>8045.270833333333</v>
      </c>
      <c r="Y22" s="441">
        <f t="shared" si="198"/>
        <v>32.972421448087431</v>
      </c>
      <c r="Z22" s="528"/>
      <c r="AA22" s="441">
        <f t="shared" ref="AA22:AA29" si="227">T22</f>
        <v>96543.25</v>
      </c>
      <c r="AB22" s="437">
        <f t="shared" si="199"/>
        <v>395.66905737704917</v>
      </c>
      <c r="AC22" s="438">
        <f t="shared" si="200"/>
        <v>0.41351104200932015</v>
      </c>
      <c r="AD22" s="439">
        <f t="shared" ref="AD22:AD30" si="228">IFERROR(AA22/$AA$18,0)</f>
        <v>2.6211177635896962E-2</v>
      </c>
      <c r="AE22" s="440">
        <f t="shared" ref="AE22:AE30" si="229">IFERROR(AA22/12,0)</f>
        <v>8045.270833333333</v>
      </c>
      <c r="AF22" s="441">
        <f t="shared" si="201"/>
        <v>32.972421448087431</v>
      </c>
      <c r="AG22" s="528"/>
      <c r="AH22" s="441">
        <f t="shared" ref="AH22:AH29" si="230">AA22</f>
        <v>96543.25</v>
      </c>
      <c r="AI22" s="437">
        <f t="shared" si="202"/>
        <v>395.66905737704917</v>
      </c>
      <c r="AJ22" s="438">
        <f t="shared" si="203"/>
        <v>0.41351104200932015</v>
      </c>
      <c r="AK22" s="439">
        <f t="shared" ref="AK22:AK29" si="231">IFERROR(AH22/AH$18,0)</f>
        <v>2.5341449176770288E-2</v>
      </c>
      <c r="AL22" s="440">
        <f t="shared" ref="AL22:AL30" si="232">IFERROR(AH22/12,0)</f>
        <v>8045.270833333333</v>
      </c>
      <c r="AM22" s="441">
        <f t="shared" si="204"/>
        <v>32.972421448087431</v>
      </c>
      <c r="AN22" s="529"/>
      <c r="AO22" s="441">
        <f t="shared" si="205"/>
        <v>96543.25</v>
      </c>
      <c r="AP22" s="441">
        <f t="shared" si="206"/>
        <v>395.66905737704917</v>
      </c>
      <c r="AQ22" s="444">
        <f t="shared" si="207"/>
        <v>0.41351104200932015</v>
      </c>
      <c r="AR22" s="445">
        <f t="shared" ref="AR22:AR30" si="233">IFERROR(AO22/AO$18,0)</f>
        <v>2.5341449176770288E-2</v>
      </c>
      <c r="AS22" s="272"/>
      <c r="AT22" s="446">
        <f>AW22*AT18</f>
        <v>114081.24239999999</v>
      </c>
      <c r="AU22" s="441">
        <f>IFERROR(AT22/units,0)</f>
        <v>467.54607540983602</v>
      </c>
      <c r="AV22" s="444">
        <f t="shared" si="208"/>
        <v>0.48862922491776312</v>
      </c>
      <c r="AW22" s="530">
        <v>0.03</v>
      </c>
      <c r="AX22" s="531"/>
      <c r="AY22" s="532"/>
      <c r="AZ22" s="533"/>
      <c r="BA22" s="441">
        <f ca="1">-SUMIF('Monthly Pro Forma'!$G$5:$EH$5,1,'Monthly Pro Forma'!$G46:$EH46)</f>
        <v>124189.47762479639</v>
      </c>
      <c r="BB22" s="437">
        <f t="shared" ca="1" si="209"/>
        <v>508.97326895408355</v>
      </c>
      <c r="BC22" s="438">
        <f t="shared" ca="1" si="210"/>
        <v>0.5319245032586194</v>
      </c>
      <c r="BD22" s="439">
        <f t="shared" ref="BD22:BD29" ca="1" si="234">IFERROR(BA22/BA$18,0)</f>
        <v>0.03</v>
      </c>
      <c r="BE22" s="440">
        <f t="shared" ca="1" si="211"/>
        <v>10349.123135399699</v>
      </c>
      <c r="BF22" s="441">
        <f t="shared" ca="1" si="212"/>
        <v>42.414439079506963</v>
      </c>
      <c r="BG22" s="405"/>
      <c r="BH22" s="441">
        <f ca="1">-SUMIF('Monthly Pro Forma'!$G$5:$EH$5,2,'Monthly Pro Forma'!$G46:$EH46)</f>
        <v>142153.55506497712</v>
      </c>
      <c r="BI22" s="437">
        <f t="shared" ca="1" si="213"/>
        <v>582.59653715154559</v>
      </c>
      <c r="BJ22" s="438">
        <f t="shared" ca="1" si="214"/>
        <v>0.60886768034272687</v>
      </c>
      <c r="BK22" s="439">
        <f t="shared" ref="BK22:BK29" ca="1" si="235">IFERROR(BH22/BH$18,0)</f>
        <v>2.9999999999999995E-2</v>
      </c>
      <c r="BL22" s="440">
        <f t="shared" ca="1" si="215"/>
        <v>11846.129588748094</v>
      </c>
      <c r="BM22" s="441">
        <f t="shared" ca="1" si="216"/>
        <v>48.549711429295463</v>
      </c>
      <c r="BN22" s="405"/>
      <c r="BO22" s="441">
        <f ca="1">-SUMIF('Monthly Pro Forma'!$G$5:$EH$5,3,'Monthly Pro Forma'!$G46:$EH46)</f>
        <v>159402.54464171201</v>
      </c>
      <c r="BP22" s="437">
        <f t="shared" ca="1" si="217"/>
        <v>653.28911738406566</v>
      </c>
      <c r="BQ22" s="438">
        <f t="shared" ca="1" si="218"/>
        <v>0.68274801535821006</v>
      </c>
      <c r="BR22" s="439">
        <f t="shared" ref="BR22:BR29" ca="1" si="236">IFERROR(BO22/BO$18,0)</f>
        <v>0.03</v>
      </c>
      <c r="BS22" s="440">
        <f t="shared" ca="1" si="219"/>
        <v>13283.545386809334</v>
      </c>
      <c r="BT22" s="441">
        <f t="shared" ca="1" si="220"/>
        <v>54.440759782005465</v>
      </c>
      <c r="BU22" s="402"/>
    </row>
    <row r="23" spans="2:73" ht="15" thickBot="1" x14ac:dyDescent="0.25">
      <c r="B23" s="427"/>
      <c r="C23" s="427" t="s">
        <v>94</v>
      </c>
      <c r="D23" s="427"/>
      <c r="E23" s="433"/>
      <c r="F23" s="436">
        <v>0</v>
      </c>
      <c r="G23" s="437">
        <f t="shared" si="190"/>
        <v>0</v>
      </c>
      <c r="H23" s="438">
        <f t="shared" si="191"/>
        <v>0</v>
      </c>
      <c r="I23" s="439">
        <f t="shared" si="221"/>
        <v>0</v>
      </c>
      <c r="J23" s="440">
        <f t="shared" si="222"/>
        <v>0</v>
      </c>
      <c r="K23" s="441">
        <f t="shared" si="192"/>
        <v>0</v>
      </c>
      <c r="L23" s="528"/>
      <c r="M23" s="436">
        <v>0</v>
      </c>
      <c r="N23" s="437">
        <f t="shared" si="193"/>
        <v>0</v>
      </c>
      <c r="O23" s="438">
        <f t="shared" si="194"/>
        <v>0</v>
      </c>
      <c r="P23" s="439">
        <f t="shared" si="223"/>
        <v>0</v>
      </c>
      <c r="Q23" s="440">
        <f t="shared" si="224"/>
        <v>0</v>
      </c>
      <c r="R23" s="441">
        <f t="shared" si="195"/>
        <v>0</v>
      </c>
      <c r="S23" s="528"/>
      <c r="T23" s="436">
        <v>78389.62</v>
      </c>
      <c r="U23" s="437">
        <f t="shared" si="196"/>
        <v>321.26893442622946</v>
      </c>
      <c r="V23" s="438">
        <f t="shared" si="197"/>
        <v>0.33575597930372802</v>
      </c>
      <c r="W23" s="439">
        <f t="shared" si="225"/>
        <v>2.1820443164854868E-2</v>
      </c>
      <c r="X23" s="440">
        <f t="shared" si="226"/>
        <v>6532.4683333333332</v>
      </c>
      <c r="Y23" s="441">
        <f t="shared" si="198"/>
        <v>26.772411202185793</v>
      </c>
      <c r="Z23" s="528"/>
      <c r="AA23" s="441">
        <f t="shared" si="227"/>
        <v>78389.62</v>
      </c>
      <c r="AB23" s="437">
        <f t="shared" si="199"/>
        <v>321.26893442622946</v>
      </c>
      <c r="AC23" s="438">
        <f t="shared" si="200"/>
        <v>0.33575597930372802</v>
      </c>
      <c r="AD23" s="439">
        <f t="shared" si="228"/>
        <v>2.1282526273255366E-2</v>
      </c>
      <c r="AE23" s="440">
        <f t="shared" si="229"/>
        <v>6532.4683333333332</v>
      </c>
      <c r="AF23" s="441">
        <f t="shared" si="201"/>
        <v>26.772411202185793</v>
      </c>
      <c r="AG23" s="528"/>
      <c r="AH23" s="441">
        <f t="shared" si="230"/>
        <v>78389.62</v>
      </c>
      <c r="AI23" s="437">
        <f t="shared" si="202"/>
        <v>321.26893442622946</v>
      </c>
      <c r="AJ23" s="438">
        <f t="shared" si="203"/>
        <v>0.33575597930372802</v>
      </c>
      <c r="AK23" s="439">
        <f t="shared" si="231"/>
        <v>2.0576338285859815E-2</v>
      </c>
      <c r="AL23" s="440">
        <f t="shared" si="232"/>
        <v>6532.4683333333332</v>
      </c>
      <c r="AM23" s="441">
        <f t="shared" si="204"/>
        <v>26.772411202185793</v>
      </c>
      <c r="AN23" s="529"/>
      <c r="AO23" s="441">
        <f t="shared" si="205"/>
        <v>78389.62</v>
      </c>
      <c r="AP23" s="441">
        <f t="shared" si="206"/>
        <v>321.26893442622946</v>
      </c>
      <c r="AQ23" s="444">
        <f t="shared" si="207"/>
        <v>0.33575597930372802</v>
      </c>
      <c r="AR23" s="445">
        <f t="shared" si="233"/>
        <v>2.0576338285859815E-2</v>
      </c>
      <c r="AS23" s="272"/>
      <c r="AT23" s="446">
        <f t="shared" ref="AT23:AT29" si="237">AU23*units</f>
        <v>78389.62</v>
      </c>
      <c r="AU23" s="447">
        <f>AP23</f>
        <v>321.26893442622946</v>
      </c>
      <c r="AV23" s="444">
        <f t="shared" si="208"/>
        <v>0.33575597930372802</v>
      </c>
      <c r="AW23" s="272">
        <f t="shared" ref="AW23:AW30" si="238">IFERROR(AT23/AT$18,0)</f>
        <v>2.0614156635447023E-2</v>
      </c>
      <c r="AX23" s="531"/>
      <c r="AY23" s="532"/>
      <c r="AZ23" s="533"/>
      <c r="BA23" s="441">
        <f>-SUMIF('Monthly Pro Forma'!$G$5:$EH$5,1,'Monthly Pro Forma'!$G47:$EH47)</f>
        <v>78160.51999999999</v>
      </c>
      <c r="BB23" s="437">
        <f t="shared" si="209"/>
        <v>320.33</v>
      </c>
      <c r="BC23" s="438">
        <f t="shared" si="210"/>
        <v>0.33477470531798242</v>
      </c>
      <c r="BD23" s="439">
        <f t="shared" ca="1" si="234"/>
        <v>1.888095227426756E-2</v>
      </c>
      <c r="BE23" s="440">
        <f t="shared" si="211"/>
        <v>6513.3766666666661</v>
      </c>
      <c r="BF23" s="441">
        <f t="shared" si="212"/>
        <v>26.694166666666664</v>
      </c>
      <c r="BG23" s="405"/>
      <c r="BH23" s="441">
        <f>-SUMIF('Monthly Pro Forma'!$G$5:$EH$5,2,'Monthly Pro Forma'!$G47:$EH47)</f>
        <v>80505.335599999991</v>
      </c>
      <c r="BI23" s="437">
        <f t="shared" si="213"/>
        <v>329.93989999999997</v>
      </c>
      <c r="BJ23" s="438">
        <f t="shared" si="214"/>
        <v>0.3448179464775219</v>
      </c>
      <c r="BK23" s="439">
        <f t="shared" ca="1" si="235"/>
        <v>1.6989797173176929E-2</v>
      </c>
      <c r="BL23" s="440">
        <f t="shared" si="215"/>
        <v>6708.7779666666656</v>
      </c>
      <c r="BM23" s="441">
        <f t="shared" si="216"/>
        <v>27.494991666666664</v>
      </c>
      <c r="BN23" s="405"/>
      <c r="BO23" s="441">
        <f>-SUMIF('Monthly Pro Forma'!$G$5:$EH$5,3,'Monthly Pro Forma'!$G47:$EH47)</f>
        <v>82920.495668000018</v>
      </c>
      <c r="BP23" s="437">
        <f t="shared" si="217"/>
        <v>339.83809700000006</v>
      </c>
      <c r="BQ23" s="438">
        <f t="shared" si="218"/>
        <v>0.35516248487184765</v>
      </c>
      <c r="BR23" s="439">
        <f t="shared" ca="1" si="236"/>
        <v>1.5605866742161459E-2</v>
      </c>
      <c r="BS23" s="440">
        <f t="shared" si="219"/>
        <v>6910.0413056666684</v>
      </c>
      <c r="BT23" s="441">
        <f t="shared" si="220"/>
        <v>28.319841416666673</v>
      </c>
      <c r="BU23" s="402"/>
    </row>
    <row r="24" spans="2:73" ht="15" thickBot="1" x14ac:dyDescent="0.25">
      <c r="B24" s="427"/>
      <c r="C24" s="427" t="s">
        <v>399</v>
      </c>
      <c r="D24" s="427"/>
      <c r="E24" s="433"/>
      <c r="F24" s="436">
        <v>0</v>
      </c>
      <c r="G24" s="437">
        <f t="shared" si="190"/>
        <v>0</v>
      </c>
      <c r="H24" s="438">
        <f t="shared" si="191"/>
        <v>0</v>
      </c>
      <c r="I24" s="439">
        <f t="shared" si="221"/>
        <v>0</v>
      </c>
      <c r="J24" s="440">
        <f t="shared" si="222"/>
        <v>0</v>
      </c>
      <c r="K24" s="441">
        <f t="shared" si="192"/>
        <v>0</v>
      </c>
      <c r="L24" s="528"/>
      <c r="M24" s="436">
        <v>0</v>
      </c>
      <c r="N24" s="437">
        <f t="shared" si="193"/>
        <v>0</v>
      </c>
      <c r="O24" s="438">
        <f t="shared" si="194"/>
        <v>0</v>
      </c>
      <c r="P24" s="439">
        <f t="shared" si="223"/>
        <v>0</v>
      </c>
      <c r="Q24" s="440">
        <f t="shared" si="224"/>
        <v>0</v>
      </c>
      <c r="R24" s="441">
        <f t="shared" si="195"/>
        <v>0</v>
      </c>
      <c r="S24" s="528"/>
      <c r="T24" s="436">
        <v>107510.89</v>
      </c>
      <c r="U24" s="437">
        <f t="shared" si="196"/>
        <v>440.61840163934426</v>
      </c>
      <c r="V24" s="438">
        <f t="shared" si="197"/>
        <v>0.46048729612116229</v>
      </c>
      <c r="W24" s="439">
        <f t="shared" si="225"/>
        <v>2.9926605905832477E-2</v>
      </c>
      <c r="X24" s="440">
        <f t="shared" si="226"/>
        <v>8959.2408333333333</v>
      </c>
      <c r="Y24" s="441">
        <f t="shared" si="198"/>
        <v>36.718200136612019</v>
      </c>
      <c r="Z24" s="528"/>
      <c r="AA24" s="441">
        <f t="shared" si="227"/>
        <v>107510.89</v>
      </c>
      <c r="AB24" s="437">
        <f t="shared" si="199"/>
        <v>440.61840163934426</v>
      </c>
      <c r="AC24" s="438">
        <f t="shared" si="200"/>
        <v>0.46048729612116229</v>
      </c>
      <c r="AD24" s="439">
        <f t="shared" si="228"/>
        <v>2.9188856140469462E-2</v>
      </c>
      <c r="AE24" s="440">
        <f t="shared" si="229"/>
        <v>8959.2408333333333</v>
      </c>
      <c r="AF24" s="441">
        <f t="shared" si="201"/>
        <v>36.718200136612019</v>
      </c>
      <c r="AG24" s="528"/>
      <c r="AH24" s="441">
        <f t="shared" si="230"/>
        <v>107510.89</v>
      </c>
      <c r="AI24" s="437">
        <f t="shared" si="202"/>
        <v>440.61840163934426</v>
      </c>
      <c r="AJ24" s="438">
        <f t="shared" si="203"/>
        <v>0.46048729612116229</v>
      </c>
      <c r="AK24" s="439">
        <f t="shared" si="231"/>
        <v>2.8220323584345265E-2</v>
      </c>
      <c r="AL24" s="440">
        <f t="shared" si="232"/>
        <v>8959.2408333333333</v>
      </c>
      <c r="AM24" s="441">
        <f t="shared" si="204"/>
        <v>36.718200136612019</v>
      </c>
      <c r="AN24" s="529"/>
      <c r="AO24" s="441">
        <f t="shared" si="205"/>
        <v>107510.89</v>
      </c>
      <c r="AP24" s="441">
        <f t="shared" si="206"/>
        <v>440.61840163934426</v>
      </c>
      <c r="AQ24" s="444">
        <f t="shared" si="207"/>
        <v>0.46048729612116229</v>
      </c>
      <c r="AR24" s="445">
        <f t="shared" si="233"/>
        <v>2.8220323584345265E-2</v>
      </c>
      <c r="AS24" s="272"/>
      <c r="AT24" s="446">
        <f t="shared" si="237"/>
        <v>73200</v>
      </c>
      <c r="AU24" s="447">
        <v>300</v>
      </c>
      <c r="AV24" s="444">
        <f t="shared" si="208"/>
        <v>0.31352796052631576</v>
      </c>
      <c r="AW24" s="272">
        <f t="shared" si="238"/>
        <v>1.924943973085623E-2</v>
      </c>
      <c r="AX24" s="531"/>
      <c r="AY24" s="532"/>
      <c r="AZ24" s="533"/>
      <c r="BA24" s="441">
        <f>-SUMIF('Monthly Pro Forma'!$G$5:$EH$5,1,'Monthly Pro Forma'!$G48:$EH48)</f>
        <v>79762.262700000021</v>
      </c>
      <c r="BB24" s="437">
        <f t="shared" si="209"/>
        <v>326.89451926229515</v>
      </c>
      <c r="BC24" s="438">
        <f t="shared" si="210"/>
        <v>0.34163523977179283</v>
      </c>
      <c r="BD24" s="439">
        <f t="shared" ca="1" si="234"/>
        <v>1.9267879427187693E-2</v>
      </c>
      <c r="BE24" s="440">
        <f t="shared" si="211"/>
        <v>6646.8552250000021</v>
      </c>
      <c r="BF24" s="441">
        <f t="shared" si="212"/>
        <v>27.241209938524598</v>
      </c>
      <c r="BG24" s="405"/>
      <c r="BH24" s="441">
        <f>-SUMIF('Monthly Pro Forma'!$G$5:$EH$5,2,'Monthly Pro Forma'!$G48:$EH48)</f>
        <v>82155.130581000005</v>
      </c>
      <c r="BI24" s="437">
        <f t="shared" si="213"/>
        <v>336.70135484016396</v>
      </c>
      <c r="BJ24" s="438">
        <f t="shared" si="214"/>
        <v>0.35188429696494655</v>
      </c>
      <c r="BK24" s="439">
        <f t="shared" ca="1" si="235"/>
        <v>1.7337968904846793E-2</v>
      </c>
      <c r="BL24" s="440">
        <f t="shared" si="215"/>
        <v>6846.2608817500004</v>
      </c>
      <c r="BM24" s="441">
        <f t="shared" si="216"/>
        <v>28.058446236680329</v>
      </c>
      <c r="BN24" s="405"/>
      <c r="BO24" s="441">
        <f>-SUMIF('Monthly Pro Forma'!$G$5:$EH$5,3,'Monthly Pro Forma'!$G48:$EH48)</f>
        <v>84619.784498429988</v>
      </c>
      <c r="BP24" s="437">
        <f t="shared" si="217"/>
        <v>346.80239548536878</v>
      </c>
      <c r="BQ24" s="438">
        <f t="shared" si="218"/>
        <v>0.36244082587389487</v>
      </c>
      <c r="BR24" s="439">
        <f t="shared" ca="1" si="236"/>
        <v>1.592567760231732E-2</v>
      </c>
      <c r="BS24" s="440">
        <f t="shared" si="219"/>
        <v>7051.6487082024987</v>
      </c>
      <c r="BT24" s="441">
        <f t="shared" si="220"/>
        <v>28.900199623780733</v>
      </c>
      <c r="BU24" s="402"/>
    </row>
    <row r="25" spans="2:73" ht="15" thickBot="1" x14ac:dyDescent="0.25">
      <c r="B25" s="427"/>
      <c r="C25" s="427" t="s">
        <v>401</v>
      </c>
      <c r="D25" s="427"/>
      <c r="E25" s="433"/>
      <c r="F25" s="436">
        <v>0</v>
      </c>
      <c r="G25" s="437">
        <f t="shared" si="190"/>
        <v>0</v>
      </c>
      <c r="H25" s="438">
        <f t="shared" si="191"/>
        <v>0</v>
      </c>
      <c r="I25" s="439">
        <f t="shared" si="221"/>
        <v>0</v>
      </c>
      <c r="J25" s="440">
        <f t="shared" si="222"/>
        <v>0</v>
      </c>
      <c r="K25" s="441">
        <f t="shared" si="192"/>
        <v>0</v>
      </c>
      <c r="L25" s="528"/>
      <c r="M25" s="436">
        <v>0</v>
      </c>
      <c r="N25" s="437">
        <f t="shared" si="193"/>
        <v>0</v>
      </c>
      <c r="O25" s="438">
        <f t="shared" si="194"/>
        <v>0</v>
      </c>
      <c r="P25" s="439">
        <f t="shared" si="223"/>
        <v>0</v>
      </c>
      <c r="Q25" s="440">
        <f t="shared" si="224"/>
        <v>0</v>
      </c>
      <c r="R25" s="441">
        <f t="shared" si="195"/>
        <v>0</v>
      </c>
      <c r="S25" s="528"/>
      <c r="T25" s="436">
        <v>34784.81</v>
      </c>
      <c r="U25" s="437">
        <f t="shared" si="196"/>
        <v>142.56069672131147</v>
      </c>
      <c r="V25" s="438">
        <f t="shared" si="197"/>
        <v>0.14898921498081139</v>
      </c>
      <c r="W25" s="439">
        <f t="shared" si="225"/>
        <v>9.6826591276405628E-3</v>
      </c>
      <c r="X25" s="440">
        <f t="shared" si="226"/>
        <v>2898.7341666666666</v>
      </c>
      <c r="Y25" s="441">
        <f t="shared" si="198"/>
        <v>11.88005806010929</v>
      </c>
      <c r="Z25" s="528"/>
      <c r="AA25" s="441">
        <f t="shared" si="227"/>
        <v>34784.81</v>
      </c>
      <c r="AB25" s="437">
        <f t="shared" si="199"/>
        <v>142.56069672131147</v>
      </c>
      <c r="AC25" s="438">
        <f t="shared" si="200"/>
        <v>0.14898921498081139</v>
      </c>
      <c r="AD25" s="439">
        <f t="shared" si="228"/>
        <v>9.4439625135980514E-3</v>
      </c>
      <c r="AE25" s="440">
        <f t="shared" si="229"/>
        <v>2898.7341666666666</v>
      </c>
      <c r="AF25" s="441">
        <f t="shared" si="201"/>
        <v>11.88005806010929</v>
      </c>
      <c r="AG25" s="528"/>
      <c r="AH25" s="441">
        <f t="shared" si="230"/>
        <v>34784.81</v>
      </c>
      <c r="AI25" s="437">
        <f t="shared" si="202"/>
        <v>142.56069672131147</v>
      </c>
      <c r="AJ25" s="438">
        <f t="shared" si="203"/>
        <v>0.14898921498081139</v>
      </c>
      <c r="AK25" s="439">
        <f t="shared" si="231"/>
        <v>9.1305968541416493E-3</v>
      </c>
      <c r="AL25" s="440">
        <f t="shared" si="232"/>
        <v>2898.7341666666666</v>
      </c>
      <c r="AM25" s="441">
        <f t="shared" si="204"/>
        <v>11.88005806010929</v>
      </c>
      <c r="AN25" s="529"/>
      <c r="AO25" s="441">
        <f t="shared" si="205"/>
        <v>34784.81</v>
      </c>
      <c r="AP25" s="441">
        <f t="shared" si="206"/>
        <v>142.56069672131147</v>
      </c>
      <c r="AQ25" s="444">
        <f t="shared" si="207"/>
        <v>0.14898921498081139</v>
      </c>
      <c r="AR25" s="445">
        <f t="shared" si="233"/>
        <v>9.1305968541416493E-3</v>
      </c>
      <c r="AS25" s="272"/>
      <c r="AT25" s="446">
        <f t="shared" si="237"/>
        <v>48800</v>
      </c>
      <c r="AU25" s="447">
        <v>200</v>
      </c>
      <c r="AV25" s="444">
        <f t="shared" si="208"/>
        <v>0.20901864035087719</v>
      </c>
      <c r="AW25" s="272">
        <f t="shared" si="238"/>
        <v>1.2832959820570819E-2</v>
      </c>
      <c r="AX25" s="531"/>
      <c r="AY25" s="532"/>
      <c r="AZ25" s="533"/>
      <c r="BA25" s="441">
        <f>-SUMIF('Monthly Pro Forma'!$G$5:$EH$5,1,'Monthly Pro Forma'!$G49:$EH49)</f>
        <v>53279.839999999989</v>
      </c>
      <c r="BB25" s="437">
        <f t="shared" si="209"/>
        <v>218.35999999999996</v>
      </c>
      <c r="BC25" s="438">
        <f t="shared" si="210"/>
        <v>0.22820655153508768</v>
      </c>
      <c r="BD25" s="439">
        <f t="shared" ca="1" si="234"/>
        <v>1.2870616984388175E-2</v>
      </c>
      <c r="BE25" s="440">
        <f t="shared" si="211"/>
        <v>4439.9866666666658</v>
      </c>
      <c r="BF25" s="441">
        <f t="shared" si="212"/>
        <v>18.196666666666662</v>
      </c>
      <c r="BG25" s="405"/>
      <c r="BH25" s="441">
        <f>-SUMIF('Monthly Pro Forma'!$G$5:$EH$5,2,'Monthly Pro Forma'!$G49:$EH49)</f>
        <v>54878.235199999988</v>
      </c>
      <c r="BI25" s="437">
        <f t="shared" si="213"/>
        <v>224.91079999999994</v>
      </c>
      <c r="BJ25" s="438">
        <f t="shared" si="214"/>
        <v>0.23505274808114029</v>
      </c>
      <c r="BK25" s="439">
        <f t="shared" ca="1" si="235"/>
        <v>1.1581469455670446E-2</v>
      </c>
      <c r="BL25" s="440">
        <f t="shared" si="215"/>
        <v>4573.1862666666657</v>
      </c>
      <c r="BM25" s="441">
        <f t="shared" si="216"/>
        <v>18.742566666666661</v>
      </c>
      <c r="BN25" s="405"/>
      <c r="BO25" s="441">
        <f>-SUMIF('Monthly Pro Forma'!$G$5:$EH$5,3,'Monthly Pro Forma'!$G49:$EH49)</f>
        <v>56524.582256000002</v>
      </c>
      <c r="BP25" s="437">
        <f t="shared" si="217"/>
        <v>231.65812400000002</v>
      </c>
      <c r="BQ25" s="438">
        <f t="shared" si="218"/>
        <v>0.24210433052357458</v>
      </c>
      <c r="BR25" s="439">
        <f t="shared" ca="1" si="236"/>
        <v>1.0638082795299771E-2</v>
      </c>
      <c r="BS25" s="440">
        <f t="shared" si="219"/>
        <v>4710.3818546666671</v>
      </c>
      <c r="BT25" s="441">
        <f t="shared" si="220"/>
        <v>19.304843666666667</v>
      </c>
      <c r="BU25" s="402"/>
    </row>
    <row r="26" spans="2:73" ht="15" thickBot="1" x14ac:dyDescent="0.25">
      <c r="B26" s="427"/>
      <c r="C26" s="427" t="s">
        <v>80</v>
      </c>
      <c r="D26" s="427"/>
      <c r="E26" s="433"/>
      <c r="F26" s="436">
        <v>0</v>
      </c>
      <c r="G26" s="437">
        <f t="shared" si="190"/>
        <v>0</v>
      </c>
      <c r="H26" s="438">
        <f t="shared" si="191"/>
        <v>0</v>
      </c>
      <c r="I26" s="439">
        <f t="shared" si="221"/>
        <v>0</v>
      </c>
      <c r="J26" s="440">
        <f t="shared" si="222"/>
        <v>0</v>
      </c>
      <c r="K26" s="441">
        <f t="shared" si="192"/>
        <v>0</v>
      </c>
      <c r="L26" s="528"/>
      <c r="M26" s="436">
        <v>0</v>
      </c>
      <c r="N26" s="437">
        <f t="shared" si="193"/>
        <v>0</v>
      </c>
      <c r="O26" s="438">
        <f t="shared" si="194"/>
        <v>0</v>
      </c>
      <c r="P26" s="439">
        <f t="shared" si="223"/>
        <v>0</v>
      </c>
      <c r="Q26" s="440">
        <f t="shared" si="224"/>
        <v>0</v>
      </c>
      <c r="R26" s="441">
        <f t="shared" si="195"/>
        <v>0</v>
      </c>
      <c r="S26" s="528"/>
      <c r="T26" s="436">
        <v>145778.15</v>
      </c>
      <c r="U26" s="437">
        <f t="shared" si="196"/>
        <v>597.45143442622953</v>
      </c>
      <c r="V26" s="438">
        <f t="shared" si="197"/>
        <v>0.62439243249725873</v>
      </c>
      <c r="W26" s="439">
        <f t="shared" si="225"/>
        <v>4.0578635752446406E-2</v>
      </c>
      <c r="X26" s="440">
        <f t="shared" si="226"/>
        <v>12148.179166666667</v>
      </c>
      <c r="Y26" s="441">
        <f t="shared" si="198"/>
        <v>49.787619535519127</v>
      </c>
      <c r="Z26" s="528"/>
      <c r="AA26" s="441">
        <f t="shared" si="227"/>
        <v>145778.15</v>
      </c>
      <c r="AB26" s="437">
        <f t="shared" si="199"/>
        <v>597.45143442622953</v>
      </c>
      <c r="AC26" s="438">
        <f t="shared" si="200"/>
        <v>0.62439243249725873</v>
      </c>
      <c r="AD26" s="439">
        <f t="shared" si="228"/>
        <v>3.9578292475988042E-2</v>
      </c>
      <c r="AE26" s="440">
        <f t="shared" si="229"/>
        <v>12148.179166666667</v>
      </c>
      <c r="AF26" s="441">
        <f t="shared" si="201"/>
        <v>49.787619535519127</v>
      </c>
      <c r="AG26" s="528"/>
      <c r="AH26" s="441">
        <f t="shared" si="230"/>
        <v>145778.15</v>
      </c>
      <c r="AI26" s="437">
        <f t="shared" si="202"/>
        <v>597.45143442622953</v>
      </c>
      <c r="AJ26" s="438">
        <f t="shared" si="203"/>
        <v>0.62439243249725873</v>
      </c>
      <c r="AK26" s="439">
        <f t="shared" si="231"/>
        <v>3.8265021938960989E-2</v>
      </c>
      <c r="AL26" s="440">
        <f t="shared" si="232"/>
        <v>12148.179166666667</v>
      </c>
      <c r="AM26" s="441">
        <f t="shared" si="204"/>
        <v>49.787619535519127</v>
      </c>
      <c r="AN26" s="529"/>
      <c r="AO26" s="441">
        <f t="shared" si="205"/>
        <v>145778.15</v>
      </c>
      <c r="AP26" s="441">
        <f t="shared" si="206"/>
        <v>597.45143442622953</v>
      </c>
      <c r="AQ26" s="444">
        <f t="shared" si="207"/>
        <v>0.62439243249725873</v>
      </c>
      <c r="AR26" s="445">
        <f t="shared" si="233"/>
        <v>3.8265021938960989E-2</v>
      </c>
      <c r="AS26" s="272"/>
      <c r="AT26" s="446">
        <f t="shared" si="237"/>
        <v>145778.15</v>
      </c>
      <c r="AU26" s="447">
        <f>AP26</f>
        <v>597.45143442622953</v>
      </c>
      <c r="AV26" s="444">
        <f t="shared" si="208"/>
        <v>0.62439243249725873</v>
      </c>
      <c r="AW26" s="272">
        <f t="shared" si="238"/>
        <v>3.8335351263671026E-2</v>
      </c>
      <c r="AX26" s="531"/>
      <c r="AY26" s="532"/>
      <c r="AZ26" s="533"/>
      <c r="BA26" s="441">
        <f>-SUMIF('Monthly Pro Forma'!$G$5:$EH$5,1,'Monthly Pro Forma'!$G50:$EH50)</f>
        <v>150038.04</v>
      </c>
      <c r="BB26" s="437">
        <f t="shared" si="209"/>
        <v>614.91000000000008</v>
      </c>
      <c r="BC26" s="438">
        <f t="shared" si="210"/>
        <v>0.64263826069078955</v>
      </c>
      <c r="BD26" s="439">
        <f t="shared" ca="1" si="234"/>
        <v>3.6244143111696894E-2</v>
      </c>
      <c r="BE26" s="440">
        <f t="shared" si="211"/>
        <v>12503.17</v>
      </c>
      <c r="BF26" s="441">
        <f t="shared" si="212"/>
        <v>51.2425</v>
      </c>
      <c r="BG26" s="405"/>
      <c r="BH26" s="441">
        <f>-SUMIF('Monthly Pro Forma'!$G$5:$EH$5,2,'Monthly Pro Forma'!$G50:$EH50)</f>
        <v>154539.18120000002</v>
      </c>
      <c r="BI26" s="437">
        <f t="shared" si="213"/>
        <v>633.35730000000012</v>
      </c>
      <c r="BJ26" s="438">
        <f t="shared" si="214"/>
        <v>0.66191740851151326</v>
      </c>
      <c r="BK26" s="439">
        <f t="shared" ca="1" si="235"/>
        <v>3.261385502375122E-2</v>
      </c>
      <c r="BL26" s="440">
        <f t="shared" si="215"/>
        <v>12878.265100000002</v>
      </c>
      <c r="BM26" s="441">
        <f t="shared" si="216"/>
        <v>52.779775000000008</v>
      </c>
      <c r="BN26" s="405"/>
      <c r="BO26" s="441">
        <f>-SUMIF('Monthly Pro Forma'!$G$5:$EH$5,3,'Monthly Pro Forma'!$G50:$EH50)</f>
        <v>159175.35663600007</v>
      </c>
      <c r="BP26" s="437">
        <f t="shared" si="217"/>
        <v>652.35801900000024</v>
      </c>
      <c r="BQ26" s="438">
        <f t="shared" si="218"/>
        <v>0.6817749307668588</v>
      </c>
      <c r="BR26" s="439">
        <f t="shared" ca="1" si="236"/>
        <v>2.9957242588650779E-2</v>
      </c>
      <c r="BS26" s="440">
        <f t="shared" si="219"/>
        <v>13264.613053000006</v>
      </c>
      <c r="BT26" s="441">
        <f t="shared" si="220"/>
        <v>54.36316825000003</v>
      </c>
      <c r="BU26" s="402"/>
    </row>
    <row r="27" spans="2:73" ht="15" thickBot="1" x14ac:dyDescent="0.25">
      <c r="B27" s="427"/>
      <c r="C27" s="427" t="s">
        <v>403</v>
      </c>
      <c r="D27" s="427"/>
      <c r="E27" s="433"/>
      <c r="F27" s="436">
        <v>0</v>
      </c>
      <c r="G27" s="437">
        <f t="shared" si="190"/>
        <v>0</v>
      </c>
      <c r="H27" s="438">
        <f t="shared" si="191"/>
        <v>0</v>
      </c>
      <c r="I27" s="439">
        <f t="shared" si="221"/>
        <v>0</v>
      </c>
      <c r="J27" s="440">
        <f t="shared" si="222"/>
        <v>0</v>
      </c>
      <c r="K27" s="441">
        <f t="shared" si="192"/>
        <v>0</v>
      </c>
      <c r="L27" s="528"/>
      <c r="M27" s="436">
        <v>0</v>
      </c>
      <c r="N27" s="437">
        <f t="shared" si="193"/>
        <v>0</v>
      </c>
      <c r="O27" s="438">
        <f t="shared" si="194"/>
        <v>0</v>
      </c>
      <c r="P27" s="439">
        <f t="shared" si="223"/>
        <v>0</v>
      </c>
      <c r="Q27" s="440">
        <f t="shared" si="224"/>
        <v>0</v>
      </c>
      <c r="R27" s="441">
        <f t="shared" si="195"/>
        <v>0</v>
      </c>
      <c r="S27" s="528"/>
      <c r="T27" s="436">
        <v>199942.41999999998</v>
      </c>
      <c r="U27" s="437">
        <f t="shared" si="196"/>
        <v>819.43614754098348</v>
      </c>
      <c r="V27" s="438">
        <f t="shared" si="197"/>
        <v>0.8563871470668859</v>
      </c>
      <c r="W27" s="439">
        <f t="shared" si="225"/>
        <v>5.5655738755380386E-2</v>
      </c>
      <c r="X27" s="440">
        <f t="shared" si="226"/>
        <v>16661.868333333332</v>
      </c>
      <c r="Y27" s="441">
        <f t="shared" si="198"/>
        <v>68.28634562841529</v>
      </c>
      <c r="Z27" s="528"/>
      <c r="AA27" s="441">
        <f t="shared" si="227"/>
        <v>199942.41999999998</v>
      </c>
      <c r="AB27" s="437">
        <f t="shared" si="199"/>
        <v>819.43614754098348</v>
      </c>
      <c r="AC27" s="438">
        <f t="shared" si="200"/>
        <v>0.8563871470668859</v>
      </c>
      <c r="AD27" s="439">
        <f t="shared" si="228"/>
        <v>5.4283715200918937E-2</v>
      </c>
      <c r="AE27" s="440">
        <f t="shared" si="229"/>
        <v>16661.868333333332</v>
      </c>
      <c r="AF27" s="441">
        <f t="shared" si="201"/>
        <v>68.28634562841529</v>
      </c>
      <c r="AG27" s="528"/>
      <c r="AH27" s="441">
        <f t="shared" si="230"/>
        <v>199942.41999999998</v>
      </c>
      <c r="AI27" s="437">
        <f t="shared" si="202"/>
        <v>819.43614754098348</v>
      </c>
      <c r="AJ27" s="438">
        <f t="shared" si="203"/>
        <v>0.8563871470668859</v>
      </c>
      <c r="AK27" s="439">
        <f t="shared" si="231"/>
        <v>5.2482495407089144E-2</v>
      </c>
      <c r="AL27" s="440">
        <f t="shared" si="232"/>
        <v>16661.868333333332</v>
      </c>
      <c r="AM27" s="441">
        <f t="shared" si="204"/>
        <v>68.28634562841529</v>
      </c>
      <c r="AN27" s="529"/>
      <c r="AO27" s="441">
        <f t="shared" si="205"/>
        <v>199942.41999999998</v>
      </c>
      <c r="AP27" s="441">
        <f t="shared" si="206"/>
        <v>819.43614754098348</v>
      </c>
      <c r="AQ27" s="444">
        <f t="shared" si="207"/>
        <v>0.8563871470668859</v>
      </c>
      <c r="AR27" s="445">
        <f t="shared" si="233"/>
        <v>5.2482495407089144E-2</v>
      </c>
      <c r="AS27" s="272"/>
      <c r="AT27" s="446">
        <f t="shared" si="237"/>
        <v>97600</v>
      </c>
      <c r="AU27" s="447">
        <v>400</v>
      </c>
      <c r="AV27" s="444">
        <f t="shared" si="208"/>
        <v>0.41803728070175439</v>
      </c>
      <c r="AW27" s="272">
        <f t="shared" si="238"/>
        <v>2.5665919641141639E-2</v>
      </c>
      <c r="AX27" s="531"/>
      <c r="AY27" s="532"/>
      <c r="AZ27" s="533"/>
      <c r="BA27" s="441">
        <f>-SUMIF('Monthly Pro Forma'!$G$5:$EH$5,1,'Monthly Pro Forma'!$G51:$EH51)</f>
        <v>171651.55999999997</v>
      </c>
      <c r="BB27" s="437">
        <f t="shared" si="209"/>
        <v>703.4899999999999</v>
      </c>
      <c r="BC27" s="438">
        <f t="shared" si="210"/>
        <v>0.73521261650219283</v>
      </c>
      <c r="BD27" s="439">
        <f t="shared" ca="1" si="234"/>
        <v>4.1465242454420397E-2</v>
      </c>
      <c r="BE27" s="440">
        <f t="shared" si="211"/>
        <v>14304.296666666663</v>
      </c>
      <c r="BF27" s="441">
        <f t="shared" si="212"/>
        <v>58.624166666666653</v>
      </c>
      <c r="BG27" s="405"/>
      <c r="BH27" s="441">
        <f>-SUMIF('Monthly Pro Forma'!$G$5:$EH$5,2,'Monthly Pro Forma'!$G51:$EH51)</f>
        <v>176801.10680000004</v>
      </c>
      <c r="BI27" s="437">
        <f t="shared" si="213"/>
        <v>724.5947000000001</v>
      </c>
      <c r="BJ27" s="438">
        <f t="shared" si="214"/>
        <v>0.75726899499725897</v>
      </c>
      <c r="BK27" s="439">
        <f t="shared" ca="1" si="235"/>
        <v>3.7311998293504331E-2</v>
      </c>
      <c r="BL27" s="440">
        <f t="shared" si="215"/>
        <v>14733.42556666667</v>
      </c>
      <c r="BM27" s="441">
        <f t="shared" si="216"/>
        <v>60.38289166666668</v>
      </c>
      <c r="BN27" s="405"/>
      <c r="BO27" s="441">
        <f>-SUMIF('Monthly Pro Forma'!$G$5:$EH$5,3,'Monthly Pro Forma'!$G51:$EH51)</f>
        <v>182105.14000400002</v>
      </c>
      <c r="BP27" s="437">
        <f t="shared" si="217"/>
        <v>746.33254100000011</v>
      </c>
      <c r="BQ27" s="438">
        <f t="shared" si="218"/>
        <v>0.77998706484717661</v>
      </c>
      <c r="BR27" s="439">
        <f t="shared" ca="1" si="236"/>
        <v>3.4272691269762942E-2</v>
      </c>
      <c r="BS27" s="440">
        <f t="shared" si="219"/>
        <v>15175.428333666669</v>
      </c>
      <c r="BT27" s="441">
        <f t="shared" si="220"/>
        <v>62.194378416666673</v>
      </c>
      <c r="BU27" s="402"/>
    </row>
    <row r="28" spans="2:73" ht="15" thickBot="1" x14ac:dyDescent="0.25">
      <c r="B28" s="427"/>
      <c r="C28" s="427" t="s">
        <v>405</v>
      </c>
      <c r="D28" s="427"/>
      <c r="E28" s="433"/>
      <c r="F28" s="436">
        <v>0</v>
      </c>
      <c r="G28" s="437">
        <f t="shared" si="190"/>
        <v>0</v>
      </c>
      <c r="H28" s="438">
        <f t="shared" si="191"/>
        <v>0</v>
      </c>
      <c r="I28" s="439">
        <f t="shared" si="221"/>
        <v>0</v>
      </c>
      <c r="J28" s="440">
        <f t="shared" si="222"/>
        <v>0</v>
      </c>
      <c r="K28" s="441">
        <f t="shared" si="192"/>
        <v>0</v>
      </c>
      <c r="L28" s="528"/>
      <c r="M28" s="436">
        <v>0</v>
      </c>
      <c r="N28" s="437">
        <f t="shared" si="193"/>
        <v>0</v>
      </c>
      <c r="O28" s="438">
        <f t="shared" si="194"/>
        <v>0</v>
      </c>
      <c r="P28" s="439">
        <f t="shared" si="223"/>
        <v>0</v>
      </c>
      <c r="Q28" s="440">
        <f t="shared" si="224"/>
        <v>0</v>
      </c>
      <c r="R28" s="441">
        <f t="shared" si="195"/>
        <v>0</v>
      </c>
      <c r="S28" s="528"/>
      <c r="T28" s="436">
        <v>61706.330000000009</v>
      </c>
      <c r="U28" s="437">
        <f t="shared" si="196"/>
        <v>252.89479508196726</v>
      </c>
      <c r="V28" s="438">
        <f t="shared" si="197"/>
        <v>0.26429863109923252</v>
      </c>
      <c r="W28" s="439">
        <f t="shared" si="225"/>
        <v>1.7176502025099485E-2</v>
      </c>
      <c r="X28" s="440">
        <f t="shared" si="226"/>
        <v>5142.1941666666671</v>
      </c>
      <c r="Y28" s="441">
        <f t="shared" si="198"/>
        <v>21.074566256830604</v>
      </c>
      <c r="Z28" s="528"/>
      <c r="AA28" s="441">
        <f t="shared" si="227"/>
        <v>61706.330000000009</v>
      </c>
      <c r="AB28" s="437">
        <f t="shared" si="199"/>
        <v>252.89479508196726</v>
      </c>
      <c r="AC28" s="438">
        <f t="shared" si="200"/>
        <v>0.26429863109923252</v>
      </c>
      <c r="AD28" s="439">
        <f t="shared" si="228"/>
        <v>1.6753067427181891E-2</v>
      </c>
      <c r="AE28" s="440">
        <f t="shared" si="229"/>
        <v>5142.1941666666671</v>
      </c>
      <c r="AF28" s="441">
        <f t="shared" si="201"/>
        <v>21.074566256830604</v>
      </c>
      <c r="AG28" s="528"/>
      <c r="AH28" s="441">
        <f t="shared" si="230"/>
        <v>61706.330000000009</v>
      </c>
      <c r="AI28" s="437">
        <f t="shared" si="202"/>
        <v>252.89479508196726</v>
      </c>
      <c r="AJ28" s="438">
        <f t="shared" si="203"/>
        <v>0.26429863109923252</v>
      </c>
      <c r="AK28" s="439">
        <f t="shared" si="231"/>
        <v>1.6197174070481529E-2</v>
      </c>
      <c r="AL28" s="440">
        <f t="shared" si="232"/>
        <v>5142.1941666666671</v>
      </c>
      <c r="AM28" s="441">
        <f t="shared" si="204"/>
        <v>21.074566256830604</v>
      </c>
      <c r="AN28" s="529"/>
      <c r="AO28" s="441">
        <f t="shared" si="205"/>
        <v>61706.330000000009</v>
      </c>
      <c r="AP28" s="441">
        <f t="shared" si="206"/>
        <v>252.89479508196726</v>
      </c>
      <c r="AQ28" s="444">
        <f t="shared" si="207"/>
        <v>0.26429863109923252</v>
      </c>
      <c r="AR28" s="445">
        <f t="shared" si="233"/>
        <v>1.6197174070481529E-2</v>
      </c>
      <c r="AS28" s="272"/>
      <c r="AT28" s="446">
        <f t="shared" si="237"/>
        <v>103700</v>
      </c>
      <c r="AU28" s="447">
        <v>425</v>
      </c>
      <c r="AV28" s="444">
        <f t="shared" si="208"/>
        <v>0.44416461074561403</v>
      </c>
      <c r="AW28" s="272">
        <f t="shared" si="238"/>
        <v>2.727003961871299E-2</v>
      </c>
      <c r="AX28" s="531"/>
      <c r="AY28" s="532"/>
      <c r="AZ28" s="533"/>
      <c r="BA28" s="441">
        <f>-SUMIF('Monthly Pro Forma'!$G$5:$EH$5,1,'Monthly Pro Forma'!$G52:$EH52)</f>
        <v>106037.47000000003</v>
      </c>
      <c r="BB28" s="437">
        <f t="shared" si="209"/>
        <v>434.57979508196735</v>
      </c>
      <c r="BC28" s="438">
        <f t="shared" si="210"/>
        <v>0.45417638945997818</v>
      </c>
      <c r="BD28" s="439">
        <f t="shared" ca="1" si="234"/>
        <v>2.5615085600173577E-2</v>
      </c>
      <c r="BE28" s="440">
        <f t="shared" si="211"/>
        <v>8836.4558333333352</v>
      </c>
      <c r="BF28" s="441">
        <f t="shared" si="212"/>
        <v>36.214982923497274</v>
      </c>
      <c r="BG28" s="405"/>
      <c r="BH28" s="441">
        <f>-SUMIF('Monthly Pro Forma'!$G$5:$EH$5,2,'Monthly Pro Forma'!$G52:$EH52)</f>
        <v>109218.59410000003</v>
      </c>
      <c r="BI28" s="437">
        <f t="shared" si="213"/>
        <v>447.61718893442634</v>
      </c>
      <c r="BJ28" s="438">
        <f t="shared" si="214"/>
        <v>0.46780168114377757</v>
      </c>
      <c r="BK28" s="439">
        <f t="shared" ca="1" si="235"/>
        <v>2.3049425823380324E-2</v>
      </c>
      <c r="BL28" s="440">
        <f t="shared" si="215"/>
        <v>9101.5495083333353</v>
      </c>
      <c r="BM28" s="441">
        <f t="shared" si="216"/>
        <v>37.301432411202192</v>
      </c>
      <c r="BN28" s="405"/>
      <c r="BO28" s="441">
        <f>-SUMIF('Monthly Pro Forma'!$G$5:$EH$5,3,'Monthly Pro Forma'!$G52:$EH52)</f>
        <v>112495.15192300004</v>
      </c>
      <c r="BP28" s="437">
        <f t="shared" si="217"/>
        <v>461.04570460245918</v>
      </c>
      <c r="BQ28" s="438">
        <f t="shared" si="218"/>
        <v>0.4818357315780909</v>
      </c>
      <c r="BR28" s="439">
        <f t="shared" ca="1" si="236"/>
        <v>2.1171898888287126E-2</v>
      </c>
      <c r="BS28" s="440">
        <f t="shared" si="219"/>
        <v>9374.5959935833362</v>
      </c>
      <c r="BT28" s="441">
        <f t="shared" si="220"/>
        <v>38.42047538353826</v>
      </c>
      <c r="BU28" s="402"/>
    </row>
    <row r="29" spans="2:73" ht="15" thickBot="1" x14ac:dyDescent="0.25">
      <c r="B29" s="427"/>
      <c r="C29" s="427" t="s">
        <v>407</v>
      </c>
      <c r="D29" s="427"/>
      <c r="E29" s="433"/>
      <c r="F29" s="436">
        <v>0</v>
      </c>
      <c r="G29" s="437">
        <f t="shared" si="190"/>
        <v>0</v>
      </c>
      <c r="H29" s="438">
        <f t="shared" si="191"/>
        <v>0</v>
      </c>
      <c r="I29" s="439">
        <f t="shared" si="221"/>
        <v>0</v>
      </c>
      <c r="J29" s="440">
        <f t="shared" si="222"/>
        <v>0</v>
      </c>
      <c r="K29" s="441">
        <f t="shared" si="192"/>
        <v>0</v>
      </c>
      <c r="L29" s="528"/>
      <c r="M29" s="436">
        <v>0</v>
      </c>
      <c r="N29" s="437">
        <f t="shared" si="193"/>
        <v>0</v>
      </c>
      <c r="O29" s="438">
        <f t="shared" si="194"/>
        <v>0</v>
      </c>
      <c r="P29" s="439">
        <f t="shared" si="223"/>
        <v>0</v>
      </c>
      <c r="Q29" s="440">
        <f t="shared" si="224"/>
        <v>0</v>
      </c>
      <c r="R29" s="441">
        <f t="shared" si="195"/>
        <v>0</v>
      </c>
      <c r="S29" s="528"/>
      <c r="T29" s="436">
        <v>287919</v>
      </c>
      <c r="U29" s="437">
        <f t="shared" si="196"/>
        <v>1179.9959016393443</v>
      </c>
      <c r="V29" s="438">
        <f t="shared" si="197"/>
        <v>1.2332056949013157</v>
      </c>
      <c r="W29" s="439">
        <f t="shared" si="225"/>
        <v>8.0144796920585265E-2</v>
      </c>
      <c r="X29" s="440">
        <f t="shared" si="226"/>
        <v>23993.25</v>
      </c>
      <c r="Y29" s="441">
        <f t="shared" si="198"/>
        <v>98.332991803278688</v>
      </c>
      <c r="Z29" s="528"/>
      <c r="AA29" s="441">
        <f t="shared" si="227"/>
        <v>287919</v>
      </c>
      <c r="AB29" s="437">
        <f t="shared" si="199"/>
        <v>1179.9959016393443</v>
      </c>
      <c r="AC29" s="438">
        <f t="shared" si="200"/>
        <v>1.2332056949013157</v>
      </c>
      <c r="AD29" s="439">
        <f t="shared" si="228"/>
        <v>7.8169069859879564E-2</v>
      </c>
      <c r="AE29" s="440">
        <f t="shared" si="229"/>
        <v>23993.25</v>
      </c>
      <c r="AF29" s="441">
        <f t="shared" si="201"/>
        <v>98.332991803278688</v>
      </c>
      <c r="AG29" s="528"/>
      <c r="AH29" s="441">
        <f t="shared" si="230"/>
        <v>287919</v>
      </c>
      <c r="AI29" s="437">
        <f t="shared" si="202"/>
        <v>1179.9959016393443</v>
      </c>
      <c r="AJ29" s="438">
        <f t="shared" si="203"/>
        <v>1.2332056949013157</v>
      </c>
      <c r="AK29" s="439">
        <f t="shared" si="231"/>
        <v>7.5575296103316647E-2</v>
      </c>
      <c r="AL29" s="440">
        <f t="shared" si="232"/>
        <v>23993.25</v>
      </c>
      <c r="AM29" s="441">
        <f t="shared" si="204"/>
        <v>98.332991803278688</v>
      </c>
      <c r="AN29" s="529"/>
      <c r="AO29" s="441">
        <f t="shared" si="205"/>
        <v>287919</v>
      </c>
      <c r="AP29" s="441">
        <f t="shared" si="206"/>
        <v>1179.9959016393443</v>
      </c>
      <c r="AQ29" s="444">
        <f t="shared" si="207"/>
        <v>1.2332056949013157</v>
      </c>
      <c r="AR29" s="445">
        <f t="shared" si="233"/>
        <v>7.5575296103316647E-2</v>
      </c>
      <c r="AS29" s="272"/>
      <c r="AT29" s="446">
        <f t="shared" si="237"/>
        <v>298900</v>
      </c>
      <c r="AU29" s="447">
        <v>1225</v>
      </c>
      <c r="AV29" s="444">
        <f t="shared" si="208"/>
        <v>1.2802391721491229</v>
      </c>
      <c r="AW29" s="272">
        <f t="shared" si="238"/>
        <v>7.8601878900996264E-2</v>
      </c>
      <c r="AX29" s="531"/>
      <c r="AY29" s="532"/>
      <c r="AZ29" s="533"/>
      <c r="BA29" s="441">
        <f>-SUMIF('Monthly Pro Forma'!$G$5:$EH$5,1,'Monthly Pro Forma'!$G53:$EH53)</f>
        <v>305000</v>
      </c>
      <c r="BB29" s="437">
        <f t="shared" si="209"/>
        <v>1250</v>
      </c>
      <c r="BC29" s="438">
        <f t="shared" si="210"/>
        <v>1.3063665021929824</v>
      </c>
      <c r="BD29" s="439">
        <f t="shared" ca="1" si="234"/>
        <v>7.3677739652341187E-2</v>
      </c>
      <c r="BE29" s="440">
        <f t="shared" si="211"/>
        <v>25416.666666666668</v>
      </c>
      <c r="BF29" s="441">
        <f t="shared" si="212"/>
        <v>104.16666666666667</v>
      </c>
      <c r="BG29" s="405"/>
      <c r="BH29" s="441">
        <f>-SUMIF('Monthly Pro Forma'!$G$5:$EH$5,2,'Monthly Pro Forma'!$G53:$EH53)</f>
        <v>411750</v>
      </c>
      <c r="BI29" s="437">
        <f t="shared" si="213"/>
        <v>1687.5</v>
      </c>
      <c r="BJ29" s="438">
        <f t="shared" si="214"/>
        <v>1.7635947779605263</v>
      </c>
      <c r="BK29" s="439">
        <f t="shared" ca="1" si="235"/>
        <v>8.6895470143914313E-2</v>
      </c>
      <c r="BL29" s="440">
        <f t="shared" si="215"/>
        <v>34312.5</v>
      </c>
      <c r="BM29" s="441">
        <f t="shared" si="216"/>
        <v>140.625</v>
      </c>
      <c r="BN29" s="405"/>
      <c r="BO29" s="441">
        <f>-SUMIF('Monthly Pro Forma'!$G$5:$EH$5,3,'Monthly Pro Forma'!$G53:$EH53)</f>
        <v>419985</v>
      </c>
      <c r="BP29" s="437">
        <f t="shared" si="217"/>
        <v>1721.25</v>
      </c>
      <c r="BQ29" s="438">
        <f t="shared" si="218"/>
        <v>1.7988666735197369</v>
      </c>
      <c r="BR29" s="439">
        <f t="shared" ca="1" si="236"/>
        <v>7.9042339181723362E-2</v>
      </c>
      <c r="BS29" s="440">
        <f t="shared" si="219"/>
        <v>34998.75</v>
      </c>
      <c r="BT29" s="441">
        <f t="shared" si="220"/>
        <v>143.4375</v>
      </c>
      <c r="BU29" s="402"/>
    </row>
    <row r="30" spans="2:73" s="145" customFormat="1" x14ac:dyDescent="0.2">
      <c r="B30" s="534" t="s">
        <v>152</v>
      </c>
      <c r="C30" s="458"/>
      <c r="D30" s="458"/>
      <c r="E30" s="459"/>
      <c r="F30" s="460">
        <f>SUM(F21:F29)</f>
        <v>0</v>
      </c>
      <c r="G30" s="461">
        <f t="shared" si="190"/>
        <v>0</v>
      </c>
      <c r="H30" s="462">
        <f t="shared" si="191"/>
        <v>0</v>
      </c>
      <c r="I30" s="463">
        <f t="shared" si="221"/>
        <v>0</v>
      </c>
      <c r="J30" s="464">
        <f t="shared" si="222"/>
        <v>0</v>
      </c>
      <c r="K30" s="460">
        <f t="shared" si="192"/>
        <v>0</v>
      </c>
      <c r="L30" s="465"/>
      <c r="M30" s="460">
        <f>SUM(M21:M29)</f>
        <v>0</v>
      </c>
      <c r="N30" s="461">
        <f t="shared" si="193"/>
        <v>0</v>
      </c>
      <c r="O30" s="462">
        <f t="shared" si="194"/>
        <v>0</v>
      </c>
      <c r="P30" s="463">
        <f t="shared" si="223"/>
        <v>0</v>
      </c>
      <c r="Q30" s="464">
        <f t="shared" si="224"/>
        <v>0</v>
      </c>
      <c r="R30" s="460">
        <f t="shared" si="195"/>
        <v>0</v>
      </c>
      <c r="S30" s="465"/>
      <c r="T30" s="460">
        <f>SUM(T21:T29)</f>
        <v>1460366.6800000002</v>
      </c>
      <c r="U30" s="461">
        <f t="shared" si="196"/>
        <v>5985.109344262296</v>
      </c>
      <c r="V30" s="462">
        <f t="shared" si="197"/>
        <v>6.2549970874451759</v>
      </c>
      <c r="W30" s="463">
        <f t="shared" si="225"/>
        <v>0.40650596521309584</v>
      </c>
      <c r="X30" s="464">
        <f t="shared" si="226"/>
        <v>121697.22333333334</v>
      </c>
      <c r="Y30" s="460">
        <f t="shared" si="198"/>
        <v>498.75911202185796</v>
      </c>
      <c r="Z30" s="465"/>
      <c r="AA30" s="460">
        <f>SUM(AA21:AA29)</f>
        <v>1460366.6800000002</v>
      </c>
      <c r="AB30" s="461">
        <f t="shared" si="199"/>
        <v>5985.109344262296</v>
      </c>
      <c r="AC30" s="462">
        <f t="shared" si="200"/>
        <v>6.2549970874451759</v>
      </c>
      <c r="AD30" s="463">
        <f t="shared" si="228"/>
        <v>0.39648479270197662</v>
      </c>
      <c r="AE30" s="464">
        <f t="shared" si="229"/>
        <v>121697.22333333334</v>
      </c>
      <c r="AF30" s="460">
        <f t="shared" si="201"/>
        <v>498.75911202185796</v>
      </c>
      <c r="AG30" s="465"/>
      <c r="AH30" s="460">
        <f>SUM(AH21:AH29)</f>
        <v>1460366.6800000002</v>
      </c>
      <c r="AI30" s="461">
        <f t="shared" si="202"/>
        <v>5985.109344262296</v>
      </c>
      <c r="AJ30" s="462">
        <f t="shared" si="203"/>
        <v>6.2549970874451759</v>
      </c>
      <c r="AK30" s="463">
        <f>IFERROR(AH30/AH$18,0)</f>
        <v>0.38332879823984339</v>
      </c>
      <c r="AL30" s="464">
        <f t="shared" si="232"/>
        <v>121697.22333333334</v>
      </c>
      <c r="AM30" s="460">
        <f t="shared" si="204"/>
        <v>498.75911202185796</v>
      </c>
      <c r="AN30" s="466"/>
      <c r="AO30" s="535">
        <f>SUM(AO21:AO29)</f>
        <v>1460366.6800000002</v>
      </c>
      <c r="AP30" s="460">
        <f t="shared" si="206"/>
        <v>5985.109344262296</v>
      </c>
      <c r="AQ30" s="467">
        <f t="shared" si="207"/>
        <v>6.2549970874451759</v>
      </c>
      <c r="AR30" s="468">
        <f t="shared" si="233"/>
        <v>0.38332879823984339</v>
      </c>
      <c r="AS30" s="469"/>
      <c r="AT30" s="470">
        <f>SUM(AT21:AT29)</f>
        <v>1277649.0123999999</v>
      </c>
      <c r="AU30" s="460">
        <f>IFERROR(AT30/units,0)</f>
        <v>5236.2664442622945</v>
      </c>
      <c r="AV30" s="467">
        <f t="shared" si="208"/>
        <v>5.4723864634731356</v>
      </c>
      <c r="AW30" s="471">
        <f t="shared" si="238"/>
        <v>0.3359839844451063</v>
      </c>
      <c r="AX30" s="531"/>
      <c r="AY30" s="536"/>
      <c r="AZ30" s="474"/>
      <c r="BA30" s="460">
        <f ca="1">SUM(BA21:BA29)</f>
        <v>1415599.9703247964</v>
      </c>
      <c r="BB30" s="461">
        <f t="shared" ca="1" si="209"/>
        <v>5801.6392226426078</v>
      </c>
      <c r="BC30" s="462">
        <f t="shared" ca="1" si="210"/>
        <v>6.0632537106153901</v>
      </c>
      <c r="BD30" s="463">
        <f ca="1">IFERROR(BA30/BA$18,0)</f>
        <v>0.34196133136213858</v>
      </c>
      <c r="BE30" s="464">
        <f t="shared" ca="1" si="211"/>
        <v>117966.66419373303</v>
      </c>
      <c r="BF30" s="460">
        <f t="shared" ca="1" si="212"/>
        <v>483.46993522021734</v>
      </c>
      <c r="BG30" s="475"/>
      <c r="BH30" s="460">
        <f ca="1">SUM(BH21:BH29)</f>
        <v>1569906.3625459771</v>
      </c>
      <c r="BI30" s="461">
        <f t="shared" ca="1" si="213"/>
        <v>6434.0424694507255</v>
      </c>
      <c r="BJ30" s="462">
        <f t="shared" ca="1" si="214"/>
        <v>6.7241740446219556</v>
      </c>
      <c r="BK30" s="463">
        <f ca="1">IFERROR(BH30/BH$18,0)</f>
        <v>0.33131208610893764</v>
      </c>
      <c r="BL30" s="464">
        <f t="shared" ca="1" si="215"/>
        <v>130825.53021216475</v>
      </c>
      <c r="BM30" s="460">
        <f t="shared" ca="1" si="216"/>
        <v>536.17020578756046</v>
      </c>
      <c r="BN30" s="475"/>
      <c r="BO30" s="460">
        <f ca="1">SUM(BO21:BO29)</f>
        <v>1625870.4363471423</v>
      </c>
      <c r="BP30" s="461">
        <f t="shared" ca="1" si="217"/>
        <v>6663.4034276522225</v>
      </c>
      <c r="BQ30" s="462">
        <f t="shared" ca="1" si="218"/>
        <v>6.9638776227862111</v>
      </c>
      <c r="BR30" s="463">
        <f ca="1">IFERROR(BO30/BO$18,0)</f>
        <v>0.30599331522622802</v>
      </c>
      <c r="BS30" s="464">
        <f t="shared" ca="1" si="219"/>
        <v>135489.20302892852</v>
      </c>
      <c r="BT30" s="460">
        <f t="shared" ca="1" si="220"/>
        <v>555.28361897101854</v>
      </c>
      <c r="BU30" s="476"/>
    </row>
    <row r="31" spans="2:73" ht="7.5" customHeight="1" thickBot="1" x14ac:dyDescent="0.25">
      <c r="B31" s="427"/>
      <c r="C31" s="427"/>
      <c r="D31" s="427"/>
      <c r="E31" s="537"/>
      <c r="F31" s="451"/>
      <c r="G31" s="451"/>
      <c r="H31" s="451"/>
      <c r="I31" s="451"/>
      <c r="J31" s="452"/>
      <c r="K31" s="451"/>
      <c r="L31" s="453"/>
      <c r="M31" s="451"/>
      <c r="N31" s="451"/>
      <c r="O31" s="451"/>
      <c r="P31" s="451"/>
      <c r="Q31" s="452"/>
      <c r="R31" s="451"/>
      <c r="S31" s="453"/>
      <c r="T31" s="451"/>
      <c r="U31" s="451"/>
      <c r="V31" s="451"/>
      <c r="W31" s="451"/>
      <c r="X31" s="452"/>
      <c r="Y31" s="451"/>
      <c r="Z31" s="453"/>
      <c r="AA31" s="451"/>
      <c r="AB31" s="451"/>
      <c r="AC31" s="451"/>
      <c r="AD31" s="451"/>
      <c r="AE31" s="452"/>
      <c r="AF31" s="451"/>
      <c r="AG31" s="453"/>
      <c r="AH31" s="451"/>
      <c r="AI31" s="451"/>
      <c r="AJ31" s="451"/>
      <c r="AK31" s="451"/>
      <c r="AL31" s="452"/>
      <c r="AM31" s="451"/>
      <c r="AN31" s="451"/>
      <c r="AO31" s="451"/>
      <c r="AP31" s="451"/>
      <c r="AQ31" s="451"/>
      <c r="AR31" s="508"/>
      <c r="AS31" s="451"/>
      <c r="AT31" s="440"/>
      <c r="AU31" s="441"/>
      <c r="AV31" s="441"/>
      <c r="AW31" s="451"/>
      <c r="AX31" s="538"/>
      <c r="AY31" s="451"/>
      <c r="AZ31" s="457"/>
      <c r="BA31" s="451"/>
      <c r="BB31" s="451"/>
      <c r="BC31" s="451"/>
      <c r="BD31" s="451"/>
      <c r="BE31" s="452"/>
      <c r="BF31" s="451"/>
      <c r="BG31" s="405"/>
      <c r="BH31" s="451"/>
      <c r="BI31" s="451"/>
      <c r="BJ31" s="451"/>
      <c r="BK31" s="451"/>
      <c r="BL31" s="452"/>
      <c r="BM31" s="451"/>
      <c r="BN31" s="405"/>
      <c r="BO31" s="451"/>
      <c r="BP31" s="451"/>
      <c r="BQ31" s="451"/>
      <c r="BR31" s="451"/>
      <c r="BS31" s="452"/>
      <c r="BT31" s="451"/>
      <c r="BU31" s="402"/>
    </row>
    <row r="32" spans="2:73" x14ac:dyDescent="0.2">
      <c r="B32" s="458" t="s">
        <v>23</v>
      </c>
      <c r="C32" s="427"/>
      <c r="D32" s="427"/>
      <c r="E32" s="433"/>
      <c r="F32" s="460">
        <f>F18-F30</f>
        <v>0</v>
      </c>
      <c r="G32" s="460">
        <f>IFERROR(F32/units,0)</f>
        <v>0</v>
      </c>
      <c r="H32" s="467">
        <f>IFERROR(F32/NRA,0)</f>
        <v>0</v>
      </c>
      <c r="I32" s="539">
        <f t="shared" ref="I32:I34" si="239">IFERROR(F32/$F$18,0)</f>
        <v>0</v>
      </c>
      <c r="J32" s="464">
        <f t="shared" ref="J32:J34" si="240">IFERROR(F32/12,0)</f>
        <v>0</v>
      </c>
      <c r="K32" s="460">
        <f>IFERROR(J32/units,0)</f>
        <v>0</v>
      </c>
      <c r="L32" s="465"/>
      <c r="M32" s="460">
        <f>M18-M30</f>
        <v>0</v>
      </c>
      <c r="N32" s="460">
        <f>IFERROR(M32/units,0)</f>
        <v>0</v>
      </c>
      <c r="O32" s="467">
        <f>IFERROR(M32/NRA,0)</f>
        <v>0</v>
      </c>
      <c r="P32" s="539">
        <f>IFERROR(M32/$M$18,0)</f>
        <v>0</v>
      </c>
      <c r="Q32" s="464">
        <f t="shared" ref="Q32:Q34" si="241">IFERROR(M32/12,0)</f>
        <v>0</v>
      </c>
      <c r="R32" s="460">
        <f>IFERROR(Q32/units,0)</f>
        <v>0</v>
      </c>
      <c r="S32" s="465"/>
      <c r="T32" s="460">
        <f>T18-T30</f>
        <v>2132118.5599999996</v>
      </c>
      <c r="U32" s="460">
        <f>IFERROR(T32/units,0)</f>
        <v>8738.1908196721288</v>
      </c>
      <c r="V32" s="467">
        <f>IFERROR(T32/NRA,0)</f>
        <v>9.1322238212719284</v>
      </c>
      <c r="W32" s="539">
        <f>IFERROR(T32/$T$18,0)</f>
        <v>0.59349403478690421</v>
      </c>
      <c r="X32" s="464">
        <f t="shared" ref="X32:X34" si="242">IFERROR(T32/12,0)</f>
        <v>177676.54666666663</v>
      </c>
      <c r="Y32" s="460">
        <f>IFERROR(X32/units,0)</f>
        <v>728.18256830601081</v>
      </c>
      <c r="Z32" s="465"/>
      <c r="AA32" s="460">
        <f>AA18-AA30</f>
        <v>2222918.7999999993</v>
      </c>
      <c r="AB32" s="460">
        <f>IFERROR(AA32/units,0)</f>
        <v>9110.3229508196691</v>
      </c>
      <c r="AC32" s="467">
        <f>IFERROR(AA32/NRA,0)</f>
        <v>9.5211365816885944</v>
      </c>
      <c r="AD32" s="539">
        <f>IFERROR(AA32/$AA$18,0)</f>
        <v>0.60351520729802344</v>
      </c>
      <c r="AE32" s="464">
        <f t="shared" ref="AE32:AE34" si="243">IFERROR(AA32/12,0)</f>
        <v>185243.23333333328</v>
      </c>
      <c r="AF32" s="460">
        <f>IFERROR(AE32/units,0)</f>
        <v>759.1935792349725</v>
      </c>
      <c r="AG32" s="465"/>
      <c r="AH32" s="460">
        <f>AH18-AH30</f>
        <v>2349330.5999999996</v>
      </c>
      <c r="AI32" s="460">
        <f>IFERROR(AH32/units,0)</f>
        <v>9628.4040983606537</v>
      </c>
      <c r="AJ32" s="467">
        <f>IFERROR(AH32/NRA,0)</f>
        <v>10.062579666940788</v>
      </c>
      <c r="AK32" s="539">
        <f>IFERROR(AH32/AH$18,0)</f>
        <v>0.61667120176015655</v>
      </c>
      <c r="AL32" s="464">
        <f t="shared" ref="AL32:AL34" si="244">IFERROR(AH32/12,0)</f>
        <v>195777.54999999996</v>
      </c>
      <c r="AM32" s="460">
        <f>IFERROR(AL32/units,0)</f>
        <v>802.36700819672114</v>
      </c>
      <c r="AN32" s="466"/>
      <c r="AO32" s="460">
        <f>AO18-AO30</f>
        <v>2349330.5999999996</v>
      </c>
      <c r="AP32" s="460">
        <f>IFERROR(AO32/units,0)</f>
        <v>9628.4040983606537</v>
      </c>
      <c r="AQ32" s="467">
        <f>IFERROR(AO32/NRA,0)</f>
        <v>10.062579666940788</v>
      </c>
      <c r="AR32" s="468">
        <f t="shared" ref="AR32:AR34" si="245">IFERROR(AO32/AO$18,0)</f>
        <v>0.61667120176015655</v>
      </c>
      <c r="AS32" s="469"/>
      <c r="AT32" s="470">
        <f>AT18-AT30</f>
        <v>2525059.0675999997</v>
      </c>
      <c r="AU32" s="460">
        <f>IFERROR(AT32/units,0)</f>
        <v>10348.602736065573</v>
      </c>
      <c r="AV32" s="467">
        <f>IFERROR(AT32/NRA,0)</f>
        <v>10.815254367118968</v>
      </c>
      <c r="AW32" s="471">
        <f t="shared" ref="AW32:AW34" si="246">IFERROR(AT32/AT$18,0)</f>
        <v>0.66401601555489376</v>
      </c>
      <c r="AX32" s="540"/>
      <c r="AY32" s="466"/>
      <c r="AZ32" s="474"/>
      <c r="BA32" s="460">
        <f ca="1">BA18-BA30</f>
        <v>2724049.2838350832</v>
      </c>
      <c r="BB32" s="460">
        <f ca="1">IFERROR(BA32/units,0)</f>
        <v>11164.136409160177</v>
      </c>
      <c r="BC32" s="467">
        <f ca="1">IFERROR(BA32/NRA,0)</f>
        <v>11.667563064671922</v>
      </c>
      <c r="BD32" s="539">
        <f ca="1">IFERROR(BA32/BA$18,0)</f>
        <v>0.65803866863786142</v>
      </c>
      <c r="BE32" s="464">
        <f t="shared" ref="BE32:BE34" ca="1" si="247">IFERROR(BA32/12,0)</f>
        <v>227004.10698625693</v>
      </c>
      <c r="BF32" s="460">
        <f ca="1">IFERROR(BE32/units,0)</f>
        <v>930.3447007633481</v>
      </c>
      <c r="BG32" s="405"/>
      <c r="BH32" s="460">
        <f ca="1">BH18-BH30</f>
        <v>3168545.4729532609</v>
      </c>
      <c r="BI32" s="460">
        <f ca="1">IFERROR(BH32/units,0)</f>
        <v>12985.842102267463</v>
      </c>
      <c r="BJ32" s="467">
        <f ca="1">IFERROR(BH32/NRA,0)</f>
        <v>13.571415300135609</v>
      </c>
      <c r="BK32" s="539">
        <f ca="1">IFERROR(BH32/BH$18,0)</f>
        <v>0.6686879138910623</v>
      </c>
      <c r="BL32" s="464">
        <f t="shared" ref="BL32:BL34" ca="1" si="248">IFERROR(BH32/12,0)</f>
        <v>264045.45607943839</v>
      </c>
      <c r="BM32" s="460">
        <f ca="1">IFERROR(BL32/units,0)</f>
        <v>1082.1535085222886</v>
      </c>
      <c r="BN32" s="405"/>
      <c r="BO32" s="460">
        <f ca="1">BO18-BO30</f>
        <v>3687547.7183765913</v>
      </c>
      <c r="BP32" s="460">
        <f ca="1">IFERROR(BO32/units,0)</f>
        <v>15112.900485149965</v>
      </c>
      <c r="BQ32" s="467">
        <f ca="1">IFERROR(BO32/NRA,0)</f>
        <v>15.794389555820789</v>
      </c>
      <c r="BR32" s="539">
        <f ca="1">IFERROR(BO32/BO$18,0)</f>
        <v>0.69400668477377192</v>
      </c>
      <c r="BS32" s="464">
        <f t="shared" ref="BS32:BS34" ca="1" si="249">IFERROR(BO32/12,0)</f>
        <v>307295.64319804928</v>
      </c>
      <c r="BT32" s="460">
        <f ca="1">IFERROR(BS32/units,0)</f>
        <v>1259.4083737624971</v>
      </c>
      <c r="BU32" s="402"/>
    </row>
    <row r="33" spans="2:73" x14ac:dyDescent="0.2">
      <c r="B33" s="427"/>
      <c r="C33" s="427" t="s">
        <v>453</v>
      </c>
      <c r="D33" s="427"/>
      <c r="E33" s="433"/>
      <c r="F33" s="441">
        <f>G33*units</f>
        <v>0</v>
      </c>
      <c r="G33" s="443">
        <v>0</v>
      </c>
      <c r="H33" s="438">
        <f>IFERROR(F33/NRA,0)</f>
        <v>0</v>
      </c>
      <c r="I33" s="439">
        <f t="shared" si="239"/>
        <v>0</v>
      </c>
      <c r="J33" s="440">
        <f t="shared" si="240"/>
        <v>0</v>
      </c>
      <c r="K33" s="441">
        <f>IFERROR(J33/units,0)</f>
        <v>0</v>
      </c>
      <c r="L33" s="442"/>
      <c r="M33" s="441">
        <f>N33*units</f>
        <v>0</v>
      </c>
      <c r="N33" s="443">
        <v>0</v>
      </c>
      <c r="O33" s="438">
        <f>IFERROR(M33/NRA,0)</f>
        <v>0</v>
      </c>
      <c r="P33" s="439">
        <f>IFERROR(M33/$M$18,0)</f>
        <v>0</v>
      </c>
      <c r="Q33" s="440">
        <f t="shared" si="241"/>
        <v>0</v>
      </c>
      <c r="R33" s="441">
        <f>IFERROR(Q33/units,0)</f>
        <v>0</v>
      </c>
      <c r="S33" s="442"/>
      <c r="T33" s="441">
        <f>U33*units</f>
        <v>0</v>
      </c>
      <c r="U33" s="443">
        <v>0</v>
      </c>
      <c r="V33" s="438">
        <f>IFERROR(T33/NRA,0)</f>
        <v>0</v>
      </c>
      <c r="W33" s="439">
        <f>IFERROR(T33/$T$18,0)</f>
        <v>0</v>
      </c>
      <c r="X33" s="440">
        <f t="shared" si="242"/>
        <v>0</v>
      </c>
      <c r="Y33" s="441">
        <f>IFERROR(X33/units,0)</f>
        <v>0</v>
      </c>
      <c r="Z33" s="442"/>
      <c r="AA33" s="441">
        <f>AB33*units</f>
        <v>0</v>
      </c>
      <c r="AB33" s="443">
        <v>0</v>
      </c>
      <c r="AC33" s="438">
        <f>IFERROR(AA33/NRA,0)</f>
        <v>0</v>
      </c>
      <c r="AD33" s="439">
        <f>IFERROR(AA33/$AA$18,0)</f>
        <v>0</v>
      </c>
      <c r="AE33" s="440">
        <f t="shared" si="243"/>
        <v>0</v>
      </c>
      <c r="AF33" s="441">
        <f>IFERROR(AE33/units,0)</f>
        <v>0</v>
      </c>
      <c r="AG33" s="442"/>
      <c r="AH33" s="441">
        <f>AI33*units</f>
        <v>0</v>
      </c>
      <c r="AI33" s="443">
        <v>0</v>
      </c>
      <c r="AJ33" s="438">
        <f>IFERROR(AH33/NRA,0)</f>
        <v>0</v>
      </c>
      <c r="AK33" s="439">
        <f>IFERROR(AH33/AH$18,0)</f>
        <v>0</v>
      </c>
      <c r="AL33" s="440">
        <f t="shared" si="244"/>
        <v>0</v>
      </c>
      <c r="AM33" s="441">
        <f>IFERROR(AL33/units,0)</f>
        <v>0</v>
      </c>
      <c r="AN33" s="441"/>
      <c r="AO33" s="441">
        <f>AP33*units</f>
        <v>0</v>
      </c>
      <c r="AP33" s="541">
        <v>0</v>
      </c>
      <c r="AQ33" s="444">
        <f>IFERROR(AO33/NRA,0)</f>
        <v>0</v>
      </c>
      <c r="AR33" s="445">
        <f t="shared" si="245"/>
        <v>0</v>
      </c>
      <c r="AS33" s="272"/>
      <c r="AT33" s="446">
        <f>AU33*units</f>
        <v>61000</v>
      </c>
      <c r="AU33" s="447">
        <v>250</v>
      </c>
      <c r="AV33" s="444">
        <f>IFERROR(AT33/NRA,0)</f>
        <v>0.26127330043859648</v>
      </c>
      <c r="AW33" s="272">
        <f t="shared" si="246"/>
        <v>1.6041199775713524E-2</v>
      </c>
      <c r="AX33" s="527"/>
      <c r="AY33" s="441"/>
      <c r="AZ33" s="449"/>
      <c r="BA33" s="441">
        <f>-SUMIF('Monthly Pro Forma'!$G$5:$EH$5,1,'Monthly Pro Forma'!$G59:$EH59)</f>
        <v>48800</v>
      </c>
      <c r="BB33" s="441">
        <f>IFERROR(BA33/units,0)</f>
        <v>200</v>
      </c>
      <c r="BC33" s="438">
        <f>IFERROR(BA33/NRA,0)</f>
        <v>0.20901864035087719</v>
      </c>
      <c r="BD33" s="439">
        <f ca="1">IFERROR(BA33/BA$18,0)</f>
        <v>1.178843834437459E-2</v>
      </c>
      <c r="BE33" s="440">
        <f t="shared" si="247"/>
        <v>4066.6666666666665</v>
      </c>
      <c r="BF33" s="441">
        <f>IFERROR(BE33/units,0)</f>
        <v>16.666666666666664</v>
      </c>
      <c r="BG33" s="405"/>
      <c r="BH33" s="441">
        <f>-SUMIF('Monthly Pro Forma'!$G$5:$EH$5,2,'Monthly Pro Forma'!$G59:$EH59)</f>
        <v>48800</v>
      </c>
      <c r="BI33" s="441">
        <f>IFERROR(BH33/units,0)</f>
        <v>200</v>
      </c>
      <c r="BJ33" s="438">
        <f>IFERROR(BH33/NRA,0)</f>
        <v>0.20901864035087719</v>
      </c>
      <c r="BK33" s="439">
        <f ca="1">IFERROR(BH33/BH$18,0)</f>
        <v>1.029872238742688E-2</v>
      </c>
      <c r="BL33" s="440">
        <f t="shared" si="248"/>
        <v>4066.6666666666665</v>
      </c>
      <c r="BM33" s="441">
        <f>IFERROR(BL33/units,0)</f>
        <v>16.666666666666664</v>
      </c>
      <c r="BN33" s="405"/>
      <c r="BO33" s="441">
        <f>-SUMIF('Monthly Pro Forma'!$G$5:$EH$5,3,'Monthly Pro Forma'!$G59:$EH59)</f>
        <v>48800</v>
      </c>
      <c r="BP33" s="441">
        <f>IFERROR(BO33/units,0)</f>
        <v>200</v>
      </c>
      <c r="BQ33" s="438">
        <f>IFERROR(BO33/NRA,0)</f>
        <v>0.20901864035087719</v>
      </c>
      <c r="BR33" s="439">
        <f ca="1">IFERROR(BO33/BO$18,0)</f>
        <v>9.1842950392706877E-3</v>
      </c>
      <c r="BS33" s="440">
        <f t="shared" si="249"/>
        <v>4066.6666666666665</v>
      </c>
      <c r="BT33" s="441">
        <f>IFERROR(BS33/units,0)</f>
        <v>16.666666666666664</v>
      </c>
      <c r="BU33" s="402"/>
    </row>
    <row r="34" spans="2:73" s="145" customFormat="1" ht="15" thickBot="1" x14ac:dyDescent="0.25">
      <c r="B34" s="458" t="s">
        <v>454</v>
      </c>
      <c r="C34" s="458"/>
      <c r="D34" s="458"/>
      <c r="E34" s="459"/>
      <c r="F34" s="497">
        <f>F32-F33</f>
        <v>0</v>
      </c>
      <c r="G34" s="498">
        <f>IFERROR(F34/units,0)</f>
        <v>0</v>
      </c>
      <c r="H34" s="499">
        <f>IFERROR(F34/NRA,0)</f>
        <v>0</v>
      </c>
      <c r="I34" s="542">
        <f t="shared" si="239"/>
        <v>0</v>
      </c>
      <c r="J34" s="501">
        <f t="shared" si="240"/>
        <v>0</v>
      </c>
      <c r="K34" s="497">
        <f>IFERROR(J34/units,0)</f>
        <v>0</v>
      </c>
      <c r="L34" s="465"/>
      <c r="M34" s="497">
        <f>M32-M33</f>
        <v>0</v>
      </c>
      <c r="N34" s="498">
        <f>IFERROR(M34/units,0)</f>
        <v>0</v>
      </c>
      <c r="O34" s="499">
        <f>IFERROR(M34/NRA,0)</f>
        <v>0</v>
      </c>
      <c r="P34" s="542">
        <f>IFERROR(M34/$M$18,0)</f>
        <v>0</v>
      </c>
      <c r="Q34" s="501">
        <f t="shared" si="241"/>
        <v>0</v>
      </c>
      <c r="R34" s="497">
        <f>IFERROR(Q34/units,0)</f>
        <v>0</v>
      </c>
      <c r="S34" s="465"/>
      <c r="T34" s="497">
        <f>T32-T33</f>
        <v>2132118.5599999996</v>
      </c>
      <c r="U34" s="498">
        <f>IFERROR(T34/units,0)</f>
        <v>8738.1908196721288</v>
      </c>
      <c r="V34" s="499">
        <f>IFERROR(T34/NRA,0)</f>
        <v>9.1322238212719284</v>
      </c>
      <c r="W34" s="542">
        <f>IFERROR(T34/$T$18,0)</f>
        <v>0.59349403478690421</v>
      </c>
      <c r="X34" s="501">
        <f t="shared" si="242"/>
        <v>177676.54666666663</v>
      </c>
      <c r="Y34" s="497">
        <f>IFERROR(X34/units,0)</f>
        <v>728.18256830601081</v>
      </c>
      <c r="Z34" s="465"/>
      <c r="AA34" s="497">
        <f>AA32-AA33</f>
        <v>2222918.7999999993</v>
      </c>
      <c r="AB34" s="498">
        <f>IFERROR(AA34/units,0)</f>
        <v>9110.3229508196691</v>
      </c>
      <c r="AC34" s="499">
        <f>IFERROR(AA34/NRA,0)</f>
        <v>9.5211365816885944</v>
      </c>
      <c r="AD34" s="542">
        <f>IFERROR(AA34/$AA$18,0)</f>
        <v>0.60351520729802344</v>
      </c>
      <c r="AE34" s="501">
        <f t="shared" si="243"/>
        <v>185243.23333333328</v>
      </c>
      <c r="AF34" s="497">
        <f>IFERROR(AE34/units,0)</f>
        <v>759.1935792349725</v>
      </c>
      <c r="AG34" s="465"/>
      <c r="AH34" s="497">
        <f>AH32-AH33</f>
        <v>2349330.5999999996</v>
      </c>
      <c r="AI34" s="498">
        <f>IFERROR(AH34/units,0)</f>
        <v>9628.4040983606537</v>
      </c>
      <c r="AJ34" s="499">
        <f>IFERROR(AH34/NRA,0)</f>
        <v>10.062579666940788</v>
      </c>
      <c r="AK34" s="542">
        <f>IFERROR(AH34/AH$18,0)</f>
        <v>0.61667120176015655</v>
      </c>
      <c r="AL34" s="501">
        <f t="shared" si="244"/>
        <v>195777.54999999996</v>
      </c>
      <c r="AM34" s="497">
        <f>IFERROR(AL34/units,0)</f>
        <v>802.36700819672114</v>
      </c>
      <c r="AN34" s="466"/>
      <c r="AO34" s="497">
        <f>AO32-AO33</f>
        <v>2349330.5999999996</v>
      </c>
      <c r="AP34" s="497">
        <f>IFERROR(AO34/units,0)</f>
        <v>9628.4040983606537</v>
      </c>
      <c r="AQ34" s="502">
        <f>IFERROR(AO34/NRA,0)</f>
        <v>10.062579666940788</v>
      </c>
      <c r="AR34" s="503">
        <f t="shared" si="245"/>
        <v>0.61667120176015655</v>
      </c>
      <c r="AS34" s="469"/>
      <c r="AT34" s="504">
        <f>AT32-AT33</f>
        <v>2464059.0675999997</v>
      </c>
      <c r="AU34" s="497">
        <f>IFERROR(AT34/units,0)</f>
        <v>10098.602736065573</v>
      </c>
      <c r="AV34" s="502">
        <f>IFERROR(AT34/NRA,0)</f>
        <v>10.553981066680372</v>
      </c>
      <c r="AW34" s="505">
        <f t="shared" si="246"/>
        <v>0.64797481577918015</v>
      </c>
      <c r="AX34" s="540"/>
      <c r="AY34" s="466"/>
      <c r="AZ34" s="474"/>
      <c r="BA34" s="497">
        <f ca="1">BA32-BA33</f>
        <v>2675249.2838350832</v>
      </c>
      <c r="BB34" s="498">
        <f ca="1">IFERROR(BA34/units,0)</f>
        <v>10964.136409160177</v>
      </c>
      <c r="BC34" s="499">
        <f ca="1">IFERROR(BA34/NRA,0)</f>
        <v>11.458544424321046</v>
      </c>
      <c r="BD34" s="542">
        <f ca="1">IFERROR(BA34/BA$18,0)</f>
        <v>0.64625023029348683</v>
      </c>
      <c r="BE34" s="501">
        <f t="shared" ca="1" si="247"/>
        <v>222937.44031959027</v>
      </c>
      <c r="BF34" s="497">
        <f ca="1">IFERROR(BE34/units,0)</f>
        <v>913.67803409668147</v>
      </c>
      <c r="BG34" s="475"/>
      <c r="BH34" s="497">
        <f ca="1">BH32-BH33</f>
        <v>3119745.4729532609</v>
      </c>
      <c r="BI34" s="498">
        <f ca="1">IFERROR(BH34/units,0)</f>
        <v>12785.842102267463</v>
      </c>
      <c r="BJ34" s="499">
        <f ca="1">IFERROR(BH34/NRA,0)</f>
        <v>13.362396659784732</v>
      </c>
      <c r="BK34" s="542">
        <f ca="1">IFERROR(BH34/BH$18,0)</f>
        <v>0.65838919150363551</v>
      </c>
      <c r="BL34" s="501">
        <f t="shared" ca="1" si="248"/>
        <v>259978.78941277173</v>
      </c>
      <c r="BM34" s="497">
        <f ca="1">IFERROR(BL34/units,0)</f>
        <v>1065.4868418556218</v>
      </c>
      <c r="BN34" s="475"/>
      <c r="BO34" s="497">
        <f ca="1">BO32-BO33</f>
        <v>3638747.7183765913</v>
      </c>
      <c r="BP34" s="498">
        <f ca="1">IFERROR(BO34/units,0)</f>
        <v>14912.900485149965</v>
      </c>
      <c r="BQ34" s="499">
        <f ca="1">IFERROR(BO34/NRA,0)</f>
        <v>15.585370915469912</v>
      </c>
      <c r="BR34" s="542">
        <f ca="1">IFERROR(BO34/BO$18,0)</f>
        <v>0.68482238973450127</v>
      </c>
      <c r="BS34" s="501">
        <f t="shared" ca="1" si="249"/>
        <v>303228.97653138259</v>
      </c>
      <c r="BT34" s="497">
        <f ca="1">IFERROR(BS34/units,0)</f>
        <v>1242.7417070958304</v>
      </c>
      <c r="BU34" s="476"/>
    </row>
    <row r="35" spans="2:73" x14ac:dyDescent="0.2">
      <c r="B35" s="427"/>
      <c r="C35" s="427"/>
      <c r="D35" s="427"/>
      <c r="E35" s="458"/>
      <c r="F35" s="543"/>
      <c r="G35" s="543"/>
      <c r="H35" s="543"/>
      <c r="I35" s="543"/>
      <c r="J35" s="543"/>
      <c r="K35" s="544"/>
      <c r="L35" s="544"/>
      <c r="M35" s="543"/>
      <c r="N35" s="543"/>
      <c r="O35" s="544"/>
      <c r="P35" s="544"/>
      <c r="Q35" s="543"/>
      <c r="R35" s="543"/>
      <c r="S35" s="543"/>
      <c r="T35" s="543"/>
      <c r="U35" s="543"/>
      <c r="V35" s="544"/>
      <c r="W35" s="544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5"/>
      <c r="AO35" s="545"/>
      <c r="AP35" s="545"/>
      <c r="AQ35" s="545"/>
      <c r="AR35" s="545"/>
      <c r="AS35" s="545"/>
      <c r="AT35" s="546"/>
      <c r="AU35" s="546"/>
      <c r="AV35" s="546"/>
      <c r="AW35" s="545"/>
      <c r="AX35" s="545"/>
      <c r="AY35" s="545"/>
      <c r="AZ35" s="545"/>
      <c r="BA35" s="543"/>
      <c r="BB35" s="543"/>
      <c r="BC35" s="543"/>
      <c r="BD35" s="543"/>
      <c r="BE35" s="543"/>
      <c r="BF35" s="543"/>
      <c r="BH35" s="543"/>
      <c r="BI35" s="543"/>
      <c r="BJ35" s="543"/>
      <c r="BK35" s="543"/>
      <c r="BL35" s="543"/>
      <c r="BM35" s="543"/>
      <c r="BO35" s="543"/>
      <c r="BP35" s="543"/>
      <c r="BQ35" s="543"/>
      <c r="BR35" s="543"/>
      <c r="BS35" s="543"/>
      <c r="BT35" s="543"/>
    </row>
    <row r="36" spans="2:73" ht="15" thickBot="1" x14ac:dyDescent="0.25">
      <c r="F36" s="547"/>
      <c r="M36" s="547"/>
      <c r="T36" s="547"/>
      <c r="AA36" s="547"/>
      <c r="AH36" s="547">
        <f>AH17/AH26</f>
        <v>0.81157155581957929</v>
      </c>
      <c r="AO36" s="548"/>
      <c r="AP36" s="223"/>
      <c r="AQ36" s="223"/>
      <c r="AR36" s="223"/>
      <c r="AS36" s="223"/>
      <c r="AT36" s="549"/>
      <c r="AU36" s="550"/>
      <c r="AV36" s="550"/>
      <c r="BA36" s="551">
        <f>IFERROR(BA17/BA$26,0)</f>
        <v>0.82000000000000006</v>
      </c>
      <c r="BB36" s="552"/>
      <c r="BC36" s="552"/>
      <c r="BD36" s="552"/>
      <c r="BE36" s="552"/>
      <c r="BF36" s="552"/>
      <c r="BG36" s="544"/>
      <c r="BH36" s="551">
        <f>IFERROR(BH17/BH$26,0)</f>
        <v>0.81999999999999973</v>
      </c>
      <c r="BI36" s="552"/>
      <c r="BJ36" s="552"/>
      <c r="BK36" s="552"/>
      <c r="BL36" s="552"/>
      <c r="BM36" s="552"/>
      <c r="BO36" s="551">
        <f>IFERROR(BO17/BO$26,0)</f>
        <v>0.81999999999999973</v>
      </c>
      <c r="BP36" s="552"/>
      <c r="BQ36" s="552"/>
      <c r="BR36" s="552"/>
      <c r="BS36" s="552"/>
      <c r="BT36" s="552"/>
    </row>
    <row r="37" spans="2:73" x14ac:dyDescent="0.2">
      <c r="AO37" s="553" t="s">
        <v>455</v>
      </c>
      <c r="AP37" s="554"/>
      <c r="AQ37" s="554"/>
      <c r="AR37" s="554"/>
      <c r="AS37" s="554"/>
      <c r="AT37" s="554"/>
      <c r="AU37" s="555" t="s">
        <v>456</v>
      </c>
      <c r="AV37" s="556"/>
      <c r="AW37" s="557" t="s">
        <v>67</v>
      </c>
    </row>
    <row r="38" spans="2:73" x14ac:dyDescent="0.2">
      <c r="AH38" s="558"/>
      <c r="AO38" s="559" t="s">
        <v>211</v>
      </c>
      <c r="AP38" s="560"/>
      <c r="AQ38" s="560"/>
      <c r="AR38" s="560"/>
      <c r="AS38" s="560"/>
      <c r="AT38" s="560"/>
      <c r="AU38" s="561">
        <v>5</v>
      </c>
      <c r="AV38" s="562"/>
      <c r="AW38" s="563">
        <f>ROUNDUP(AU38*12,0)</f>
        <v>60</v>
      </c>
    </row>
    <row r="39" spans="2:73" x14ac:dyDescent="0.2">
      <c r="AH39" s="558"/>
      <c r="AO39" s="564" t="s">
        <v>240</v>
      </c>
      <c r="AP39" s="562"/>
      <c r="AQ39" s="562"/>
      <c r="AR39" s="562"/>
      <c r="AS39" s="562"/>
      <c r="AT39" s="562"/>
      <c r="AU39" s="565">
        <f>IFERROR(ROUNDUP(AW39/12,0),0)</f>
        <v>4</v>
      </c>
      <c r="AV39" s="562"/>
      <c r="AW39" s="566">
        <v>48</v>
      </c>
    </row>
    <row r="40" spans="2:73" x14ac:dyDescent="0.2">
      <c r="AH40" s="558"/>
      <c r="AO40" s="564" t="s">
        <v>1</v>
      </c>
      <c r="AP40" s="562"/>
      <c r="AQ40" s="560"/>
      <c r="AR40" s="560"/>
      <c r="AS40" s="560"/>
      <c r="AT40" s="562"/>
      <c r="AU40" s="561">
        <v>30</v>
      </c>
      <c r="AV40" s="562"/>
      <c r="AW40" s="563">
        <f>ROUNDUP(AU40*12,0)</f>
        <v>360</v>
      </c>
    </row>
    <row r="41" spans="2:73" x14ac:dyDescent="0.2">
      <c r="AH41" s="558"/>
      <c r="AO41" s="567" t="s">
        <v>88</v>
      </c>
      <c r="AP41" s="562"/>
      <c r="AQ41" s="560"/>
      <c r="AR41" s="560"/>
      <c r="AS41" s="560"/>
      <c r="AT41" s="562"/>
      <c r="AU41" s="562"/>
      <c r="AV41" s="562"/>
      <c r="AW41" s="563"/>
    </row>
    <row r="42" spans="2:73" x14ac:dyDescent="0.2">
      <c r="AO42" s="564" t="s">
        <v>457</v>
      </c>
      <c r="AP42" s="562"/>
      <c r="AQ42" s="562"/>
      <c r="AR42" s="562"/>
      <c r="AS42" s="562"/>
      <c r="AT42" s="562"/>
      <c r="AU42" s="568">
        <v>4.1200000000000001E-2</v>
      </c>
      <c r="AV42" s="562"/>
      <c r="AW42" s="569"/>
    </row>
    <row r="43" spans="2:73" ht="15" thickBot="1" x14ac:dyDescent="0.25">
      <c r="AO43" s="564" t="s">
        <v>458</v>
      </c>
      <c r="AP43" s="562"/>
      <c r="AQ43" s="562"/>
      <c r="AR43" s="562"/>
      <c r="AS43" s="562"/>
      <c r="AT43" s="562"/>
      <c r="AU43" s="570">
        <v>163</v>
      </c>
      <c r="AV43" s="562"/>
      <c r="AW43" s="569"/>
    </row>
    <row r="44" spans="2:73" ht="15" thickBot="1" x14ac:dyDescent="0.25">
      <c r="AO44" s="571" t="s">
        <v>88</v>
      </c>
      <c r="AP44" s="572"/>
      <c r="AQ44" s="572"/>
      <c r="AR44" s="572"/>
      <c r="AS44" s="572"/>
      <c r="AT44" s="572"/>
      <c r="AU44" s="573">
        <f>AU42+IFERROR(AU43/10000,0)</f>
        <v>5.7499999999999996E-2</v>
      </c>
      <c r="AV44" s="572"/>
      <c r="AW44" s="574">
        <f>IFERROR(AU44/12,0)</f>
        <v>4.7916666666666663E-3</v>
      </c>
    </row>
    <row r="45" spans="2:73" x14ac:dyDescent="0.2">
      <c r="AO45" s="562"/>
      <c r="AP45" s="562"/>
      <c r="AQ45" s="562"/>
      <c r="AR45" s="562"/>
      <c r="AS45" s="562"/>
      <c r="AT45" s="562"/>
      <c r="AU45" s="562"/>
      <c r="AV45" s="562"/>
      <c r="AW45" s="562"/>
    </row>
    <row r="46" spans="2:73" x14ac:dyDescent="0.2">
      <c r="AO46" s="575" t="s">
        <v>459</v>
      </c>
      <c r="AP46" s="562"/>
      <c r="AQ46" s="562"/>
      <c r="AR46" s="562"/>
      <c r="AS46" s="562"/>
      <c r="AT46" s="562"/>
      <c r="AU46" s="576" t="s">
        <v>838</v>
      </c>
      <c r="AV46" s="576"/>
      <c r="AW46" s="577" t="s">
        <v>83</v>
      </c>
    </row>
    <row r="47" spans="2:73" x14ac:dyDescent="0.2">
      <c r="AO47" s="578" t="s">
        <v>460</v>
      </c>
      <c r="AP47" s="579"/>
      <c r="AQ47" s="580"/>
      <c r="AR47" s="580"/>
      <c r="AS47" s="580"/>
      <c r="AT47" s="579"/>
      <c r="AU47" s="581">
        <f>IF(AU46="Adjusted NOI",AT34,AO34)</f>
        <v>2464059.0675999997</v>
      </c>
      <c r="AV47" s="581"/>
      <c r="AW47" s="581">
        <f>IFERROR(AU47/units,0)</f>
        <v>10098.602736065573</v>
      </c>
    </row>
    <row r="48" spans="2:73" x14ac:dyDescent="0.2">
      <c r="AO48" s="582" t="s">
        <v>144</v>
      </c>
      <c r="AP48" s="562"/>
      <c r="AQ48" s="562"/>
      <c r="AR48" s="562"/>
      <c r="AS48" s="562"/>
      <c r="AT48" s="562"/>
      <c r="AU48" s="583">
        <v>4.4999999999999998E-2</v>
      </c>
      <c r="AV48" s="584"/>
      <c r="AW48" s="562"/>
    </row>
    <row r="49" spans="41:50" x14ac:dyDescent="0.2">
      <c r="AO49" s="585" t="s">
        <v>461</v>
      </c>
      <c r="AP49" s="585"/>
      <c r="AQ49" s="586"/>
      <c r="AR49" s="586"/>
      <c r="AS49" s="586"/>
      <c r="AT49" s="585"/>
      <c r="AU49" s="586">
        <f>IFERROR(AU47/AU48,0)</f>
        <v>54756868.168888882</v>
      </c>
      <c r="AV49" s="586"/>
      <c r="AW49" s="587">
        <f>IFERROR(AU49/units,0)</f>
        <v>224413.39413479049</v>
      </c>
    </row>
    <row r="50" spans="41:50" x14ac:dyDescent="0.2">
      <c r="AO50" s="562"/>
      <c r="AP50" s="562"/>
      <c r="AQ50" s="562"/>
      <c r="AR50" s="562"/>
      <c r="AS50" s="562"/>
      <c r="AT50" s="562"/>
      <c r="AU50" s="562"/>
      <c r="AV50" s="562"/>
      <c r="AW50" s="562"/>
    </row>
    <row r="51" spans="41:50" x14ac:dyDescent="0.2">
      <c r="AO51" s="588" t="s">
        <v>438</v>
      </c>
      <c r="AP51" s="589"/>
      <c r="AQ51" s="589"/>
      <c r="AR51" s="589"/>
      <c r="AS51" s="589"/>
      <c r="AT51" s="589"/>
      <c r="AU51" s="590" t="s">
        <v>5</v>
      </c>
      <c r="AV51" s="589"/>
      <c r="AW51" s="590" t="s">
        <v>173</v>
      </c>
    </row>
    <row r="52" spans="41:50" x14ac:dyDescent="0.2">
      <c r="AO52" s="580" t="s">
        <v>462</v>
      </c>
      <c r="AP52" s="562"/>
      <c r="AQ52" s="560"/>
      <c r="AR52" s="560"/>
      <c r="AS52" s="560"/>
      <c r="AT52" s="562"/>
      <c r="AU52" s="562"/>
      <c r="AV52" s="562"/>
      <c r="AW52" s="562"/>
    </row>
    <row r="53" spans="41:50" x14ac:dyDescent="0.2">
      <c r="AO53" s="582" t="s">
        <v>461</v>
      </c>
      <c r="AP53" s="562"/>
      <c r="AQ53" s="562"/>
      <c r="AR53" s="562"/>
      <c r="AS53" s="562"/>
      <c r="AT53" s="562"/>
      <c r="AU53" s="560">
        <f>AU49</f>
        <v>54756868.168888882</v>
      </c>
      <c r="AV53" s="560"/>
      <c r="AW53" s="591"/>
    </row>
    <row r="54" spans="41:50" x14ac:dyDescent="0.2">
      <c r="AO54" s="582" t="s">
        <v>463</v>
      </c>
      <c r="AP54" s="562"/>
      <c r="AQ54" s="562"/>
      <c r="AR54" s="562"/>
      <c r="AS54" s="562"/>
      <c r="AT54" s="562"/>
      <c r="AU54" s="592">
        <v>0.7</v>
      </c>
      <c r="AV54" s="562"/>
      <c r="AW54" s="562"/>
    </row>
    <row r="55" spans="41:50" x14ac:dyDescent="0.2">
      <c r="AO55" s="593" t="s">
        <v>213</v>
      </c>
      <c r="AP55" s="562"/>
      <c r="AQ55" s="562"/>
      <c r="AR55" s="562"/>
      <c r="AS55" s="562"/>
      <c r="AT55" s="562"/>
      <c r="AU55" s="594">
        <f>AU54*AU53</f>
        <v>38329807.718222216</v>
      </c>
      <c r="AV55" s="594"/>
      <c r="AW55" s="591"/>
    </row>
    <row r="56" spans="41:50" x14ac:dyDescent="0.2">
      <c r="AO56" s="562"/>
      <c r="AP56" s="562"/>
      <c r="AQ56" s="562"/>
      <c r="AR56" s="562"/>
      <c r="AS56" s="562"/>
      <c r="AT56" s="562"/>
      <c r="AU56" s="562"/>
      <c r="AV56" s="562"/>
      <c r="AW56" s="562"/>
    </row>
    <row r="57" spans="41:50" x14ac:dyDescent="0.2">
      <c r="AO57" s="580" t="s">
        <v>464</v>
      </c>
      <c r="AP57" s="562"/>
      <c r="AQ57" s="562"/>
      <c r="AR57" s="562"/>
      <c r="AS57" s="562"/>
      <c r="AT57" s="562"/>
      <c r="AU57" s="562"/>
      <c r="AV57" s="562"/>
      <c r="AW57" s="562"/>
    </row>
    <row r="58" spans="41:50" x14ac:dyDescent="0.2">
      <c r="AO58" s="582" t="s">
        <v>465</v>
      </c>
      <c r="AP58" s="562"/>
      <c r="AQ58" s="593"/>
      <c r="AR58" s="593"/>
      <c r="AS58" s="593"/>
      <c r="AT58" s="562"/>
      <c r="AU58" s="560">
        <f>AU47</f>
        <v>2464059.0675999997</v>
      </c>
      <c r="AV58" s="560"/>
      <c r="AW58" s="562"/>
    </row>
    <row r="59" spans="41:50" x14ac:dyDescent="0.2">
      <c r="AO59" s="582" t="s">
        <v>466</v>
      </c>
      <c r="AP59" s="562"/>
      <c r="AQ59" s="562"/>
      <c r="AR59" s="562"/>
      <c r="AS59" s="562"/>
      <c r="AT59" s="562"/>
      <c r="AU59" s="595">
        <v>1.25</v>
      </c>
      <c r="AV59" s="562"/>
      <c r="AW59" s="562"/>
    </row>
    <row r="60" spans="41:50" x14ac:dyDescent="0.2">
      <c r="AO60" s="582" t="s">
        <v>467</v>
      </c>
      <c r="AP60" s="562"/>
      <c r="AQ60" s="562"/>
      <c r="AR60" s="562"/>
      <c r="AS60" s="562"/>
      <c r="AT60" s="562"/>
      <c r="AU60" s="560">
        <f>IFERROR(AU58/AU59,0)</f>
        <v>1971247.2540799999</v>
      </c>
      <c r="AV60" s="560"/>
      <c r="AW60" s="591">
        <f>IFERROR(AU60/12,0)</f>
        <v>164270.60450666666</v>
      </c>
    </row>
    <row r="61" spans="41:50" x14ac:dyDescent="0.2">
      <c r="AO61" s="593" t="s">
        <v>213</v>
      </c>
      <c r="AP61" s="562"/>
      <c r="AQ61" s="562"/>
      <c r="AR61" s="562"/>
      <c r="AS61" s="562"/>
      <c r="AT61" s="562"/>
      <c r="AU61" s="594">
        <f>-PV(AW44,AW40,AW60)</f>
        <v>28149116.720022827</v>
      </c>
      <c r="AV61" s="594"/>
      <c r="AW61" s="560"/>
    </row>
    <row r="62" spans="41:50" x14ac:dyDescent="0.2">
      <c r="AO62" s="562"/>
      <c r="AP62" s="562"/>
      <c r="AQ62" s="562"/>
      <c r="AR62" s="562"/>
      <c r="AS62" s="562"/>
      <c r="AT62" s="562"/>
      <c r="AU62" s="560"/>
      <c r="AV62" s="562"/>
      <c r="AW62" s="560"/>
    </row>
    <row r="63" spans="41:50" x14ac:dyDescent="0.2">
      <c r="AO63" s="580" t="s">
        <v>45</v>
      </c>
      <c r="AP63" s="562"/>
      <c r="AQ63" s="562"/>
      <c r="AR63" s="562"/>
      <c r="AS63" s="562"/>
      <c r="AT63" s="562"/>
      <c r="AU63" s="560"/>
      <c r="AV63" s="562"/>
      <c r="AW63" s="560"/>
      <c r="AX63" s="550"/>
    </row>
    <row r="64" spans="41:50" x14ac:dyDescent="0.2">
      <c r="AO64" s="582" t="s">
        <v>468</v>
      </c>
      <c r="AP64" s="562"/>
      <c r="AQ64" s="593"/>
      <c r="AR64" s="593"/>
      <c r="AS64" s="593"/>
      <c r="AT64" s="562"/>
      <c r="AU64" s="596">
        <v>0.06</v>
      </c>
      <c r="AV64" s="562"/>
      <c r="AW64" s="560"/>
      <c r="AX64" s="550"/>
    </row>
    <row r="65" spans="41:50" x14ac:dyDescent="0.2">
      <c r="AO65" s="593" t="s">
        <v>213</v>
      </c>
      <c r="AP65" s="562"/>
      <c r="AQ65" s="562"/>
      <c r="AR65" s="562"/>
      <c r="AS65" s="562"/>
      <c r="AT65" s="562"/>
      <c r="AU65" s="594">
        <f>IFERROR(AU47/AU64,0)</f>
        <v>41067651.126666665</v>
      </c>
      <c r="AV65" s="594"/>
      <c r="AW65" s="560"/>
      <c r="AX65" s="550"/>
    </row>
    <row r="66" spans="41:50" ht="15" thickBot="1" x14ac:dyDescent="0.25">
      <c r="AO66" s="562"/>
      <c r="AP66" s="562"/>
      <c r="AQ66" s="562"/>
      <c r="AR66" s="562"/>
      <c r="AS66" s="562"/>
      <c r="AT66" s="562"/>
      <c r="AU66" s="560"/>
      <c r="AV66" s="562"/>
      <c r="AW66" s="560"/>
      <c r="AX66" s="550"/>
    </row>
    <row r="67" spans="41:50" x14ac:dyDescent="0.2">
      <c r="AO67" s="597" t="s">
        <v>469</v>
      </c>
      <c r="AP67" s="556"/>
      <c r="AQ67" s="556"/>
      <c r="AR67" s="556"/>
      <c r="AS67" s="556"/>
      <c r="AT67" s="556"/>
      <c r="AU67" s="598">
        <v>28000000</v>
      </c>
      <c r="AV67" s="598"/>
      <c r="AW67" s="599"/>
      <c r="AX67" s="550"/>
    </row>
    <row r="68" spans="41:50" x14ac:dyDescent="0.2">
      <c r="AO68" s="600" t="s">
        <v>110</v>
      </c>
      <c r="AP68" s="562"/>
      <c r="AQ68" s="593"/>
      <c r="AR68" s="593"/>
      <c r="AS68" s="593"/>
      <c r="AT68" s="562"/>
      <c r="AU68" s="560">
        <f>PurchasePrice</f>
        <v>50000000</v>
      </c>
      <c r="AV68" s="560"/>
      <c r="AW68" s="601"/>
      <c r="AX68" s="550"/>
    </row>
    <row r="69" spans="41:50" x14ac:dyDescent="0.2">
      <c r="AO69" s="600" t="s">
        <v>136</v>
      </c>
      <c r="AP69" s="562"/>
      <c r="AQ69" s="562"/>
      <c r="AR69" s="562"/>
      <c r="AS69" s="562"/>
      <c r="AT69" s="562"/>
      <c r="AU69" s="602">
        <f>IFERROR(AU67/AU68,0)</f>
        <v>0.56000000000000005</v>
      </c>
      <c r="AV69" s="602"/>
      <c r="AW69" s="601"/>
      <c r="AX69" s="550"/>
    </row>
    <row r="70" spans="41:50" x14ac:dyDescent="0.2">
      <c r="AO70" s="600" t="s">
        <v>470</v>
      </c>
      <c r="AP70" s="562"/>
      <c r="AQ70" s="562"/>
      <c r="AR70" s="562"/>
      <c r="AS70" s="562"/>
      <c r="AT70" s="562"/>
      <c r="AU70" s="560">
        <f>AW70*12</f>
        <v>1960804.7976503377</v>
      </c>
      <c r="AV70" s="560"/>
      <c r="AW70" s="603">
        <f>-PMT(AW44,AW40,AU67)</f>
        <v>163400.39980419481</v>
      </c>
      <c r="AX70" s="550"/>
    </row>
    <row r="71" spans="41:50" x14ac:dyDescent="0.2">
      <c r="AO71" s="600" t="s">
        <v>471</v>
      </c>
      <c r="AP71" s="562"/>
      <c r="AQ71" s="562"/>
      <c r="AR71" s="562"/>
      <c r="AS71" s="562"/>
      <c r="AT71" s="562"/>
      <c r="AU71" s="560">
        <f>AU44*AU67</f>
        <v>1609999.9999999998</v>
      </c>
      <c r="AV71" s="560"/>
      <c r="AW71" s="603">
        <f>IFERROR(AU71/12,0)</f>
        <v>134166.66666666666</v>
      </c>
      <c r="AX71" s="550"/>
    </row>
    <row r="72" spans="41:50" ht="15" thickBot="1" x14ac:dyDescent="0.25">
      <c r="AO72" s="604" t="s">
        <v>472</v>
      </c>
      <c r="AP72" s="605"/>
      <c r="AQ72" s="605"/>
      <c r="AR72" s="605"/>
      <c r="AS72" s="605"/>
      <c r="AT72" s="605"/>
      <c r="AU72" s="606">
        <f>IFERROR(AU70/AU67,0)</f>
        <v>7.0028742773226349E-2</v>
      </c>
      <c r="AV72" s="606"/>
      <c r="AW72" s="607"/>
      <c r="AX72" s="550"/>
    </row>
    <row r="73" spans="41:50" x14ac:dyDescent="0.2">
      <c r="AV73" s="550"/>
      <c r="AW73" s="550"/>
      <c r="AX73" s="550"/>
    </row>
    <row r="74" spans="41:50" x14ac:dyDescent="0.2">
      <c r="AV74" s="550"/>
      <c r="AW74" s="550"/>
      <c r="AX74" s="550"/>
    </row>
    <row r="75" spans="41:50" x14ac:dyDescent="0.2">
      <c r="AV75" s="550"/>
      <c r="AW75" s="550"/>
      <c r="AX75" s="550"/>
    </row>
    <row r="76" spans="41:50" x14ac:dyDescent="0.2">
      <c r="AT76" s="550"/>
      <c r="AU76" s="550"/>
      <c r="AV76" s="550"/>
      <c r="AW76" s="550"/>
      <c r="AX76" s="550"/>
    </row>
    <row r="77" spans="41:50" x14ac:dyDescent="0.2">
      <c r="AT77" s="550"/>
      <c r="AU77" s="550"/>
      <c r="AV77" s="550"/>
      <c r="AW77" s="550"/>
      <c r="AX77" s="550"/>
    </row>
    <row r="78" spans="41:50" x14ac:dyDescent="0.2">
      <c r="AT78" s="550"/>
      <c r="AU78" s="550"/>
      <c r="AV78" s="550"/>
      <c r="AW78" s="550"/>
      <c r="AX78" s="550"/>
    </row>
    <row r="79" spans="41:50" x14ac:dyDescent="0.2">
      <c r="AT79" s="550"/>
      <c r="AU79" s="550"/>
      <c r="AV79" s="550"/>
      <c r="AW79" s="550"/>
      <c r="AX79" s="550"/>
    </row>
    <row r="80" spans="41:50" x14ac:dyDescent="0.2">
      <c r="AT80" s="550"/>
      <c r="AU80" s="550"/>
      <c r="AV80" s="550"/>
      <c r="AW80" s="550"/>
      <c r="AX80" s="550"/>
    </row>
    <row r="81" spans="46:50" x14ac:dyDescent="0.2">
      <c r="AT81" s="550"/>
      <c r="AU81" s="550"/>
      <c r="AV81" s="550"/>
      <c r="AW81" s="550"/>
      <c r="AX81" s="550"/>
    </row>
    <row r="82" spans="46:50" x14ac:dyDescent="0.2">
      <c r="AT82" s="550"/>
      <c r="AU82" s="550"/>
      <c r="AV82" s="550"/>
      <c r="AW82" s="550"/>
      <c r="AX82" s="550"/>
    </row>
    <row r="83" spans="46:50" x14ac:dyDescent="0.2">
      <c r="AT83" s="550"/>
      <c r="AU83" s="550"/>
      <c r="AV83" s="550"/>
      <c r="AW83" s="550"/>
      <c r="AX83" s="550"/>
    </row>
    <row r="84" spans="46:50" x14ac:dyDescent="0.2">
      <c r="AT84" s="550"/>
      <c r="AU84" s="550"/>
      <c r="AV84" s="550"/>
      <c r="AW84" s="550"/>
      <c r="AX84" s="550"/>
    </row>
    <row r="85" spans="46:50" x14ac:dyDescent="0.2">
      <c r="AT85" s="550"/>
      <c r="AU85" s="550"/>
      <c r="AV85" s="550"/>
      <c r="AW85" s="550"/>
      <c r="AX85" s="550"/>
    </row>
    <row r="86" spans="46:50" x14ac:dyDescent="0.2">
      <c r="AT86" s="550"/>
      <c r="AU86" s="550"/>
      <c r="AV86" s="550"/>
      <c r="AW86" s="550"/>
      <c r="AX86" s="550"/>
    </row>
    <row r="87" spans="46:50" x14ac:dyDescent="0.2">
      <c r="AT87" s="550"/>
      <c r="AU87" s="550"/>
      <c r="AV87" s="550"/>
      <c r="AW87" s="550"/>
      <c r="AX87" s="550"/>
    </row>
    <row r="88" spans="46:50" x14ac:dyDescent="0.2">
      <c r="AT88" s="550"/>
      <c r="AU88" s="550"/>
      <c r="AV88" s="550"/>
      <c r="AW88" s="550"/>
      <c r="AX88" s="550"/>
    </row>
    <row r="89" spans="46:50" x14ac:dyDescent="0.2"/>
    <row r="90" spans="46:50" x14ac:dyDescent="0.2"/>
    <row r="91" spans="46:50" x14ac:dyDescent="0.2"/>
  </sheetData>
  <dataValidations count="2">
    <dataValidation type="list" allowBlank="1" showInputMessage="1" showErrorMessage="1" sqref="AU46" xr:uid="{040DE3E1-2B02-4C6A-BB08-B587804D698A}">
      <formula1>"In-Place NOI,Adjusted NOI"</formula1>
    </dataValidation>
    <dataValidation type="list" allowBlank="1" showInputMessage="1" showErrorMessage="1" sqref="AO5" xr:uid="{7FB3B350-84CE-4E69-8D01-34B77FA01455}">
      <formula1>"0,3,12"</formula1>
    </dataValidation>
  </dataValidations>
  <printOptions horizontalCentered="1"/>
  <pageMargins left="0.25" right="0.25" top="0.25" bottom="0.25" header="0.3" footer="0.3"/>
  <pageSetup scale="25" orientation="landscape" r:id="rId1"/>
  <headerFooter>
    <oddFooter>&amp;L&amp;F&amp;C&amp;P&amp;R&amp;D</oddFooter>
  </headerFooter>
  <rowBreaks count="1" manualBreakCount="1">
    <brk id="18" max="16383" man="1"/>
  </rowBreaks>
  <colBreaks count="2" manualBreakCount="2">
    <brk id="5" min="1" max="50" man="1"/>
    <brk id="10" max="1048575" man="1"/>
  </colBreaks>
  <ignoredErrors>
    <ignoredError sqref="U9:AK34 BB9:BR34" unlockedFormula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A014-67F9-467B-A6B7-9B57F829A42F}">
  <sheetPr codeName="Sheet8">
    <pageSetUpPr fitToPage="1"/>
  </sheetPr>
  <dimension ref="A1:EI181"/>
  <sheetViews>
    <sheetView showGridLines="0" topLeftCell="A82" zoomScaleNormal="100" zoomScaleSheetLayoutView="100" workbookViewId="0">
      <selection activeCell="B42" sqref="B42"/>
    </sheetView>
  </sheetViews>
  <sheetFormatPr defaultColWidth="8.7109375" defaultRowHeight="14.25" zeroHeight="1" x14ac:dyDescent="0.2"/>
  <cols>
    <col min="1" max="1" width="3" style="158" customWidth="1"/>
    <col min="2" max="2" width="26.140625" style="158" customWidth="1"/>
    <col min="3" max="3" width="15.5703125" style="158" bestFit="1" customWidth="1"/>
    <col min="4" max="4" width="13.140625" style="158" customWidth="1"/>
    <col min="5" max="5" width="14.7109375" style="158" customWidth="1"/>
    <col min="6" max="6" width="13.7109375" style="158" customWidth="1"/>
    <col min="7" max="8" width="14" style="158" customWidth="1"/>
    <col min="9" max="9" width="14.85546875" style="158" customWidth="1"/>
    <col min="10" max="15" width="14" style="158" customWidth="1"/>
    <col min="16" max="17" width="14.28515625" style="158" customWidth="1"/>
    <col min="18" max="18" width="14" style="158" customWidth="1"/>
    <col min="19" max="19" width="14.28515625" style="158" customWidth="1"/>
    <col min="20" max="23" width="14" style="158" customWidth="1"/>
    <col min="24" max="25" width="12.42578125" style="158" customWidth="1"/>
    <col min="26" max="26" width="13.42578125" style="158" customWidth="1"/>
    <col min="27" max="29" width="12.42578125" style="158" customWidth="1"/>
    <col min="30" max="30" width="12.85546875" style="158" customWidth="1"/>
    <col min="31" max="31" width="11.42578125" style="158" customWidth="1"/>
    <col min="32" max="37" width="12.42578125" style="158" customWidth="1"/>
    <col min="38" max="38" width="13.42578125" style="158" customWidth="1"/>
    <col min="39" max="41" width="12.42578125" style="158" customWidth="1"/>
    <col min="42" max="42" width="12.85546875" style="158" customWidth="1"/>
    <col min="43" max="43" width="12.42578125" style="158" customWidth="1"/>
    <col min="44" max="46" width="12" style="158" customWidth="1"/>
    <col min="47" max="47" width="12.42578125" style="158" customWidth="1"/>
    <col min="48" max="49" width="12" style="158" customWidth="1"/>
    <col min="50" max="50" width="13.42578125" style="158" customWidth="1"/>
    <col min="51" max="53" width="12.42578125" style="158" customWidth="1"/>
    <col min="54" max="54" width="12" style="158" customWidth="1"/>
    <col min="55" max="55" width="12.42578125" style="158" customWidth="1"/>
    <col min="56" max="56" width="12" style="158" customWidth="1"/>
    <col min="57" max="58" width="12.42578125" style="158" customWidth="1"/>
    <col min="59" max="59" width="12" style="158" customWidth="1"/>
    <col min="60" max="60" width="12.42578125" style="158" customWidth="1"/>
    <col min="61" max="61" width="12" style="158" customWidth="1"/>
    <col min="62" max="62" width="13.42578125" style="158" customWidth="1"/>
    <col min="63" max="64" width="12" style="158" customWidth="1"/>
    <col min="65" max="66" width="12.42578125" style="158" customWidth="1"/>
    <col min="67" max="68" width="12" style="158" customWidth="1"/>
    <col min="69" max="69" width="11.42578125" style="158" customWidth="1"/>
    <col min="70" max="70" width="12" style="158" customWidth="1"/>
    <col min="71" max="71" width="12.42578125" style="158" customWidth="1"/>
    <col min="72" max="72" width="12" style="158" customWidth="1"/>
    <col min="73" max="73" width="12.42578125" style="158" customWidth="1"/>
    <col min="74" max="74" width="13.42578125" style="158" customWidth="1"/>
    <col min="75" max="75" width="12" style="158" customWidth="1"/>
    <col min="76" max="78" width="12.42578125" style="158" customWidth="1"/>
    <col min="79" max="80" width="12" style="158" customWidth="1"/>
    <col min="81" max="83" width="12.42578125" style="158" customWidth="1"/>
    <col min="84" max="84" width="12" style="158" customWidth="1"/>
    <col min="85" max="87" width="12.42578125" style="158" customWidth="1"/>
    <col min="88" max="89" width="12" style="158" customWidth="1"/>
    <col min="90" max="98" width="12.42578125" style="158" customWidth="1"/>
    <col min="99" max="99" width="12" style="158" customWidth="1"/>
    <col min="100" max="105" width="12.42578125" style="158" customWidth="1"/>
    <col min="106" max="106" width="12" style="158" customWidth="1"/>
    <col min="107" max="109" width="12.42578125" style="158" customWidth="1"/>
    <col min="110" max="115" width="12" style="158" customWidth="1"/>
    <col min="116" max="119" width="12.42578125" style="158" customWidth="1"/>
    <col min="120" max="123" width="12" style="158" customWidth="1"/>
    <col min="124" max="124" width="12.42578125" style="158" customWidth="1"/>
    <col min="125" max="125" width="12" style="158" customWidth="1"/>
    <col min="126" max="126" width="13" style="158" customWidth="1"/>
    <col min="127" max="134" width="12.42578125" style="158" customWidth="1"/>
    <col min="135" max="135" width="12" style="158" customWidth="1"/>
    <col min="136" max="138" width="12.42578125" style="158" customWidth="1"/>
    <col min="139" max="139" width="10.42578125" style="158" bestFit="1" customWidth="1"/>
    <col min="140" max="16384" width="8.7109375" style="158"/>
  </cols>
  <sheetData>
    <row r="1" spans="1:139" x14ac:dyDescent="0.2"/>
    <row r="2" spans="1:139" ht="19.5" x14ac:dyDescent="0.25">
      <c r="B2" s="167" t="s">
        <v>74</v>
      </c>
      <c r="C2" s="290"/>
      <c r="D2" s="290"/>
      <c r="E2" s="290"/>
      <c r="F2" s="29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92"/>
      <c r="S2" s="293"/>
      <c r="T2" s="292"/>
      <c r="U2" s="292"/>
      <c r="V2" s="292"/>
      <c r="W2" s="292"/>
      <c r="X2" s="292"/>
      <c r="Y2" s="292"/>
      <c r="Z2" s="292"/>
      <c r="AA2" s="292"/>
      <c r="AB2" s="292"/>
      <c r="AC2" s="292"/>
      <c r="AD2" s="292"/>
      <c r="AE2" s="293"/>
      <c r="AF2" s="292"/>
      <c r="AG2" s="292"/>
      <c r="AH2" s="292"/>
      <c r="AI2" s="292"/>
      <c r="AJ2" s="292"/>
      <c r="AK2" s="292"/>
      <c r="AL2" s="292"/>
      <c r="AM2" s="292"/>
      <c r="AN2" s="292"/>
      <c r="AO2" s="292"/>
      <c r="AP2" s="292"/>
      <c r="AQ2" s="293"/>
      <c r="AR2" s="292"/>
      <c r="AS2" s="292"/>
      <c r="AT2" s="292"/>
      <c r="AU2" s="292"/>
      <c r="AV2" s="292"/>
      <c r="AW2" s="292"/>
      <c r="AX2" s="292"/>
      <c r="AY2" s="292"/>
      <c r="AZ2" s="292"/>
      <c r="BA2" s="292"/>
      <c r="BB2" s="292"/>
      <c r="BC2" s="293"/>
      <c r="BD2" s="292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3"/>
      <c r="BP2" s="292"/>
      <c r="BQ2" s="292"/>
      <c r="BR2" s="292"/>
      <c r="BS2" s="292"/>
      <c r="BT2" s="292"/>
      <c r="BU2" s="292"/>
      <c r="BV2" s="292"/>
      <c r="BW2" s="292"/>
      <c r="BX2" s="292"/>
      <c r="BY2" s="292"/>
      <c r="BZ2" s="292"/>
      <c r="CA2" s="293"/>
      <c r="CB2" s="292"/>
      <c r="CC2" s="292"/>
      <c r="CD2" s="292"/>
      <c r="CE2" s="292"/>
      <c r="CF2" s="292"/>
      <c r="CG2" s="292"/>
      <c r="CH2" s="292"/>
      <c r="CI2" s="292"/>
      <c r="CJ2" s="292"/>
      <c r="CK2" s="292"/>
      <c r="CL2" s="292"/>
      <c r="CM2" s="293"/>
      <c r="CN2" s="292"/>
      <c r="CO2" s="292"/>
      <c r="CP2" s="292"/>
      <c r="CQ2" s="292"/>
      <c r="CR2" s="292"/>
      <c r="CS2" s="292"/>
      <c r="CT2" s="292"/>
      <c r="CU2" s="292"/>
      <c r="CV2" s="292"/>
      <c r="CW2" s="292"/>
      <c r="CX2" s="292"/>
      <c r="CY2" s="293"/>
      <c r="CZ2" s="292"/>
      <c r="DA2" s="292"/>
      <c r="DB2" s="292"/>
      <c r="DC2" s="292"/>
      <c r="DD2" s="292"/>
      <c r="DE2" s="292"/>
      <c r="DF2" s="292"/>
      <c r="DG2" s="292"/>
      <c r="DH2" s="292"/>
      <c r="DI2" s="292"/>
      <c r="DJ2" s="292"/>
      <c r="DK2" s="293"/>
      <c r="DL2" s="292"/>
      <c r="DM2" s="292"/>
      <c r="DN2" s="292"/>
      <c r="DO2" s="292"/>
      <c r="DP2" s="292"/>
      <c r="DQ2" s="292"/>
      <c r="DR2" s="292"/>
      <c r="DS2" s="292"/>
      <c r="DT2" s="292"/>
      <c r="DU2" s="292"/>
      <c r="DV2" s="292"/>
      <c r="DW2" s="293"/>
      <c r="DX2" s="292"/>
      <c r="DY2" s="292"/>
      <c r="DZ2" s="292"/>
      <c r="EA2" s="292"/>
      <c r="EB2" s="292"/>
      <c r="EC2" s="292"/>
      <c r="ED2" s="292"/>
      <c r="EE2" s="292"/>
      <c r="EF2" s="292"/>
      <c r="EG2" s="292"/>
      <c r="EH2" s="292"/>
    </row>
    <row r="3" spans="1:139" ht="18" x14ac:dyDescent="0.25">
      <c r="B3" s="168" t="str">
        <f>Name</f>
        <v>Property Name</v>
      </c>
      <c r="C3" s="294"/>
      <c r="D3" s="294"/>
      <c r="E3" s="294"/>
      <c r="F3" s="29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92"/>
      <c r="S3" s="293"/>
      <c r="T3" s="292"/>
      <c r="U3" s="292"/>
      <c r="V3" s="292"/>
      <c r="W3" s="292"/>
      <c r="X3" s="292"/>
      <c r="Y3" s="292"/>
      <c r="Z3" s="292"/>
      <c r="AA3" s="292"/>
      <c r="AB3" s="292"/>
      <c r="AC3" s="292"/>
      <c r="AD3" s="292"/>
      <c r="AE3" s="293"/>
      <c r="AF3" s="292"/>
      <c r="AG3" s="292"/>
      <c r="AH3" s="292"/>
      <c r="AI3" s="292"/>
      <c r="AJ3" s="292"/>
      <c r="AK3" s="292"/>
      <c r="AL3" s="292"/>
      <c r="AM3" s="292"/>
      <c r="AN3" s="292"/>
      <c r="AO3" s="292"/>
      <c r="AP3" s="292"/>
      <c r="AQ3" s="293"/>
      <c r="AR3" s="292"/>
      <c r="AS3" s="292"/>
      <c r="AT3" s="292"/>
      <c r="AU3" s="292"/>
      <c r="AV3" s="292"/>
      <c r="AW3" s="292"/>
      <c r="AX3" s="292"/>
      <c r="AY3" s="292"/>
      <c r="AZ3" s="292"/>
      <c r="BA3" s="292"/>
      <c r="BB3" s="292"/>
      <c r="BC3" s="293"/>
      <c r="BD3" s="292"/>
      <c r="BE3" s="292"/>
      <c r="BF3" s="292"/>
      <c r="BG3" s="292"/>
      <c r="BH3" s="292"/>
      <c r="BI3" s="292"/>
      <c r="BJ3" s="292"/>
      <c r="BK3" s="292"/>
      <c r="BL3" s="292"/>
      <c r="BM3" s="292"/>
      <c r="BN3" s="292"/>
      <c r="BO3" s="293"/>
      <c r="BP3" s="292"/>
      <c r="BQ3" s="292"/>
      <c r="BR3" s="292"/>
      <c r="BS3" s="292"/>
      <c r="BT3" s="292"/>
      <c r="BU3" s="292"/>
      <c r="BV3" s="292"/>
      <c r="BW3" s="292"/>
      <c r="BX3" s="292"/>
      <c r="BY3" s="292"/>
      <c r="BZ3" s="292"/>
      <c r="CA3" s="293"/>
      <c r="CB3" s="292"/>
      <c r="CC3" s="292"/>
      <c r="CD3" s="292"/>
      <c r="CE3" s="292"/>
      <c r="CF3" s="292"/>
      <c r="CG3" s="292"/>
      <c r="CH3" s="292"/>
      <c r="CI3" s="292"/>
      <c r="CJ3" s="292"/>
      <c r="CK3" s="292"/>
      <c r="CL3" s="292"/>
      <c r="CM3" s="293"/>
      <c r="CN3" s="292"/>
      <c r="CO3" s="292"/>
      <c r="CP3" s="292"/>
      <c r="CQ3" s="292"/>
      <c r="CR3" s="292"/>
      <c r="CS3" s="292"/>
      <c r="CT3" s="292"/>
      <c r="CU3" s="292"/>
      <c r="CV3" s="292"/>
      <c r="CW3" s="292"/>
      <c r="CX3" s="292"/>
      <c r="CY3" s="293"/>
      <c r="CZ3" s="292"/>
      <c r="DA3" s="292"/>
      <c r="DB3" s="292"/>
      <c r="DC3" s="292"/>
      <c r="DD3" s="292"/>
      <c r="DE3" s="292"/>
      <c r="DF3" s="292"/>
      <c r="DG3" s="292"/>
      <c r="DH3" s="292"/>
      <c r="DI3" s="292"/>
      <c r="DJ3" s="292"/>
      <c r="DK3" s="293"/>
      <c r="DL3" s="292"/>
      <c r="DM3" s="292"/>
      <c r="DN3" s="292"/>
      <c r="DO3" s="292"/>
      <c r="DP3" s="292"/>
      <c r="DQ3" s="292"/>
      <c r="DR3" s="292"/>
      <c r="DS3" s="292"/>
      <c r="DT3" s="292"/>
      <c r="DU3" s="292"/>
      <c r="DV3" s="292"/>
      <c r="DW3" s="293"/>
      <c r="DX3" s="292"/>
      <c r="DY3" s="292"/>
      <c r="DZ3" s="292"/>
      <c r="EA3" s="292"/>
      <c r="EB3" s="292"/>
      <c r="EC3" s="292"/>
      <c r="ED3" s="292"/>
      <c r="EE3" s="292"/>
      <c r="EF3" s="292"/>
      <c r="EG3" s="292"/>
      <c r="EH3" s="292"/>
    </row>
    <row r="4" spans="1:139" x14ac:dyDescent="0.2">
      <c r="A4" s="295"/>
      <c r="B4" s="295"/>
      <c r="C4" s="295"/>
      <c r="D4" s="295"/>
      <c r="E4" s="295"/>
      <c r="F4" s="296">
        <v>0</v>
      </c>
      <c r="G4" s="296">
        <f t="shared" ref="G4:AL4" si="0">F4+1</f>
        <v>1</v>
      </c>
      <c r="H4" s="296">
        <f t="shared" si="0"/>
        <v>2</v>
      </c>
      <c r="I4" s="296">
        <f t="shared" si="0"/>
        <v>3</v>
      </c>
      <c r="J4" s="296">
        <f t="shared" si="0"/>
        <v>4</v>
      </c>
      <c r="K4" s="296">
        <f t="shared" si="0"/>
        <v>5</v>
      </c>
      <c r="L4" s="296">
        <f t="shared" si="0"/>
        <v>6</v>
      </c>
      <c r="M4" s="296">
        <f t="shared" si="0"/>
        <v>7</v>
      </c>
      <c r="N4" s="296">
        <f t="shared" si="0"/>
        <v>8</v>
      </c>
      <c r="O4" s="296">
        <f t="shared" si="0"/>
        <v>9</v>
      </c>
      <c r="P4" s="296">
        <f t="shared" si="0"/>
        <v>10</v>
      </c>
      <c r="Q4" s="296">
        <f t="shared" si="0"/>
        <v>11</v>
      </c>
      <c r="R4" s="296">
        <f t="shared" si="0"/>
        <v>12</v>
      </c>
      <c r="S4" s="296">
        <f t="shared" si="0"/>
        <v>13</v>
      </c>
      <c r="T4" s="296">
        <f t="shared" si="0"/>
        <v>14</v>
      </c>
      <c r="U4" s="296">
        <f t="shared" si="0"/>
        <v>15</v>
      </c>
      <c r="V4" s="296">
        <f t="shared" si="0"/>
        <v>16</v>
      </c>
      <c r="W4" s="296">
        <f t="shared" si="0"/>
        <v>17</v>
      </c>
      <c r="X4" s="296">
        <f t="shared" si="0"/>
        <v>18</v>
      </c>
      <c r="Y4" s="296">
        <f t="shared" si="0"/>
        <v>19</v>
      </c>
      <c r="Z4" s="296">
        <f t="shared" si="0"/>
        <v>20</v>
      </c>
      <c r="AA4" s="296">
        <f t="shared" si="0"/>
        <v>21</v>
      </c>
      <c r="AB4" s="296">
        <f t="shared" si="0"/>
        <v>22</v>
      </c>
      <c r="AC4" s="296">
        <f t="shared" si="0"/>
        <v>23</v>
      </c>
      <c r="AD4" s="296">
        <f t="shared" si="0"/>
        <v>24</v>
      </c>
      <c r="AE4" s="296">
        <f t="shared" si="0"/>
        <v>25</v>
      </c>
      <c r="AF4" s="296">
        <f t="shared" si="0"/>
        <v>26</v>
      </c>
      <c r="AG4" s="296">
        <f t="shared" si="0"/>
        <v>27</v>
      </c>
      <c r="AH4" s="296">
        <f t="shared" si="0"/>
        <v>28</v>
      </c>
      <c r="AI4" s="296">
        <f t="shared" si="0"/>
        <v>29</v>
      </c>
      <c r="AJ4" s="296">
        <f t="shared" si="0"/>
        <v>30</v>
      </c>
      <c r="AK4" s="296">
        <f t="shared" si="0"/>
        <v>31</v>
      </c>
      <c r="AL4" s="296">
        <f t="shared" si="0"/>
        <v>32</v>
      </c>
      <c r="AM4" s="296">
        <f t="shared" ref="AM4:BR4" si="1">AL4+1</f>
        <v>33</v>
      </c>
      <c r="AN4" s="296">
        <f t="shared" si="1"/>
        <v>34</v>
      </c>
      <c r="AO4" s="296">
        <f t="shared" si="1"/>
        <v>35</v>
      </c>
      <c r="AP4" s="296">
        <f t="shared" si="1"/>
        <v>36</v>
      </c>
      <c r="AQ4" s="296">
        <f t="shared" si="1"/>
        <v>37</v>
      </c>
      <c r="AR4" s="296">
        <f t="shared" si="1"/>
        <v>38</v>
      </c>
      <c r="AS4" s="296">
        <f t="shared" si="1"/>
        <v>39</v>
      </c>
      <c r="AT4" s="296">
        <f t="shared" si="1"/>
        <v>40</v>
      </c>
      <c r="AU4" s="296">
        <f t="shared" si="1"/>
        <v>41</v>
      </c>
      <c r="AV4" s="296">
        <f t="shared" si="1"/>
        <v>42</v>
      </c>
      <c r="AW4" s="296">
        <f t="shared" si="1"/>
        <v>43</v>
      </c>
      <c r="AX4" s="296">
        <f t="shared" si="1"/>
        <v>44</v>
      </c>
      <c r="AY4" s="296">
        <f t="shared" si="1"/>
        <v>45</v>
      </c>
      <c r="AZ4" s="296">
        <f t="shared" si="1"/>
        <v>46</v>
      </c>
      <c r="BA4" s="296">
        <f t="shared" si="1"/>
        <v>47</v>
      </c>
      <c r="BB4" s="296">
        <f t="shared" si="1"/>
        <v>48</v>
      </c>
      <c r="BC4" s="296">
        <f t="shared" si="1"/>
        <v>49</v>
      </c>
      <c r="BD4" s="296">
        <f t="shared" si="1"/>
        <v>50</v>
      </c>
      <c r="BE4" s="296">
        <f t="shared" si="1"/>
        <v>51</v>
      </c>
      <c r="BF4" s="296">
        <f t="shared" si="1"/>
        <v>52</v>
      </c>
      <c r="BG4" s="296">
        <f t="shared" si="1"/>
        <v>53</v>
      </c>
      <c r="BH4" s="296">
        <f t="shared" si="1"/>
        <v>54</v>
      </c>
      <c r="BI4" s="296">
        <f t="shared" si="1"/>
        <v>55</v>
      </c>
      <c r="BJ4" s="296">
        <f t="shared" si="1"/>
        <v>56</v>
      </c>
      <c r="BK4" s="296">
        <f t="shared" si="1"/>
        <v>57</v>
      </c>
      <c r="BL4" s="296">
        <f t="shared" si="1"/>
        <v>58</v>
      </c>
      <c r="BM4" s="296">
        <f t="shared" si="1"/>
        <v>59</v>
      </c>
      <c r="BN4" s="296">
        <f t="shared" si="1"/>
        <v>60</v>
      </c>
      <c r="BO4" s="296">
        <f t="shared" si="1"/>
        <v>61</v>
      </c>
      <c r="BP4" s="296">
        <f t="shared" si="1"/>
        <v>62</v>
      </c>
      <c r="BQ4" s="296">
        <f t="shared" si="1"/>
        <v>63</v>
      </c>
      <c r="BR4" s="296">
        <f t="shared" si="1"/>
        <v>64</v>
      </c>
      <c r="BS4" s="296">
        <f t="shared" ref="BS4:CX4" si="2">BR4+1</f>
        <v>65</v>
      </c>
      <c r="BT4" s="296">
        <f t="shared" si="2"/>
        <v>66</v>
      </c>
      <c r="BU4" s="296">
        <f t="shared" si="2"/>
        <v>67</v>
      </c>
      <c r="BV4" s="296">
        <f t="shared" si="2"/>
        <v>68</v>
      </c>
      <c r="BW4" s="296">
        <f t="shared" si="2"/>
        <v>69</v>
      </c>
      <c r="BX4" s="296">
        <f t="shared" si="2"/>
        <v>70</v>
      </c>
      <c r="BY4" s="296">
        <f t="shared" si="2"/>
        <v>71</v>
      </c>
      <c r="BZ4" s="296">
        <f t="shared" si="2"/>
        <v>72</v>
      </c>
      <c r="CA4" s="296">
        <f t="shared" si="2"/>
        <v>73</v>
      </c>
      <c r="CB4" s="296">
        <f t="shared" si="2"/>
        <v>74</v>
      </c>
      <c r="CC4" s="296">
        <f t="shared" si="2"/>
        <v>75</v>
      </c>
      <c r="CD4" s="296">
        <f t="shared" si="2"/>
        <v>76</v>
      </c>
      <c r="CE4" s="296">
        <f t="shared" si="2"/>
        <v>77</v>
      </c>
      <c r="CF4" s="296">
        <f t="shared" si="2"/>
        <v>78</v>
      </c>
      <c r="CG4" s="296">
        <f t="shared" si="2"/>
        <v>79</v>
      </c>
      <c r="CH4" s="296">
        <f t="shared" si="2"/>
        <v>80</v>
      </c>
      <c r="CI4" s="296">
        <f t="shared" si="2"/>
        <v>81</v>
      </c>
      <c r="CJ4" s="296">
        <f t="shared" si="2"/>
        <v>82</v>
      </c>
      <c r="CK4" s="296">
        <f t="shared" si="2"/>
        <v>83</v>
      </c>
      <c r="CL4" s="296">
        <f t="shared" si="2"/>
        <v>84</v>
      </c>
      <c r="CM4" s="296">
        <f t="shared" si="2"/>
        <v>85</v>
      </c>
      <c r="CN4" s="296">
        <f t="shared" si="2"/>
        <v>86</v>
      </c>
      <c r="CO4" s="296">
        <f t="shared" si="2"/>
        <v>87</v>
      </c>
      <c r="CP4" s="296">
        <f t="shared" si="2"/>
        <v>88</v>
      </c>
      <c r="CQ4" s="296">
        <f t="shared" si="2"/>
        <v>89</v>
      </c>
      <c r="CR4" s="296">
        <f t="shared" si="2"/>
        <v>90</v>
      </c>
      <c r="CS4" s="296">
        <f t="shared" si="2"/>
        <v>91</v>
      </c>
      <c r="CT4" s="296">
        <f t="shared" si="2"/>
        <v>92</v>
      </c>
      <c r="CU4" s="296">
        <f t="shared" si="2"/>
        <v>93</v>
      </c>
      <c r="CV4" s="296">
        <f t="shared" si="2"/>
        <v>94</v>
      </c>
      <c r="CW4" s="296">
        <f t="shared" si="2"/>
        <v>95</v>
      </c>
      <c r="CX4" s="296">
        <f t="shared" si="2"/>
        <v>96</v>
      </c>
      <c r="CY4" s="296">
        <f t="shared" ref="CY4:EH4" si="3">CX4+1</f>
        <v>97</v>
      </c>
      <c r="CZ4" s="296">
        <f t="shared" si="3"/>
        <v>98</v>
      </c>
      <c r="DA4" s="296">
        <f t="shared" si="3"/>
        <v>99</v>
      </c>
      <c r="DB4" s="296">
        <f t="shared" si="3"/>
        <v>100</v>
      </c>
      <c r="DC4" s="296">
        <f t="shared" si="3"/>
        <v>101</v>
      </c>
      <c r="DD4" s="296">
        <f t="shared" si="3"/>
        <v>102</v>
      </c>
      <c r="DE4" s="296">
        <f t="shared" si="3"/>
        <v>103</v>
      </c>
      <c r="DF4" s="296">
        <f t="shared" si="3"/>
        <v>104</v>
      </c>
      <c r="DG4" s="296">
        <f t="shared" si="3"/>
        <v>105</v>
      </c>
      <c r="DH4" s="296">
        <f t="shared" si="3"/>
        <v>106</v>
      </c>
      <c r="DI4" s="296">
        <f t="shared" si="3"/>
        <v>107</v>
      </c>
      <c r="DJ4" s="296">
        <f t="shared" si="3"/>
        <v>108</v>
      </c>
      <c r="DK4" s="296">
        <f t="shared" si="3"/>
        <v>109</v>
      </c>
      <c r="DL4" s="296">
        <f t="shared" si="3"/>
        <v>110</v>
      </c>
      <c r="DM4" s="296">
        <f t="shared" si="3"/>
        <v>111</v>
      </c>
      <c r="DN4" s="296">
        <f t="shared" si="3"/>
        <v>112</v>
      </c>
      <c r="DO4" s="296">
        <f t="shared" si="3"/>
        <v>113</v>
      </c>
      <c r="DP4" s="296">
        <f t="shared" si="3"/>
        <v>114</v>
      </c>
      <c r="DQ4" s="296">
        <f t="shared" si="3"/>
        <v>115</v>
      </c>
      <c r="DR4" s="296">
        <f t="shared" si="3"/>
        <v>116</v>
      </c>
      <c r="DS4" s="296">
        <f t="shared" si="3"/>
        <v>117</v>
      </c>
      <c r="DT4" s="296">
        <f t="shared" si="3"/>
        <v>118</v>
      </c>
      <c r="DU4" s="296">
        <f t="shared" si="3"/>
        <v>119</v>
      </c>
      <c r="DV4" s="296">
        <f t="shared" si="3"/>
        <v>120</v>
      </c>
      <c r="DW4" s="296">
        <f t="shared" si="3"/>
        <v>121</v>
      </c>
      <c r="DX4" s="296">
        <f t="shared" si="3"/>
        <v>122</v>
      </c>
      <c r="DY4" s="296">
        <f t="shared" si="3"/>
        <v>123</v>
      </c>
      <c r="DZ4" s="296">
        <f t="shared" si="3"/>
        <v>124</v>
      </c>
      <c r="EA4" s="296">
        <f t="shared" si="3"/>
        <v>125</v>
      </c>
      <c r="EB4" s="296">
        <f t="shared" si="3"/>
        <v>126</v>
      </c>
      <c r="EC4" s="296">
        <f t="shared" si="3"/>
        <v>127</v>
      </c>
      <c r="ED4" s="296">
        <f t="shared" si="3"/>
        <v>128</v>
      </c>
      <c r="EE4" s="296">
        <f t="shared" si="3"/>
        <v>129</v>
      </c>
      <c r="EF4" s="296">
        <f t="shared" si="3"/>
        <v>130</v>
      </c>
      <c r="EG4" s="296">
        <f t="shared" si="3"/>
        <v>131</v>
      </c>
      <c r="EH4" s="296">
        <f t="shared" si="3"/>
        <v>132</v>
      </c>
    </row>
    <row r="5" spans="1:139" x14ac:dyDescent="0.2">
      <c r="A5" s="297"/>
      <c r="B5" s="252"/>
      <c r="C5" s="252"/>
      <c r="D5" s="252"/>
      <c r="E5" s="252"/>
      <c r="F5" s="210">
        <v>0</v>
      </c>
      <c r="G5" s="210">
        <f t="shared" ref="G5:AL5" si="4">ROUNDUP(G4/12,0)</f>
        <v>1</v>
      </c>
      <c r="H5" s="210">
        <f t="shared" si="4"/>
        <v>1</v>
      </c>
      <c r="I5" s="210">
        <f t="shared" si="4"/>
        <v>1</v>
      </c>
      <c r="J5" s="210">
        <f t="shared" si="4"/>
        <v>1</v>
      </c>
      <c r="K5" s="210">
        <f t="shared" si="4"/>
        <v>1</v>
      </c>
      <c r="L5" s="210">
        <f t="shared" si="4"/>
        <v>1</v>
      </c>
      <c r="M5" s="210">
        <f t="shared" si="4"/>
        <v>1</v>
      </c>
      <c r="N5" s="210">
        <f t="shared" si="4"/>
        <v>1</v>
      </c>
      <c r="O5" s="210">
        <f t="shared" si="4"/>
        <v>1</v>
      </c>
      <c r="P5" s="210">
        <f t="shared" si="4"/>
        <v>1</v>
      </c>
      <c r="Q5" s="210">
        <f t="shared" si="4"/>
        <v>1</v>
      </c>
      <c r="R5" s="210">
        <f t="shared" si="4"/>
        <v>1</v>
      </c>
      <c r="S5" s="210">
        <f t="shared" si="4"/>
        <v>2</v>
      </c>
      <c r="T5" s="210">
        <f t="shared" si="4"/>
        <v>2</v>
      </c>
      <c r="U5" s="210">
        <f t="shared" si="4"/>
        <v>2</v>
      </c>
      <c r="V5" s="210">
        <f t="shared" si="4"/>
        <v>2</v>
      </c>
      <c r="W5" s="210">
        <f t="shared" si="4"/>
        <v>2</v>
      </c>
      <c r="X5" s="210">
        <f t="shared" si="4"/>
        <v>2</v>
      </c>
      <c r="Y5" s="210">
        <f t="shared" si="4"/>
        <v>2</v>
      </c>
      <c r="Z5" s="210">
        <f t="shared" si="4"/>
        <v>2</v>
      </c>
      <c r="AA5" s="210">
        <f t="shared" si="4"/>
        <v>2</v>
      </c>
      <c r="AB5" s="210">
        <f t="shared" si="4"/>
        <v>2</v>
      </c>
      <c r="AC5" s="210">
        <f t="shared" si="4"/>
        <v>2</v>
      </c>
      <c r="AD5" s="210">
        <f t="shared" si="4"/>
        <v>2</v>
      </c>
      <c r="AE5" s="210">
        <f t="shared" si="4"/>
        <v>3</v>
      </c>
      <c r="AF5" s="210">
        <f t="shared" si="4"/>
        <v>3</v>
      </c>
      <c r="AG5" s="210">
        <f t="shared" si="4"/>
        <v>3</v>
      </c>
      <c r="AH5" s="210">
        <f t="shared" si="4"/>
        <v>3</v>
      </c>
      <c r="AI5" s="210">
        <f t="shared" si="4"/>
        <v>3</v>
      </c>
      <c r="AJ5" s="210">
        <f t="shared" si="4"/>
        <v>3</v>
      </c>
      <c r="AK5" s="210">
        <f t="shared" si="4"/>
        <v>3</v>
      </c>
      <c r="AL5" s="210">
        <f t="shared" si="4"/>
        <v>3</v>
      </c>
      <c r="AM5" s="210">
        <f t="shared" ref="AM5:BR5" si="5">ROUNDUP(AM4/12,0)</f>
        <v>3</v>
      </c>
      <c r="AN5" s="210">
        <f t="shared" si="5"/>
        <v>3</v>
      </c>
      <c r="AO5" s="210">
        <f t="shared" si="5"/>
        <v>3</v>
      </c>
      <c r="AP5" s="210">
        <f t="shared" si="5"/>
        <v>3</v>
      </c>
      <c r="AQ5" s="210">
        <f t="shared" si="5"/>
        <v>4</v>
      </c>
      <c r="AR5" s="210">
        <f t="shared" si="5"/>
        <v>4</v>
      </c>
      <c r="AS5" s="210">
        <f t="shared" si="5"/>
        <v>4</v>
      </c>
      <c r="AT5" s="210">
        <f t="shared" si="5"/>
        <v>4</v>
      </c>
      <c r="AU5" s="210">
        <f t="shared" si="5"/>
        <v>4</v>
      </c>
      <c r="AV5" s="210">
        <f t="shared" si="5"/>
        <v>4</v>
      </c>
      <c r="AW5" s="210">
        <f t="shared" si="5"/>
        <v>4</v>
      </c>
      <c r="AX5" s="210">
        <f t="shared" si="5"/>
        <v>4</v>
      </c>
      <c r="AY5" s="210">
        <f t="shared" si="5"/>
        <v>4</v>
      </c>
      <c r="AZ5" s="210">
        <f t="shared" si="5"/>
        <v>4</v>
      </c>
      <c r="BA5" s="210">
        <f t="shared" si="5"/>
        <v>4</v>
      </c>
      <c r="BB5" s="210">
        <f t="shared" si="5"/>
        <v>4</v>
      </c>
      <c r="BC5" s="210">
        <f t="shared" si="5"/>
        <v>5</v>
      </c>
      <c r="BD5" s="210">
        <f t="shared" si="5"/>
        <v>5</v>
      </c>
      <c r="BE5" s="210">
        <f t="shared" si="5"/>
        <v>5</v>
      </c>
      <c r="BF5" s="210">
        <f t="shared" si="5"/>
        <v>5</v>
      </c>
      <c r="BG5" s="210">
        <f t="shared" si="5"/>
        <v>5</v>
      </c>
      <c r="BH5" s="210">
        <f t="shared" si="5"/>
        <v>5</v>
      </c>
      <c r="BI5" s="210">
        <f t="shared" si="5"/>
        <v>5</v>
      </c>
      <c r="BJ5" s="210">
        <f t="shared" si="5"/>
        <v>5</v>
      </c>
      <c r="BK5" s="210">
        <f t="shared" si="5"/>
        <v>5</v>
      </c>
      <c r="BL5" s="210">
        <f t="shared" si="5"/>
        <v>5</v>
      </c>
      <c r="BM5" s="210">
        <f t="shared" si="5"/>
        <v>5</v>
      </c>
      <c r="BN5" s="210">
        <f t="shared" si="5"/>
        <v>5</v>
      </c>
      <c r="BO5" s="210">
        <f t="shared" si="5"/>
        <v>6</v>
      </c>
      <c r="BP5" s="210">
        <f t="shared" si="5"/>
        <v>6</v>
      </c>
      <c r="BQ5" s="210">
        <f t="shared" si="5"/>
        <v>6</v>
      </c>
      <c r="BR5" s="210">
        <f t="shared" si="5"/>
        <v>6</v>
      </c>
      <c r="BS5" s="210">
        <f t="shared" ref="BS5:CX5" si="6">ROUNDUP(BS4/12,0)</f>
        <v>6</v>
      </c>
      <c r="BT5" s="210">
        <f t="shared" si="6"/>
        <v>6</v>
      </c>
      <c r="BU5" s="210">
        <f t="shared" si="6"/>
        <v>6</v>
      </c>
      <c r="BV5" s="210">
        <f t="shared" si="6"/>
        <v>6</v>
      </c>
      <c r="BW5" s="210">
        <f t="shared" si="6"/>
        <v>6</v>
      </c>
      <c r="BX5" s="210">
        <f t="shared" si="6"/>
        <v>6</v>
      </c>
      <c r="BY5" s="210">
        <f t="shared" si="6"/>
        <v>6</v>
      </c>
      <c r="BZ5" s="210">
        <f t="shared" si="6"/>
        <v>6</v>
      </c>
      <c r="CA5" s="210">
        <f t="shared" si="6"/>
        <v>7</v>
      </c>
      <c r="CB5" s="210">
        <f t="shared" si="6"/>
        <v>7</v>
      </c>
      <c r="CC5" s="210">
        <f t="shared" si="6"/>
        <v>7</v>
      </c>
      <c r="CD5" s="210">
        <f t="shared" si="6"/>
        <v>7</v>
      </c>
      <c r="CE5" s="210">
        <f t="shared" si="6"/>
        <v>7</v>
      </c>
      <c r="CF5" s="210">
        <f t="shared" si="6"/>
        <v>7</v>
      </c>
      <c r="CG5" s="210">
        <f t="shared" si="6"/>
        <v>7</v>
      </c>
      <c r="CH5" s="210">
        <f t="shared" si="6"/>
        <v>7</v>
      </c>
      <c r="CI5" s="210">
        <f t="shared" si="6"/>
        <v>7</v>
      </c>
      <c r="CJ5" s="210">
        <f t="shared" si="6"/>
        <v>7</v>
      </c>
      <c r="CK5" s="210">
        <f t="shared" si="6"/>
        <v>7</v>
      </c>
      <c r="CL5" s="210">
        <f t="shared" si="6"/>
        <v>7</v>
      </c>
      <c r="CM5" s="210">
        <f t="shared" si="6"/>
        <v>8</v>
      </c>
      <c r="CN5" s="210">
        <f t="shared" si="6"/>
        <v>8</v>
      </c>
      <c r="CO5" s="210">
        <f t="shared" si="6"/>
        <v>8</v>
      </c>
      <c r="CP5" s="210">
        <f t="shared" si="6"/>
        <v>8</v>
      </c>
      <c r="CQ5" s="210">
        <f t="shared" si="6"/>
        <v>8</v>
      </c>
      <c r="CR5" s="210">
        <f t="shared" si="6"/>
        <v>8</v>
      </c>
      <c r="CS5" s="210">
        <f t="shared" si="6"/>
        <v>8</v>
      </c>
      <c r="CT5" s="210">
        <f t="shared" si="6"/>
        <v>8</v>
      </c>
      <c r="CU5" s="210">
        <f t="shared" si="6"/>
        <v>8</v>
      </c>
      <c r="CV5" s="210">
        <f t="shared" si="6"/>
        <v>8</v>
      </c>
      <c r="CW5" s="210">
        <f t="shared" si="6"/>
        <v>8</v>
      </c>
      <c r="CX5" s="210">
        <f t="shared" si="6"/>
        <v>8</v>
      </c>
      <c r="CY5" s="210">
        <f t="shared" ref="CY5:ED5" si="7">ROUNDUP(CY4/12,0)</f>
        <v>9</v>
      </c>
      <c r="CZ5" s="210">
        <f t="shared" si="7"/>
        <v>9</v>
      </c>
      <c r="DA5" s="210">
        <f t="shared" si="7"/>
        <v>9</v>
      </c>
      <c r="DB5" s="210">
        <f t="shared" si="7"/>
        <v>9</v>
      </c>
      <c r="DC5" s="210">
        <f t="shared" si="7"/>
        <v>9</v>
      </c>
      <c r="DD5" s="210">
        <f t="shared" si="7"/>
        <v>9</v>
      </c>
      <c r="DE5" s="210">
        <f t="shared" si="7"/>
        <v>9</v>
      </c>
      <c r="DF5" s="210">
        <f t="shared" si="7"/>
        <v>9</v>
      </c>
      <c r="DG5" s="210">
        <f t="shared" si="7"/>
        <v>9</v>
      </c>
      <c r="DH5" s="210">
        <f t="shared" si="7"/>
        <v>9</v>
      </c>
      <c r="DI5" s="210">
        <f t="shared" si="7"/>
        <v>9</v>
      </c>
      <c r="DJ5" s="210">
        <f t="shared" si="7"/>
        <v>9</v>
      </c>
      <c r="DK5" s="210">
        <f t="shared" si="7"/>
        <v>10</v>
      </c>
      <c r="DL5" s="210">
        <f t="shared" si="7"/>
        <v>10</v>
      </c>
      <c r="DM5" s="210">
        <f t="shared" si="7"/>
        <v>10</v>
      </c>
      <c r="DN5" s="210">
        <f t="shared" si="7"/>
        <v>10</v>
      </c>
      <c r="DO5" s="210">
        <f t="shared" si="7"/>
        <v>10</v>
      </c>
      <c r="DP5" s="210">
        <f t="shared" si="7"/>
        <v>10</v>
      </c>
      <c r="DQ5" s="210">
        <f t="shared" si="7"/>
        <v>10</v>
      </c>
      <c r="DR5" s="210">
        <f t="shared" si="7"/>
        <v>10</v>
      </c>
      <c r="DS5" s="210">
        <f t="shared" si="7"/>
        <v>10</v>
      </c>
      <c r="DT5" s="210">
        <f t="shared" si="7"/>
        <v>10</v>
      </c>
      <c r="DU5" s="210">
        <f t="shared" si="7"/>
        <v>10</v>
      </c>
      <c r="DV5" s="210">
        <f t="shared" si="7"/>
        <v>10</v>
      </c>
      <c r="DW5" s="210">
        <f t="shared" si="7"/>
        <v>11</v>
      </c>
      <c r="DX5" s="210">
        <f t="shared" si="7"/>
        <v>11</v>
      </c>
      <c r="DY5" s="210">
        <f t="shared" si="7"/>
        <v>11</v>
      </c>
      <c r="DZ5" s="210">
        <f t="shared" si="7"/>
        <v>11</v>
      </c>
      <c r="EA5" s="210">
        <f t="shared" si="7"/>
        <v>11</v>
      </c>
      <c r="EB5" s="210">
        <f t="shared" si="7"/>
        <v>11</v>
      </c>
      <c r="EC5" s="210">
        <f t="shared" si="7"/>
        <v>11</v>
      </c>
      <c r="ED5" s="210">
        <f t="shared" si="7"/>
        <v>11</v>
      </c>
      <c r="EE5" s="210">
        <f>ROUNDUP(EE4/12,0)</f>
        <v>11</v>
      </c>
      <c r="EF5" s="210">
        <f>ROUNDUP(EF4/12,0)</f>
        <v>11</v>
      </c>
      <c r="EG5" s="210">
        <f>ROUNDUP(EG4/12,0)</f>
        <v>11</v>
      </c>
      <c r="EH5" s="210">
        <f>ROUNDUP(EH4/12,0)</f>
        <v>11</v>
      </c>
    </row>
    <row r="6" spans="1:139" x14ac:dyDescent="0.2">
      <c r="A6" s="298"/>
      <c r="B6" s="252"/>
      <c r="C6" s="252"/>
      <c r="D6" s="252"/>
      <c r="E6" s="252"/>
      <c r="F6" s="253">
        <f>EOMONTH(AnalysisStartDate,-1)</f>
        <v>44926</v>
      </c>
      <c r="G6" s="253">
        <f>EOMONTH(AnalysisStartDate,0)</f>
        <v>44957</v>
      </c>
      <c r="H6" s="253">
        <f t="shared" ref="H6:AL6" si="8">EOMONTH(G6,1)</f>
        <v>44985</v>
      </c>
      <c r="I6" s="253">
        <f t="shared" si="8"/>
        <v>45016</v>
      </c>
      <c r="J6" s="253">
        <f t="shared" si="8"/>
        <v>45046</v>
      </c>
      <c r="K6" s="253">
        <f t="shared" si="8"/>
        <v>45077</v>
      </c>
      <c r="L6" s="253">
        <f t="shared" si="8"/>
        <v>45107</v>
      </c>
      <c r="M6" s="253">
        <f t="shared" si="8"/>
        <v>45138</v>
      </c>
      <c r="N6" s="253">
        <f t="shared" si="8"/>
        <v>45169</v>
      </c>
      <c r="O6" s="253">
        <f t="shared" si="8"/>
        <v>45199</v>
      </c>
      <c r="P6" s="253">
        <f t="shared" si="8"/>
        <v>45230</v>
      </c>
      <c r="Q6" s="253">
        <f t="shared" si="8"/>
        <v>45260</v>
      </c>
      <c r="R6" s="253">
        <f t="shared" si="8"/>
        <v>45291</v>
      </c>
      <c r="S6" s="253">
        <f t="shared" si="8"/>
        <v>45322</v>
      </c>
      <c r="T6" s="253">
        <f t="shared" si="8"/>
        <v>45351</v>
      </c>
      <c r="U6" s="253">
        <f t="shared" si="8"/>
        <v>45382</v>
      </c>
      <c r="V6" s="253">
        <f t="shared" si="8"/>
        <v>45412</v>
      </c>
      <c r="W6" s="253">
        <f t="shared" si="8"/>
        <v>45443</v>
      </c>
      <c r="X6" s="253">
        <f t="shared" si="8"/>
        <v>45473</v>
      </c>
      <c r="Y6" s="253">
        <f t="shared" si="8"/>
        <v>45504</v>
      </c>
      <c r="Z6" s="253">
        <f t="shared" si="8"/>
        <v>45535</v>
      </c>
      <c r="AA6" s="253">
        <f t="shared" si="8"/>
        <v>45565</v>
      </c>
      <c r="AB6" s="253">
        <f t="shared" si="8"/>
        <v>45596</v>
      </c>
      <c r="AC6" s="253">
        <f t="shared" si="8"/>
        <v>45626</v>
      </c>
      <c r="AD6" s="253">
        <f t="shared" si="8"/>
        <v>45657</v>
      </c>
      <c r="AE6" s="253">
        <f t="shared" si="8"/>
        <v>45688</v>
      </c>
      <c r="AF6" s="253">
        <f t="shared" si="8"/>
        <v>45716</v>
      </c>
      <c r="AG6" s="253">
        <f t="shared" si="8"/>
        <v>45747</v>
      </c>
      <c r="AH6" s="253">
        <f t="shared" si="8"/>
        <v>45777</v>
      </c>
      <c r="AI6" s="253">
        <f t="shared" si="8"/>
        <v>45808</v>
      </c>
      <c r="AJ6" s="253">
        <f t="shared" si="8"/>
        <v>45838</v>
      </c>
      <c r="AK6" s="253">
        <f t="shared" si="8"/>
        <v>45869</v>
      </c>
      <c r="AL6" s="253">
        <f t="shared" si="8"/>
        <v>45900</v>
      </c>
      <c r="AM6" s="253">
        <f t="shared" ref="AM6:BR6" si="9">EOMONTH(AL6,1)</f>
        <v>45930</v>
      </c>
      <c r="AN6" s="253">
        <f t="shared" si="9"/>
        <v>45961</v>
      </c>
      <c r="AO6" s="253">
        <f t="shared" si="9"/>
        <v>45991</v>
      </c>
      <c r="AP6" s="253">
        <f t="shared" si="9"/>
        <v>46022</v>
      </c>
      <c r="AQ6" s="253">
        <f t="shared" si="9"/>
        <v>46053</v>
      </c>
      <c r="AR6" s="253">
        <f t="shared" si="9"/>
        <v>46081</v>
      </c>
      <c r="AS6" s="253">
        <f t="shared" si="9"/>
        <v>46112</v>
      </c>
      <c r="AT6" s="253">
        <f t="shared" si="9"/>
        <v>46142</v>
      </c>
      <c r="AU6" s="253">
        <f t="shared" si="9"/>
        <v>46173</v>
      </c>
      <c r="AV6" s="253">
        <f t="shared" si="9"/>
        <v>46203</v>
      </c>
      <c r="AW6" s="253">
        <f t="shared" si="9"/>
        <v>46234</v>
      </c>
      <c r="AX6" s="253">
        <f t="shared" si="9"/>
        <v>46265</v>
      </c>
      <c r="AY6" s="253">
        <f t="shared" si="9"/>
        <v>46295</v>
      </c>
      <c r="AZ6" s="253">
        <f t="shared" si="9"/>
        <v>46326</v>
      </c>
      <c r="BA6" s="253">
        <f t="shared" si="9"/>
        <v>46356</v>
      </c>
      <c r="BB6" s="253">
        <f t="shared" si="9"/>
        <v>46387</v>
      </c>
      <c r="BC6" s="253">
        <f t="shared" si="9"/>
        <v>46418</v>
      </c>
      <c r="BD6" s="253">
        <f t="shared" si="9"/>
        <v>46446</v>
      </c>
      <c r="BE6" s="253">
        <f t="shared" si="9"/>
        <v>46477</v>
      </c>
      <c r="BF6" s="253">
        <f t="shared" si="9"/>
        <v>46507</v>
      </c>
      <c r="BG6" s="253">
        <f t="shared" si="9"/>
        <v>46538</v>
      </c>
      <c r="BH6" s="253">
        <f t="shared" si="9"/>
        <v>46568</v>
      </c>
      <c r="BI6" s="253">
        <f t="shared" si="9"/>
        <v>46599</v>
      </c>
      <c r="BJ6" s="253">
        <f t="shared" si="9"/>
        <v>46630</v>
      </c>
      <c r="BK6" s="253">
        <f t="shared" si="9"/>
        <v>46660</v>
      </c>
      <c r="BL6" s="253">
        <f t="shared" si="9"/>
        <v>46691</v>
      </c>
      <c r="BM6" s="253">
        <f t="shared" si="9"/>
        <v>46721</v>
      </c>
      <c r="BN6" s="253">
        <f t="shared" si="9"/>
        <v>46752</v>
      </c>
      <c r="BO6" s="253">
        <f t="shared" si="9"/>
        <v>46783</v>
      </c>
      <c r="BP6" s="253">
        <f t="shared" si="9"/>
        <v>46812</v>
      </c>
      <c r="BQ6" s="253">
        <f t="shared" si="9"/>
        <v>46843</v>
      </c>
      <c r="BR6" s="253">
        <f t="shared" si="9"/>
        <v>46873</v>
      </c>
      <c r="BS6" s="253">
        <f t="shared" ref="BS6:CX6" si="10">EOMONTH(BR6,1)</f>
        <v>46904</v>
      </c>
      <c r="BT6" s="253">
        <f t="shared" si="10"/>
        <v>46934</v>
      </c>
      <c r="BU6" s="253">
        <f t="shared" si="10"/>
        <v>46965</v>
      </c>
      <c r="BV6" s="253">
        <f t="shared" si="10"/>
        <v>46996</v>
      </c>
      <c r="BW6" s="253">
        <f t="shared" si="10"/>
        <v>47026</v>
      </c>
      <c r="BX6" s="253">
        <f t="shared" si="10"/>
        <v>47057</v>
      </c>
      <c r="BY6" s="253">
        <f t="shared" si="10"/>
        <v>47087</v>
      </c>
      <c r="BZ6" s="253">
        <f t="shared" si="10"/>
        <v>47118</v>
      </c>
      <c r="CA6" s="253">
        <f t="shared" si="10"/>
        <v>47149</v>
      </c>
      <c r="CB6" s="253">
        <f t="shared" si="10"/>
        <v>47177</v>
      </c>
      <c r="CC6" s="253">
        <f t="shared" si="10"/>
        <v>47208</v>
      </c>
      <c r="CD6" s="253">
        <f t="shared" si="10"/>
        <v>47238</v>
      </c>
      <c r="CE6" s="253">
        <f t="shared" si="10"/>
        <v>47269</v>
      </c>
      <c r="CF6" s="253">
        <f t="shared" si="10"/>
        <v>47299</v>
      </c>
      <c r="CG6" s="253">
        <f t="shared" si="10"/>
        <v>47330</v>
      </c>
      <c r="CH6" s="253">
        <f t="shared" si="10"/>
        <v>47361</v>
      </c>
      <c r="CI6" s="253">
        <f t="shared" si="10"/>
        <v>47391</v>
      </c>
      <c r="CJ6" s="253">
        <f t="shared" si="10"/>
        <v>47422</v>
      </c>
      <c r="CK6" s="253">
        <f t="shared" si="10"/>
        <v>47452</v>
      </c>
      <c r="CL6" s="253">
        <f t="shared" si="10"/>
        <v>47483</v>
      </c>
      <c r="CM6" s="253">
        <f t="shared" si="10"/>
        <v>47514</v>
      </c>
      <c r="CN6" s="253">
        <f t="shared" si="10"/>
        <v>47542</v>
      </c>
      <c r="CO6" s="253">
        <f t="shared" si="10"/>
        <v>47573</v>
      </c>
      <c r="CP6" s="253">
        <f t="shared" si="10"/>
        <v>47603</v>
      </c>
      <c r="CQ6" s="253">
        <f t="shared" si="10"/>
        <v>47634</v>
      </c>
      <c r="CR6" s="253">
        <f t="shared" si="10"/>
        <v>47664</v>
      </c>
      <c r="CS6" s="253">
        <f t="shared" si="10"/>
        <v>47695</v>
      </c>
      <c r="CT6" s="253">
        <f t="shared" si="10"/>
        <v>47726</v>
      </c>
      <c r="CU6" s="253">
        <f t="shared" si="10"/>
        <v>47756</v>
      </c>
      <c r="CV6" s="253">
        <f t="shared" si="10"/>
        <v>47787</v>
      </c>
      <c r="CW6" s="253">
        <f t="shared" si="10"/>
        <v>47817</v>
      </c>
      <c r="CX6" s="253">
        <f t="shared" si="10"/>
        <v>47848</v>
      </c>
      <c r="CY6" s="253">
        <f t="shared" ref="CY6:EH6" si="11">EOMONTH(CX6,1)</f>
        <v>47879</v>
      </c>
      <c r="CZ6" s="253">
        <f t="shared" si="11"/>
        <v>47907</v>
      </c>
      <c r="DA6" s="253">
        <f t="shared" si="11"/>
        <v>47938</v>
      </c>
      <c r="DB6" s="253">
        <f t="shared" si="11"/>
        <v>47968</v>
      </c>
      <c r="DC6" s="253">
        <f t="shared" si="11"/>
        <v>47999</v>
      </c>
      <c r="DD6" s="253">
        <f t="shared" si="11"/>
        <v>48029</v>
      </c>
      <c r="DE6" s="253">
        <f t="shared" si="11"/>
        <v>48060</v>
      </c>
      <c r="DF6" s="253">
        <f t="shared" si="11"/>
        <v>48091</v>
      </c>
      <c r="DG6" s="253">
        <f t="shared" si="11"/>
        <v>48121</v>
      </c>
      <c r="DH6" s="253">
        <f t="shared" si="11"/>
        <v>48152</v>
      </c>
      <c r="DI6" s="253">
        <f t="shared" si="11"/>
        <v>48182</v>
      </c>
      <c r="DJ6" s="253">
        <f t="shared" si="11"/>
        <v>48213</v>
      </c>
      <c r="DK6" s="253">
        <f t="shared" si="11"/>
        <v>48244</v>
      </c>
      <c r="DL6" s="253">
        <f t="shared" si="11"/>
        <v>48273</v>
      </c>
      <c r="DM6" s="253">
        <f t="shared" si="11"/>
        <v>48304</v>
      </c>
      <c r="DN6" s="253">
        <f t="shared" si="11"/>
        <v>48334</v>
      </c>
      <c r="DO6" s="253">
        <f t="shared" si="11"/>
        <v>48365</v>
      </c>
      <c r="DP6" s="253">
        <f t="shared" si="11"/>
        <v>48395</v>
      </c>
      <c r="DQ6" s="253">
        <f t="shared" si="11"/>
        <v>48426</v>
      </c>
      <c r="DR6" s="253">
        <f t="shared" si="11"/>
        <v>48457</v>
      </c>
      <c r="DS6" s="253">
        <f t="shared" si="11"/>
        <v>48487</v>
      </c>
      <c r="DT6" s="253">
        <f t="shared" si="11"/>
        <v>48518</v>
      </c>
      <c r="DU6" s="253">
        <f t="shared" si="11"/>
        <v>48548</v>
      </c>
      <c r="DV6" s="253">
        <f t="shared" si="11"/>
        <v>48579</v>
      </c>
      <c r="DW6" s="253">
        <f t="shared" si="11"/>
        <v>48610</v>
      </c>
      <c r="DX6" s="253">
        <f t="shared" si="11"/>
        <v>48638</v>
      </c>
      <c r="DY6" s="253">
        <f t="shared" si="11"/>
        <v>48669</v>
      </c>
      <c r="DZ6" s="253">
        <f t="shared" si="11"/>
        <v>48699</v>
      </c>
      <c r="EA6" s="253">
        <f t="shared" si="11"/>
        <v>48730</v>
      </c>
      <c r="EB6" s="253">
        <f t="shared" si="11"/>
        <v>48760</v>
      </c>
      <c r="EC6" s="253">
        <f t="shared" si="11"/>
        <v>48791</v>
      </c>
      <c r="ED6" s="253">
        <f t="shared" si="11"/>
        <v>48822</v>
      </c>
      <c r="EE6" s="253">
        <f t="shared" si="11"/>
        <v>48852</v>
      </c>
      <c r="EF6" s="253">
        <f t="shared" si="11"/>
        <v>48883</v>
      </c>
      <c r="EG6" s="253">
        <f t="shared" si="11"/>
        <v>48913</v>
      </c>
      <c r="EH6" s="253">
        <f t="shared" si="11"/>
        <v>48944</v>
      </c>
      <c r="EI6" s="158" t="s">
        <v>243</v>
      </c>
    </row>
    <row r="7" spans="1:139" s="180" customFormat="1" x14ac:dyDescent="0.2">
      <c r="B7" s="158"/>
      <c r="C7" s="158"/>
      <c r="D7" s="158"/>
      <c r="E7" s="158"/>
      <c r="EI7" s="158" t="s">
        <v>243</v>
      </c>
    </row>
    <row r="8" spans="1:139" s="180" customFormat="1" ht="15" thickBot="1" x14ac:dyDescent="0.25">
      <c r="B8" s="299" t="s">
        <v>684</v>
      </c>
      <c r="C8" s="299"/>
      <c r="D8" s="300"/>
      <c r="E8" s="300"/>
      <c r="F8" s="299"/>
      <c r="G8" s="299"/>
      <c r="H8" s="299"/>
      <c r="I8" s="299"/>
      <c r="J8" s="299"/>
      <c r="K8" s="299"/>
      <c r="L8" s="299"/>
      <c r="M8" s="299"/>
      <c r="N8" s="299"/>
      <c r="O8" s="299"/>
      <c r="P8" s="299"/>
      <c r="Q8" s="299"/>
      <c r="R8" s="299"/>
      <c r="S8" s="299"/>
      <c r="T8" s="299"/>
      <c r="U8" s="299"/>
      <c r="V8" s="299"/>
      <c r="W8" s="299"/>
      <c r="X8" s="299"/>
      <c r="Y8" s="299"/>
      <c r="Z8" s="299"/>
      <c r="AA8" s="299"/>
      <c r="AB8" s="299"/>
      <c r="AC8" s="299"/>
      <c r="AD8" s="299"/>
      <c r="AE8" s="299"/>
      <c r="AF8" s="299"/>
      <c r="AG8" s="299"/>
      <c r="AH8" s="299"/>
      <c r="AI8" s="299"/>
      <c r="AJ8" s="299"/>
      <c r="AK8" s="299"/>
      <c r="AL8" s="299"/>
      <c r="AM8" s="299"/>
      <c r="AN8" s="299"/>
      <c r="AO8" s="299"/>
      <c r="AP8" s="299"/>
      <c r="AQ8" s="299"/>
      <c r="AR8" s="299"/>
      <c r="AS8" s="299"/>
      <c r="AT8" s="299"/>
      <c r="AU8" s="299"/>
      <c r="AV8" s="299"/>
      <c r="AW8" s="299"/>
      <c r="AX8" s="299"/>
      <c r="AY8" s="299"/>
      <c r="AZ8" s="299"/>
      <c r="BA8" s="299"/>
      <c r="BB8" s="299"/>
      <c r="BC8" s="299"/>
      <c r="BD8" s="299"/>
      <c r="BE8" s="299"/>
      <c r="BF8" s="299"/>
      <c r="BG8" s="299"/>
      <c r="BH8" s="299"/>
      <c r="BI8" s="299"/>
      <c r="BJ8" s="299"/>
      <c r="BK8" s="299"/>
      <c r="BL8" s="299"/>
      <c r="BM8" s="299"/>
      <c r="BN8" s="299"/>
      <c r="BO8" s="299"/>
      <c r="BP8" s="299"/>
      <c r="BQ8" s="299"/>
      <c r="BR8" s="299"/>
      <c r="BS8" s="299"/>
      <c r="BT8" s="299"/>
      <c r="BU8" s="299"/>
      <c r="BV8" s="299"/>
      <c r="BW8" s="299"/>
      <c r="BX8" s="299"/>
      <c r="BY8" s="299"/>
      <c r="BZ8" s="299"/>
      <c r="CA8" s="299"/>
      <c r="CB8" s="299"/>
      <c r="CC8" s="299"/>
      <c r="CD8" s="299"/>
      <c r="CE8" s="299"/>
      <c r="CF8" s="299"/>
      <c r="CG8" s="299"/>
      <c r="CH8" s="299"/>
      <c r="CI8" s="299"/>
      <c r="CJ8" s="299"/>
      <c r="CK8" s="299"/>
      <c r="CL8" s="299"/>
      <c r="CM8" s="299"/>
      <c r="CN8" s="299"/>
      <c r="CO8" s="299"/>
      <c r="CP8" s="299"/>
      <c r="CQ8" s="299"/>
      <c r="CR8" s="299"/>
      <c r="CS8" s="299"/>
      <c r="CT8" s="299"/>
      <c r="CU8" s="299"/>
      <c r="CV8" s="299"/>
      <c r="CW8" s="299"/>
      <c r="CX8" s="299"/>
      <c r="CY8" s="299"/>
      <c r="CZ8" s="299"/>
      <c r="DA8" s="299"/>
      <c r="DB8" s="299"/>
      <c r="DC8" s="299"/>
      <c r="DD8" s="299"/>
      <c r="DE8" s="299"/>
      <c r="DF8" s="299"/>
      <c r="DG8" s="299"/>
      <c r="DH8" s="299"/>
      <c r="DI8" s="299"/>
      <c r="DJ8" s="299"/>
      <c r="DK8" s="299"/>
      <c r="DL8" s="299"/>
      <c r="DM8" s="299"/>
      <c r="DN8" s="299"/>
      <c r="DO8" s="299"/>
      <c r="DP8" s="299"/>
      <c r="DQ8" s="299"/>
      <c r="DR8" s="299"/>
      <c r="DS8" s="299"/>
      <c r="DT8" s="299"/>
      <c r="DU8" s="299"/>
      <c r="DV8" s="299"/>
      <c r="DW8" s="299"/>
      <c r="DX8" s="299"/>
      <c r="DY8" s="299"/>
      <c r="DZ8" s="299"/>
      <c r="EA8" s="299"/>
      <c r="EB8" s="299"/>
      <c r="EC8" s="299"/>
      <c r="ED8" s="299"/>
      <c r="EE8" s="299"/>
      <c r="EF8" s="299"/>
      <c r="EG8" s="299"/>
      <c r="EH8" s="299"/>
      <c r="EI8" s="158" t="s">
        <v>243</v>
      </c>
    </row>
    <row r="9" spans="1:139" s="180" customFormat="1" x14ac:dyDescent="0.2">
      <c r="B9" s="273" t="s">
        <v>249</v>
      </c>
      <c r="C9" s="162"/>
      <c r="D9" s="162"/>
      <c r="E9" s="162"/>
      <c r="F9" s="301">
        <f>'Unit Mix-Reno Schedule'!AL71</f>
        <v>234</v>
      </c>
      <c r="G9" s="301">
        <f>F14</f>
        <v>234</v>
      </c>
      <c r="H9" s="301">
        <f t="shared" ref="H9:BS9" ca="1" si="12">G14</f>
        <v>229</v>
      </c>
      <c r="I9" s="301">
        <f t="shared" ca="1" si="12"/>
        <v>229</v>
      </c>
      <c r="J9" s="301">
        <f t="shared" ca="1" si="12"/>
        <v>229</v>
      </c>
      <c r="K9" s="301">
        <f t="shared" ca="1" si="12"/>
        <v>229</v>
      </c>
      <c r="L9" s="301">
        <f t="shared" ca="1" si="12"/>
        <v>229</v>
      </c>
      <c r="M9" s="301">
        <f t="shared" ca="1" si="12"/>
        <v>229</v>
      </c>
      <c r="N9" s="301">
        <f t="shared" ca="1" si="12"/>
        <v>229</v>
      </c>
      <c r="O9" s="301">
        <f t="shared" ca="1" si="12"/>
        <v>229</v>
      </c>
      <c r="P9" s="301">
        <f t="shared" ca="1" si="12"/>
        <v>229</v>
      </c>
      <c r="Q9" s="301">
        <f t="shared" ca="1" si="12"/>
        <v>229</v>
      </c>
      <c r="R9" s="301">
        <f t="shared" ca="1" si="12"/>
        <v>229</v>
      </c>
      <c r="S9" s="301">
        <f t="shared" ca="1" si="12"/>
        <v>229</v>
      </c>
      <c r="T9" s="301">
        <f t="shared" ca="1" si="12"/>
        <v>229</v>
      </c>
      <c r="U9" s="301">
        <f t="shared" ca="1" si="12"/>
        <v>229</v>
      </c>
      <c r="V9" s="301">
        <f t="shared" ca="1" si="12"/>
        <v>229</v>
      </c>
      <c r="W9" s="301">
        <f t="shared" ca="1" si="12"/>
        <v>229</v>
      </c>
      <c r="X9" s="301">
        <f t="shared" ca="1" si="12"/>
        <v>229</v>
      </c>
      <c r="Y9" s="301">
        <f t="shared" ca="1" si="12"/>
        <v>229</v>
      </c>
      <c r="Z9" s="301">
        <f t="shared" ca="1" si="12"/>
        <v>229</v>
      </c>
      <c r="AA9" s="301">
        <f t="shared" ca="1" si="12"/>
        <v>229</v>
      </c>
      <c r="AB9" s="301">
        <f t="shared" ca="1" si="12"/>
        <v>229</v>
      </c>
      <c r="AC9" s="301">
        <f t="shared" ca="1" si="12"/>
        <v>229</v>
      </c>
      <c r="AD9" s="301">
        <f t="shared" ca="1" si="12"/>
        <v>229</v>
      </c>
      <c r="AE9" s="301">
        <f t="shared" ca="1" si="12"/>
        <v>229</v>
      </c>
      <c r="AF9" s="301">
        <f t="shared" ca="1" si="12"/>
        <v>232</v>
      </c>
      <c r="AG9" s="301">
        <f t="shared" ca="1" si="12"/>
        <v>232</v>
      </c>
      <c r="AH9" s="301">
        <f t="shared" ca="1" si="12"/>
        <v>232</v>
      </c>
      <c r="AI9" s="301">
        <f t="shared" ca="1" si="12"/>
        <v>232</v>
      </c>
      <c r="AJ9" s="301">
        <f t="shared" ca="1" si="12"/>
        <v>232</v>
      </c>
      <c r="AK9" s="301">
        <f t="shared" ca="1" si="12"/>
        <v>232</v>
      </c>
      <c r="AL9" s="301">
        <f t="shared" ca="1" si="12"/>
        <v>232</v>
      </c>
      <c r="AM9" s="301">
        <f t="shared" ca="1" si="12"/>
        <v>232</v>
      </c>
      <c r="AN9" s="301">
        <f t="shared" ca="1" si="12"/>
        <v>232</v>
      </c>
      <c r="AO9" s="301">
        <f t="shared" ca="1" si="12"/>
        <v>232</v>
      </c>
      <c r="AP9" s="301">
        <f t="shared" ca="1" si="12"/>
        <v>232</v>
      </c>
      <c r="AQ9" s="301">
        <f t="shared" ca="1" si="12"/>
        <v>232</v>
      </c>
      <c r="AR9" s="301">
        <f t="shared" ca="1" si="12"/>
        <v>232</v>
      </c>
      <c r="AS9" s="301">
        <f t="shared" ca="1" si="12"/>
        <v>232</v>
      </c>
      <c r="AT9" s="301">
        <f t="shared" ca="1" si="12"/>
        <v>232</v>
      </c>
      <c r="AU9" s="301">
        <f t="shared" ca="1" si="12"/>
        <v>232</v>
      </c>
      <c r="AV9" s="301">
        <f t="shared" ca="1" si="12"/>
        <v>232</v>
      </c>
      <c r="AW9" s="301">
        <f t="shared" ca="1" si="12"/>
        <v>232</v>
      </c>
      <c r="AX9" s="301">
        <f t="shared" ca="1" si="12"/>
        <v>232</v>
      </c>
      <c r="AY9" s="301">
        <f t="shared" ca="1" si="12"/>
        <v>232</v>
      </c>
      <c r="AZ9" s="301">
        <f t="shared" ca="1" si="12"/>
        <v>232</v>
      </c>
      <c r="BA9" s="301">
        <f t="shared" ca="1" si="12"/>
        <v>232</v>
      </c>
      <c r="BB9" s="301">
        <f t="shared" ca="1" si="12"/>
        <v>232</v>
      </c>
      <c r="BC9" s="301">
        <f t="shared" ca="1" si="12"/>
        <v>232</v>
      </c>
      <c r="BD9" s="301">
        <f t="shared" ca="1" si="12"/>
        <v>232</v>
      </c>
      <c r="BE9" s="301">
        <f t="shared" ca="1" si="12"/>
        <v>232</v>
      </c>
      <c r="BF9" s="301">
        <f t="shared" ca="1" si="12"/>
        <v>232</v>
      </c>
      <c r="BG9" s="301">
        <f t="shared" ca="1" si="12"/>
        <v>232</v>
      </c>
      <c r="BH9" s="301">
        <f t="shared" ca="1" si="12"/>
        <v>232</v>
      </c>
      <c r="BI9" s="301">
        <f t="shared" ca="1" si="12"/>
        <v>232</v>
      </c>
      <c r="BJ9" s="301">
        <f t="shared" ca="1" si="12"/>
        <v>232</v>
      </c>
      <c r="BK9" s="301">
        <f t="shared" ca="1" si="12"/>
        <v>232</v>
      </c>
      <c r="BL9" s="301">
        <f t="shared" ca="1" si="12"/>
        <v>232</v>
      </c>
      <c r="BM9" s="301">
        <f t="shared" ca="1" si="12"/>
        <v>232</v>
      </c>
      <c r="BN9" s="301">
        <f t="shared" ca="1" si="12"/>
        <v>232</v>
      </c>
      <c r="BO9" s="301">
        <f t="shared" ca="1" si="12"/>
        <v>232</v>
      </c>
      <c r="BP9" s="301">
        <f t="shared" ca="1" si="12"/>
        <v>232</v>
      </c>
      <c r="BQ9" s="301">
        <f t="shared" ca="1" si="12"/>
        <v>232</v>
      </c>
      <c r="BR9" s="301">
        <f t="shared" ca="1" si="12"/>
        <v>232</v>
      </c>
      <c r="BS9" s="301">
        <f t="shared" ca="1" si="12"/>
        <v>232</v>
      </c>
      <c r="BT9" s="301">
        <f t="shared" ref="BT9:EE9" ca="1" si="13">BS14</f>
        <v>232</v>
      </c>
      <c r="BU9" s="301">
        <f t="shared" ca="1" si="13"/>
        <v>232</v>
      </c>
      <c r="BV9" s="301">
        <f t="shared" ca="1" si="13"/>
        <v>232</v>
      </c>
      <c r="BW9" s="301">
        <f t="shared" ca="1" si="13"/>
        <v>232</v>
      </c>
      <c r="BX9" s="301">
        <f t="shared" ca="1" si="13"/>
        <v>232</v>
      </c>
      <c r="BY9" s="301">
        <f t="shared" ca="1" si="13"/>
        <v>232</v>
      </c>
      <c r="BZ9" s="301">
        <f t="shared" ca="1" si="13"/>
        <v>232</v>
      </c>
      <c r="CA9" s="301">
        <f t="shared" ca="1" si="13"/>
        <v>232</v>
      </c>
      <c r="CB9" s="301">
        <f t="shared" ca="1" si="13"/>
        <v>232</v>
      </c>
      <c r="CC9" s="301">
        <f t="shared" ca="1" si="13"/>
        <v>232</v>
      </c>
      <c r="CD9" s="301">
        <f t="shared" ca="1" si="13"/>
        <v>232</v>
      </c>
      <c r="CE9" s="301">
        <f t="shared" ca="1" si="13"/>
        <v>232</v>
      </c>
      <c r="CF9" s="301">
        <f t="shared" ca="1" si="13"/>
        <v>232</v>
      </c>
      <c r="CG9" s="301">
        <f t="shared" ca="1" si="13"/>
        <v>232</v>
      </c>
      <c r="CH9" s="301">
        <f t="shared" ca="1" si="13"/>
        <v>232</v>
      </c>
      <c r="CI9" s="301">
        <f t="shared" ca="1" si="13"/>
        <v>232</v>
      </c>
      <c r="CJ9" s="301">
        <f t="shared" ca="1" si="13"/>
        <v>232</v>
      </c>
      <c r="CK9" s="301">
        <f t="shared" ca="1" si="13"/>
        <v>232</v>
      </c>
      <c r="CL9" s="301">
        <f t="shared" ca="1" si="13"/>
        <v>232</v>
      </c>
      <c r="CM9" s="301">
        <f t="shared" ca="1" si="13"/>
        <v>232</v>
      </c>
      <c r="CN9" s="301">
        <f t="shared" ca="1" si="13"/>
        <v>232</v>
      </c>
      <c r="CO9" s="301">
        <f t="shared" ca="1" si="13"/>
        <v>232</v>
      </c>
      <c r="CP9" s="301">
        <f t="shared" ca="1" si="13"/>
        <v>232</v>
      </c>
      <c r="CQ9" s="301">
        <f t="shared" ca="1" si="13"/>
        <v>232</v>
      </c>
      <c r="CR9" s="301">
        <f t="shared" ca="1" si="13"/>
        <v>232</v>
      </c>
      <c r="CS9" s="301">
        <f t="shared" ca="1" si="13"/>
        <v>232</v>
      </c>
      <c r="CT9" s="301">
        <f t="shared" ca="1" si="13"/>
        <v>232</v>
      </c>
      <c r="CU9" s="301">
        <f t="shared" ca="1" si="13"/>
        <v>232</v>
      </c>
      <c r="CV9" s="301">
        <f t="shared" ca="1" si="13"/>
        <v>232</v>
      </c>
      <c r="CW9" s="301">
        <f t="shared" ca="1" si="13"/>
        <v>232</v>
      </c>
      <c r="CX9" s="301">
        <f t="shared" ca="1" si="13"/>
        <v>232</v>
      </c>
      <c r="CY9" s="301">
        <f t="shared" ca="1" si="13"/>
        <v>232</v>
      </c>
      <c r="CZ9" s="301">
        <f t="shared" ca="1" si="13"/>
        <v>232</v>
      </c>
      <c r="DA9" s="301">
        <f t="shared" ca="1" si="13"/>
        <v>232</v>
      </c>
      <c r="DB9" s="301">
        <f t="shared" ca="1" si="13"/>
        <v>232</v>
      </c>
      <c r="DC9" s="301">
        <f t="shared" ca="1" si="13"/>
        <v>232</v>
      </c>
      <c r="DD9" s="301">
        <f t="shared" ca="1" si="13"/>
        <v>232</v>
      </c>
      <c r="DE9" s="301">
        <f t="shared" ca="1" si="13"/>
        <v>232</v>
      </c>
      <c r="DF9" s="301">
        <f t="shared" ca="1" si="13"/>
        <v>232</v>
      </c>
      <c r="DG9" s="301">
        <f t="shared" ca="1" si="13"/>
        <v>232</v>
      </c>
      <c r="DH9" s="301">
        <f t="shared" ca="1" si="13"/>
        <v>232</v>
      </c>
      <c r="DI9" s="301">
        <f t="shared" ca="1" si="13"/>
        <v>232</v>
      </c>
      <c r="DJ9" s="301">
        <f t="shared" ca="1" si="13"/>
        <v>232</v>
      </c>
      <c r="DK9" s="301">
        <f t="shared" ca="1" si="13"/>
        <v>232</v>
      </c>
      <c r="DL9" s="301">
        <f t="shared" ca="1" si="13"/>
        <v>232</v>
      </c>
      <c r="DM9" s="301">
        <f t="shared" ca="1" si="13"/>
        <v>232</v>
      </c>
      <c r="DN9" s="301">
        <f t="shared" ca="1" si="13"/>
        <v>232</v>
      </c>
      <c r="DO9" s="301">
        <f t="shared" ca="1" si="13"/>
        <v>232</v>
      </c>
      <c r="DP9" s="301">
        <f t="shared" ca="1" si="13"/>
        <v>232</v>
      </c>
      <c r="DQ9" s="301">
        <f t="shared" ca="1" si="13"/>
        <v>232</v>
      </c>
      <c r="DR9" s="301">
        <f t="shared" ca="1" si="13"/>
        <v>232</v>
      </c>
      <c r="DS9" s="301">
        <f t="shared" ca="1" si="13"/>
        <v>232</v>
      </c>
      <c r="DT9" s="301">
        <f t="shared" ca="1" si="13"/>
        <v>232</v>
      </c>
      <c r="DU9" s="301">
        <f t="shared" ca="1" si="13"/>
        <v>232</v>
      </c>
      <c r="DV9" s="301">
        <f t="shared" ca="1" si="13"/>
        <v>232</v>
      </c>
      <c r="DW9" s="301">
        <f t="shared" ca="1" si="13"/>
        <v>232</v>
      </c>
      <c r="DX9" s="301">
        <f t="shared" ca="1" si="13"/>
        <v>232</v>
      </c>
      <c r="DY9" s="301">
        <f t="shared" ca="1" si="13"/>
        <v>232</v>
      </c>
      <c r="DZ9" s="301">
        <f t="shared" ca="1" si="13"/>
        <v>232</v>
      </c>
      <c r="EA9" s="301">
        <f t="shared" ca="1" si="13"/>
        <v>232</v>
      </c>
      <c r="EB9" s="301">
        <f t="shared" ca="1" si="13"/>
        <v>232</v>
      </c>
      <c r="EC9" s="301">
        <f t="shared" ca="1" si="13"/>
        <v>232</v>
      </c>
      <c r="ED9" s="301">
        <f t="shared" ca="1" si="13"/>
        <v>232</v>
      </c>
      <c r="EE9" s="301">
        <f t="shared" ca="1" si="13"/>
        <v>232</v>
      </c>
      <c r="EF9" s="301">
        <f t="shared" ref="EF9:EH9" ca="1" si="14">EE14</f>
        <v>232</v>
      </c>
      <c r="EG9" s="301">
        <f t="shared" ca="1" si="14"/>
        <v>232</v>
      </c>
      <c r="EH9" s="301">
        <f t="shared" ca="1" si="14"/>
        <v>232</v>
      </c>
      <c r="EI9" s="158" t="s">
        <v>243</v>
      </c>
    </row>
    <row r="10" spans="1:139" s="180" customFormat="1" x14ac:dyDescent="0.2">
      <c r="B10" s="273" t="s">
        <v>248</v>
      </c>
      <c r="C10" s="162"/>
      <c r="D10" s="162"/>
      <c r="E10" s="162"/>
      <c r="F10" s="301">
        <f>'Unit Mix-Reno Schedule'!AL72</f>
        <v>10</v>
      </c>
      <c r="G10" s="301">
        <f>F13</f>
        <v>10</v>
      </c>
      <c r="H10" s="301">
        <f t="shared" ref="H10:BS10" ca="1" si="15">G13</f>
        <v>15</v>
      </c>
      <c r="I10" s="301">
        <f t="shared" ca="1" si="15"/>
        <v>15</v>
      </c>
      <c r="J10" s="301">
        <f t="shared" ca="1" si="15"/>
        <v>15</v>
      </c>
      <c r="K10" s="301">
        <f t="shared" ca="1" si="15"/>
        <v>15</v>
      </c>
      <c r="L10" s="301">
        <f t="shared" ca="1" si="15"/>
        <v>15</v>
      </c>
      <c r="M10" s="301">
        <f t="shared" ca="1" si="15"/>
        <v>15</v>
      </c>
      <c r="N10" s="301">
        <f t="shared" ca="1" si="15"/>
        <v>15</v>
      </c>
      <c r="O10" s="301">
        <f t="shared" ca="1" si="15"/>
        <v>15</v>
      </c>
      <c r="P10" s="301">
        <f t="shared" ca="1" si="15"/>
        <v>15</v>
      </c>
      <c r="Q10" s="301">
        <f t="shared" ca="1" si="15"/>
        <v>15</v>
      </c>
      <c r="R10" s="301">
        <f t="shared" ca="1" si="15"/>
        <v>15</v>
      </c>
      <c r="S10" s="301">
        <f t="shared" ca="1" si="15"/>
        <v>15</v>
      </c>
      <c r="T10" s="301">
        <f t="shared" ca="1" si="15"/>
        <v>15</v>
      </c>
      <c r="U10" s="301">
        <f t="shared" ca="1" si="15"/>
        <v>15</v>
      </c>
      <c r="V10" s="301">
        <f t="shared" ca="1" si="15"/>
        <v>15</v>
      </c>
      <c r="W10" s="301">
        <f t="shared" ca="1" si="15"/>
        <v>15</v>
      </c>
      <c r="X10" s="301">
        <f t="shared" ca="1" si="15"/>
        <v>15</v>
      </c>
      <c r="Y10" s="301">
        <f t="shared" ca="1" si="15"/>
        <v>15</v>
      </c>
      <c r="Z10" s="301">
        <f t="shared" ca="1" si="15"/>
        <v>15</v>
      </c>
      <c r="AA10" s="301">
        <f t="shared" ca="1" si="15"/>
        <v>15</v>
      </c>
      <c r="AB10" s="301">
        <f t="shared" ca="1" si="15"/>
        <v>15</v>
      </c>
      <c r="AC10" s="301">
        <f t="shared" ca="1" si="15"/>
        <v>15</v>
      </c>
      <c r="AD10" s="301">
        <f t="shared" ca="1" si="15"/>
        <v>15</v>
      </c>
      <c r="AE10" s="301">
        <f t="shared" ca="1" si="15"/>
        <v>15</v>
      </c>
      <c r="AF10" s="301">
        <f t="shared" ca="1" si="15"/>
        <v>12</v>
      </c>
      <c r="AG10" s="301">
        <f t="shared" ca="1" si="15"/>
        <v>12</v>
      </c>
      <c r="AH10" s="301">
        <f t="shared" ca="1" si="15"/>
        <v>12</v>
      </c>
      <c r="AI10" s="301">
        <f t="shared" ca="1" si="15"/>
        <v>12</v>
      </c>
      <c r="AJ10" s="301">
        <f t="shared" ca="1" si="15"/>
        <v>12</v>
      </c>
      <c r="AK10" s="301">
        <f t="shared" ca="1" si="15"/>
        <v>12</v>
      </c>
      <c r="AL10" s="301">
        <f t="shared" ca="1" si="15"/>
        <v>12</v>
      </c>
      <c r="AM10" s="301">
        <f t="shared" ca="1" si="15"/>
        <v>12</v>
      </c>
      <c r="AN10" s="301">
        <f t="shared" ca="1" si="15"/>
        <v>12</v>
      </c>
      <c r="AO10" s="301">
        <f t="shared" ca="1" si="15"/>
        <v>12</v>
      </c>
      <c r="AP10" s="301">
        <f t="shared" ca="1" si="15"/>
        <v>12</v>
      </c>
      <c r="AQ10" s="301">
        <f t="shared" ca="1" si="15"/>
        <v>12</v>
      </c>
      <c r="AR10" s="301">
        <f t="shared" ca="1" si="15"/>
        <v>12</v>
      </c>
      <c r="AS10" s="301">
        <f t="shared" ca="1" si="15"/>
        <v>12</v>
      </c>
      <c r="AT10" s="301">
        <f t="shared" ca="1" si="15"/>
        <v>12</v>
      </c>
      <c r="AU10" s="301">
        <f t="shared" ca="1" si="15"/>
        <v>12</v>
      </c>
      <c r="AV10" s="301">
        <f t="shared" ca="1" si="15"/>
        <v>12</v>
      </c>
      <c r="AW10" s="301">
        <f t="shared" ca="1" si="15"/>
        <v>12</v>
      </c>
      <c r="AX10" s="301">
        <f t="shared" ca="1" si="15"/>
        <v>12</v>
      </c>
      <c r="AY10" s="301">
        <f t="shared" ca="1" si="15"/>
        <v>12</v>
      </c>
      <c r="AZ10" s="301">
        <f t="shared" ca="1" si="15"/>
        <v>12</v>
      </c>
      <c r="BA10" s="301">
        <f t="shared" ca="1" si="15"/>
        <v>12</v>
      </c>
      <c r="BB10" s="301">
        <f t="shared" ca="1" si="15"/>
        <v>12</v>
      </c>
      <c r="BC10" s="301">
        <f t="shared" ca="1" si="15"/>
        <v>12</v>
      </c>
      <c r="BD10" s="301">
        <f t="shared" ca="1" si="15"/>
        <v>12</v>
      </c>
      <c r="BE10" s="301">
        <f t="shared" ca="1" si="15"/>
        <v>12</v>
      </c>
      <c r="BF10" s="301">
        <f t="shared" ca="1" si="15"/>
        <v>12</v>
      </c>
      <c r="BG10" s="301">
        <f t="shared" ca="1" si="15"/>
        <v>12</v>
      </c>
      <c r="BH10" s="301">
        <f t="shared" ca="1" si="15"/>
        <v>12</v>
      </c>
      <c r="BI10" s="301">
        <f t="shared" ca="1" si="15"/>
        <v>12</v>
      </c>
      <c r="BJ10" s="301">
        <f t="shared" ca="1" si="15"/>
        <v>12</v>
      </c>
      <c r="BK10" s="301">
        <f t="shared" ca="1" si="15"/>
        <v>12</v>
      </c>
      <c r="BL10" s="301">
        <f t="shared" ca="1" si="15"/>
        <v>12</v>
      </c>
      <c r="BM10" s="301">
        <f t="shared" ca="1" si="15"/>
        <v>12</v>
      </c>
      <c r="BN10" s="301">
        <f t="shared" ca="1" si="15"/>
        <v>12</v>
      </c>
      <c r="BO10" s="301">
        <f t="shared" ca="1" si="15"/>
        <v>12</v>
      </c>
      <c r="BP10" s="301">
        <f t="shared" ca="1" si="15"/>
        <v>12</v>
      </c>
      <c r="BQ10" s="301">
        <f t="shared" ca="1" si="15"/>
        <v>12</v>
      </c>
      <c r="BR10" s="301">
        <f t="shared" ca="1" si="15"/>
        <v>12</v>
      </c>
      <c r="BS10" s="301">
        <f t="shared" ca="1" si="15"/>
        <v>12</v>
      </c>
      <c r="BT10" s="301">
        <f t="shared" ref="BT10:EE10" ca="1" si="16">BS13</f>
        <v>12</v>
      </c>
      <c r="BU10" s="301">
        <f t="shared" ca="1" si="16"/>
        <v>12</v>
      </c>
      <c r="BV10" s="301">
        <f t="shared" ca="1" si="16"/>
        <v>12</v>
      </c>
      <c r="BW10" s="301">
        <f t="shared" ca="1" si="16"/>
        <v>12</v>
      </c>
      <c r="BX10" s="301">
        <f t="shared" ca="1" si="16"/>
        <v>12</v>
      </c>
      <c r="BY10" s="301">
        <f t="shared" ca="1" si="16"/>
        <v>12</v>
      </c>
      <c r="BZ10" s="301">
        <f t="shared" ca="1" si="16"/>
        <v>12</v>
      </c>
      <c r="CA10" s="301">
        <f t="shared" ca="1" si="16"/>
        <v>12</v>
      </c>
      <c r="CB10" s="301">
        <f t="shared" ca="1" si="16"/>
        <v>12</v>
      </c>
      <c r="CC10" s="301">
        <f t="shared" ca="1" si="16"/>
        <v>12</v>
      </c>
      <c r="CD10" s="301">
        <f t="shared" ca="1" si="16"/>
        <v>12</v>
      </c>
      <c r="CE10" s="301">
        <f t="shared" ca="1" si="16"/>
        <v>12</v>
      </c>
      <c r="CF10" s="301">
        <f t="shared" ca="1" si="16"/>
        <v>12</v>
      </c>
      <c r="CG10" s="301">
        <f t="shared" ca="1" si="16"/>
        <v>12</v>
      </c>
      <c r="CH10" s="301">
        <f t="shared" ca="1" si="16"/>
        <v>12</v>
      </c>
      <c r="CI10" s="301">
        <f t="shared" ca="1" si="16"/>
        <v>12</v>
      </c>
      <c r="CJ10" s="301">
        <f t="shared" ca="1" si="16"/>
        <v>12</v>
      </c>
      <c r="CK10" s="301">
        <f t="shared" ca="1" si="16"/>
        <v>12</v>
      </c>
      <c r="CL10" s="301">
        <f t="shared" ca="1" si="16"/>
        <v>12</v>
      </c>
      <c r="CM10" s="301">
        <f t="shared" ca="1" si="16"/>
        <v>12</v>
      </c>
      <c r="CN10" s="301">
        <f t="shared" ca="1" si="16"/>
        <v>12</v>
      </c>
      <c r="CO10" s="301">
        <f t="shared" ca="1" si="16"/>
        <v>12</v>
      </c>
      <c r="CP10" s="301">
        <f t="shared" ca="1" si="16"/>
        <v>12</v>
      </c>
      <c r="CQ10" s="301">
        <f t="shared" ca="1" si="16"/>
        <v>12</v>
      </c>
      <c r="CR10" s="301">
        <f t="shared" ca="1" si="16"/>
        <v>12</v>
      </c>
      <c r="CS10" s="301">
        <f t="shared" ca="1" si="16"/>
        <v>12</v>
      </c>
      <c r="CT10" s="301">
        <f t="shared" ca="1" si="16"/>
        <v>12</v>
      </c>
      <c r="CU10" s="301">
        <f t="shared" ca="1" si="16"/>
        <v>12</v>
      </c>
      <c r="CV10" s="301">
        <f t="shared" ca="1" si="16"/>
        <v>12</v>
      </c>
      <c r="CW10" s="301">
        <f t="shared" ca="1" si="16"/>
        <v>12</v>
      </c>
      <c r="CX10" s="301">
        <f t="shared" ca="1" si="16"/>
        <v>12</v>
      </c>
      <c r="CY10" s="301">
        <f t="shared" ca="1" si="16"/>
        <v>12</v>
      </c>
      <c r="CZ10" s="301">
        <f t="shared" ca="1" si="16"/>
        <v>12</v>
      </c>
      <c r="DA10" s="301">
        <f t="shared" ca="1" si="16"/>
        <v>12</v>
      </c>
      <c r="DB10" s="301">
        <f t="shared" ca="1" si="16"/>
        <v>12</v>
      </c>
      <c r="DC10" s="301">
        <f t="shared" ca="1" si="16"/>
        <v>12</v>
      </c>
      <c r="DD10" s="301">
        <f t="shared" ca="1" si="16"/>
        <v>12</v>
      </c>
      <c r="DE10" s="301">
        <f t="shared" ca="1" si="16"/>
        <v>12</v>
      </c>
      <c r="DF10" s="301">
        <f t="shared" ca="1" si="16"/>
        <v>12</v>
      </c>
      <c r="DG10" s="301">
        <f t="shared" ca="1" si="16"/>
        <v>12</v>
      </c>
      <c r="DH10" s="301">
        <f t="shared" ca="1" si="16"/>
        <v>12</v>
      </c>
      <c r="DI10" s="301">
        <f t="shared" ca="1" si="16"/>
        <v>12</v>
      </c>
      <c r="DJ10" s="301">
        <f t="shared" ca="1" si="16"/>
        <v>12</v>
      </c>
      <c r="DK10" s="301">
        <f t="shared" ca="1" si="16"/>
        <v>12</v>
      </c>
      <c r="DL10" s="301">
        <f t="shared" ca="1" si="16"/>
        <v>12</v>
      </c>
      <c r="DM10" s="301">
        <f t="shared" ca="1" si="16"/>
        <v>12</v>
      </c>
      <c r="DN10" s="301">
        <f t="shared" ca="1" si="16"/>
        <v>12</v>
      </c>
      <c r="DO10" s="301">
        <f t="shared" ca="1" si="16"/>
        <v>12</v>
      </c>
      <c r="DP10" s="301">
        <f t="shared" ca="1" si="16"/>
        <v>12</v>
      </c>
      <c r="DQ10" s="301">
        <f t="shared" ca="1" si="16"/>
        <v>12</v>
      </c>
      <c r="DR10" s="301">
        <f t="shared" ca="1" si="16"/>
        <v>12</v>
      </c>
      <c r="DS10" s="301">
        <f t="shared" ca="1" si="16"/>
        <v>12</v>
      </c>
      <c r="DT10" s="301">
        <f t="shared" ca="1" si="16"/>
        <v>12</v>
      </c>
      <c r="DU10" s="301">
        <f t="shared" ca="1" si="16"/>
        <v>12</v>
      </c>
      <c r="DV10" s="301">
        <f t="shared" ca="1" si="16"/>
        <v>12</v>
      </c>
      <c r="DW10" s="301">
        <f t="shared" ca="1" si="16"/>
        <v>12</v>
      </c>
      <c r="DX10" s="301">
        <f t="shared" ca="1" si="16"/>
        <v>12</v>
      </c>
      <c r="DY10" s="301">
        <f t="shared" ca="1" si="16"/>
        <v>12</v>
      </c>
      <c r="DZ10" s="301">
        <f t="shared" ca="1" si="16"/>
        <v>12</v>
      </c>
      <c r="EA10" s="301">
        <f t="shared" ca="1" si="16"/>
        <v>12</v>
      </c>
      <c r="EB10" s="301">
        <f t="shared" ca="1" si="16"/>
        <v>12</v>
      </c>
      <c r="EC10" s="301">
        <f t="shared" ca="1" si="16"/>
        <v>12</v>
      </c>
      <c r="ED10" s="301">
        <f t="shared" ca="1" si="16"/>
        <v>12</v>
      </c>
      <c r="EE10" s="301">
        <f t="shared" ca="1" si="16"/>
        <v>12</v>
      </c>
      <c r="EF10" s="301">
        <f t="shared" ref="EF10:EH10" ca="1" si="17">EE13</f>
        <v>12</v>
      </c>
      <c r="EG10" s="301">
        <f t="shared" ca="1" si="17"/>
        <v>12</v>
      </c>
      <c r="EH10" s="301">
        <f t="shared" ca="1" si="17"/>
        <v>12</v>
      </c>
      <c r="EI10" s="158" t="s">
        <v>243</v>
      </c>
    </row>
    <row r="11" spans="1:139" s="180" customFormat="1" x14ac:dyDescent="0.2">
      <c r="B11" s="273" t="s">
        <v>321</v>
      </c>
      <c r="C11" s="162"/>
      <c r="D11" s="162"/>
      <c r="E11" s="162"/>
      <c r="F11" s="301">
        <f>'Unit Mix-Reno Schedule'!AL75</f>
        <v>0</v>
      </c>
      <c r="G11" s="301">
        <f>'Unit Mix-Reno Schedule'!AM75</f>
        <v>9</v>
      </c>
      <c r="H11" s="301">
        <f>'Unit Mix-Reno Schedule'!AN75</f>
        <v>9</v>
      </c>
      <c r="I11" s="301">
        <f>'Unit Mix-Reno Schedule'!AO75</f>
        <v>9</v>
      </c>
      <c r="J11" s="301">
        <f>'Unit Mix-Reno Schedule'!AP75</f>
        <v>9</v>
      </c>
      <c r="K11" s="301">
        <f>'Unit Mix-Reno Schedule'!AQ75</f>
        <v>9</v>
      </c>
      <c r="L11" s="301">
        <f>'Unit Mix-Reno Schedule'!AR75</f>
        <v>9</v>
      </c>
      <c r="M11" s="301">
        <f>'Unit Mix-Reno Schedule'!AS75</f>
        <v>9</v>
      </c>
      <c r="N11" s="301">
        <f>'Unit Mix-Reno Schedule'!AT75</f>
        <v>9</v>
      </c>
      <c r="O11" s="301">
        <f>'Unit Mix-Reno Schedule'!AU75</f>
        <v>9</v>
      </c>
      <c r="P11" s="301">
        <f>'Unit Mix-Reno Schedule'!AV75</f>
        <v>9</v>
      </c>
      <c r="Q11" s="301">
        <f>'Unit Mix-Reno Schedule'!AW75</f>
        <v>9</v>
      </c>
      <c r="R11" s="301">
        <f>'Unit Mix-Reno Schedule'!AX75</f>
        <v>9</v>
      </c>
      <c r="S11" s="301">
        <f>'Unit Mix-Reno Schedule'!AY75</f>
        <v>10</v>
      </c>
      <c r="T11" s="301">
        <f>'Unit Mix-Reno Schedule'!AZ75</f>
        <v>10</v>
      </c>
      <c r="U11" s="301">
        <f>'Unit Mix-Reno Schedule'!BA75</f>
        <v>10</v>
      </c>
      <c r="V11" s="301">
        <f>'Unit Mix-Reno Schedule'!BB75</f>
        <v>10</v>
      </c>
      <c r="W11" s="301">
        <f>'Unit Mix-Reno Schedule'!BC75</f>
        <v>10</v>
      </c>
      <c r="X11" s="301">
        <f>'Unit Mix-Reno Schedule'!BD75</f>
        <v>10</v>
      </c>
      <c r="Y11" s="301">
        <f>'Unit Mix-Reno Schedule'!BE75</f>
        <v>10</v>
      </c>
      <c r="Z11" s="301">
        <f>'Unit Mix-Reno Schedule'!BF75</f>
        <v>10</v>
      </c>
      <c r="AA11" s="301">
        <f>'Unit Mix-Reno Schedule'!BG75</f>
        <v>10</v>
      </c>
      <c r="AB11" s="301">
        <f>'Unit Mix-Reno Schedule'!BH75</f>
        <v>10</v>
      </c>
      <c r="AC11" s="301">
        <f>'Unit Mix-Reno Schedule'!BI75</f>
        <v>10</v>
      </c>
      <c r="AD11" s="301">
        <f>'Unit Mix-Reno Schedule'!BJ75</f>
        <v>10</v>
      </c>
      <c r="AE11" s="301">
        <f>'Unit Mix-Reno Schedule'!BK75</f>
        <v>9</v>
      </c>
      <c r="AF11" s="301">
        <f>'Unit Mix-Reno Schedule'!BL75</f>
        <v>9</v>
      </c>
      <c r="AG11" s="301">
        <f>'Unit Mix-Reno Schedule'!BM75</f>
        <v>9</v>
      </c>
      <c r="AH11" s="301">
        <f>'Unit Mix-Reno Schedule'!BN75</f>
        <v>9</v>
      </c>
      <c r="AI11" s="301">
        <f>'Unit Mix-Reno Schedule'!BO75</f>
        <v>9</v>
      </c>
      <c r="AJ11" s="301">
        <f>'Unit Mix-Reno Schedule'!BP75</f>
        <v>9</v>
      </c>
      <c r="AK11" s="301">
        <f>'Unit Mix-Reno Schedule'!BQ75</f>
        <v>9</v>
      </c>
      <c r="AL11" s="301">
        <f>'Unit Mix-Reno Schedule'!BR75</f>
        <v>9</v>
      </c>
      <c r="AM11" s="301">
        <f>'Unit Mix-Reno Schedule'!BS75</f>
        <v>9</v>
      </c>
      <c r="AN11" s="301">
        <f>'Unit Mix-Reno Schedule'!BT75</f>
        <v>9</v>
      </c>
      <c r="AO11" s="301">
        <f>'Unit Mix-Reno Schedule'!BU75</f>
        <v>9</v>
      </c>
      <c r="AP11" s="301">
        <f>'Unit Mix-Reno Schedule'!BV75</f>
        <v>9</v>
      </c>
      <c r="AQ11" s="301">
        <f>'Unit Mix-Reno Schedule'!BW75</f>
        <v>9</v>
      </c>
      <c r="AR11" s="301">
        <f>'Unit Mix-Reno Schedule'!BX75</f>
        <v>9</v>
      </c>
      <c r="AS11" s="301">
        <f>'Unit Mix-Reno Schedule'!BY75</f>
        <v>9</v>
      </c>
      <c r="AT11" s="301">
        <f>'Unit Mix-Reno Schedule'!BZ75</f>
        <v>9</v>
      </c>
      <c r="AU11" s="301">
        <f>'Unit Mix-Reno Schedule'!CA75</f>
        <v>9</v>
      </c>
      <c r="AV11" s="301">
        <f>'Unit Mix-Reno Schedule'!CB75</f>
        <v>9</v>
      </c>
      <c r="AW11" s="301">
        <f>'Unit Mix-Reno Schedule'!CC75</f>
        <v>9</v>
      </c>
      <c r="AX11" s="301">
        <f>'Unit Mix-Reno Schedule'!CD75</f>
        <v>9</v>
      </c>
      <c r="AY11" s="301">
        <f>'Unit Mix-Reno Schedule'!CE75</f>
        <v>9</v>
      </c>
      <c r="AZ11" s="301">
        <f>'Unit Mix-Reno Schedule'!CF75</f>
        <v>9</v>
      </c>
      <c r="BA11" s="301">
        <f>'Unit Mix-Reno Schedule'!CG75</f>
        <v>9</v>
      </c>
      <c r="BB11" s="301">
        <f>'Unit Mix-Reno Schedule'!CH75</f>
        <v>9</v>
      </c>
      <c r="BC11" s="301">
        <f>'Unit Mix-Reno Schedule'!CI75</f>
        <v>9</v>
      </c>
      <c r="BD11" s="301">
        <f>'Unit Mix-Reno Schedule'!CJ75</f>
        <v>9</v>
      </c>
      <c r="BE11" s="301">
        <f>'Unit Mix-Reno Schedule'!CK75</f>
        <v>9</v>
      </c>
      <c r="BF11" s="301">
        <f>'Unit Mix-Reno Schedule'!CL75</f>
        <v>9</v>
      </c>
      <c r="BG11" s="301">
        <f>'Unit Mix-Reno Schedule'!CM75</f>
        <v>9</v>
      </c>
      <c r="BH11" s="301">
        <f>'Unit Mix-Reno Schedule'!CN75</f>
        <v>9</v>
      </c>
      <c r="BI11" s="301">
        <f>'Unit Mix-Reno Schedule'!CO75</f>
        <v>9</v>
      </c>
      <c r="BJ11" s="301">
        <f>'Unit Mix-Reno Schedule'!CP75</f>
        <v>9</v>
      </c>
      <c r="BK11" s="301">
        <f>'Unit Mix-Reno Schedule'!CQ75</f>
        <v>9</v>
      </c>
      <c r="BL11" s="301">
        <f>'Unit Mix-Reno Schedule'!CR75</f>
        <v>9</v>
      </c>
      <c r="BM11" s="301">
        <f>'Unit Mix-Reno Schedule'!CS75</f>
        <v>9</v>
      </c>
      <c r="BN11" s="301">
        <f>'Unit Mix-Reno Schedule'!CT75</f>
        <v>9</v>
      </c>
      <c r="BO11" s="301">
        <f>'Unit Mix-Reno Schedule'!CU75</f>
        <v>9</v>
      </c>
      <c r="BP11" s="301">
        <f>'Unit Mix-Reno Schedule'!CV75</f>
        <v>9</v>
      </c>
      <c r="BQ11" s="301">
        <f>'Unit Mix-Reno Schedule'!CW75</f>
        <v>9</v>
      </c>
      <c r="BR11" s="301">
        <f>'Unit Mix-Reno Schedule'!CX75</f>
        <v>9</v>
      </c>
      <c r="BS11" s="301">
        <f>'Unit Mix-Reno Schedule'!CY75</f>
        <v>9</v>
      </c>
      <c r="BT11" s="301">
        <f>'Unit Mix-Reno Schedule'!CZ75</f>
        <v>9</v>
      </c>
      <c r="BU11" s="301">
        <f>'Unit Mix-Reno Schedule'!DA75</f>
        <v>9</v>
      </c>
      <c r="BV11" s="301">
        <f>'Unit Mix-Reno Schedule'!DB75</f>
        <v>9</v>
      </c>
      <c r="BW11" s="301">
        <f>'Unit Mix-Reno Schedule'!DC75</f>
        <v>9</v>
      </c>
      <c r="BX11" s="301">
        <f>'Unit Mix-Reno Schedule'!DD75</f>
        <v>9</v>
      </c>
      <c r="BY11" s="301">
        <f>'Unit Mix-Reno Schedule'!DE75</f>
        <v>9</v>
      </c>
      <c r="BZ11" s="301">
        <f>'Unit Mix-Reno Schedule'!DF75</f>
        <v>9</v>
      </c>
      <c r="CA11" s="301">
        <f>'Unit Mix-Reno Schedule'!DG75</f>
        <v>9</v>
      </c>
      <c r="CB11" s="301">
        <f>'Unit Mix-Reno Schedule'!DH75</f>
        <v>9</v>
      </c>
      <c r="CC11" s="301">
        <f>'Unit Mix-Reno Schedule'!DI75</f>
        <v>9</v>
      </c>
      <c r="CD11" s="301">
        <f>'Unit Mix-Reno Schedule'!DJ75</f>
        <v>9</v>
      </c>
      <c r="CE11" s="301">
        <f>'Unit Mix-Reno Schedule'!DK75</f>
        <v>9</v>
      </c>
      <c r="CF11" s="301">
        <f>'Unit Mix-Reno Schedule'!DL75</f>
        <v>9</v>
      </c>
      <c r="CG11" s="301">
        <f>'Unit Mix-Reno Schedule'!DM75</f>
        <v>9</v>
      </c>
      <c r="CH11" s="301">
        <f>'Unit Mix-Reno Schedule'!DN75</f>
        <v>9</v>
      </c>
      <c r="CI11" s="301">
        <f>'Unit Mix-Reno Schedule'!DO75</f>
        <v>9</v>
      </c>
      <c r="CJ11" s="301">
        <f>'Unit Mix-Reno Schedule'!DP75</f>
        <v>9</v>
      </c>
      <c r="CK11" s="301">
        <f>'Unit Mix-Reno Schedule'!DQ75</f>
        <v>9</v>
      </c>
      <c r="CL11" s="301">
        <f>'Unit Mix-Reno Schedule'!DR75</f>
        <v>9</v>
      </c>
      <c r="CM11" s="301">
        <f>'Unit Mix-Reno Schedule'!DS75</f>
        <v>9</v>
      </c>
      <c r="CN11" s="301">
        <f>'Unit Mix-Reno Schedule'!DT75</f>
        <v>9</v>
      </c>
      <c r="CO11" s="301">
        <f>'Unit Mix-Reno Schedule'!DU75</f>
        <v>9</v>
      </c>
      <c r="CP11" s="301">
        <f>'Unit Mix-Reno Schedule'!DV75</f>
        <v>9</v>
      </c>
      <c r="CQ11" s="301">
        <f>'Unit Mix-Reno Schedule'!DW75</f>
        <v>9</v>
      </c>
      <c r="CR11" s="301">
        <f>'Unit Mix-Reno Schedule'!DX75</f>
        <v>9</v>
      </c>
      <c r="CS11" s="301">
        <f>'Unit Mix-Reno Schedule'!DY75</f>
        <v>9</v>
      </c>
      <c r="CT11" s="301">
        <f>'Unit Mix-Reno Schedule'!DZ75</f>
        <v>9</v>
      </c>
      <c r="CU11" s="301">
        <f>'Unit Mix-Reno Schedule'!EA75</f>
        <v>9</v>
      </c>
      <c r="CV11" s="301">
        <f>'Unit Mix-Reno Schedule'!EB75</f>
        <v>9</v>
      </c>
      <c r="CW11" s="301">
        <f>'Unit Mix-Reno Schedule'!EC75</f>
        <v>9</v>
      </c>
      <c r="CX11" s="301">
        <f>'Unit Mix-Reno Schedule'!ED75</f>
        <v>9</v>
      </c>
      <c r="CY11" s="301">
        <f>'Unit Mix-Reno Schedule'!EE75</f>
        <v>9</v>
      </c>
      <c r="CZ11" s="301">
        <f>'Unit Mix-Reno Schedule'!EF75</f>
        <v>9</v>
      </c>
      <c r="DA11" s="301">
        <f>'Unit Mix-Reno Schedule'!EG75</f>
        <v>9</v>
      </c>
      <c r="DB11" s="301">
        <f>'Unit Mix-Reno Schedule'!EH75</f>
        <v>9</v>
      </c>
      <c r="DC11" s="301">
        <f>'Unit Mix-Reno Schedule'!EI75</f>
        <v>9</v>
      </c>
      <c r="DD11" s="301">
        <f>'Unit Mix-Reno Schedule'!EJ75</f>
        <v>9</v>
      </c>
      <c r="DE11" s="301">
        <f>'Unit Mix-Reno Schedule'!EK75</f>
        <v>9</v>
      </c>
      <c r="DF11" s="301">
        <f>'Unit Mix-Reno Schedule'!EL75</f>
        <v>9</v>
      </c>
      <c r="DG11" s="301">
        <f>'Unit Mix-Reno Schedule'!EM75</f>
        <v>9</v>
      </c>
      <c r="DH11" s="301">
        <f>'Unit Mix-Reno Schedule'!EN75</f>
        <v>9</v>
      </c>
      <c r="DI11" s="301">
        <f>'Unit Mix-Reno Schedule'!EO75</f>
        <v>9</v>
      </c>
      <c r="DJ11" s="301">
        <f>'Unit Mix-Reno Schedule'!EP75</f>
        <v>9</v>
      </c>
      <c r="DK11" s="301">
        <f>'Unit Mix-Reno Schedule'!EQ75</f>
        <v>9</v>
      </c>
      <c r="DL11" s="301">
        <f>'Unit Mix-Reno Schedule'!ER75</f>
        <v>9</v>
      </c>
      <c r="DM11" s="301">
        <f>'Unit Mix-Reno Schedule'!ES75</f>
        <v>9</v>
      </c>
      <c r="DN11" s="301">
        <f>'Unit Mix-Reno Schedule'!ET75</f>
        <v>9</v>
      </c>
      <c r="DO11" s="301">
        <f>'Unit Mix-Reno Schedule'!EU75</f>
        <v>9</v>
      </c>
      <c r="DP11" s="301">
        <f>'Unit Mix-Reno Schedule'!EV75</f>
        <v>9</v>
      </c>
      <c r="DQ11" s="301">
        <f>'Unit Mix-Reno Schedule'!EW75</f>
        <v>9</v>
      </c>
      <c r="DR11" s="301">
        <f>'Unit Mix-Reno Schedule'!EX75</f>
        <v>9</v>
      </c>
      <c r="DS11" s="301">
        <f>'Unit Mix-Reno Schedule'!EY75</f>
        <v>9</v>
      </c>
      <c r="DT11" s="301">
        <f>'Unit Mix-Reno Schedule'!EZ75</f>
        <v>9</v>
      </c>
      <c r="DU11" s="301">
        <f>'Unit Mix-Reno Schedule'!FA75</f>
        <v>9</v>
      </c>
      <c r="DV11" s="301">
        <f>'Unit Mix-Reno Schedule'!FB75</f>
        <v>9</v>
      </c>
      <c r="DW11" s="301">
        <f>'Unit Mix-Reno Schedule'!FC75</f>
        <v>9</v>
      </c>
      <c r="DX11" s="301">
        <f>'Unit Mix-Reno Schedule'!FD75</f>
        <v>9</v>
      </c>
      <c r="DY11" s="301">
        <f>'Unit Mix-Reno Schedule'!FE75</f>
        <v>9</v>
      </c>
      <c r="DZ11" s="301">
        <f>'Unit Mix-Reno Schedule'!FF75</f>
        <v>9</v>
      </c>
      <c r="EA11" s="301">
        <f>'Unit Mix-Reno Schedule'!FG75</f>
        <v>9</v>
      </c>
      <c r="EB11" s="301">
        <f>'Unit Mix-Reno Schedule'!FH75</f>
        <v>9</v>
      </c>
      <c r="EC11" s="301">
        <f>'Unit Mix-Reno Schedule'!FI75</f>
        <v>9</v>
      </c>
      <c r="ED11" s="301">
        <f>'Unit Mix-Reno Schedule'!FJ75</f>
        <v>9</v>
      </c>
      <c r="EE11" s="301">
        <f>'Unit Mix-Reno Schedule'!FK75</f>
        <v>9</v>
      </c>
      <c r="EF11" s="301">
        <f>'Unit Mix-Reno Schedule'!FL75</f>
        <v>9</v>
      </c>
      <c r="EG11" s="301">
        <f>'Unit Mix-Reno Schedule'!FM75</f>
        <v>9</v>
      </c>
      <c r="EH11" s="301">
        <f>'Unit Mix-Reno Schedule'!FN75</f>
        <v>9</v>
      </c>
      <c r="EI11" s="158" t="s">
        <v>243</v>
      </c>
    </row>
    <row r="12" spans="1:139" s="180" customFormat="1" x14ac:dyDescent="0.2">
      <c r="B12" s="273" t="s">
        <v>365</v>
      </c>
      <c r="C12" s="162"/>
      <c r="D12" s="162"/>
      <c r="E12" s="162"/>
      <c r="F12" s="301">
        <f>'Unit Mix-Reno Schedule'!AL76</f>
        <v>0</v>
      </c>
      <c r="G12" s="301">
        <f ca="1">'Unit Mix-Reno Schedule'!AM76</f>
        <v>4</v>
      </c>
      <c r="H12" s="301">
        <f ca="1">'Unit Mix-Reno Schedule'!AN76</f>
        <v>9</v>
      </c>
      <c r="I12" s="301">
        <f ca="1">'Unit Mix-Reno Schedule'!AO76</f>
        <v>9</v>
      </c>
      <c r="J12" s="301">
        <f ca="1">'Unit Mix-Reno Schedule'!AP76</f>
        <v>9</v>
      </c>
      <c r="K12" s="301">
        <f ca="1">'Unit Mix-Reno Schedule'!AQ76</f>
        <v>9</v>
      </c>
      <c r="L12" s="301">
        <f ca="1">'Unit Mix-Reno Schedule'!AR76</f>
        <v>9</v>
      </c>
      <c r="M12" s="301">
        <f ca="1">'Unit Mix-Reno Schedule'!AS76</f>
        <v>9</v>
      </c>
      <c r="N12" s="301">
        <f ca="1">'Unit Mix-Reno Schedule'!AT76</f>
        <v>9</v>
      </c>
      <c r="O12" s="301">
        <f ca="1">'Unit Mix-Reno Schedule'!AU76</f>
        <v>9</v>
      </c>
      <c r="P12" s="301">
        <f ca="1">'Unit Mix-Reno Schedule'!AV76</f>
        <v>9</v>
      </c>
      <c r="Q12" s="301">
        <f ca="1">'Unit Mix-Reno Schedule'!AW76</f>
        <v>9</v>
      </c>
      <c r="R12" s="301">
        <f ca="1">'Unit Mix-Reno Schedule'!AX76</f>
        <v>9</v>
      </c>
      <c r="S12" s="301">
        <f ca="1">'Unit Mix-Reno Schedule'!AY76</f>
        <v>10</v>
      </c>
      <c r="T12" s="301">
        <f ca="1">'Unit Mix-Reno Schedule'!AZ76</f>
        <v>10</v>
      </c>
      <c r="U12" s="301">
        <f ca="1">'Unit Mix-Reno Schedule'!BA76</f>
        <v>10</v>
      </c>
      <c r="V12" s="301">
        <f ca="1">'Unit Mix-Reno Schedule'!BB76</f>
        <v>10</v>
      </c>
      <c r="W12" s="301">
        <f ca="1">'Unit Mix-Reno Schedule'!BC76</f>
        <v>10</v>
      </c>
      <c r="X12" s="301">
        <f ca="1">'Unit Mix-Reno Schedule'!BD76</f>
        <v>10</v>
      </c>
      <c r="Y12" s="301">
        <f ca="1">'Unit Mix-Reno Schedule'!BE76</f>
        <v>10</v>
      </c>
      <c r="Z12" s="301">
        <f ca="1">'Unit Mix-Reno Schedule'!BF76</f>
        <v>10</v>
      </c>
      <c r="AA12" s="301">
        <f ca="1">'Unit Mix-Reno Schedule'!BG76</f>
        <v>10</v>
      </c>
      <c r="AB12" s="301">
        <f ca="1">'Unit Mix-Reno Schedule'!BH76</f>
        <v>10</v>
      </c>
      <c r="AC12" s="301">
        <f ca="1">'Unit Mix-Reno Schedule'!BI76</f>
        <v>10</v>
      </c>
      <c r="AD12" s="301">
        <f ca="1">'Unit Mix-Reno Schedule'!BJ76</f>
        <v>10</v>
      </c>
      <c r="AE12" s="301">
        <f ca="1">'Unit Mix-Reno Schedule'!BK76</f>
        <v>12</v>
      </c>
      <c r="AF12" s="301">
        <f ca="1">'Unit Mix-Reno Schedule'!BL76</f>
        <v>9</v>
      </c>
      <c r="AG12" s="301">
        <f ca="1">'Unit Mix-Reno Schedule'!BM76</f>
        <v>9</v>
      </c>
      <c r="AH12" s="301">
        <f ca="1">'Unit Mix-Reno Schedule'!BN76</f>
        <v>9</v>
      </c>
      <c r="AI12" s="301">
        <f ca="1">'Unit Mix-Reno Schedule'!BO76</f>
        <v>9</v>
      </c>
      <c r="AJ12" s="301">
        <f ca="1">'Unit Mix-Reno Schedule'!BP76</f>
        <v>9</v>
      </c>
      <c r="AK12" s="301">
        <f ca="1">'Unit Mix-Reno Schedule'!BQ76</f>
        <v>9</v>
      </c>
      <c r="AL12" s="301">
        <f ca="1">'Unit Mix-Reno Schedule'!BR76</f>
        <v>9</v>
      </c>
      <c r="AM12" s="301">
        <f ca="1">'Unit Mix-Reno Schedule'!BS76</f>
        <v>9</v>
      </c>
      <c r="AN12" s="301">
        <f ca="1">'Unit Mix-Reno Schedule'!BT76</f>
        <v>9</v>
      </c>
      <c r="AO12" s="301">
        <f ca="1">'Unit Mix-Reno Schedule'!BU76</f>
        <v>9</v>
      </c>
      <c r="AP12" s="301">
        <f ca="1">'Unit Mix-Reno Schedule'!BV76</f>
        <v>9</v>
      </c>
      <c r="AQ12" s="301">
        <f ca="1">'Unit Mix-Reno Schedule'!BW76</f>
        <v>9</v>
      </c>
      <c r="AR12" s="301">
        <f ca="1">'Unit Mix-Reno Schedule'!BX76</f>
        <v>9</v>
      </c>
      <c r="AS12" s="301">
        <f ca="1">'Unit Mix-Reno Schedule'!BY76</f>
        <v>9</v>
      </c>
      <c r="AT12" s="301">
        <f ca="1">'Unit Mix-Reno Schedule'!BZ76</f>
        <v>9</v>
      </c>
      <c r="AU12" s="301">
        <f ca="1">'Unit Mix-Reno Schedule'!CA76</f>
        <v>9</v>
      </c>
      <c r="AV12" s="301">
        <f ca="1">'Unit Mix-Reno Schedule'!CB76</f>
        <v>9</v>
      </c>
      <c r="AW12" s="301">
        <f ca="1">'Unit Mix-Reno Schedule'!CC76</f>
        <v>9</v>
      </c>
      <c r="AX12" s="301">
        <f ca="1">'Unit Mix-Reno Schedule'!CD76</f>
        <v>9</v>
      </c>
      <c r="AY12" s="301">
        <f ca="1">'Unit Mix-Reno Schedule'!CE76</f>
        <v>9</v>
      </c>
      <c r="AZ12" s="301">
        <f ca="1">'Unit Mix-Reno Schedule'!CF76</f>
        <v>9</v>
      </c>
      <c r="BA12" s="301">
        <f ca="1">'Unit Mix-Reno Schedule'!CG76</f>
        <v>9</v>
      </c>
      <c r="BB12" s="301">
        <f ca="1">'Unit Mix-Reno Schedule'!CH76</f>
        <v>9</v>
      </c>
      <c r="BC12" s="301">
        <f ca="1">'Unit Mix-Reno Schedule'!CI76</f>
        <v>9</v>
      </c>
      <c r="BD12" s="301">
        <f ca="1">'Unit Mix-Reno Schedule'!CJ76</f>
        <v>9</v>
      </c>
      <c r="BE12" s="301">
        <f ca="1">'Unit Mix-Reno Schedule'!CK76</f>
        <v>9</v>
      </c>
      <c r="BF12" s="301">
        <f ca="1">'Unit Mix-Reno Schedule'!CL76</f>
        <v>9</v>
      </c>
      <c r="BG12" s="301">
        <f ca="1">'Unit Mix-Reno Schedule'!CM76</f>
        <v>9</v>
      </c>
      <c r="BH12" s="301">
        <f ca="1">'Unit Mix-Reno Schedule'!CN76</f>
        <v>9</v>
      </c>
      <c r="BI12" s="301">
        <f ca="1">'Unit Mix-Reno Schedule'!CO76</f>
        <v>9</v>
      </c>
      <c r="BJ12" s="301">
        <f ca="1">'Unit Mix-Reno Schedule'!CP76</f>
        <v>9</v>
      </c>
      <c r="BK12" s="301">
        <f ca="1">'Unit Mix-Reno Schedule'!CQ76</f>
        <v>9</v>
      </c>
      <c r="BL12" s="301">
        <f ca="1">'Unit Mix-Reno Schedule'!CR76</f>
        <v>9</v>
      </c>
      <c r="BM12" s="301">
        <f ca="1">'Unit Mix-Reno Schedule'!CS76</f>
        <v>9</v>
      </c>
      <c r="BN12" s="301">
        <f ca="1">'Unit Mix-Reno Schedule'!CT76</f>
        <v>9</v>
      </c>
      <c r="BO12" s="301">
        <f ca="1">'Unit Mix-Reno Schedule'!CU76</f>
        <v>9</v>
      </c>
      <c r="BP12" s="301">
        <f ca="1">'Unit Mix-Reno Schedule'!CV76</f>
        <v>9</v>
      </c>
      <c r="BQ12" s="301">
        <f ca="1">'Unit Mix-Reno Schedule'!CW76</f>
        <v>9</v>
      </c>
      <c r="BR12" s="301">
        <f ca="1">'Unit Mix-Reno Schedule'!CX76</f>
        <v>9</v>
      </c>
      <c r="BS12" s="301">
        <f ca="1">'Unit Mix-Reno Schedule'!CY76</f>
        <v>9</v>
      </c>
      <c r="BT12" s="301">
        <f ca="1">'Unit Mix-Reno Schedule'!CZ76</f>
        <v>9</v>
      </c>
      <c r="BU12" s="301">
        <f ca="1">'Unit Mix-Reno Schedule'!DA76</f>
        <v>9</v>
      </c>
      <c r="BV12" s="301">
        <f ca="1">'Unit Mix-Reno Schedule'!DB76</f>
        <v>9</v>
      </c>
      <c r="BW12" s="301">
        <f ca="1">'Unit Mix-Reno Schedule'!DC76</f>
        <v>9</v>
      </c>
      <c r="BX12" s="301">
        <f ca="1">'Unit Mix-Reno Schedule'!DD76</f>
        <v>9</v>
      </c>
      <c r="BY12" s="301">
        <f ca="1">'Unit Mix-Reno Schedule'!DE76</f>
        <v>9</v>
      </c>
      <c r="BZ12" s="301">
        <f ca="1">'Unit Mix-Reno Schedule'!DF76</f>
        <v>9</v>
      </c>
      <c r="CA12" s="301">
        <f ca="1">'Unit Mix-Reno Schedule'!DG76</f>
        <v>9</v>
      </c>
      <c r="CB12" s="301">
        <f ca="1">'Unit Mix-Reno Schedule'!DH76</f>
        <v>9</v>
      </c>
      <c r="CC12" s="301">
        <f ca="1">'Unit Mix-Reno Schedule'!DI76</f>
        <v>9</v>
      </c>
      <c r="CD12" s="301">
        <f ca="1">'Unit Mix-Reno Schedule'!DJ76</f>
        <v>9</v>
      </c>
      <c r="CE12" s="301">
        <f ca="1">'Unit Mix-Reno Schedule'!DK76</f>
        <v>9</v>
      </c>
      <c r="CF12" s="301">
        <f ca="1">'Unit Mix-Reno Schedule'!DL76</f>
        <v>9</v>
      </c>
      <c r="CG12" s="301">
        <f ca="1">'Unit Mix-Reno Schedule'!DM76</f>
        <v>9</v>
      </c>
      <c r="CH12" s="301">
        <f ca="1">'Unit Mix-Reno Schedule'!DN76</f>
        <v>9</v>
      </c>
      <c r="CI12" s="301">
        <f ca="1">'Unit Mix-Reno Schedule'!DO76</f>
        <v>9</v>
      </c>
      <c r="CJ12" s="301">
        <f ca="1">'Unit Mix-Reno Schedule'!DP76</f>
        <v>9</v>
      </c>
      <c r="CK12" s="301">
        <f ca="1">'Unit Mix-Reno Schedule'!DQ76</f>
        <v>9</v>
      </c>
      <c r="CL12" s="301">
        <f ca="1">'Unit Mix-Reno Schedule'!DR76</f>
        <v>9</v>
      </c>
      <c r="CM12" s="301">
        <f ca="1">'Unit Mix-Reno Schedule'!DS76</f>
        <v>9</v>
      </c>
      <c r="CN12" s="301">
        <f ca="1">'Unit Mix-Reno Schedule'!DT76</f>
        <v>9</v>
      </c>
      <c r="CO12" s="301">
        <f ca="1">'Unit Mix-Reno Schedule'!DU76</f>
        <v>9</v>
      </c>
      <c r="CP12" s="301">
        <f ca="1">'Unit Mix-Reno Schedule'!DV76</f>
        <v>9</v>
      </c>
      <c r="CQ12" s="301">
        <f ca="1">'Unit Mix-Reno Schedule'!DW76</f>
        <v>9</v>
      </c>
      <c r="CR12" s="301">
        <f ca="1">'Unit Mix-Reno Schedule'!DX76</f>
        <v>9</v>
      </c>
      <c r="CS12" s="301">
        <f ca="1">'Unit Mix-Reno Schedule'!DY76</f>
        <v>9</v>
      </c>
      <c r="CT12" s="301">
        <f ca="1">'Unit Mix-Reno Schedule'!DZ76</f>
        <v>9</v>
      </c>
      <c r="CU12" s="301">
        <f ca="1">'Unit Mix-Reno Schedule'!EA76</f>
        <v>9</v>
      </c>
      <c r="CV12" s="301">
        <f ca="1">'Unit Mix-Reno Schedule'!EB76</f>
        <v>9</v>
      </c>
      <c r="CW12" s="301">
        <f ca="1">'Unit Mix-Reno Schedule'!EC76</f>
        <v>9</v>
      </c>
      <c r="CX12" s="301">
        <f ca="1">'Unit Mix-Reno Schedule'!ED76</f>
        <v>9</v>
      </c>
      <c r="CY12" s="301">
        <f ca="1">'Unit Mix-Reno Schedule'!EE76</f>
        <v>9</v>
      </c>
      <c r="CZ12" s="301">
        <f ca="1">'Unit Mix-Reno Schedule'!EF76</f>
        <v>9</v>
      </c>
      <c r="DA12" s="301">
        <f ca="1">'Unit Mix-Reno Schedule'!EG76</f>
        <v>9</v>
      </c>
      <c r="DB12" s="301">
        <f ca="1">'Unit Mix-Reno Schedule'!EH76</f>
        <v>9</v>
      </c>
      <c r="DC12" s="301">
        <f ca="1">'Unit Mix-Reno Schedule'!EI76</f>
        <v>9</v>
      </c>
      <c r="DD12" s="301">
        <f ca="1">'Unit Mix-Reno Schedule'!EJ76</f>
        <v>9</v>
      </c>
      <c r="DE12" s="301">
        <f ca="1">'Unit Mix-Reno Schedule'!EK76</f>
        <v>9</v>
      </c>
      <c r="DF12" s="301">
        <f ca="1">'Unit Mix-Reno Schedule'!EL76</f>
        <v>9</v>
      </c>
      <c r="DG12" s="301">
        <f ca="1">'Unit Mix-Reno Schedule'!EM76</f>
        <v>9</v>
      </c>
      <c r="DH12" s="301">
        <f ca="1">'Unit Mix-Reno Schedule'!EN76</f>
        <v>9</v>
      </c>
      <c r="DI12" s="301">
        <f ca="1">'Unit Mix-Reno Schedule'!EO76</f>
        <v>9</v>
      </c>
      <c r="DJ12" s="301">
        <f ca="1">'Unit Mix-Reno Schedule'!EP76</f>
        <v>9</v>
      </c>
      <c r="DK12" s="301">
        <f ca="1">'Unit Mix-Reno Schedule'!EQ76</f>
        <v>9</v>
      </c>
      <c r="DL12" s="301">
        <f ca="1">'Unit Mix-Reno Schedule'!ER76</f>
        <v>9</v>
      </c>
      <c r="DM12" s="301">
        <f ca="1">'Unit Mix-Reno Schedule'!ES76</f>
        <v>9</v>
      </c>
      <c r="DN12" s="301">
        <f ca="1">'Unit Mix-Reno Schedule'!ET76</f>
        <v>9</v>
      </c>
      <c r="DO12" s="301">
        <f ca="1">'Unit Mix-Reno Schedule'!EU76</f>
        <v>9</v>
      </c>
      <c r="DP12" s="301">
        <f ca="1">'Unit Mix-Reno Schedule'!EV76</f>
        <v>9</v>
      </c>
      <c r="DQ12" s="301">
        <f ca="1">'Unit Mix-Reno Schedule'!EW76</f>
        <v>9</v>
      </c>
      <c r="DR12" s="301">
        <f ca="1">'Unit Mix-Reno Schedule'!EX76</f>
        <v>9</v>
      </c>
      <c r="DS12" s="301">
        <f ca="1">'Unit Mix-Reno Schedule'!EY76</f>
        <v>9</v>
      </c>
      <c r="DT12" s="301">
        <f ca="1">'Unit Mix-Reno Schedule'!EZ76</f>
        <v>9</v>
      </c>
      <c r="DU12" s="301">
        <f ca="1">'Unit Mix-Reno Schedule'!FA76</f>
        <v>9</v>
      </c>
      <c r="DV12" s="301">
        <f ca="1">'Unit Mix-Reno Schedule'!FB76</f>
        <v>9</v>
      </c>
      <c r="DW12" s="301">
        <f ca="1">'Unit Mix-Reno Schedule'!FC76</f>
        <v>9</v>
      </c>
      <c r="DX12" s="301">
        <f ca="1">'Unit Mix-Reno Schedule'!FD76</f>
        <v>9</v>
      </c>
      <c r="DY12" s="301">
        <f ca="1">'Unit Mix-Reno Schedule'!FE76</f>
        <v>9</v>
      </c>
      <c r="DZ12" s="301">
        <f ca="1">'Unit Mix-Reno Schedule'!FF76</f>
        <v>9</v>
      </c>
      <c r="EA12" s="301">
        <f ca="1">'Unit Mix-Reno Schedule'!FG76</f>
        <v>9</v>
      </c>
      <c r="EB12" s="301">
        <f ca="1">'Unit Mix-Reno Schedule'!FH76</f>
        <v>9</v>
      </c>
      <c r="EC12" s="301">
        <f ca="1">'Unit Mix-Reno Schedule'!FI76</f>
        <v>9</v>
      </c>
      <c r="ED12" s="301">
        <f ca="1">'Unit Mix-Reno Schedule'!FJ76</f>
        <v>9</v>
      </c>
      <c r="EE12" s="301">
        <f ca="1">'Unit Mix-Reno Schedule'!FK76</f>
        <v>9</v>
      </c>
      <c r="EF12" s="301">
        <f ca="1">'Unit Mix-Reno Schedule'!FL76</f>
        <v>9</v>
      </c>
      <c r="EG12" s="301">
        <f ca="1">'Unit Mix-Reno Schedule'!FM76</f>
        <v>9</v>
      </c>
      <c r="EH12" s="301">
        <f ca="1">'Unit Mix-Reno Schedule'!FN76</f>
        <v>9</v>
      </c>
      <c r="EI12" s="158" t="s">
        <v>243</v>
      </c>
    </row>
    <row r="13" spans="1:139" s="180" customFormat="1" x14ac:dyDescent="0.2">
      <c r="B13" s="269" t="s">
        <v>379</v>
      </c>
      <c r="C13" s="269"/>
      <c r="D13" s="269"/>
      <c r="E13" s="269"/>
      <c r="F13" s="302">
        <f>F10+F11-F12</f>
        <v>10</v>
      </c>
      <c r="G13" s="302">
        <f ca="1">G10+G11-G12</f>
        <v>15</v>
      </c>
      <c r="H13" s="302">
        <f t="shared" ref="H13:BS13" ca="1" si="18">H10+H11-H12</f>
        <v>15</v>
      </c>
      <c r="I13" s="302">
        <f t="shared" ca="1" si="18"/>
        <v>15</v>
      </c>
      <c r="J13" s="302">
        <f t="shared" ca="1" si="18"/>
        <v>15</v>
      </c>
      <c r="K13" s="302">
        <f t="shared" ca="1" si="18"/>
        <v>15</v>
      </c>
      <c r="L13" s="302">
        <f t="shared" ca="1" si="18"/>
        <v>15</v>
      </c>
      <c r="M13" s="302">
        <f t="shared" ca="1" si="18"/>
        <v>15</v>
      </c>
      <c r="N13" s="302">
        <f t="shared" ca="1" si="18"/>
        <v>15</v>
      </c>
      <c r="O13" s="302">
        <f t="shared" ca="1" si="18"/>
        <v>15</v>
      </c>
      <c r="P13" s="302">
        <f t="shared" ca="1" si="18"/>
        <v>15</v>
      </c>
      <c r="Q13" s="302">
        <f t="shared" ca="1" si="18"/>
        <v>15</v>
      </c>
      <c r="R13" s="302">
        <f t="shared" ca="1" si="18"/>
        <v>15</v>
      </c>
      <c r="S13" s="302">
        <f t="shared" ca="1" si="18"/>
        <v>15</v>
      </c>
      <c r="T13" s="302">
        <f t="shared" ca="1" si="18"/>
        <v>15</v>
      </c>
      <c r="U13" s="302">
        <f t="shared" ca="1" si="18"/>
        <v>15</v>
      </c>
      <c r="V13" s="302">
        <f t="shared" ca="1" si="18"/>
        <v>15</v>
      </c>
      <c r="W13" s="302">
        <f t="shared" ca="1" si="18"/>
        <v>15</v>
      </c>
      <c r="X13" s="302">
        <f t="shared" ca="1" si="18"/>
        <v>15</v>
      </c>
      <c r="Y13" s="302">
        <f t="shared" ca="1" si="18"/>
        <v>15</v>
      </c>
      <c r="Z13" s="302">
        <f t="shared" ca="1" si="18"/>
        <v>15</v>
      </c>
      <c r="AA13" s="302">
        <f t="shared" ca="1" si="18"/>
        <v>15</v>
      </c>
      <c r="AB13" s="302">
        <f t="shared" ca="1" si="18"/>
        <v>15</v>
      </c>
      <c r="AC13" s="302">
        <f t="shared" ca="1" si="18"/>
        <v>15</v>
      </c>
      <c r="AD13" s="302">
        <f t="shared" ca="1" si="18"/>
        <v>15</v>
      </c>
      <c r="AE13" s="302">
        <f t="shared" ca="1" si="18"/>
        <v>12</v>
      </c>
      <c r="AF13" s="302">
        <f t="shared" ca="1" si="18"/>
        <v>12</v>
      </c>
      <c r="AG13" s="302">
        <f t="shared" ca="1" si="18"/>
        <v>12</v>
      </c>
      <c r="AH13" s="302">
        <f t="shared" ca="1" si="18"/>
        <v>12</v>
      </c>
      <c r="AI13" s="302">
        <f t="shared" ca="1" si="18"/>
        <v>12</v>
      </c>
      <c r="AJ13" s="302">
        <f t="shared" ca="1" si="18"/>
        <v>12</v>
      </c>
      <c r="AK13" s="302">
        <f t="shared" ca="1" si="18"/>
        <v>12</v>
      </c>
      <c r="AL13" s="302">
        <f t="shared" ca="1" si="18"/>
        <v>12</v>
      </c>
      <c r="AM13" s="302">
        <f t="shared" ca="1" si="18"/>
        <v>12</v>
      </c>
      <c r="AN13" s="302">
        <f t="shared" ca="1" si="18"/>
        <v>12</v>
      </c>
      <c r="AO13" s="302">
        <f t="shared" ca="1" si="18"/>
        <v>12</v>
      </c>
      <c r="AP13" s="302">
        <f t="shared" ca="1" si="18"/>
        <v>12</v>
      </c>
      <c r="AQ13" s="302">
        <f t="shared" ca="1" si="18"/>
        <v>12</v>
      </c>
      <c r="AR13" s="302">
        <f t="shared" ca="1" si="18"/>
        <v>12</v>
      </c>
      <c r="AS13" s="302">
        <f t="shared" ca="1" si="18"/>
        <v>12</v>
      </c>
      <c r="AT13" s="302">
        <f t="shared" ca="1" si="18"/>
        <v>12</v>
      </c>
      <c r="AU13" s="302">
        <f t="shared" ca="1" si="18"/>
        <v>12</v>
      </c>
      <c r="AV13" s="302">
        <f t="shared" ca="1" si="18"/>
        <v>12</v>
      </c>
      <c r="AW13" s="302">
        <f t="shared" ca="1" si="18"/>
        <v>12</v>
      </c>
      <c r="AX13" s="302">
        <f t="shared" ca="1" si="18"/>
        <v>12</v>
      </c>
      <c r="AY13" s="302">
        <f t="shared" ca="1" si="18"/>
        <v>12</v>
      </c>
      <c r="AZ13" s="302">
        <f t="shared" ca="1" si="18"/>
        <v>12</v>
      </c>
      <c r="BA13" s="302">
        <f t="shared" ca="1" si="18"/>
        <v>12</v>
      </c>
      <c r="BB13" s="302">
        <f t="shared" ca="1" si="18"/>
        <v>12</v>
      </c>
      <c r="BC13" s="302">
        <f t="shared" ca="1" si="18"/>
        <v>12</v>
      </c>
      <c r="BD13" s="302">
        <f t="shared" ca="1" si="18"/>
        <v>12</v>
      </c>
      <c r="BE13" s="302">
        <f t="shared" ca="1" si="18"/>
        <v>12</v>
      </c>
      <c r="BF13" s="302">
        <f t="shared" ca="1" si="18"/>
        <v>12</v>
      </c>
      <c r="BG13" s="302">
        <f t="shared" ca="1" si="18"/>
        <v>12</v>
      </c>
      <c r="BH13" s="302">
        <f t="shared" ca="1" si="18"/>
        <v>12</v>
      </c>
      <c r="BI13" s="302">
        <f t="shared" ca="1" si="18"/>
        <v>12</v>
      </c>
      <c r="BJ13" s="302">
        <f t="shared" ca="1" si="18"/>
        <v>12</v>
      </c>
      <c r="BK13" s="302">
        <f t="shared" ca="1" si="18"/>
        <v>12</v>
      </c>
      <c r="BL13" s="302">
        <f t="shared" ca="1" si="18"/>
        <v>12</v>
      </c>
      <c r="BM13" s="302">
        <f t="shared" ca="1" si="18"/>
        <v>12</v>
      </c>
      <c r="BN13" s="302">
        <f t="shared" ca="1" si="18"/>
        <v>12</v>
      </c>
      <c r="BO13" s="302">
        <f t="shared" ca="1" si="18"/>
        <v>12</v>
      </c>
      <c r="BP13" s="302">
        <f t="shared" ca="1" si="18"/>
        <v>12</v>
      </c>
      <c r="BQ13" s="302">
        <f t="shared" ca="1" si="18"/>
        <v>12</v>
      </c>
      <c r="BR13" s="302">
        <f t="shared" ca="1" si="18"/>
        <v>12</v>
      </c>
      <c r="BS13" s="302">
        <f t="shared" ca="1" si="18"/>
        <v>12</v>
      </c>
      <c r="BT13" s="302">
        <f t="shared" ref="BT13:EE13" ca="1" si="19">BT10+BT11-BT12</f>
        <v>12</v>
      </c>
      <c r="BU13" s="302">
        <f t="shared" ca="1" si="19"/>
        <v>12</v>
      </c>
      <c r="BV13" s="302">
        <f t="shared" ca="1" si="19"/>
        <v>12</v>
      </c>
      <c r="BW13" s="302">
        <f t="shared" ca="1" si="19"/>
        <v>12</v>
      </c>
      <c r="BX13" s="302">
        <f t="shared" ca="1" si="19"/>
        <v>12</v>
      </c>
      <c r="BY13" s="302">
        <f t="shared" ca="1" si="19"/>
        <v>12</v>
      </c>
      <c r="BZ13" s="302">
        <f t="shared" ca="1" si="19"/>
        <v>12</v>
      </c>
      <c r="CA13" s="302">
        <f t="shared" ca="1" si="19"/>
        <v>12</v>
      </c>
      <c r="CB13" s="302">
        <f t="shared" ca="1" si="19"/>
        <v>12</v>
      </c>
      <c r="CC13" s="302">
        <f t="shared" ca="1" si="19"/>
        <v>12</v>
      </c>
      <c r="CD13" s="302">
        <f t="shared" ca="1" si="19"/>
        <v>12</v>
      </c>
      <c r="CE13" s="302">
        <f t="shared" ca="1" si="19"/>
        <v>12</v>
      </c>
      <c r="CF13" s="302">
        <f t="shared" ca="1" si="19"/>
        <v>12</v>
      </c>
      <c r="CG13" s="302">
        <f t="shared" ca="1" si="19"/>
        <v>12</v>
      </c>
      <c r="CH13" s="302">
        <f t="shared" ca="1" si="19"/>
        <v>12</v>
      </c>
      <c r="CI13" s="302">
        <f t="shared" ca="1" si="19"/>
        <v>12</v>
      </c>
      <c r="CJ13" s="302">
        <f t="shared" ca="1" si="19"/>
        <v>12</v>
      </c>
      <c r="CK13" s="302">
        <f t="shared" ca="1" si="19"/>
        <v>12</v>
      </c>
      <c r="CL13" s="302">
        <f t="shared" ca="1" si="19"/>
        <v>12</v>
      </c>
      <c r="CM13" s="302">
        <f t="shared" ca="1" si="19"/>
        <v>12</v>
      </c>
      <c r="CN13" s="302">
        <f t="shared" ca="1" si="19"/>
        <v>12</v>
      </c>
      <c r="CO13" s="302">
        <f t="shared" ca="1" si="19"/>
        <v>12</v>
      </c>
      <c r="CP13" s="302">
        <f t="shared" ca="1" si="19"/>
        <v>12</v>
      </c>
      <c r="CQ13" s="302">
        <f t="shared" ca="1" si="19"/>
        <v>12</v>
      </c>
      <c r="CR13" s="302">
        <f t="shared" ca="1" si="19"/>
        <v>12</v>
      </c>
      <c r="CS13" s="302">
        <f t="shared" ca="1" si="19"/>
        <v>12</v>
      </c>
      <c r="CT13" s="302">
        <f t="shared" ca="1" si="19"/>
        <v>12</v>
      </c>
      <c r="CU13" s="302">
        <f t="shared" ca="1" si="19"/>
        <v>12</v>
      </c>
      <c r="CV13" s="302">
        <f t="shared" ca="1" si="19"/>
        <v>12</v>
      </c>
      <c r="CW13" s="302">
        <f t="shared" ca="1" si="19"/>
        <v>12</v>
      </c>
      <c r="CX13" s="302">
        <f t="shared" ca="1" si="19"/>
        <v>12</v>
      </c>
      <c r="CY13" s="302">
        <f t="shared" ca="1" si="19"/>
        <v>12</v>
      </c>
      <c r="CZ13" s="302">
        <f t="shared" ca="1" si="19"/>
        <v>12</v>
      </c>
      <c r="DA13" s="302">
        <f t="shared" ca="1" si="19"/>
        <v>12</v>
      </c>
      <c r="DB13" s="302">
        <f t="shared" ca="1" si="19"/>
        <v>12</v>
      </c>
      <c r="DC13" s="302">
        <f t="shared" ca="1" si="19"/>
        <v>12</v>
      </c>
      <c r="DD13" s="302">
        <f t="shared" ca="1" si="19"/>
        <v>12</v>
      </c>
      <c r="DE13" s="302">
        <f t="shared" ca="1" si="19"/>
        <v>12</v>
      </c>
      <c r="DF13" s="302">
        <f t="shared" ca="1" si="19"/>
        <v>12</v>
      </c>
      <c r="DG13" s="302">
        <f t="shared" ca="1" si="19"/>
        <v>12</v>
      </c>
      <c r="DH13" s="302">
        <f t="shared" ca="1" si="19"/>
        <v>12</v>
      </c>
      <c r="DI13" s="302">
        <f t="shared" ca="1" si="19"/>
        <v>12</v>
      </c>
      <c r="DJ13" s="302">
        <f t="shared" ca="1" si="19"/>
        <v>12</v>
      </c>
      <c r="DK13" s="302">
        <f t="shared" ca="1" si="19"/>
        <v>12</v>
      </c>
      <c r="DL13" s="302">
        <f t="shared" ca="1" si="19"/>
        <v>12</v>
      </c>
      <c r="DM13" s="302">
        <f t="shared" ca="1" si="19"/>
        <v>12</v>
      </c>
      <c r="DN13" s="302">
        <f t="shared" ca="1" si="19"/>
        <v>12</v>
      </c>
      <c r="DO13" s="302">
        <f t="shared" ca="1" si="19"/>
        <v>12</v>
      </c>
      <c r="DP13" s="302">
        <f t="shared" ca="1" si="19"/>
        <v>12</v>
      </c>
      <c r="DQ13" s="302">
        <f t="shared" ca="1" si="19"/>
        <v>12</v>
      </c>
      <c r="DR13" s="302">
        <f t="shared" ca="1" si="19"/>
        <v>12</v>
      </c>
      <c r="DS13" s="302">
        <f t="shared" ca="1" si="19"/>
        <v>12</v>
      </c>
      <c r="DT13" s="302">
        <f t="shared" ca="1" si="19"/>
        <v>12</v>
      </c>
      <c r="DU13" s="302">
        <f t="shared" ca="1" si="19"/>
        <v>12</v>
      </c>
      <c r="DV13" s="302">
        <f t="shared" ca="1" si="19"/>
        <v>12</v>
      </c>
      <c r="DW13" s="302">
        <f t="shared" ca="1" si="19"/>
        <v>12</v>
      </c>
      <c r="DX13" s="302">
        <f t="shared" ca="1" si="19"/>
        <v>12</v>
      </c>
      <c r="DY13" s="302">
        <f t="shared" ca="1" si="19"/>
        <v>12</v>
      </c>
      <c r="DZ13" s="302">
        <f t="shared" ca="1" si="19"/>
        <v>12</v>
      </c>
      <c r="EA13" s="302">
        <f t="shared" ca="1" si="19"/>
        <v>12</v>
      </c>
      <c r="EB13" s="302">
        <f t="shared" ca="1" si="19"/>
        <v>12</v>
      </c>
      <c r="EC13" s="302">
        <f t="shared" ca="1" si="19"/>
        <v>12</v>
      </c>
      <c r="ED13" s="302">
        <f t="shared" ca="1" si="19"/>
        <v>12</v>
      </c>
      <c r="EE13" s="302">
        <f t="shared" ca="1" si="19"/>
        <v>12</v>
      </c>
      <c r="EF13" s="302">
        <f t="shared" ref="EF13:EH13" ca="1" si="20">EF10+EF11-EF12</f>
        <v>12</v>
      </c>
      <c r="EG13" s="302">
        <f t="shared" ca="1" si="20"/>
        <v>12</v>
      </c>
      <c r="EH13" s="302">
        <f t="shared" ca="1" si="20"/>
        <v>12</v>
      </c>
      <c r="EI13" s="158" t="s">
        <v>243</v>
      </c>
    </row>
    <row r="14" spans="1:139" s="180" customFormat="1" x14ac:dyDescent="0.2">
      <c r="B14" s="303" t="s">
        <v>380</v>
      </c>
      <c r="C14" s="303"/>
      <c r="D14" s="303"/>
      <c r="E14" s="303"/>
      <c r="F14" s="304">
        <f t="shared" ref="F14:AK14" si="21">units-F13</f>
        <v>234</v>
      </c>
      <c r="G14" s="304">
        <f t="shared" ca="1" si="21"/>
        <v>229</v>
      </c>
      <c r="H14" s="304">
        <f t="shared" ca="1" si="21"/>
        <v>229</v>
      </c>
      <c r="I14" s="304">
        <f t="shared" ca="1" si="21"/>
        <v>229</v>
      </c>
      <c r="J14" s="304">
        <f t="shared" ca="1" si="21"/>
        <v>229</v>
      </c>
      <c r="K14" s="304">
        <f t="shared" ca="1" si="21"/>
        <v>229</v>
      </c>
      <c r="L14" s="304">
        <f t="shared" ca="1" si="21"/>
        <v>229</v>
      </c>
      <c r="M14" s="304">
        <f t="shared" ca="1" si="21"/>
        <v>229</v>
      </c>
      <c r="N14" s="304">
        <f t="shared" ca="1" si="21"/>
        <v>229</v>
      </c>
      <c r="O14" s="304">
        <f t="shared" ca="1" si="21"/>
        <v>229</v>
      </c>
      <c r="P14" s="304">
        <f t="shared" ca="1" si="21"/>
        <v>229</v>
      </c>
      <c r="Q14" s="304">
        <f t="shared" ca="1" si="21"/>
        <v>229</v>
      </c>
      <c r="R14" s="304">
        <f t="shared" ca="1" si="21"/>
        <v>229</v>
      </c>
      <c r="S14" s="304">
        <f t="shared" ca="1" si="21"/>
        <v>229</v>
      </c>
      <c r="T14" s="304">
        <f t="shared" ca="1" si="21"/>
        <v>229</v>
      </c>
      <c r="U14" s="304">
        <f t="shared" ca="1" si="21"/>
        <v>229</v>
      </c>
      <c r="V14" s="304">
        <f t="shared" ca="1" si="21"/>
        <v>229</v>
      </c>
      <c r="W14" s="304">
        <f t="shared" ca="1" si="21"/>
        <v>229</v>
      </c>
      <c r="X14" s="304">
        <f t="shared" ca="1" si="21"/>
        <v>229</v>
      </c>
      <c r="Y14" s="304">
        <f t="shared" ca="1" si="21"/>
        <v>229</v>
      </c>
      <c r="Z14" s="304">
        <f t="shared" ca="1" si="21"/>
        <v>229</v>
      </c>
      <c r="AA14" s="304">
        <f t="shared" ca="1" si="21"/>
        <v>229</v>
      </c>
      <c r="AB14" s="304">
        <f t="shared" ca="1" si="21"/>
        <v>229</v>
      </c>
      <c r="AC14" s="304">
        <f t="shared" ca="1" si="21"/>
        <v>229</v>
      </c>
      <c r="AD14" s="304">
        <f t="shared" ca="1" si="21"/>
        <v>229</v>
      </c>
      <c r="AE14" s="304">
        <f t="shared" ca="1" si="21"/>
        <v>232</v>
      </c>
      <c r="AF14" s="304">
        <f t="shared" ca="1" si="21"/>
        <v>232</v>
      </c>
      <c r="AG14" s="304">
        <f t="shared" ca="1" si="21"/>
        <v>232</v>
      </c>
      <c r="AH14" s="304">
        <f t="shared" ca="1" si="21"/>
        <v>232</v>
      </c>
      <c r="AI14" s="304">
        <f t="shared" ca="1" si="21"/>
        <v>232</v>
      </c>
      <c r="AJ14" s="304">
        <f t="shared" ca="1" si="21"/>
        <v>232</v>
      </c>
      <c r="AK14" s="304">
        <f t="shared" ca="1" si="21"/>
        <v>232</v>
      </c>
      <c r="AL14" s="304">
        <f t="shared" ref="AL14:BQ14" ca="1" si="22">units-AL13</f>
        <v>232</v>
      </c>
      <c r="AM14" s="304">
        <f t="shared" ca="1" si="22"/>
        <v>232</v>
      </c>
      <c r="AN14" s="304">
        <f t="shared" ca="1" si="22"/>
        <v>232</v>
      </c>
      <c r="AO14" s="304">
        <f t="shared" ca="1" si="22"/>
        <v>232</v>
      </c>
      <c r="AP14" s="304">
        <f t="shared" ca="1" si="22"/>
        <v>232</v>
      </c>
      <c r="AQ14" s="304">
        <f t="shared" ca="1" si="22"/>
        <v>232</v>
      </c>
      <c r="AR14" s="304">
        <f t="shared" ca="1" si="22"/>
        <v>232</v>
      </c>
      <c r="AS14" s="304">
        <f t="shared" ca="1" si="22"/>
        <v>232</v>
      </c>
      <c r="AT14" s="304">
        <f t="shared" ca="1" si="22"/>
        <v>232</v>
      </c>
      <c r="AU14" s="304">
        <f t="shared" ca="1" si="22"/>
        <v>232</v>
      </c>
      <c r="AV14" s="304">
        <f t="shared" ca="1" si="22"/>
        <v>232</v>
      </c>
      <c r="AW14" s="304">
        <f t="shared" ca="1" si="22"/>
        <v>232</v>
      </c>
      <c r="AX14" s="304">
        <f t="shared" ca="1" si="22"/>
        <v>232</v>
      </c>
      <c r="AY14" s="304">
        <f t="shared" ca="1" si="22"/>
        <v>232</v>
      </c>
      <c r="AZ14" s="304">
        <f t="shared" ca="1" si="22"/>
        <v>232</v>
      </c>
      <c r="BA14" s="304">
        <f t="shared" ca="1" si="22"/>
        <v>232</v>
      </c>
      <c r="BB14" s="304">
        <f t="shared" ca="1" si="22"/>
        <v>232</v>
      </c>
      <c r="BC14" s="304">
        <f t="shared" ca="1" si="22"/>
        <v>232</v>
      </c>
      <c r="BD14" s="304">
        <f t="shared" ca="1" si="22"/>
        <v>232</v>
      </c>
      <c r="BE14" s="304">
        <f t="shared" ca="1" si="22"/>
        <v>232</v>
      </c>
      <c r="BF14" s="304">
        <f t="shared" ca="1" si="22"/>
        <v>232</v>
      </c>
      <c r="BG14" s="304">
        <f t="shared" ca="1" si="22"/>
        <v>232</v>
      </c>
      <c r="BH14" s="304">
        <f t="shared" ca="1" si="22"/>
        <v>232</v>
      </c>
      <c r="BI14" s="304">
        <f t="shared" ca="1" si="22"/>
        <v>232</v>
      </c>
      <c r="BJ14" s="304">
        <f t="shared" ca="1" si="22"/>
        <v>232</v>
      </c>
      <c r="BK14" s="304">
        <f t="shared" ca="1" si="22"/>
        <v>232</v>
      </c>
      <c r="BL14" s="304">
        <f t="shared" ca="1" si="22"/>
        <v>232</v>
      </c>
      <c r="BM14" s="304">
        <f t="shared" ca="1" si="22"/>
        <v>232</v>
      </c>
      <c r="BN14" s="304">
        <f t="shared" ca="1" si="22"/>
        <v>232</v>
      </c>
      <c r="BO14" s="304">
        <f t="shared" ca="1" si="22"/>
        <v>232</v>
      </c>
      <c r="BP14" s="304">
        <f t="shared" ca="1" si="22"/>
        <v>232</v>
      </c>
      <c r="BQ14" s="304">
        <f t="shared" ca="1" si="22"/>
        <v>232</v>
      </c>
      <c r="BR14" s="304">
        <f t="shared" ref="BR14:CW14" ca="1" si="23">units-BR13</f>
        <v>232</v>
      </c>
      <c r="BS14" s="304">
        <f t="shared" ca="1" si="23"/>
        <v>232</v>
      </c>
      <c r="BT14" s="304">
        <f t="shared" ca="1" si="23"/>
        <v>232</v>
      </c>
      <c r="BU14" s="304">
        <f t="shared" ca="1" si="23"/>
        <v>232</v>
      </c>
      <c r="BV14" s="304">
        <f t="shared" ca="1" si="23"/>
        <v>232</v>
      </c>
      <c r="BW14" s="304">
        <f t="shared" ca="1" si="23"/>
        <v>232</v>
      </c>
      <c r="BX14" s="304">
        <f t="shared" ca="1" si="23"/>
        <v>232</v>
      </c>
      <c r="BY14" s="304">
        <f t="shared" ca="1" si="23"/>
        <v>232</v>
      </c>
      <c r="BZ14" s="304">
        <f t="shared" ca="1" si="23"/>
        <v>232</v>
      </c>
      <c r="CA14" s="304">
        <f t="shared" ca="1" si="23"/>
        <v>232</v>
      </c>
      <c r="CB14" s="304">
        <f t="shared" ca="1" si="23"/>
        <v>232</v>
      </c>
      <c r="CC14" s="304">
        <f t="shared" ca="1" si="23"/>
        <v>232</v>
      </c>
      <c r="CD14" s="304">
        <f t="shared" ca="1" si="23"/>
        <v>232</v>
      </c>
      <c r="CE14" s="304">
        <f t="shared" ca="1" si="23"/>
        <v>232</v>
      </c>
      <c r="CF14" s="304">
        <f t="shared" ca="1" si="23"/>
        <v>232</v>
      </c>
      <c r="CG14" s="304">
        <f t="shared" ca="1" si="23"/>
        <v>232</v>
      </c>
      <c r="CH14" s="304">
        <f t="shared" ca="1" si="23"/>
        <v>232</v>
      </c>
      <c r="CI14" s="304">
        <f t="shared" ca="1" si="23"/>
        <v>232</v>
      </c>
      <c r="CJ14" s="304">
        <f t="shared" ca="1" si="23"/>
        <v>232</v>
      </c>
      <c r="CK14" s="304">
        <f t="shared" ca="1" si="23"/>
        <v>232</v>
      </c>
      <c r="CL14" s="304">
        <f t="shared" ca="1" si="23"/>
        <v>232</v>
      </c>
      <c r="CM14" s="304">
        <f t="shared" ca="1" si="23"/>
        <v>232</v>
      </c>
      <c r="CN14" s="304">
        <f t="shared" ca="1" si="23"/>
        <v>232</v>
      </c>
      <c r="CO14" s="304">
        <f t="shared" ca="1" si="23"/>
        <v>232</v>
      </c>
      <c r="CP14" s="304">
        <f t="shared" ca="1" si="23"/>
        <v>232</v>
      </c>
      <c r="CQ14" s="304">
        <f t="shared" ca="1" si="23"/>
        <v>232</v>
      </c>
      <c r="CR14" s="304">
        <f t="shared" ca="1" si="23"/>
        <v>232</v>
      </c>
      <c r="CS14" s="304">
        <f t="shared" ca="1" si="23"/>
        <v>232</v>
      </c>
      <c r="CT14" s="304">
        <f t="shared" ca="1" si="23"/>
        <v>232</v>
      </c>
      <c r="CU14" s="304">
        <f t="shared" ca="1" si="23"/>
        <v>232</v>
      </c>
      <c r="CV14" s="304">
        <f t="shared" ca="1" si="23"/>
        <v>232</v>
      </c>
      <c r="CW14" s="304">
        <f t="shared" ca="1" si="23"/>
        <v>232</v>
      </c>
      <c r="CX14" s="304">
        <f t="shared" ref="CX14:EC14" ca="1" si="24">units-CX13</f>
        <v>232</v>
      </c>
      <c r="CY14" s="304">
        <f t="shared" ca="1" si="24"/>
        <v>232</v>
      </c>
      <c r="CZ14" s="304">
        <f t="shared" ca="1" si="24"/>
        <v>232</v>
      </c>
      <c r="DA14" s="304">
        <f t="shared" ca="1" si="24"/>
        <v>232</v>
      </c>
      <c r="DB14" s="304">
        <f t="shared" ca="1" si="24"/>
        <v>232</v>
      </c>
      <c r="DC14" s="304">
        <f t="shared" ca="1" si="24"/>
        <v>232</v>
      </c>
      <c r="DD14" s="304">
        <f t="shared" ca="1" si="24"/>
        <v>232</v>
      </c>
      <c r="DE14" s="304">
        <f t="shared" ca="1" si="24"/>
        <v>232</v>
      </c>
      <c r="DF14" s="304">
        <f t="shared" ca="1" si="24"/>
        <v>232</v>
      </c>
      <c r="DG14" s="304">
        <f t="shared" ca="1" si="24"/>
        <v>232</v>
      </c>
      <c r="DH14" s="304">
        <f t="shared" ca="1" si="24"/>
        <v>232</v>
      </c>
      <c r="DI14" s="304">
        <f t="shared" ca="1" si="24"/>
        <v>232</v>
      </c>
      <c r="DJ14" s="304">
        <f t="shared" ca="1" si="24"/>
        <v>232</v>
      </c>
      <c r="DK14" s="304">
        <f t="shared" ca="1" si="24"/>
        <v>232</v>
      </c>
      <c r="DL14" s="304">
        <f t="shared" ca="1" si="24"/>
        <v>232</v>
      </c>
      <c r="DM14" s="304">
        <f t="shared" ca="1" si="24"/>
        <v>232</v>
      </c>
      <c r="DN14" s="304">
        <f t="shared" ca="1" si="24"/>
        <v>232</v>
      </c>
      <c r="DO14" s="304">
        <f t="shared" ca="1" si="24"/>
        <v>232</v>
      </c>
      <c r="DP14" s="304">
        <f t="shared" ca="1" si="24"/>
        <v>232</v>
      </c>
      <c r="DQ14" s="304">
        <f t="shared" ca="1" si="24"/>
        <v>232</v>
      </c>
      <c r="DR14" s="304">
        <f t="shared" ca="1" si="24"/>
        <v>232</v>
      </c>
      <c r="DS14" s="304">
        <f t="shared" ca="1" si="24"/>
        <v>232</v>
      </c>
      <c r="DT14" s="304">
        <f t="shared" ca="1" si="24"/>
        <v>232</v>
      </c>
      <c r="DU14" s="304">
        <f t="shared" ca="1" si="24"/>
        <v>232</v>
      </c>
      <c r="DV14" s="304">
        <f t="shared" ca="1" si="24"/>
        <v>232</v>
      </c>
      <c r="DW14" s="304">
        <f t="shared" ca="1" si="24"/>
        <v>232</v>
      </c>
      <c r="DX14" s="304">
        <f t="shared" ca="1" si="24"/>
        <v>232</v>
      </c>
      <c r="DY14" s="304">
        <f t="shared" ca="1" si="24"/>
        <v>232</v>
      </c>
      <c r="DZ14" s="304">
        <f t="shared" ca="1" si="24"/>
        <v>232</v>
      </c>
      <c r="EA14" s="304">
        <f t="shared" ca="1" si="24"/>
        <v>232</v>
      </c>
      <c r="EB14" s="304">
        <f t="shared" ca="1" si="24"/>
        <v>232</v>
      </c>
      <c r="EC14" s="304">
        <f t="shared" ca="1" si="24"/>
        <v>232</v>
      </c>
      <c r="ED14" s="304">
        <f t="shared" ref="ED14:EH14" ca="1" si="25">units-ED13</f>
        <v>232</v>
      </c>
      <c r="EE14" s="304">
        <f t="shared" ca="1" si="25"/>
        <v>232</v>
      </c>
      <c r="EF14" s="304">
        <f t="shared" ca="1" si="25"/>
        <v>232</v>
      </c>
      <c r="EG14" s="304">
        <f t="shared" ca="1" si="25"/>
        <v>232</v>
      </c>
      <c r="EH14" s="304">
        <f t="shared" ca="1" si="25"/>
        <v>232</v>
      </c>
      <c r="EI14" s="158" t="s">
        <v>243</v>
      </c>
    </row>
    <row r="15" spans="1:139" s="180" customFormat="1" x14ac:dyDescent="0.2">
      <c r="B15" s="158"/>
      <c r="C15" s="158"/>
      <c r="D15" s="158"/>
      <c r="E15" s="158"/>
      <c r="EI15" s="158" t="s">
        <v>243</v>
      </c>
    </row>
    <row r="16" spans="1:139" s="180" customFormat="1" x14ac:dyDescent="0.2">
      <c r="B16" s="273" t="s">
        <v>685</v>
      </c>
      <c r="C16" s="162"/>
      <c r="D16" s="162"/>
      <c r="E16" s="162"/>
      <c r="F16" s="301">
        <f>units</f>
        <v>244</v>
      </c>
      <c r="G16" s="301">
        <f>F18</f>
        <v>244</v>
      </c>
      <c r="H16" s="301">
        <f>G18</f>
        <v>239</v>
      </c>
      <c r="I16" s="301">
        <f>H18</f>
        <v>234</v>
      </c>
      <c r="J16" s="301">
        <f t="shared" ref="J16:BU16" si="26">I18</f>
        <v>229</v>
      </c>
      <c r="K16" s="301">
        <f t="shared" si="26"/>
        <v>224</v>
      </c>
      <c r="L16" s="301">
        <f t="shared" si="26"/>
        <v>219</v>
      </c>
      <c r="M16" s="301">
        <f t="shared" si="26"/>
        <v>214</v>
      </c>
      <c r="N16" s="301">
        <f t="shared" si="26"/>
        <v>209</v>
      </c>
      <c r="O16" s="301">
        <f t="shared" si="26"/>
        <v>204</v>
      </c>
      <c r="P16" s="301">
        <f t="shared" si="26"/>
        <v>199</v>
      </c>
      <c r="Q16" s="301">
        <f t="shared" si="26"/>
        <v>194</v>
      </c>
      <c r="R16" s="301">
        <f t="shared" si="26"/>
        <v>189</v>
      </c>
      <c r="S16" s="301">
        <f t="shared" si="26"/>
        <v>184</v>
      </c>
      <c r="T16" s="301">
        <f t="shared" si="26"/>
        <v>176</v>
      </c>
      <c r="U16" s="301">
        <f t="shared" si="26"/>
        <v>168</v>
      </c>
      <c r="V16" s="301">
        <f t="shared" si="26"/>
        <v>160</v>
      </c>
      <c r="W16" s="301">
        <f t="shared" si="26"/>
        <v>152</v>
      </c>
      <c r="X16" s="301">
        <f t="shared" si="26"/>
        <v>144</v>
      </c>
      <c r="Y16" s="301">
        <f t="shared" si="26"/>
        <v>136</v>
      </c>
      <c r="Z16" s="301">
        <f t="shared" si="26"/>
        <v>128</v>
      </c>
      <c r="AA16" s="301">
        <f t="shared" si="26"/>
        <v>121</v>
      </c>
      <c r="AB16" s="301">
        <f t="shared" si="26"/>
        <v>114</v>
      </c>
      <c r="AC16" s="301">
        <f t="shared" si="26"/>
        <v>107</v>
      </c>
      <c r="AD16" s="301">
        <f t="shared" si="26"/>
        <v>100</v>
      </c>
      <c r="AE16" s="301">
        <f t="shared" si="26"/>
        <v>93</v>
      </c>
      <c r="AF16" s="301">
        <f t="shared" si="26"/>
        <v>86</v>
      </c>
      <c r="AG16" s="301">
        <f t="shared" si="26"/>
        <v>79</v>
      </c>
      <c r="AH16" s="301">
        <f t="shared" si="26"/>
        <v>74</v>
      </c>
      <c r="AI16" s="301">
        <f t="shared" si="26"/>
        <v>69</v>
      </c>
      <c r="AJ16" s="301">
        <f t="shared" si="26"/>
        <v>64</v>
      </c>
      <c r="AK16" s="301">
        <f t="shared" si="26"/>
        <v>59</v>
      </c>
      <c r="AL16" s="301">
        <f t="shared" si="26"/>
        <v>54</v>
      </c>
      <c r="AM16" s="301">
        <f t="shared" si="26"/>
        <v>49</v>
      </c>
      <c r="AN16" s="301">
        <f t="shared" si="26"/>
        <v>49</v>
      </c>
      <c r="AO16" s="301">
        <f t="shared" si="26"/>
        <v>49</v>
      </c>
      <c r="AP16" s="301">
        <f t="shared" si="26"/>
        <v>49</v>
      </c>
      <c r="AQ16" s="301">
        <f t="shared" si="26"/>
        <v>49</v>
      </c>
      <c r="AR16" s="301">
        <f t="shared" si="26"/>
        <v>49</v>
      </c>
      <c r="AS16" s="301">
        <f t="shared" si="26"/>
        <v>49</v>
      </c>
      <c r="AT16" s="301">
        <f t="shared" si="26"/>
        <v>49</v>
      </c>
      <c r="AU16" s="301">
        <f t="shared" si="26"/>
        <v>49</v>
      </c>
      <c r="AV16" s="301">
        <f t="shared" si="26"/>
        <v>49</v>
      </c>
      <c r="AW16" s="301">
        <f t="shared" si="26"/>
        <v>49</v>
      </c>
      <c r="AX16" s="301">
        <f t="shared" si="26"/>
        <v>49</v>
      </c>
      <c r="AY16" s="301">
        <f t="shared" si="26"/>
        <v>49</v>
      </c>
      <c r="AZ16" s="301">
        <f t="shared" si="26"/>
        <v>49</v>
      </c>
      <c r="BA16" s="301">
        <f t="shared" si="26"/>
        <v>49</v>
      </c>
      <c r="BB16" s="301">
        <f t="shared" si="26"/>
        <v>49</v>
      </c>
      <c r="BC16" s="301">
        <f t="shared" si="26"/>
        <v>49</v>
      </c>
      <c r="BD16" s="301">
        <f t="shared" si="26"/>
        <v>49</v>
      </c>
      <c r="BE16" s="301">
        <f t="shared" si="26"/>
        <v>49</v>
      </c>
      <c r="BF16" s="301">
        <f t="shared" si="26"/>
        <v>49</v>
      </c>
      <c r="BG16" s="301">
        <f t="shared" si="26"/>
        <v>49</v>
      </c>
      <c r="BH16" s="301">
        <f t="shared" si="26"/>
        <v>49</v>
      </c>
      <c r="BI16" s="301">
        <f t="shared" si="26"/>
        <v>49</v>
      </c>
      <c r="BJ16" s="301">
        <f t="shared" si="26"/>
        <v>49</v>
      </c>
      <c r="BK16" s="301">
        <f t="shared" si="26"/>
        <v>49</v>
      </c>
      <c r="BL16" s="301">
        <f t="shared" si="26"/>
        <v>49</v>
      </c>
      <c r="BM16" s="301">
        <f t="shared" si="26"/>
        <v>49</v>
      </c>
      <c r="BN16" s="301">
        <f t="shared" si="26"/>
        <v>49</v>
      </c>
      <c r="BO16" s="301">
        <f t="shared" si="26"/>
        <v>49</v>
      </c>
      <c r="BP16" s="301">
        <f t="shared" si="26"/>
        <v>49</v>
      </c>
      <c r="BQ16" s="301">
        <f t="shared" si="26"/>
        <v>49</v>
      </c>
      <c r="BR16" s="301">
        <f t="shared" si="26"/>
        <v>49</v>
      </c>
      <c r="BS16" s="301">
        <f t="shared" si="26"/>
        <v>49</v>
      </c>
      <c r="BT16" s="301">
        <f t="shared" si="26"/>
        <v>49</v>
      </c>
      <c r="BU16" s="301">
        <f t="shared" si="26"/>
        <v>49</v>
      </c>
      <c r="BV16" s="301">
        <f t="shared" ref="BV16:EG16" si="27">BU18</f>
        <v>49</v>
      </c>
      <c r="BW16" s="301">
        <f t="shared" si="27"/>
        <v>49</v>
      </c>
      <c r="BX16" s="301">
        <f t="shared" si="27"/>
        <v>49</v>
      </c>
      <c r="BY16" s="301">
        <f t="shared" si="27"/>
        <v>49</v>
      </c>
      <c r="BZ16" s="301">
        <f t="shared" si="27"/>
        <v>49</v>
      </c>
      <c r="CA16" s="301">
        <f t="shared" si="27"/>
        <v>49</v>
      </c>
      <c r="CB16" s="301">
        <f t="shared" si="27"/>
        <v>49</v>
      </c>
      <c r="CC16" s="301">
        <f t="shared" si="27"/>
        <v>49</v>
      </c>
      <c r="CD16" s="301">
        <f t="shared" si="27"/>
        <v>49</v>
      </c>
      <c r="CE16" s="301">
        <f t="shared" si="27"/>
        <v>49</v>
      </c>
      <c r="CF16" s="301">
        <f t="shared" si="27"/>
        <v>49</v>
      </c>
      <c r="CG16" s="301">
        <f t="shared" si="27"/>
        <v>49</v>
      </c>
      <c r="CH16" s="301">
        <f t="shared" si="27"/>
        <v>49</v>
      </c>
      <c r="CI16" s="301">
        <f t="shared" si="27"/>
        <v>49</v>
      </c>
      <c r="CJ16" s="301">
        <f t="shared" si="27"/>
        <v>49</v>
      </c>
      <c r="CK16" s="301">
        <f t="shared" si="27"/>
        <v>49</v>
      </c>
      <c r="CL16" s="301">
        <f t="shared" si="27"/>
        <v>49</v>
      </c>
      <c r="CM16" s="301">
        <f t="shared" si="27"/>
        <v>49</v>
      </c>
      <c r="CN16" s="301">
        <f t="shared" si="27"/>
        <v>49</v>
      </c>
      <c r="CO16" s="301">
        <f t="shared" si="27"/>
        <v>49</v>
      </c>
      <c r="CP16" s="301">
        <f t="shared" si="27"/>
        <v>49</v>
      </c>
      <c r="CQ16" s="301">
        <f t="shared" si="27"/>
        <v>49</v>
      </c>
      <c r="CR16" s="301">
        <f t="shared" si="27"/>
        <v>49</v>
      </c>
      <c r="CS16" s="301">
        <f t="shared" si="27"/>
        <v>49</v>
      </c>
      <c r="CT16" s="301">
        <f t="shared" si="27"/>
        <v>49</v>
      </c>
      <c r="CU16" s="301">
        <f t="shared" si="27"/>
        <v>49</v>
      </c>
      <c r="CV16" s="301">
        <f t="shared" si="27"/>
        <v>49</v>
      </c>
      <c r="CW16" s="301">
        <f t="shared" si="27"/>
        <v>49</v>
      </c>
      <c r="CX16" s="301">
        <f t="shared" si="27"/>
        <v>49</v>
      </c>
      <c r="CY16" s="301">
        <f t="shared" si="27"/>
        <v>49</v>
      </c>
      <c r="CZ16" s="301">
        <f t="shared" si="27"/>
        <v>49</v>
      </c>
      <c r="DA16" s="301">
        <f t="shared" si="27"/>
        <v>49</v>
      </c>
      <c r="DB16" s="301">
        <f t="shared" si="27"/>
        <v>49</v>
      </c>
      <c r="DC16" s="301">
        <f t="shared" si="27"/>
        <v>49</v>
      </c>
      <c r="DD16" s="301">
        <f t="shared" si="27"/>
        <v>49</v>
      </c>
      <c r="DE16" s="301">
        <f t="shared" si="27"/>
        <v>49</v>
      </c>
      <c r="DF16" s="301">
        <f t="shared" si="27"/>
        <v>49</v>
      </c>
      <c r="DG16" s="301">
        <f t="shared" si="27"/>
        <v>49</v>
      </c>
      <c r="DH16" s="301">
        <f t="shared" si="27"/>
        <v>49</v>
      </c>
      <c r="DI16" s="301">
        <f t="shared" si="27"/>
        <v>49</v>
      </c>
      <c r="DJ16" s="301">
        <f t="shared" si="27"/>
        <v>49</v>
      </c>
      <c r="DK16" s="301">
        <f t="shared" si="27"/>
        <v>49</v>
      </c>
      <c r="DL16" s="301">
        <f t="shared" si="27"/>
        <v>49</v>
      </c>
      <c r="DM16" s="301">
        <f t="shared" si="27"/>
        <v>49</v>
      </c>
      <c r="DN16" s="301">
        <f t="shared" si="27"/>
        <v>49</v>
      </c>
      <c r="DO16" s="301">
        <f t="shared" si="27"/>
        <v>49</v>
      </c>
      <c r="DP16" s="301">
        <f t="shared" si="27"/>
        <v>49</v>
      </c>
      <c r="DQ16" s="301">
        <f t="shared" si="27"/>
        <v>49</v>
      </c>
      <c r="DR16" s="301">
        <f t="shared" si="27"/>
        <v>49</v>
      </c>
      <c r="DS16" s="301">
        <f t="shared" si="27"/>
        <v>49</v>
      </c>
      <c r="DT16" s="301">
        <f t="shared" si="27"/>
        <v>49</v>
      </c>
      <c r="DU16" s="301">
        <f t="shared" si="27"/>
        <v>49</v>
      </c>
      <c r="DV16" s="301">
        <f t="shared" si="27"/>
        <v>49</v>
      </c>
      <c r="DW16" s="301">
        <f t="shared" si="27"/>
        <v>49</v>
      </c>
      <c r="DX16" s="301">
        <f t="shared" si="27"/>
        <v>49</v>
      </c>
      <c r="DY16" s="301">
        <f t="shared" si="27"/>
        <v>49</v>
      </c>
      <c r="DZ16" s="301">
        <f t="shared" si="27"/>
        <v>49</v>
      </c>
      <c r="EA16" s="301">
        <f t="shared" si="27"/>
        <v>49</v>
      </c>
      <c r="EB16" s="301">
        <f t="shared" si="27"/>
        <v>49</v>
      </c>
      <c r="EC16" s="301">
        <f t="shared" si="27"/>
        <v>49</v>
      </c>
      <c r="ED16" s="301">
        <f t="shared" si="27"/>
        <v>49</v>
      </c>
      <c r="EE16" s="301">
        <f t="shared" si="27"/>
        <v>49</v>
      </c>
      <c r="EF16" s="301">
        <f t="shared" si="27"/>
        <v>49</v>
      </c>
      <c r="EG16" s="301">
        <f t="shared" si="27"/>
        <v>49</v>
      </c>
      <c r="EH16" s="301">
        <f t="shared" ref="EH16" si="28">EG18</f>
        <v>49</v>
      </c>
      <c r="EI16" s="301" t="s">
        <v>243</v>
      </c>
    </row>
    <row r="17" spans="1:139" s="180" customFormat="1" x14ac:dyDescent="0.2">
      <c r="B17" s="273" t="s">
        <v>250</v>
      </c>
      <c r="C17" s="162"/>
      <c r="D17" s="162"/>
      <c r="E17" s="162"/>
      <c r="F17" s="301">
        <v>0</v>
      </c>
      <c r="G17" s="301">
        <f>'Unit Mix-Reno Schedule'!AM26</f>
        <v>5</v>
      </c>
      <c r="H17" s="301">
        <f>'Unit Mix-Reno Schedule'!AN26</f>
        <v>5</v>
      </c>
      <c r="I17" s="301">
        <f>'Unit Mix-Reno Schedule'!AO26</f>
        <v>5</v>
      </c>
      <c r="J17" s="301">
        <f>'Unit Mix-Reno Schedule'!AP26</f>
        <v>5</v>
      </c>
      <c r="K17" s="301">
        <f>'Unit Mix-Reno Schedule'!AQ26</f>
        <v>5</v>
      </c>
      <c r="L17" s="301">
        <f>'Unit Mix-Reno Schedule'!AR26</f>
        <v>5</v>
      </c>
      <c r="M17" s="301">
        <f>'Unit Mix-Reno Schedule'!AS26</f>
        <v>5</v>
      </c>
      <c r="N17" s="301">
        <f>'Unit Mix-Reno Schedule'!AT26</f>
        <v>5</v>
      </c>
      <c r="O17" s="301">
        <f>'Unit Mix-Reno Schedule'!AU26</f>
        <v>5</v>
      </c>
      <c r="P17" s="301">
        <f>'Unit Mix-Reno Schedule'!AV26</f>
        <v>5</v>
      </c>
      <c r="Q17" s="301">
        <f>'Unit Mix-Reno Schedule'!AW26</f>
        <v>5</v>
      </c>
      <c r="R17" s="301">
        <f>'Unit Mix-Reno Schedule'!AX26</f>
        <v>5</v>
      </c>
      <c r="S17" s="301">
        <f>'Unit Mix-Reno Schedule'!AY26</f>
        <v>8</v>
      </c>
      <c r="T17" s="301">
        <f>'Unit Mix-Reno Schedule'!AZ26</f>
        <v>8</v>
      </c>
      <c r="U17" s="301">
        <f>'Unit Mix-Reno Schedule'!BA26</f>
        <v>8</v>
      </c>
      <c r="V17" s="301">
        <f>'Unit Mix-Reno Schedule'!BB26</f>
        <v>8</v>
      </c>
      <c r="W17" s="301">
        <f>'Unit Mix-Reno Schedule'!BC26</f>
        <v>8</v>
      </c>
      <c r="X17" s="301">
        <f>'Unit Mix-Reno Schedule'!BD26</f>
        <v>8</v>
      </c>
      <c r="Y17" s="301">
        <f>'Unit Mix-Reno Schedule'!BE26</f>
        <v>8</v>
      </c>
      <c r="Z17" s="301">
        <f>'Unit Mix-Reno Schedule'!BF26</f>
        <v>7</v>
      </c>
      <c r="AA17" s="301">
        <f>'Unit Mix-Reno Schedule'!BG26</f>
        <v>7</v>
      </c>
      <c r="AB17" s="301">
        <f>'Unit Mix-Reno Schedule'!BH26</f>
        <v>7</v>
      </c>
      <c r="AC17" s="301">
        <f>'Unit Mix-Reno Schedule'!BI26</f>
        <v>7</v>
      </c>
      <c r="AD17" s="301">
        <f>'Unit Mix-Reno Schedule'!BJ26</f>
        <v>7</v>
      </c>
      <c r="AE17" s="301">
        <f>'Unit Mix-Reno Schedule'!BK26</f>
        <v>7</v>
      </c>
      <c r="AF17" s="301">
        <f>'Unit Mix-Reno Schedule'!BL26</f>
        <v>7</v>
      </c>
      <c r="AG17" s="301">
        <f>'Unit Mix-Reno Schedule'!BM26</f>
        <v>5</v>
      </c>
      <c r="AH17" s="301">
        <f>'Unit Mix-Reno Schedule'!BN26</f>
        <v>5</v>
      </c>
      <c r="AI17" s="301">
        <f>'Unit Mix-Reno Schedule'!BO26</f>
        <v>5</v>
      </c>
      <c r="AJ17" s="301">
        <f>'Unit Mix-Reno Schedule'!BP26</f>
        <v>5</v>
      </c>
      <c r="AK17" s="301">
        <f>'Unit Mix-Reno Schedule'!BQ26</f>
        <v>5</v>
      </c>
      <c r="AL17" s="301">
        <f>'Unit Mix-Reno Schedule'!BR26</f>
        <v>5</v>
      </c>
      <c r="AM17" s="301">
        <f>'Unit Mix-Reno Schedule'!BS26</f>
        <v>0</v>
      </c>
      <c r="AN17" s="301">
        <f>'Unit Mix-Reno Schedule'!BT26</f>
        <v>0</v>
      </c>
      <c r="AO17" s="301">
        <f>'Unit Mix-Reno Schedule'!BU26</f>
        <v>0</v>
      </c>
      <c r="AP17" s="301">
        <f>'Unit Mix-Reno Schedule'!BV26</f>
        <v>0</v>
      </c>
      <c r="AQ17" s="301">
        <f>'Unit Mix-Reno Schedule'!BW26</f>
        <v>0</v>
      </c>
      <c r="AR17" s="301">
        <f>'Unit Mix-Reno Schedule'!BX26</f>
        <v>0</v>
      </c>
      <c r="AS17" s="301">
        <f>'Unit Mix-Reno Schedule'!BY26</f>
        <v>0</v>
      </c>
      <c r="AT17" s="301">
        <f>'Unit Mix-Reno Schedule'!BZ26</f>
        <v>0</v>
      </c>
      <c r="AU17" s="301">
        <f>'Unit Mix-Reno Schedule'!CA26</f>
        <v>0</v>
      </c>
      <c r="AV17" s="301">
        <f>'Unit Mix-Reno Schedule'!CB26</f>
        <v>0</v>
      </c>
      <c r="AW17" s="301">
        <f>'Unit Mix-Reno Schedule'!CC26</f>
        <v>0</v>
      </c>
      <c r="AX17" s="301">
        <f>'Unit Mix-Reno Schedule'!CD26</f>
        <v>0</v>
      </c>
      <c r="AY17" s="301">
        <f>'Unit Mix-Reno Schedule'!CE26</f>
        <v>0</v>
      </c>
      <c r="AZ17" s="301">
        <f>'Unit Mix-Reno Schedule'!CF26</f>
        <v>0</v>
      </c>
      <c r="BA17" s="301">
        <f>'Unit Mix-Reno Schedule'!CG26</f>
        <v>0</v>
      </c>
      <c r="BB17" s="301">
        <f>'Unit Mix-Reno Schedule'!CH26</f>
        <v>0</v>
      </c>
      <c r="BC17" s="301">
        <f>'Unit Mix-Reno Schedule'!CI26</f>
        <v>0</v>
      </c>
      <c r="BD17" s="301">
        <f>'Unit Mix-Reno Schedule'!CJ26</f>
        <v>0</v>
      </c>
      <c r="BE17" s="301">
        <f>'Unit Mix-Reno Schedule'!CK26</f>
        <v>0</v>
      </c>
      <c r="BF17" s="301">
        <f>'Unit Mix-Reno Schedule'!CL26</f>
        <v>0</v>
      </c>
      <c r="BG17" s="301">
        <f>'Unit Mix-Reno Schedule'!CM26</f>
        <v>0</v>
      </c>
      <c r="BH17" s="301">
        <f>'Unit Mix-Reno Schedule'!CN26</f>
        <v>0</v>
      </c>
      <c r="BI17" s="301">
        <f>'Unit Mix-Reno Schedule'!CO26</f>
        <v>0</v>
      </c>
      <c r="BJ17" s="301">
        <f>'Unit Mix-Reno Schedule'!CP26</f>
        <v>0</v>
      </c>
      <c r="BK17" s="301">
        <f>'Unit Mix-Reno Schedule'!CQ26</f>
        <v>0</v>
      </c>
      <c r="BL17" s="301">
        <f>'Unit Mix-Reno Schedule'!CR26</f>
        <v>0</v>
      </c>
      <c r="BM17" s="301">
        <f>'Unit Mix-Reno Schedule'!CS26</f>
        <v>0</v>
      </c>
      <c r="BN17" s="301">
        <f>'Unit Mix-Reno Schedule'!CT26</f>
        <v>0</v>
      </c>
      <c r="BO17" s="301">
        <f>'Unit Mix-Reno Schedule'!CU26</f>
        <v>0</v>
      </c>
      <c r="BP17" s="301">
        <f>'Unit Mix-Reno Schedule'!CV26</f>
        <v>0</v>
      </c>
      <c r="BQ17" s="301">
        <f>'Unit Mix-Reno Schedule'!CW26</f>
        <v>0</v>
      </c>
      <c r="BR17" s="301">
        <f>'Unit Mix-Reno Schedule'!CX26</f>
        <v>0</v>
      </c>
      <c r="BS17" s="301">
        <f>'Unit Mix-Reno Schedule'!CY26</f>
        <v>0</v>
      </c>
      <c r="BT17" s="301">
        <f>'Unit Mix-Reno Schedule'!CZ26</f>
        <v>0</v>
      </c>
      <c r="BU17" s="301">
        <f>'Unit Mix-Reno Schedule'!DA26</f>
        <v>0</v>
      </c>
      <c r="BV17" s="301">
        <f>'Unit Mix-Reno Schedule'!DB26</f>
        <v>0</v>
      </c>
      <c r="BW17" s="301">
        <f>'Unit Mix-Reno Schedule'!DC26</f>
        <v>0</v>
      </c>
      <c r="BX17" s="301">
        <f>'Unit Mix-Reno Schedule'!DD26</f>
        <v>0</v>
      </c>
      <c r="BY17" s="301">
        <f>'Unit Mix-Reno Schedule'!DE26</f>
        <v>0</v>
      </c>
      <c r="BZ17" s="301">
        <f>'Unit Mix-Reno Schedule'!DF26</f>
        <v>0</v>
      </c>
      <c r="CA17" s="301">
        <f>'Unit Mix-Reno Schedule'!DG26</f>
        <v>0</v>
      </c>
      <c r="CB17" s="301">
        <f>'Unit Mix-Reno Schedule'!DH26</f>
        <v>0</v>
      </c>
      <c r="CC17" s="301">
        <f>'Unit Mix-Reno Schedule'!DI26</f>
        <v>0</v>
      </c>
      <c r="CD17" s="301">
        <f>'Unit Mix-Reno Schedule'!DJ26</f>
        <v>0</v>
      </c>
      <c r="CE17" s="301">
        <f>'Unit Mix-Reno Schedule'!DK26</f>
        <v>0</v>
      </c>
      <c r="CF17" s="301">
        <f>'Unit Mix-Reno Schedule'!DL26</f>
        <v>0</v>
      </c>
      <c r="CG17" s="301">
        <f>'Unit Mix-Reno Schedule'!DM26</f>
        <v>0</v>
      </c>
      <c r="CH17" s="301">
        <f>'Unit Mix-Reno Schedule'!DN26</f>
        <v>0</v>
      </c>
      <c r="CI17" s="301">
        <f>'Unit Mix-Reno Schedule'!DO26</f>
        <v>0</v>
      </c>
      <c r="CJ17" s="301">
        <f>'Unit Mix-Reno Schedule'!DP26</f>
        <v>0</v>
      </c>
      <c r="CK17" s="301">
        <f>'Unit Mix-Reno Schedule'!DQ26</f>
        <v>0</v>
      </c>
      <c r="CL17" s="301">
        <f>'Unit Mix-Reno Schedule'!DR26</f>
        <v>0</v>
      </c>
      <c r="CM17" s="301">
        <f>'Unit Mix-Reno Schedule'!DS26</f>
        <v>0</v>
      </c>
      <c r="CN17" s="301">
        <f>'Unit Mix-Reno Schedule'!DT26</f>
        <v>0</v>
      </c>
      <c r="CO17" s="301">
        <f>'Unit Mix-Reno Schedule'!DU26</f>
        <v>0</v>
      </c>
      <c r="CP17" s="301">
        <f>'Unit Mix-Reno Schedule'!DV26</f>
        <v>0</v>
      </c>
      <c r="CQ17" s="301">
        <f>'Unit Mix-Reno Schedule'!DW26</f>
        <v>0</v>
      </c>
      <c r="CR17" s="301">
        <f>'Unit Mix-Reno Schedule'!DX26</f>
        <v>0</v>
      </c>
      <c r="CS17" s="301">
        <f>'Unit Mix-Reno Schedule'!DY26</f>
        <v>0</v>
      </c>
      <c r="CT17" s="301">
        <f>'Unit Mix-Reno Schedule'!DZ26</f>
        <v>0</v>
      </c>
      <c r="CU17" s="301">
        <f>'Unit Mix-Reno Schedule'!EA26</f>
        <v>0</v>
      </c>
      <c r="CV17" s="301">
        <f>'Unit Mix-Reno Schedule'!EB26</f>
        <v>0</v>
      </c>
      <c r="CW17" s="301">
        <f>'Unit Mix-Reno Schedule'!EC26</f>
        <v>0</v>
      </c>
      <c r="CX17" s="301">
        <f>'Unit Mix-Reno Schedule'!ED26</f>
        <v>0</v>
      </c>
      <c r="CY17" s="301">
        <f>'Unit Mix-Reno Schedule'!EE26</f>
        <v>0</v>
      </c>
      <c r="CZ17" s="301">
        <f>'Unit Mix-Reno Schedule'!EF26</f>
        <v>0</v>
      </c>
      <c r="DA17" s="301">
        <f>'Unit Mix-Reno Schedule'!EG26</f>
        <v>0</v>
      </c>
      <c r="DB17" s="301">
        <f>'Unit Mix-Reno Schedule'!EH26</f>
        <v>0</v>
      </c>
      <c r="DC17" s="301">
        <f>'Unit Mix-Reno Schedule'!EI26</f>
        <v>0</v>
      </c>
      <c r="DD17" s="301">
        <f>'Unit Mix-Reno Schedule'!EJ26</f>
        <v>0</v>
      </c>
      <c r="DE17" s="301">
        <f>'Unit Mix-Reno Schedule'!EK26</f>
        <v>0</v>
      </c>
      <c r="DF17" s="301">
        <f>'Unit Mix-Reno Schedule'!EL26</f>
        <v>0</v>
      </c>
      <c r="DG17" s="301">
        <f>'Unit Mix-Reno Schedule'!EM26</f>
        <v>0</v>
      </c>
      <c r="DH17" s="301">
        <f>'Unit Mix-Reno Schedule'!EN26</f>
        <v>0</v>
      </c>
      <c r="DI17" s="301">
        <f>'Unit Mix-Reno Schedule'!EO26</f>
        <v>0</v>
      </c>
      <c r="DJ17" s="301">
        <f>'Unit Mix-Reno Schedule'!EP26</f>
        <v>0</v>
      </c>
      <c r="DK17" s="301">
        <f>'Unit Mix-Reno Schedule'!EQ26</f>
        <v>0</v>
      </c>
      <c r="DL17" s="301">
        <f>'Unit Mix-Reno Schedule'!ER26</f>
        <v>0</v>
      </c>
      <c r="DM17" s="301">
        <f>'Unit Mix-Reno Schedule'!ES26</f>
        <v>0</v>
      </c>
      <c r="DN17" s="301">
        <f>'Unit Mix-Reno Schedule'!ET26</f>
        <v>0</v>
      </c>
      <c r="DO17" s="301">
        <f>'Unit Mix-Reno Schedule'!EU26</f>
        <v>0</v>
      </c>
      <c r="DP17" s="301">
        <f>'Unit Mix-Reno Schedule'!EV26</f>
        <v>0</v>
      </c>
      <c r="DQ17" s="301">
        <f>'Unit Mix-Reno Schedule'!EW26</f>
        <v>0</v>
      </c>
      <c r="DR17" s="301">
        <f>'Unit Mix-Reno Schedule'!EX26</f>
        <v>0</v>
      </c>
      <c r="DS17" s="301">
        <f>'Unit Mix-Reno Schedule'!EY26</f>
        <v>0</v>
      </c>
      <c r="DT17" s="301">
        <f>'Unit Mix-Reno Schedule'!EZ26</f>
        <v>0</v>
      </c>
      <c r="DU17" s="301">
        <f>'Unit Mix-Reno Schedule'!FA26</f>
        <v>0</v>
      </c>
      <c r="DV17" s="301">
        <f>'Unit Mix-Reno Schedule'!FB26</f>
        <v>0</v>
      </c>
      <c r="DW17" s="301">
        <f>'Unit Mix-Reno Schedule'!FC26</f>
        <v>0</v>
      </c>
      <c r="DX17" s="301">
        <f>'Unit Mix-Reno Schedule'!FD26</f>
        <v>0</v>
      </c>
      <c r="DY17" s="301">
        <f>'Unit Mix-Reno Schedule'!FE26</f>
        <v>0</v>
      </c>
      <c r="DZ17" s="301">
        <f>'Unit Mix-Reno Schedule'!FF26</f>
        <v>0</v>
      </c>
      <c r="EA17" s="301">
        <f>'Unit Mix-Reno Schedule'!FG26</f>
        <v>0</v>
      </c>
      <c r="EB17" s="301">
        <f>'Unit Mix-Reno Schedule'!FH26</f>
        <v>0</v>
      </c>
      <c r="EC17" s="301">
        <f>'Unit Mix-Reno Schedule'!FI26</f>
        <v>0</v>
      </c>
      <c r="ED17" s="301">
        <f>'Unit Mix-Reno Schedule'!FJ26</f>
        <v>0</v>
      </c>
      <c r="EE17" s="301">
        <f>'Unit Mix-Reno Schedule'!FK26</f>
        <v>0</v>
      </c>
      <c r="EF17" s="301">
        <f>'Unit Mix-Reno Schedule'!FL26</f>
        <v>0</v>
      </c>
      <c r="EG17" s="301">
        <f>'Unit Mix-Reno Schedule'!FM26</f>
        <v>0</v>
      </c>
      <c r="EH17" s="301">
        <f>'Unit Mix-Reno Schedule'!FN26</f>
        <v>0</v>
      </c>
      <c r="EI17" s="301" t="s">
        <v>243</v>
      </c>
    </row>
    <row r="18" spans="1:139" s="180" customFormat="1" x14ac:dyDescent="0.2">
      <c r="B18" s="273" t="s">
        <v>686</v>
      </c>
      <c r="C18" s="162"/>
      <c r="D18" s="162"/>
      <c r="E18" s="162"/>
      <c r="F18" s="301">
        <f>F16-F17</f>
        <v>244</v>
      </c>
      <c r="G18" s="301">
        <f>G16-G17</f>
        <v>239</v>
      </c>
      <c r="H18" s="301">
        <f>H16-H17</f>
        <v>234</v>
      </c>
      <c r="I18" s="301">
        <f>I16-I17</f>
        <v>229</v>
      </c>
      <c r="J18" s="301">
        <f t="shared" ref="J18:BU18" si="29">J16-J17</f>
        <v>224</v>
      </c>
      <c r="K18" s="301">
        <f t="shared" si="29"/>
        <v>219</v>
      </c>
      <c r="L18" s="301">
        <f t="shared" si="29"/>
        <v>214</v>
      </c>
      <c r="M18" s="301">
        <f t="shared" si="29"/>
        <v>209</v>
      </c>
      <c r="N18" s="301">
        <f t="shared" si="29"/>
        <v>204</v>
      </c>
      <c r="O18" s="301">
        <f t="shared" si="29"/>
        <v>199</v>
      </c>
      <c r="P18" s="301">
        <f t="shared" si="29"/>
        <v>194</v>
      </c>
      <c r="Q18" s="301">
        <f t="shared" si="29"/>
        <v>189</v>
      </c>
      <c r="R18" s="301">
        <f t="shared" si="29"/>
        <v>184</v>
      </c>
      <c r="S18" s="301">
        <f t="shared" si="29"/>
        <v>176</v>
      </c>
      <c r="T18" s="301">
        <f t="shared" si="29"/>
        <v>168</v>
      </c>
      <c r="U18" s="301">
        <f t="shared" si="29"/>
        <v>160</v>
      </c>
      <c r="V18" s="301">
        <f t="shared" si="29"/>
        <v>152</v>
      </c>
      <c r="W18" s="301">
        <f t="shared" si="29"/>
        <v>144</v>
      </c>
      <c r="X18" s="301">
        <f t="shared" si="29"/>
        <v>136</v>
      </c>
      <c r="Y18" s="301">
        <f t="shared" si="29"/>
        <v>128</v>
      </c>
      <c r="Z18" s="301">
        <f t="shared" si="29"/>
        <v>121</v>
      </c>
      <c r="AA18" s="301">
        <f t="shared" si="29"/>
        <v>114</v>
      </c>
      <c r="AB18" s="301">
        <f t="shared" si="29"/>
        <v>107</v>
      </c>
      <c r="AC18" s="301">
        <f t="shared" si="29"/>
        <v>100</v>
      </c>
      <c r="AD18" s="301">
        <f t="shared" si="29"/>
        <v>93</v>
      </c>
      <c r="AE18" s="301">
        <f t="shared" si="29"/>
        <v>86</v>
      </c>
      <c r="AF18" s="301">
        <f t="shared" si="29"/>
        <v>79</v>
      </c>
      <c r="AG18" s="301">
        <f t="shared" si="29"/>
        <v>74</v>
      </c>
      <c r="AH18" s="301">
        <f t="shared" si="29"/>
        <v>69</v>
      </c>
      <c r="AI18" s="301">
        <f t="shared" si="29"/>
        <v>64</v>
      </c>
      <c r="AJ18" s="301">
        <f t="shared" si="29"/>
        <v>59</v>
      </c>
      <c r="AK18" s="301">
        <f t="shared" si="29"/>
        <v>54</v>
      </c>
      <c r="AL18" s="301">
        <f t="shared" si="29"/>
        <v>49</v>
      </c>
      <c r="AM18" s="301">
        <f t="shared" si="29"/>
        <v>49</v>
      </c>
      <c r="AN18" s="301">
        <f t="shared" si="29"/>
        <v>49</v>
      </c>
      <c r="AO18" s="301">
        <f t="shared" si="29"/>
        <v>49</v>
      </c>
      <c r="AP18" s="301">
        <f t="shared" si="29"/>
        <v>49</v>
      </c>
      <c r="AQ18" s="301">
        <f t="shared" si="29"/>
        <v>49</v>
      </c>
      <c r="AR18" s="301">
        <f t="shared" si="29"/>
        <v>49</v>
      </c>
      <c r="AS18" s="301">
        <f t="shared" si="29"/>
        <v>49</v>
      </c>
      <c r="AT18" s="301">
        <f t="shared" si="29"/>
        <v>49</v>
      </c>
      <c r="AU18" s="301">
        <f t="shared" si="29"/>
        <v>49</v>
      </c>
      <c r="AV18" s="301">
        <f t="shared" si="29"/>
        <v>49</v>
      </c>
      <c r="AW18" s="301">
        <f t="shared" si="29"/>
        <v>49</v>
      </c>
      <c r="AX18" s="301">
        <f t="shared" si="29"/>
        <v>49</v>
      </c>
      <c r="AY18" s="301">
        <f t="shared" si="29"/>
        <v>49</v>
      </c>
      <c r="AZ18" s="301">
        <f t="shared" si="29"/>
        <v>49</v>
      </c>
      <c r="BA18" s="301">
        <f t="shared" si="29"/>
        <v>49</v>
      </c>
      <c r="BB18" s="301">
        <f t="shared" si="29"/>
        <v>49</v>
      </c>
      <c r="BC18" s="301">
        <f t="shared" si="29"/>
        <v>49</v>
      </c>
      <c r="BD18" s="301">
        <f t="shared" si="29"/>
        <v>49</v>
      </c>
      <c r="BE18" s="301">
        <f t="shared" si="29"/>
        <v>49</v>
      </c>
      <c r="BF18" s="301">
        <f t="shared" si="29"/>
        <v>49</v>
      </c>
      <c r="BG18" s="301">
        <f t="shared" si="29"/>
        <v>49</v>
      </c>
      <c r="BH18" s="301">
        <f t="shared" si="29"/>
        <v>49</v>
      </c>
      <c r="BI18" s="301">
        <f t="shared" si="29"/>
        <v>49</v>
      </c>
      <c r="BJ18" s="301">
        <f t="shared" si="29"/>
        <v>49</v>
      </c>
      <c r="BK18" s="301">
        <f t="shared" si="29"/>
        <v>49</v>
      </c>
      <c r="BL18" s="301">
        <f t="shared" si="29"/>
        <v>49</v>
      </c>
      <c r="BM18" s="301">
        <f t="shared" si="29"/>
        <v>49</v>
      </c>
      <c r="BN18" s="301">
        <f t="shared" si="29"/>
        <v>49</v>
      </c>
      <c r="BO18" s="301">
        <f t="shared" si="29"/>
        <v>49</v>
      </c>
      <c r="BP18" s="301">
        <f t="shared" si="29"/>
        <v>49</v>
      </c>
      <c r="BQ18" s="301">
        <f t="shared" si="29"/>
        <v>49</v>
      </c>
      <c r="BR18" s="301">
        <f t="shared" si="29"/>
        <v>49</v>
      </c>
      <c r="BS18" s="301">
        <f t="shared" si="29"/>
        <v>49</v>
      </c>
      <c r="BT18" s="301">
        <f t="shared" si="29"/>
        <v>49</v>
      </c>
      <c r="BU18" s="301">
        <f t="shared" si="29"/>
        <v>49</v>
      </c>
      <c r="BV18" s="301">
        <f t="shared" ref="BV18:EG18" si="30">BV16-BV17</f>
        <v>49</v>
      </c>
      <c r="BW18" s="301">
        <f t="shared" si="30"/>
        <v>49</v>
      </c>
      <c r="BX18" s="301">
        <f t="shared" si="30"/>
        <v>49</v>
      </c>
      <c r="BY18" s="301">
        <f t="shared" si="30"/>
        <v>49</v>
      </c>
      <c r="BZ18" s="301">
        <f t="shared" si="30"/>
        <v>49</v>
      </c>
      <c r="CA18" s="301">
        <f t="shared" si="30"/>
        <v>49</v>
      </c>
      <c r="CB18" s="301">
        <f t="shared" si="30"/>
        <v>49</v>
      </c>
      <c r="CC18" s="301">
        <f t="shared" si="30"/>
        <v>49</v>
      </c>
      <c r="CD18" s="301">
        <f t="shared" si="30"/>
        <v>49</v>
      </c>
      <c r="CE18" s="301">
        <f t="shared" si="30"/>
        <v>49</v>
      </c>
      <c r="CF18" s="301">
        <f t="shared" si="30"/>
        <v>49</v>
      </c>
      <c r="CG18" s="301">
        <f t="shared" si="30"/>
        <v>49</v>
      </c>
      <c r="CH18" s="301">
        <f t="shared" si="30"/>
        <v>49</v>
      </c>
      <c r="CI18" s="301">
        <f t="shared" si="30"/>
        <v>49</v>
      </c>
      <c r="CJ18" s="301">
        <f t="shared" si="30"/>
        <v>49</v>
      </c>
      <c r="CK18" s="301">
        <f t="shared" si="30"/>
        <v>49</v>
      </c>
      <c r="CL18" s="301">
        <f t="shared" si="30"/>
        <v>49</v>
      </c>
      <c r="CM18" s="301">
        <f t="shared" si="30"/>
        <v>49</v>
      </c>
      <c r="CN18" s="301">
        <f t="shared" si="30"/>
        <v>49</v>
      </c>
      <c r="CO18" s="301">
        <f t="shared" si="30"/>
        <v>49</v>
      </c>
      <c r="CP18" s="301">
        <f t="shared" si="30"/>
        <v>49</v>
      </c>
      <c r="CQ18" s="301">
        <f t="shared" si="30"/>
        <v>49</v>
      </c>
      <c r="CR18" s="301">
        <f t="shared" si="30"/>
        <v>49</v>
      </c>
      <c r="CS18" s="301">
        <f t="shared" si="30"/>
        <v>49</v>
      </c>
      <c r="CT18" s="301">
        <f t="shared" si="30"/>
        <v>49</v>
      </c>
      <c r="CU18" s="301">
        <f t="shared" si="30"/>
        <v>49</v>
      </c>
      <c r="CV18" s="301">
        <f t="shared" si="30"/>
        <v>49</v>
      </c>
      <c r="CW18" s="301">
        <f t="shared" si="30"/>
        <v>49</v>
      </c>
      <c r="CX18" s="301">
        <f t="shared" si="30"/>
        <v>49</v>
      </c>
      <c r="CY18" s="301">
        <f t="shared" si="30"/>
        <v>49</v>
      </c>
      <c r="CZ18" s="301">
        <f t="shared" si="30"/>
        <v>49</v>
      </c>
      <c r="DA18" s="301">
        <f t="shared" si="30"/>
        <v>49</v>
      </c>
      <c r="DB18" s="301">
        <f t="shared" si="30"/>
        <v>49</v>
      </c>
      <c r="DC18" s="301">
        <f t="shared" si="30"/>
        <v>49</v>
      </c>
      <c r="DD18" s="301">
        <f t="shared" si="30"/>
        <v>49</v>
      </c>
      <c r="DE18" s="301">
        <f t="shared" si="30"/>
        <v>49</v>
      </c>
      <c r="DF18" s="301">
        <f t="shared" si="30"/>
        <v>49</v>
      </c>
      <c r="DG18" s="301">
        <f t="shared" si="30"/>
        <v>49</v>
      </c>
      <c r="DH18" s="301">
        <f t="shared" si="30"/>
        <v>49</v>
      </c>
      <c r="DI18" s="301">
        <f t="shared" si="30"/>
        <v>49</v>
      </c>
      <c r="DJ18" s="301">
        <f t="shared" si="30"/>
        <v>49</v>
      </c>
      <c r="DK18" s="301">
        <f t="shared" si="30"/>
        <v>49</v>
      </c>
      <c r="DL18" s="301">
        <f t="shared" si="30"/>
        <v>49</v>
      </c>
      <c r="DM18" s="301">
        <f t="shared" si="30"/>
        <v>49</v>
      </c>
      <c r="DN18" s="301">
        <f t="shared" si="30"/>
        <v>49</v>
      </c>
      <c r="DO18" s="301">
        <f t="shared" si="30"/>
        <v>49</v>
      </c>
      <c r="DP18" s="301">
        <f t="shared" si="30"/>
        <v>49</v>
      </c>
      <c r="DQ18" s="301">
        <f t="shared" si="30"/>
        <v>49</v>
      </c>
      <c r="DR18" s="301">
        <f t="shared" si="30"/>
        <v>49</v>
      </c>
      <c r="DS18" s="301">
        <f t="shared" si="30"/>
        <v>49</v>
      </c>
      <c r="DT18" s="301">
        <f t="shared" si="30"/>
        <v>49</v>
      </c>
      <c r="DU18" s="301">
        <f t="shared" si="30"/>
        <v>49</v>
      </c>
      <c r="DV18" s="301">
        <f t="shared" si="30"/>
        <v>49</v>
      </c>
      <c r="DW18" s="301">
        <f t="shared" si="30"/>
        <v>49</v>
      </c>
      <c r="DX18" s="301">
        <f t="shared" si="30"/>
        <v>49</v>
      </c>
      <c r="DY18" s="301">
        <f t="shared" si="30"/>
        <v>49</v>
      </c>
      <c r="DZ18" s="301">
        <f t="shared" si="30"/>
        <v>49</v>
      </c>
      <c r="EA18" s="301">
        <f t="shared" si="30"/>
        <v>49</v>
      </c>
      <c r="EB18" s="301">
        <f t="shared" si="30"/>
        <v>49</v>
      </c>
      <c r="EC18" s="301">
        <f t="shared" si="30"/>
        <v>49</v>
      </c>
      <c r="ED18" s="301">
        <f t="shared" si="30"/>
        <v>49</v>
      </c>
      <c r="EE18" s="301">
        <f t="shared" si="30"/>
        <v>49</v>
      </c>
      <c r="EF18" s="301">
        <f t="shared" si="30"/>
        <v>49</v>
      </c>
      <c r="EG18" s="301">
        <f t="shared" si="30"/>
        <v>49</v>
      </c>
      <c r="EH18" s="301">
        <f t="shared" ref="EH18" si="31">EH16-EH17</f>
        <v>49</v>
      </c>
      <c r="EI18" s="301" t="s">
        <v>243</v>
      </c>
    </row>
    <row r="19" spans="1:139" s="180" customFormat="1" x14ac:dyDescent="0.2">
      <c r="B19" s="273" t="s">
        <v>348</v>
      </c>
      <c r="C19" s="162"/>
      <c r="D19" s="301"/>
      <c r="E19" s="301"/>
      <c r="F19" s="301">
        <v>0</v>
      </c>
      <c r="G19" s="301">
        <f ca="1">'Unit Mix-Reno Schedule'!AM30</f>
        <v>0</v>
      </c>
      <c r="H19" s="301">
        <f ca="1">'Unit Mix-Reno Schedule'!AN30</f>
        <v>5</v>
      </c>
      <c r="I19" s="301">
        <f ca="1">'Unit Mix-Reno Schedule'!AO30</f>
        <v>5</v>
      </c>
      <c r="J19" s="301">
        <f ca="1">'Unit Mix-Reno Schedule'!AP30</f>
        <v>5</v>
      </c>
      <c r="K19" s="301">
        <f ca="1">'Unit Mix-Reno Schedule'!AQ30</f>
        <v>5</v>
      </c>
      <c r="L19" s="301">
        <f ca="1">'Unit Mix-Reno Schedule'!AR30</f>
        <v>5</v>
      </c>
      <c r="M19" s="301">
        <f ca="1">'Unit Mix-Reno Schedule'!AS30</f>
        <v>5</v>
      </c>
      <c r="N19" s="301">
        <f ca="1">'Unit Mix-Reno Schedule'!AT30</f>
        <v>5</v>
      </c>
      <c r="O19" s="301">
        <f ca="1">'Unit Mix-Reno Schedule'!AU30</f>
        <v>5</v>
      </c>
      <c r="P19" s="301">
        <f ca="1">'Unit Mix-Reno Schedule'!AV30</f>
        <v>5</v>
      </c>
      <c r="Q19" s="301">
        <f ca="1">'Unit Mix-Reno Schedule'!AW30</f>
        <v>5</v>
      </c>
      <c r="R19" s="301">
        <f ca="1">'Unit Mix-Reno Schedule'!AX30</f>
        <v>5</v>
      </c>
      <c r="S19" s="301">
        <f ca="1">'Unit Mix-Reno Schedule'!AY30</f>
        <v>5</v>
      </c>
      <c r="T19" s="301">
        <f ca="1">'Unit Mix-Reno Schedule'!AZ30</f>
        <v>8</v>
      </c>
      <c r="U19" s="301">
        <f ca="1">'Unit Mix-Reno Schedule'!BA30</f>
        <v>8</v>
      </c>
      <c r="V19" s="301">
        <f ca="1">'Unit Mix-Reno Schedule'!BB30</f>
        <v>8</v>
      </c>
      <c r="W19" s="301">
        <f ca="1">'Unit Mix-Reno Schedule'!BC30</f>
        <v>8</v>
      </c>
      <c r="X19" s="301">
        <f ca="1">'Unit Mix-Reno Schedule'!BD30</f>
        <v>8</v>
      </c>
      <c r="Y19" s="301">
        <f ca="1">'Unit Mix-Reno Schedule'!BE30</f>
        <v>8</v>
      </c>
      <c r="Z19" s="301">
        <f ca="1">'Unit Mix-Reno Schedule'!BF30</f>
        <v>8</v>
      </c>
      <c r="AA19" s="301">
        <f ca="1">'Unit Mix-Reno Schedule'!BG30</f>
        <v>7</v>
      </c>
      <c r="AB19" s="301">
        <f ca="1">'Unit Mix-Reno Schedule'!BH30</f>
        <v>7</v>
      </c>
      <c r="AC19" s="301">
        <f ca="1">'Unit Mix-Reno Schedule'!BI30</f>
        <v>7</v>
      </c>
      <c r="AD19" s="301">
        <f ca="1">'Unit Mix-Reno Schedule'!BJ30</f>
        <v>7</v>
      </c>
      <c r="AE19" s="301">
        <f ca="1">'Unit Mix-Reno Schedule'!BK30</f>
        <v>7</v>
      </c>
      <c r="AF19" s="301">
        <f ca="1">'Unit Mix-Reno Schedule'!BL30</f>
        <v>7</v>
      </c>
      <c r="AG19" s="301">
        <f ca="1">'Unit Mix-Reno Schedule'!BM30</f>
        <v>7</v>
      </c>
      <c r="AH19" s="301">
        <f ca="1">'Unit Mix-Reno Schedule'!BN30</f>
        <v>5</v>
      </c>
      <c r="AI19" s="301">
        <f ca="1">'Unit Mix-Reno Schedule'!BO30</f>
        <v>5</v>
      </c>
      <c r="AJ19" s="301">
        <f ca="1">'Unit Mix-Reno Schedule'!BP30</f>
        <v>5</v>
      </c>
      <c r="AK19" s="301">
        <f ca="1">'Unit Mix-Reno Schedule'!BQ30</f>
        <v>5</v>
      </c>
      <c r="AL19" s="301">
        <f ca="1">'Unit Mix-Reno Schedule'!BR30</f>
        <v>5</v>
      </c>
      <c r="AM19" s="301">
        <f ca="1">'Unit Mix-Reno Schedule'!BS30</f>
        <v>5</v>
      </c>
      <c r="AN19" s="301">
        <f ca="1">'Unit Mix-Reno Schedule'!BT30</f>
        <v>0</v>
      </c>
      <c r="AO19" s="301">
        <f ca="1">'Unit Mix-Reno Schedule'!BU30</f>
        <v>0</v>
      </c>
      <c r="AP19" s="301">
        <f ca="1">'Unit Mix-Reno Schedule'!BV30</f>
        <v>0</v>
      </c>
      <c r="AQ19" s="301">
        <f ca="1">'Unit Mix-Reno Schedule'!BW30</f>
        <v>0</v>
      </c>
      <c r="AR19" s="301">
        <f ca="1">'Unit Mix-Reno Schedule'!BX30</f>
        <v>0</v>
      </c>
      <c r="AS19" s="301">
        <f ca="1">'Unit Mix-Reno Schedule'!BY30</f>
        <v>0</v>
      </c>
      <c r="AT19" s="301">
        <f ca="1">'Unit Mix-Reno Schedule'!BZ30</f>
        <v>0</v>
      </c>
      <c r="AU19" s="301">
        <f ca="1">'Unit Mix-Reno Schedule'!CA30</f>
        <v>0</v>
      </c>
      <c r="AV19" s="301">
        <f ca="1">'Unit Mix-Reno Schedule'!CB30</f>
        <v>0</v>
      </c>
      <c r="AW19" s="301">
        <f ca="1">'Unit Mix-Reno Schedule'!CC30</f>
        <v>0</v>
      </c>
      <c r="AX19" s="301">
        <f ca="1">'Unit Mix-Reno Schedule'!CD30</f>
        <v>0</v>
      </c>
      <c r="AY19" s="301">
        <f ca="1">'Unit Mix-Reno Schedule'!CE30</f>
        <v>0</v>
      </c>
      <c r="AZ19" s="301">
        <f ca="1">'Unit Mix-Reno Schedule'!CF30</f>
        <v>0</v>
      </c>
      <c r="BA19" s="301">
        <f ca="1">'Unit Mix-Reno Schedule'!CG30</f>
        <v>0</v>
      </c>
      <c r="BB19" s="301">
        <f ca="1">'Unit Mix-Reno Schedule'!CH30</f>
        <v>0</v>
      </c>
      <c r="BC19" s="301">
        <f ca="1">'Unit Mix-Reno Schedule'!CI30</f>
        <v>0</v>
      </c>
      <c r="BD19" s="301">
        <f ca="1">'Unit Mix-Reno Schedule'!CJ30</f>
        <v>0</v>
      </c>
      <c r="BE19" s="301">
        <f ca="1">'Unit Mix-Reno Schedule'!CK30</f>
        <v>0</v>
      </c>
      <c r="BF19" s="301">
        <f ca="1">'Unit Mix-Reno Schedule'!CL30</f>
        <v>0</v>
      </c>
      <c r="BG19" s="301">
        <f ca="1">'Unit Mix-Reno Schedule'!CM30</f>
        <v>0</v>
      </c>
      <c r="BH19" s="301">
        <f ca="1">'Unit Mix-Reno Schedule'!CN30</f>
        <v>0</v>
      </c>
      <c r="BI19" s="301">
        <f ca="1">'Unit Mix-Reno Schedule'!CO30</f>
        <v>0</v>
      </c>
      <c r="BJ19" s="301">
        <f ca="1">'Unit Mix-Reno Schedule'!CP30</f>
        <v>0</v>
      </c>
      <c r="BK19" s="301">
        <f ca="1">'Unit Mix-Reno Schedule'!CQ30</f>
        <v>0</v>
      </c>
      <c r="BL19" s="301">
        <f ca="1">'Unit Mix-Reno Schedule'!CR30</f>
        <v>0</v>
      </c>
      <c r="BM19" s="301">
        <f ca="1">'Unit Mix-Reno Schedule'!CS30</f>
        <v>0</v>
      </c>
      <c r="BN19" s="301">
        <f ca="1">'Unit Mix-Reno Schedule'!CT30</f>
        <v>0</v>
      </c>
      <c r="BO19" s="301">
        <f ca="1">'Unit Mix-Reno Schedule'!CU30</f>
        <v>0</v>
      </c>
      <c r="BP19" s="301">
        <f ca="1">'Unit Mix-Reno Schedule'!CV30</f>
        <v>0</v>
      </c>
      <c r="BQ19" s="301">
        <f ca="1">'Unit Mix-Reno Schedule'!CW30</f>
        <v>0</v>
      </c>
      <c r="BR19" s="301">
        <f ca="1">'Unit Mix-Reno Schedule'!CX30</f>
        <v>0</v>
      </c>
      <c r="BS19" s="301">
        <f ca="1">'Unit Mix-Reno Schedule'!CY30</f>
        <v>0</v>
      </c>
      <c r="BT19" s="301">
        <f ca="1">'Unit Mix-Reno Schedule'!CZ30</f>
        <v>0</v>
      </c>
      <c r="BU19" s="301">
        <f ca="1">'Unit Mix-Reno Schedule'!DA30</f>
        <v>0</v>
      </c>
      <c r="BV19" s="301">
        <f ca="1">'Unit Mix-Reno Schedule'!DB30</f>
        <v>0</v>
      </c>
      <c r="BW19" s="301">
        <f ca="1">'Unit Mix-Reno Schedule'!DC30</f>
        <v>0</v>
      </c>
      <c r="BX19" s="301">
        <f ca="1">'Unit Mix-Reno Schedule'!DD30</f>
        <v>0</v>
      </c>
      <c r="BY19" s="301">
        <f ca="1">'Unit Mix-Reno Schedule'!DE30</f>
        <v>0</v>
      </c>
      <c r="BZ19" s="301">
        <f ca="1">'Unit Mix-Reno Schedule'!DF30</f>
        <v>0</v>
      </c>
      <c r="CA19" s="301">
        <f ca="1">'Unit Mix-Reno Schedule'!DG30</f>
        <v>0</v>
      </c>
      <c r="CB19" s="301">
        <f ca="1">'Unit Mix-Reno Schedule'!DH30</f>
        <v>0</v>
      </c>
      <c r="CC19" s="301">
        <f ca="1">'Unit Mix-Reno Schedule'!DI30</f>
        <v>0</v>
      </c>
      <c r="CD19" s="301">
        <f ca="1">'Unit Mix-Reno Schedule'!DJ30</f>
        <v>0</v>
      </c>
      <c r="CE19" s="301">
        <f ca="1">'Unit Mix-Reno Schedule'!DK30</f>
        <v>0</v>
      </c>
      <c r="CF19" s="301">
        <f ca="1">'Unit Mix-Reno Schedule'!DL30</f>
        <v>0</v>
      </c>
      <c r="CG19" s="301">
        <f ca="1">'Unit Mix-Reno Schedule'!DM30</f>
        <v>0</v>
      </c>
      <c r="CH19" s="301">
        <f ca="1">'Unit Mix-Reno Schedule'!DN30</f>
        <v>0</v>
      </c>
      <c r="CI19" s="301">
        <f ca="1">'Unit Mix-Reno Schedule'!DO30</f>
        <v>0</v>
      </c>
      <c r="CJ19" s="301">
        <f ca="1">'Unit Mix-Reno Schedule'!DP30</f>
        <v>0</v>
      </c>
      <c r="CK19" s="301">
        <f ca="1">'Unit Mix-Reno Schedule'!DQ30</f>
        <v>0</v>
      </c>
      <c r="CL19" s="301">
        <f ca="1">'Unit Mix-Reno Schedule'!DR30</f>
        <v>0</v>
      </c>
      <c r="CM19" s="301">
        <f ca="1">'Unit Mix-Reno Schedule'!DS30</f>
        <v>0</v>
      </c>
      <c r="CN19" s="301">
        <f ca="1">'Unit Mix-Reno Schedule'!DT30</f>
        <v>0</v>
      </c>
      <c r="CO19" s="301">
        <f ca="1">'Unit Mix-Reno Schedule'!DU30</f>
        <v>0</v>
      </c>
      <c r="CP19" s="301">
        <f ca="1">'Unit Mix-Reno Schedule'!DV30</f>
        <v>0</v>
      </c>
      <c r="CQ19" s="301">
        <f ca="1">'Unit Mix-Reno Schedule'!DW30</f>
        <v>0</v>
      </c>
      <c r="CR19" s="301">
        <f ca="1">'Unit Mix-Reno Schedule'!DX30</f>
        <v>0</v>
      </c>
      <c r="CS19" s="301">
        <f ca="1">'Unit Mix-Reno Schedule'!DY30</f>
        <v>0</v>
      </c>
      <c r="CT19" s="301">
        <f ca="1">'Unit Mix-Reno Schedule'!DZ30</f>
        <v>0</v>
      </c>
      <c r="CU19" s="301">
        <f ca="1">'Unit Mix-Reno Schedule'!EA30</f>
        <v>0</v>
      </c>
      <c r="CV19" s="301">
        <f ca="1">'Unit Mix-Reno Schedule'!EB30</f>
        <v>0</v>
      </c>
      <c r="CW19" s="301">
        <f ca="1">'Unit Mix-Reno Schedule'!EC30</f>
        <v>0</v>
      </c>
      <c r="CX19" s="301">
        <f ca="1">'Unit Mix-Reno Schedule'!ED30</f>
        <v>0</v>
      </c>
      <c r="CY19" s="301">
        <f ca="1">'Unit Mix-Reno Schedule'!EE30</f>
        <v>0</v>
      </c>
      <c r="CZ19" s="301">
        <f ca="1">'Unit Mix-Reno Schedule'!EF30</f>
        <v>0</v>
      </c>
      <c r="DA19" s="301">
        <f ca="1">'Unit Mix-Reno Schedule'!EG30</f>
        <v>0</v>
      </c>
      <c r="DB19" s="301">
        <f ca="1">'Unit Mix-Reno Schedule'!EH30</f>
        <v>0</v>
      </c>
      <c r="DC19" s="301">
        <f ca="1">'Unit Mix-Reno Schedule'!EI30</f>
        <v>0</v>
      </c>
      <c r="DD19" s="301">
        <f ca="1">'Unit Mix-Reno Schedule'!EJ30</f>
        <v>0</v>
      </c>
      <c r="DE19" s="301">
        <f ca="1">'Unit Mix-Reno Schedule'!EK30</f>
        <v>0</v>
      </c>
      <c r="DF19" s="301">
        <f ca="1">'Unit Mix-Reno Schedule'!EL30</f>
        <v>0</v>
      </c>
      <c r="DG19" s="301">
        <f ca="1">'Unit Mix-Reno Schedule'!EM30</f>
        <v>0</v>
      </c>
      <c r="DH19" s="301">
        <f ca="1">'Unit Mix-Reno Schedule'!EN30</f>
        <v>0</v>
      </c>
      <c r="DI19" s="301">
        <f ca="1">'Unit Mix-Reno Schedule'!EO30</f>
        <v>0</v>
      </c>
      <c r="DJ19" s="301">
        <f ca="1">'Unit Mix-Reno Schedule'!EP30</f>
        <v>0</v>
      </c>
      <c r="DK19" s="301">
        <f ca="1">'Unit Mix-Reno Schedule'!EQ30</f>
        <v>0</v>
      </c>
      <c r="DL19" s="301">
        <f ca="1">'Unit Mix-Reno Schedule'!ER30</f>
        <v>0</v>
      </c>
      <c r="DM19" s="301">
        <f ca="1">'Unit Mix-Reno Schedule'!ES30</f>
        <v>0</v>
      </c>
      <c r="DN19" s="301">
        <f ca="1">'Unit Mix-Reno Schedule'!ET30</f>
        <v>0</v>
      </c>
      <c r="DO19" s="301">
        <f ca="1">'Unit Mix-Reno Schedule'!EU30</f>
        <v>0</v>
      </c>
      <c r="DP19" s="301">
        <f ca="1">'Unit Mix-Reno Schedule'!EV30</f>
        <v>0</v>
      </c>
      <c r="DQ19" s="301">
        <f ca="1">'Unit Mix-Reno Schedule'!EW30</f>
        <v>0</v>
      </c>
      <c r="DR19" s="301">
        <f ca="1">'Unit Mix-Reno Schedule'!EX30</f>
        <v>0</v>
      </c>
      <c r="DS19" s="301">
        <f ca="1">'Unit Mix-Reno Schedule'!EY30</f>
        <v>0</v>
      </c>
      <c r="DT19" s="301">
        <f ca="1">'Unit Mix-Reno Schedule'!EZ30</f>
        <v>0</v>
      </c>
      <c r="DU19" s="301">
        <f ca="1">'Unit Mix-Reno Schedule'!FA30</f>
        <v>0</v>
      </c>
      <c r="DV19" s="301">
        <f ca="1">'Unit Mix-Reno Schedule'!FB30</f>
        <v>0</v>
      </c>
      <c r="DW19" s="301">
        <f ca="1">'Unit Mix-Reno Schedule'!FC30</f>
        <v>0</v>
      </c>
      <c r="DX19" s="301">
        <f ca="1">'Unit Mix-Reno Schedule'!FD30</f>
        <v>0</v>
      </c>
      <c r="DY19" s="301">
        <f ca="1">'Unit Mix-Reno Schedule'!FE30</f>
        <v>0</v>
      </c>
      <c r="DZ19" s="301">
        <f ca="1">'Unit Mix-Reno Schedule'!FF30</f>
        <v>0</v>
      </c>
      <c r="EA19" s="301">
        <f ca="1">'Unit Mix-Reno Schedule'!FG30</f>
        <v>0</v>
      </c>
      <c r="EB19" s="301">
        <f ca="1">'Unit Mix-Reno Schedule'!FH30</f>
        <v>0</v>
      </c>
      <c r="EC19" s="301">
        <f ca="1">'Unit Mix-Reno Schedule'!FI30</f>
        <v>0</v>
      </c>
      <c r="ED19" s="301">
        <f ca="1">'Unit Mix-Reno Schedule'!FJ30</f>
        <v>0</v>
      </c>
      <c r="EE19" s="301">
        <f ca="1">'Unit Mix-Reno Schedule'!FK30</f>
        <v>0</v>
      </c>
      <c r="EF19" s="301">
        <f ca="1">'Unit Mix-Reno Schedule'!FL30</f>
        <v>0</v>
      </c>
      <c r="EG19" s="301">
        <f ca="1">'Unit Mix-Reno Schedule'!FM30</f>
        <v>0</v>
      </c>
      <c r="EH19" s="301">
        <f ca="1">'Unit Mix-Reno Schedule'!FN30</f>
        <v>0</v>
      </c>
      <c r="EI19" s="301" t="s">
        <v>243</v>
      </c>
    </row>
    <row r="20" spans="1:139" s="192" customFormat="1" x14ac:dyDescent="0.2">
      <c r="B20" s="269" t="s">
        <v>687</v>
      </c>
      <c r="C20" s="269"/>
      <c r="D20" s="269"/>
      <c r="E20" s="269"/>
      <c r="F20" s="302">
        <v>0</v>
      </c>
      <c r="G20" s="302">
        <f ca="1">F20+G17-G19</f>
        <v>5</v>
      </c>
      <c r="H20" s="302">
        <f ca="1">G20+H17-H19</f>
        <v>5</v>
      </c>
      <c r="I20" s="302">
        <f ca="1">H20+I17-I19</f>
        <v>5</v>
      </c>
      <c r="J20" s="302">
        <f t="shared" ref="J20:BU20" ca="1" si="32">I20+J17-J19</f>
        <v>5</v>
      </c>
      <c r="K20" s="302">
        <f t="shared" ca="1" si="32"/>
        <v>5</v>
      </c>
      <c r="L20" s="302">
        <f t="shared" ca="1" si="32"/>
        <v>5</v>
      </c>
      <c r="M20" s="302">
        <f t="shared" ca="1" si="32"/>
        <v>5</v>
      </c>
      <c r="N20" s="302">
        <f t="shared" ca="1" si="32"/>
        <v>5</v>
      </c>
      <c r="O20" s="302">
        <f t="shared" ca="1" si="32"/>
        <v>5</v>
      </c>
      <c r="P20" s="302">
        <f t="shared" ca="1" si="32"/>
        <v>5</v>
      </c>
      <c r="Q20" s="302">
        <f t="shared" ca="1" si="32"/>
        <v>5</v>
      </c>
      <c r="R20" s="302">
        <f t="shared" ca="1" si="32"/>
        <v>5</v>
      </c>
      <c r="S20" s="302">
        <f t="shared" ca="1" si="32"/>
        <v>8</v>
      </c>
      <c r="T20" s="302">
        <f t="shared" ca="1" si="32"/>
        <v>8</v>
      </c>
      <c r="U20" s="302">
        <f t="shared" ca="1" si="32"/>
        <v>8</v>
      </c>
      <c r="V20" s="302">
        <f t="shared" ca="1" si="32"/>
        <v>8</v>
      </c>
      <c r="W20" s="302">
        <f t="shared" ca="1" si="32"/>
        <v>8</v>
      </c>
      <c r="X20" s="302">
        <f t="shared" ca="1" si="32"/>
        <v>8</v>
      </c>
      <c r="Y20" s="302">
        <f t="shared" ca="1" si="32"/>
        <v>8</v>
      </c>
      <c r="Z20" s="302">
        <f t="shared" ca="1" si="32"/>
        <v>7</v>
      </c>
      <c r="AA20" s="302">
        <f t="shared" ca="1" si="32"/>
        <v>7</v>
      </c>
      <c r="AB20" s="302">
        <f t="shared" ca="1" si="32"/>
        <v>7</v>
      </c>
      <c r="AC20" s="302">
        <f t="shared" ca="1" si="32"/>
        <v>7</v>
      </c>
      <c r="AD20" s="302">
        <f t="shared" ca="1" si="32"/>
        <v>7</v>
      </c>
      <c r="AE20" s="302">
        <f t="shared" ca="1" si="32"/>
        <v>7</v>
      </c>
      <c r="AF20" s="302">
        <f t="shared" ca="1" si="32"/>
        <v>7</v>
      </c>
      <c r="AG20" s="302">
        <f t="shared" ca="1" si="32"/>
        <v>5</v>
      </c>
      <c r="AH20" s="302">
        <f t="shared" ca="1" si="32"/>
        <v>5</v>
      </c>
      <c r="AI20" s="302">
        <f t="shared" ca="1" si="32"/>
        <v>5</v>
      </c>
      <c r="AJ20" s="302">
        <f t="shared" ca="1" si="32"/>
        <v>5</v>
      </c>
      <c r="AK20" s="302">
        <f t="shared" ca="1" si="32"/>
        <v>5</v>
      </c>
      <c r="AL20" s="302">
        <f t="shared" ca="1" si="32"/>
        <v>5</v>
      </c>
      <c r="AM20" s="302">
        <f t="shared" ca="1" si="32"/>
        <v>0</v>
      </c>
      <c r="AN20" s="302">
        <f t="shared" ca="1" si="32"/>
        <v>0</v>
      </c>
      <c r="AO20" s="302">
        <f t="shared" ca="1" si="32"/>
        <v>0</v>
      </c>
      <c r="AP20" s="302">
        <f t="shared" ca="1" si="32"/>
        <v>0</v>
      </c>
      <c r="AQ20" s="302">
        <f t="shared" ca="1" si="32"/>
        <v>0</v>
      </c>
      <c r="AR20" s="302">
        <f t="shared" ca="1" si="32"/>
        <v>0</v>
      </c>
      <c r="AS20" s="302">
        <f t="shared" ca="1" si="32"/>
        <v>0</v>
      </c>
      <c r="AT20" s="302">
        <f t="shared" ca="1" si="32"/>
        <v>0</v>
      </c>
      <c r="AU20" s="302">
        <f t="shared" ca="1" si="32"/>
        <v>0</v>
      </c>
      <c r="AV20" s="302">
        <f t="shared" ca="1" si="32"/>
        <v>0</v>
      </c>
      <c r="AW20" s="302">
        <f t="shared" ca="1" si="32"/>
        <v>0</v>
      </c>
      <c r="AX20" s="302">
        <f t="shared" ca="1" si="32"/>
        <v>0</v>
      </c>
      <c r="AY20" s="302">
        <f t="shared" ca="1" si="32"/>
        <v>0</v>
      </c>
      <c r="AZ20" s="302">
        <f t="shared" ca="1" si="32"/>
        <v>0</v>
      </c>
      <c r="BA20" s="302">
        <f t="shared" ca="1" si="32"/>
        <v>0</v>
      </c>
      <c r="BB20" s="302">
        <f t="shared" ca="1" si="32"/>
        <v>0</v>
      </c>
      <c r="BC20" s="302">
        <f t="shared" ca="1" si="32"/>
        <v>0</v>
      </c>
      <c r="BD20" s="302">
        <f t="shared" ca="1" si="32"/>
        <v>0</v>
      </c>
      <c r="BE20" s="302">
        <f t="shared" ca="1" si="32"/>
        <v>0</v>
      </c>
      <c r="BF20" s="302">
        <f t="shared" ca="1" si="32"/>
        <v>0</v>
      </c>
      <c r="BG20" s="302">
        <f t="shared" ca="1" si="32"/>
        <v>0</v>
      </c>
      <c r="BH20" s="302">
        <f t="shared" ca="1" si="32"/>
        <v>0</v>
      </c>
      <c r="BI20" s="302">
        <f t="shared" ca="1" si="32"/>
        <v>0</v>
      </c>
      <c r="BJ20" s="302">
        <f t="shared" ca="1" si="32"/>
        <v>0</v>
      </c>
      <c r="BK20" s="302">
        <f t="shared" ca="1" si="32"/>
        <v>0</v>
      </c>
      <c r="BL20" s="302">
        <f t="shared" ca="1" si="32"/>
        <v>0</v>
      </c>
      <c r="BM20" s="302">
        <f t="shared" ca="1" si="32"/>
        <v>0</v>
      </c>
      <c r="BN20" s="302">
        <f t="shared" ca="1" si="32"/>
        <v>0</v>
      </c>
      <c r="BO20" s="302">
        <f t="shared" ca="1" si="32"/>
        <v>0</v>
      </c>
      <c r="BP20" s="302">
        <f t="shared" ca="1" si="32"/>
        <v>0</v>
      </c>
      <c r="BQ20" s="302">
        <f t="shared" ca="1" si="32"/>
        <v>0</v>
      </c>
      <c r="BR20" s="302">
        <f t="shared" ca="1" si="32"/>
        <v>0</v>
      </c>
      <c r="BS20" s="302">
        <f t="shared" ca="1" si="32"/>
        <v>0</v>
      </c>
      <c r="BT20" s="302">
        <f t="shared" ca="1" si="32"/>
        <v>0</v>
      </c>
      <c r="BU20" s="302">
        <f t="shared" ca="1" si="32"/>
        <v>0</v>
      </c>
      <c r="BV20" s="302">
        <f t="shared" ref="BV20:EG20" ca="1" si="33">BU20+BV17-BV19</f>
        <v>0</v>
      </c>
      <c r="BW20" s="302">
        <f t="shared" ca="1" si="33"/>
        <v>0</v>
      </c>
      <c r="BX20" s="302">
        <f t="shared" ca="1" si="33"/>
        <v>0</v>
      </c>
      <c r="BY20" s="302">
        <f t="shared" ca="1" si="33"/>
        <v>0</v>
      </c>
      <c r="BZ20" s="302">
        <f t="shared" ca="1" si="33"/>
        <v>0</v>
      </c>
      <c r="CA20" s="302">
        <f t="shared" ca="1" si="33"/>
        <v>0</v>
      </c>
      <c r="CB20" s="302">
        <f t="shared" ca="1" si="33"/>
        <v>0</v>
      </c>
      <c r="CC20" s="302">
        <f t="shared" ca="1" si="33"/>
        <v>0</v>
      </c>
      <c r="CD20" s="302">
        <f t="shared" ca="1" si="33"/>
        <v>0</v>
      </c>
      <c r="CE20" s="302">
        <f t="shared" ca="1" si="33"/>
        <v>0</v>
      </c>
      <c r="CF20" s="302">
        <f t="shared" ca="1" si="33"/>
        <v>0</v>
      </c>
      <c r="CG20" s="302">
        <f t="shared" ca="1" si="33"/>
        <v>0</v>
      </c>
      <c r="CH20" s="302">
        <f t="shared" ca="1" si="33"/>
        <v>0</v>
      </c>
      <c r="CI20" s="302">
        <f t="shared" ca="1" si="33"/>
        <v>0</v>
      </c>
      <c r="CJ20" s="302">
        <f t="shared" ca="1" si="33"/>
        <v>0</v>
      </c>
      <c r="CK20" s="302">
        <f t="shared" ca="1" si="33"/>
        <v>0</v>
      </c>
      <c r="CL20" s="302">
        <f t="shared" ca="1" si="33"/>
        <v>0</v>
      </c>
      <c r="CM20" s="302">
        <f t="shared" ca="1" si="33"/>
        <v>0</v>
      </c>
      <c r="CN20" s="302">
        <f t="shared" ca="1" si="33"/>
        <v>0</v>
      </c>
      <c r="CO20" s="302">
        <f t="shared" ca="1" si="33"/>
        <v>0</v>
      </c>
      <c r="CP20" s="302">
        <f t="shared" ca="1" si="33"/>
        <v>0</v>
      </c>
      <c r="CQ20" s="302">
        <f t="shared" ca="1" si="33"/>
        <v>0</v>
      </c>
      <c r="CR20" s="302">
        <f t="shared" ca="1" si="33"/>
        <v>0</v>
      </c>
      <c r="CS20" s="302">
        <f t="shared" ca="1" si="33"/>
        <v>0</v>
      </c>
      <c r="CT20" s="302">
        <f t="shared" ca="1" si="33"/>
        <v>0</v>
      </c>
      <c r="CU20" s="302">
        <f t="shared" ca="1" si="33"/>
        <v>0</v>
      </c>
      <c r="CV20" s="302">
        <f t="shared" ca="1" si="33"/>
        <v>0</v>
      </c>
      <c r="CW20" s="302">
        <f t="shared" ca="1" si="33"/>
        <v>0</v>
      </c>
      <c r="CX20" s="302">
        <f t="shared" ca="1" si="33"/>
        <v>0</v>
      </c>
      <c r="CY20" s="302">
        <f t="shared" ca="1" si="33"/>
        <v>0</v>
      </c>
      <c r="CZ20" s="302">
        <f t="shared" ca="1" si="33"/>
        <v>0</v>
      </c>
      <c r="DA20" s="302">
        <f t="shared" ca="1" si="33"/>
        <v>0</v>
      </c>
      <c r="DB20" s="302">
        <f t="shared" ca="1" si="33"/>
        <v>0</v>
      </c>
      <c r="DC20" s="302">
        <f t="shared" ca="1" si="33"/>
        <v>0</v>
      </c>
      <c r="DD20" s="302">
        <f t="shared" ca="1" si="33"/>
        <v>0</v>
      </c>
      <c r="DE20" s="302">
        <f t="shared" ca="1" si="33"/>
        <v>0</v>
      </c>
      <c r="DF20" s="302">
        <f t="shared" ca="1" si="33"/>
        <v>0</v>
      </c>
      <c r="DG20" s="302">
        <f t="shared" ca="1" si="33"/>
        <v>0</v>
      </c>
      <c r="DH20" s="302">
        <f t="shared" ca="1" si="33"/>
        <v>0</v>
      </c>
      <c r="DI20" s="302">
        <f t="shared" ca="1" si="33"/>
        <v>0</v>
      </c>
      <c r="DJ20" s="302">
        <f t="shared" ca="1" si="33"/>
        <v>0</v>
      </c>
      <c r="DK20" s="302">
        <f t="shared" ca="1" si="33"/>
        <v>0</v>
      </c>
      <c r="DL20" s="302">
        <f t="shared" ca="1" si="33"/>
        <v>0</v>
      </c>
      <c r="DM20" s="302">
        <f t="shared" ca="1" si="33"/>
        <v>0</v>
      </c>
      <c r="DN20" s="302">
        <f t="shared" ca="1" si="33"/>
        <v>0</v>
      </c>
      <c r="DO20" s="302">
        <f t="shared" ca="1" si="33"/>
        <v>0</v>
      </c>
      <c r="DP20" s="302">
        <f t="shared" ca="1" si="33"/>
        <v>0</v>
      </c>
      <c r="DQ20" s="302">
        <f t="shared" ca="1" si="33"/>
        <v>0</v>
      </c>
      <c r="DR20" s="302">
        <f t="shared" ca="1" si="33"/>
        <v>0</v>
      </c>
      <c r="DS20" s="302">
        <f t="shared" ca="1" si="33"/>
        <v>0</v>
      </c>
      <c r="DT20" s="302">
        <f t="shared" ca="1" si="33"/>
        <v>0</v>
      </c>
      <c r="DU20" s="302">
        <f t="shared" ca="1" si="33"/>
        <v>0</v>
      </c>
      <c r="DV20" s="302">
        <f t="shared" ca="1" si="33"/>
        <v>0</v>
      </c>
      <c r="DW20" s="302">
        <f t="shared" ca="1" si="33"/>
        <v>0</v>
      </c>
      <c r="DX20" s="302">
        <f t="shared" ca="1" si="33"/>
        <v>0</v>
      </c>
      <c r="DY20" s="302">
        <f t="shared" ca="1" si="33"/>
        <v>0</v>
      </c>
      <c r="DZ20" s="302">
        <f t="shared" ca="1" si="33"/>
        <v>0</v>
      </c>
      <c r="EA20" s="302">
        <f t="shared" ca="1" si="33"/>
        <v>0</v>
      </c>
      <c r="EB20" s="302">
        <f t="shared" ca="1" si="33"/>
        <v>0</v>
      </c>
      <c r="EC20" s="302">
        <f t="shared" ca="1" si="33"/>
        <v>0</v>
      </c>
      <c r="ED20" s="302">
        <f t="shared" ca="1" si="33"/>
        <v>0</v>
      </c>
      <c r="EE20" s="302">
        <f t="shared" ca="1" si="33"/>
        <v>0</v>
      </c>
      <c r="EF20" s="302">
        <f t="shared" ca="1" si="33"/>
        <v>0</v>
      </c>
      <c r="EG20" s="302">
        <f t="shared" ca="1" si="33"/>
        <v>0</v>
      </c>
      <c r="EH20" s="302">
        <f t="shared" ref="EH20" ca="1" si="34">EG20+EH17-EH19</f>
        <v>0</v>
      </c>
      <c r="EI20" s="301" t="s">
        <v>243</v>
      </c>
    </row>
    <row r="21" spans="1:139" s="192" customFormat="1" x14ac:dyDescent="0.2">
      <c r="B21" s="303" t="s">
        <v>349</v>
      </c>
      <c r="C21" s="303"/>
      <c r="D21" s="303"/>
      <c r="E21" s="303"/>
      <c r="F21" s="304">
        <v>0</v>
      </c>
      <c r="G21" s="304">
        <f ca="1">F21+G19</f>
        <v>0</v>
      </c>
      <c r="H21" s="304">
        <f ca="1">G21+H19</f>
        <v>5</v>
      </c>
      <c r="I21" s="304">
        <f ca="1">H21+I19</f>
        <v>10</v>
      </c>
      <c r="J21" s="304">
        <f t="shared" ref="J21:BU21" ca="1" si="35">I21+J19</f>
        <v>15</v>
      </c>
      <c r="K21" s="304">
        <f t="shared" ca="1" si="35"/>
        <v>20</v>
      </c>
      <c r="L21" s="304">
        <f t="shared" ca="1" si="35"/>
        <v>25</v>
      </c>
      <c r="M21" s="304">
        <f t="shared" ca="1" si="35"/>
        <v>30</v>
      </c>
      <c r="N21" s="304">
        <f t="shared" ca="1" si="35"/>
        <v>35</v>
      </c>
      <c r="O21" s="304">
        <f t="shared" ca="1" si="35"/>
        <v>40</v>
      </c>
      <c r="P21" s="304">
        <f t="shared" ca="1" si="35"/>
        <v>45</v>
      </c>
      <c r="Q21" s="304">
        <f t="shared" ca="1" si="35"/>
        <v>50</v>
      </c>
      <c r="R21" s="304">
        <f t="shared" ca="1" si="35"/>
        <v>55</v>
      </c>
      <c r="S21" s="304">
        <f t="shared" ca="1" si="35"/>
        <v>60</v>
      </c>
      <c r="T21" s="304">
        <f t="shared" ca="1" si="35"/>
        <v>68</v>
      </c>
      <c r="U21" s="304">
        <f t="shared" ca="1" si="35"/>
        <v>76</v>
      </c>
      <c r="V21" s="304">
        <f t="shared" ca="1" si="35"/>
        <v>84</v>
      </c>
      <c r="W21" s="304">
        <f t="shared" ca="1" si="35"/>
        <v>92</v>
      </c>
      <c r="X21" s="304">
        <f t="shared" ca="1" si="35"/>
        <v>100</v>
      </c>
      <c r="Y21" s="304">
        <f t="shared" ca="1" si="35"/>
        <v>108</v>
      </c>
      <c r="Z21" s="304">
        <f t="shared" ca="1" si="35"/>
        <v>116</v>
      </c>
      <c r="AA21" s="304">
        <f t="shared" ca="1" si="35"/>
        <v>123</v>
      </c>
      <c r="AB21" s="304">
        <f t="shared" ca="1" si="35"/>
        <v>130</v>
      </c>
      <c r="AC21" s="304">
        <f t="shared" ca="1" si="35"/>
        <v>137</v>
      </c>
      <c r="AD21" s="304">
        <f t="shared" ca="1" si="35"/>
        <v>144</v>
      </c>
      <c r="AE21" s="304">
        <f t="shared" ca="1" si="35"/>
        <v>151</v>
      </c>
      <c r="AF21" s="304">
        <f t="shared" ca="1" si="35"/>
        <v>158</v>
      </c>
      <c r="AG21" s="304">
        <f t="shared" ca="1" si="35"/>
        <v>165</v>
      </c>
      <c r="AH21" s="304">
        <f t="shared" ca="1" si="35"/>
        <v>170</v>
      </c>
      <c r="AI21" s="304">
        <f t="shared" ca="1" si="35"/>
        <v>175</v>
      </c>
      <c r="AJ21" s="304">
        <f t="shared" ca="1" si="35"/>
        <v>180</v>
      </c>
      <c r="AK21" s="304">
        <f t="shared" ca="1" si="35"/>
        <v>185</v>
      </c>
      <c r="AL21" s="304">
        <f t="shared" ca="1" si="35"/>
        <v>190</v>
      </c>
      <c r="AM21" s="304">
        <f t="shared" ca="1" si="35"/>
        <v>195</v>
      </c>
      <c r="AN21" s="304">
        <f t="shared" ca="1" si="35"/>
        <v>195</v>
      </c>
      <c r="AO21" s="304">
        <f t="shared" ca="1" si="35"/>
        <v>195</v>
      </c>
      <c r="AP21" s="304">
        <f t="shared" ca="1" si="35"/>
        <v>195</v>
      </c>
      <c r="AQ21" s="304">
        <f t="shared" ca="1" si="35"/>
        <v>195</v>
      </c>
      <c r="AR21" s="304">
        <f t="shared" ca="1" si="35"/>
        <v>195</v>
      </c>
      <c r="AS21" s="304">
        <f t="shared" ca="1" si="35"/>
        <v>195</v>
      </c>
      <c r="AT21" s="304">
        <f t="shared" ca="1" si="35"/>
        <v>195</v>
      </c>
      <c r="AU21" s="304">
        <f t="shared" ca="1" si="35"/>
        <v>195</v>
      </c>
      <c r="AV21" s="304">
        <f t="shared" ca="1" si="35"/>
        <v>195</v>
      </c>
      <c r="AW21" s="304">
        <f t="shared" ca="1" si="35"/>
        <v>195</v>
      </c>
      <c r="AX21" s="304">
        <f t="shared" ca="1" si="35"/>
        <v>195</v>
      </c>
      <c r="AY21" s="304">
        <f t="shared" ca="1" si="35"/>
        <v>195</v>
      </c>
      <c r="AZ21" s="304">
        <f t="shared" ca="1" si="35"/>
        <v>195</v>
      </c>
      <c r="BA21" s="304">
        <f t="shared" ca="1" si="35"/>
        <v>195</v>
      </c>
      <c r="BB21" s="304">
        <f t="shared" ca="1" si="35"/>
        <v>195</v>
      </c>
      <c r="BC21" s="304">
        <f t="shared" ca="1" si="35"/>
        <v>195</v>
      </c>
      <c r="BD21" s="304">
        <f t="shared" ca="1" si="35"/>
        <v>195</v>
      </c>
      <c r="BE21" s="304">
        <f t="shared" ca="1" si="35"/>
        <v>195</v>
      </c>
      <c r="BF21" s="304">
        <f t="shared" ca="1" si="35"/>
        <v>195</v>
      </c>
      <c r="BG21" s="304">
        <f t="shared" ca="1" si="35"/>
        <v>195</v>
      </c>
      <c r="BH21" s="304">
        <f t="shared" ca="1" si="35"/>
        <v>195</v>
      </c>
      <c r="BI21" s="304">
        <f t="shared" ca="1" si="35"/>
        <v>195</v>
      </c>
      <c r="BJ21" s="304">
        <f t="shared" ca="1" si="35"/>
        <v>195</v>
      </c>
      <c r="BK21" s="304">
        <f t="shared" ca="1" si="35"/>
        <v>195</v>
      </c>
      <c r="BL21" s="304">
        <f t="shared" ca="1" si="35"/>
        <v>195</v>
      </c>
      <c r="BM21" s="304">
        <f t="shared" ca="1" si="35"/>
        <v>195</v>
      </c>
      <c r="BN21" s="304">
        <f t="shared" ca="1" si="35"/>
        <v>195</v>
      </c>
      <c r="BO21" s="304">
        <f t="shared" ca="1" si="35"/>
        <v>195</v>
      </c>
      <c r="BP21" s="304">
        <f t="shared" ca="1" si="35"/>
        <v>195</v>
      </c>
      <c r="BQ21" s="304">
        <f t="shared" ca="1" si="35"/>
        <v>195</v>
      </c>
      <c r="BR21" s="304">
        <f t="shared" ca="1" si="35"/>
        <v>195</v>
      </c>
      <c r="BS21" s="304">
        <f t="shared" ca="1" si="35"/>
        <v>195</v>
      </c>
      <c r="BT21" s="304">
        <f t="shared" ca="1" si="35"/>
        <v>195</v>
      </c>
      <c r="BU21" s="304">
        <f t="shared" ca="1" si="35"/>
        <v>195</v>
      </c>
      <c r="BV21" s="304">
        <f t="shared" ref="BV21:EG21" ca="1" si="36">BU21+BV19</f>
        <v>195</v>
      </c>
      <c r="BW21" s="304">
        <f t="shared" ca="1" si="36"/>
        <v>195</v>
      </c>
      <c r="BX21" s="304">
        <f t="shared" ca="1" si="36"/>
        <v>195</v>
      </c>
      <c r="BY21" s="304">
        <f t="shared" ca="1" si="36"/>
        <v>195</v>
      </c>
      <c r="BZ21" s="304">
        <f t="shared" ca="1" si="36"/>
        <v>195</v>
      </c>
      <c r="CA21" s="304">
        <f t="shared" ca="1" si="36"/>
        <v>195</v>
      </c>
      <c r="CB21" s="304">
        <f t="shared" ca="1" si="36"/>
        <v>195</v>
      </c>
      <c r="CC21" s="304">
        <f t="shared" ca="1" si="36"/>
        <v>195</v>
      </c>
      <c r="CD21" s="304">
        <f t="shared" ca="1" si="36"/>
        <v>195</v>
      </c>
      <c r="CE21" s="304">
        <f t="shared" ca="1" si="36"/>
        <v>195</v>
      </c>
      <c r="CF21" s="304">
        <f t="shared" ca="1" si="36"/>
        <v>195</v>
      </c>
      <c r="CG21" s="304">
        <f t="shared" ca="1" si="36"/>
        <v>195</v>
      </c>
      <c r="CH21" s="304">
        <f t="shared" ca="1" si="36"/>
        <v>195</v>
      </c>
      <c r="CI21" s="304">
        <f t="shared" ca="1" si="36"/>
        <v>195</v>
      </c>
      <c r="CJ21" s="304">
        <f t="shared" ca="1" si="36"/>
        <v>195</v>
      </c>
      <c r="CK21" s="304">
        <f t="shared" ca="1" si="36"/>
        <v>195</v>
      </c>
      <c r="CL21" s="304">
        <f t="shared" ca="1" si="36"/>
        <v>195</v>
      </c>
      <c r="CM21" s="304">
        <f t="shared" ca="1" si="36"/>
        <v>195</v>
      </c>
      <c r="CN21" s="304">
        <f t="shared" ca="1" si="36"/>
        <v>195</v>
      </c>
      <c r="CO21" s="304">
        <f t="shared" ca="1" si="36"/>
        <v>195</v>
      </c>
      <c r="CP21" s="304">
        <f t="shared" ca="1" si="36"/>
        <v>195</v>
      </c>
      <c r="CQ21" s="304">
        <f t="shared" ca="1" si="36"/>
        <v>195</v>
      </c>
      <c r="CR21" s="304">
        <f t="shared" ca="1" si="36"/>
        <v>195</v>
      </c>
      <c r="CS21" s="304">
        <f t="shared" ca="1" si="36"/>
        <v>195</v>
      </c>
      <c r="CT21" s="304">
        <f t="shared" ca="1" si="36"/>
        <v>195</v>
      </c>
      <c r="CU21" s="304">
        <f t="shared" ca="1" si="36"/>
        <v>195</v>
      </c>
      <c r="CV21" s="304">
        <f t="shared" ca="1" si="36"/>
        <v>195</v>
      </c>
      <c r="CW21" s="304">
        <f t="shared" ca="1" si="36"/>
        <v>195</v>
      </c>
      <c r="CX21" s="304">
        <f t="shared" ca="1" si="36"/>
        <v>195</v>
      </c>
      <c r="CY21" s="304">
        <f t="shared" ca="1" si="36"/>
        <v>195</v>
      </c>
      <c r="CZ21" s="304">
        <f t="shared" ca="1" si="36"/>
        <v>195</v>
      </c>
      <c r="DA21" s="304">
        <f t="shared" ca="1" si="36"/>
        <v>195</v>
      </c>
      <c r="DB21" s="304">
        <f t="shared" ca="1" si="36"/>
        <v>195</v>
      </c>
      <c r="DC21" s="304">
        <f t="shared" ca="1" si="36"/>
        <v>195</v>
      </c>
      <c r="DD21" s="304">
        <f t="shared" ca="1" si="36"/>
        <v>195</v>
      </c>
      <c r="DE21" s="304">
        <f t="shared" ca="1" si="36"/>
        <v>195</v>
      </c>
      <c r="DF21" s="304">
        <f t="shared" ca="1" si="36"/>
        <v>195</v>
      </c>
      <c r="DG21" s="304">
        <f t="shared" ca="1" si="36"/>
        <v>195</v>
      </c>
      <c r="DH21" s="304">
        <f t="shared" ca="1" si="36"/>
        <v>195</v>
      </c>
      <c r="DI21" s="304">
        <f t="shared" ca="1" si="36"/>
        <v>195</v>
      </c>
      <c r="DJ21" s="304">
        <f t="shared" ca="1" si="36"/>
        <v>195</v>
      </c>
      <c r="DK21" s="304">
        <f t="shared" ca="1" si="36"/>
        <v>195</v>
      </c>
      <c r="DL21" s="304">
        <f t="shared" ca="1" si="36"/>
        <v>195</v>
      </c>
      <c r="DM21" s="304">
        <f t="shared" ca="1" si="36"/>
        <v>195</v>
      </c>
      <c r="DN21" s="304">
        <f t="shared" ca="1" si="36"/>
        <v>195</v>
      </c>
      <c r="DO21" s="304">
        <f t="shared" ca="1" si="36"/>
        <v>195</v>
      </c>
      <c r="DP21" s="304">
        <f t="shared" ca="1" si="36"/>
        <v>195</v>
      </c>
      <c r="DQ21" s="304">
        <f t="shared" ca="1" si="36"/>
        <v>195</v>
      </c>
      <c r="DR21" s="304">
        <f t="shared" ca="1" si="36"/>
        <v>195</v>
      </c>
      <c r="DS21" s="304">
        <f t="shared" ca="1" si="36"/>
        <v>195</v>
      </c>
      <c r="DT21" s="304">
        <f t="shared" ca="1" si="36"/>
        <v>195</v>
      </c>
      <c r="DU21" s="304">
        <f t="shared" ca="1" si="36"/>
        <v>195</v>
      </c>
      <c r="DV21" s="304">
        <f t="shared" ca="1" si="36"/>
        <v>195</v>
      </c>
      <c r="DW21" s="304">
        <f t="shared" ca="1" si="36"/>
        <v>195</v>
      </c>
      <c r="DX21" s="304">
        <f t="shared" ca="1" si="36"/>
        <v>195</v>
      </c>
      <c r="DY21" s="304">
        <f t="shared" ca="1" si="36"/>
        <v>195</v>
      </c>
      <c r="DZ21" s="304">
        <f t="shared" ca="1" si="36"/>
        <v>195</v>
      </c>
      <c r="EA21" s="304">
        <f t="shared" ca="1" si="36"/>
        <v>195</v>
      </c>
      <c r="EB21" s="304">
        <f t="shared" ca="1" si="36"/>
        <v>195</v>
      </c>
      <c r="EC21" s="304">
        <f t="shared" ca="1" si="36"/>
        <v>195</v>
      </c>
      <c r="ED21" s="304">
        <f t="shared" ca="1" si="36"/>
        <v>195</v>
      </c>
      <c r="EE21" s="304">
        <f t="shared" ca="1" si="36"/>
        <v>195</v>
      </c>
      <c r="EF21" s="304">
        <f t="shared" ca="1" si="36"/>
        <v>195</v>
      </c>
      <c r="EG21" s="304">
        <f t="shared" ca="1" si="36"/>
        <v>195</v>
      </c>
      <c r="EH21" s="304">
        <f t="shared" ref="EH21" ca="1" si="37">EG21+EH19</f>
        <v>195</v>
      </c>
      <c r="EI21" s="301" t="s">
        <v>243</v>
      </c>
    </row>
    <row r="22" spans="1:139" s="180" customFormat="1" x14ac:dyDescent="0.2">
      <c r="B22" s="158"/>
      <c r="C22" s="158"/>
      <c r="D22" s="158"/>
      <c r="E22" s="158"/>
      <c r="EI22" s="301" t="s">
        <v>243</v>
      </c>
    </row>
    <row r="23" spans="1:139" s="180" customFormat="1" x14ac:dyDescent="0.2">
      <c r="B23" s="305" t="s">
        <v>688</v>
      </c>
      <c r="C23" s="305"/>
      <c r="D23" s="191"/>
      <c r="E23" s="191"/>
      <c r="F23" s="191">
        <f>'Unit Mix-Reno Schedule'!L22</f>
        <v>1316.844262295082</v>
      </c>
      <c r="G23" s="191">
        <f>'Unit Mix-Reno Schedule'!AM35</f>
        <v>1395.8549180327871</v>
      </c>
      <c r="H23" s="191">
        <f>'Unit Mix-Reno Schedule'!AN35</f>
        <v>1395.8549180327871</v>
      </c>
      <c r="I23" s="191">
        <f>'Unit Mix-Reno Schedule'!AO35</f>
        <v>1395.8549180327871</v>
      </c>
      <c r="J23" s="191">
        <f>'Unit Mix-Reno Schedule'!AP35</f>
        <v>1395.8549180327871</v>
      </c>
      <c r="K23" s="191">
        <f>'Unit Mix-Reno Schedule'!AQ35</f>
        <v>1395.8549180327871</v>
      </c>
      <c r="L23" s="191">
        <f>'Unit Mix-Reno Schedule'!AR35</f>
        <v>1395.8549180327871</v>
      </c>
      <c r="M23" s="191">
        <f>'Unit Mix-Reno Schedule'!AS35</f>
        <v>1395.8549180327871</v>
      </c>
      <c r="N23" s="191">
        <f>'Unit Mix-Reno Schedule'!AT35</f>
        <v>1395.8549180327871</v>
      </c>
      <c r="O23" s="191">
        <f>'Unit Mix-Reno Schedule'!AU35</f>
        <v>1395.8549180327871</v>
      </c>
      <c r="P23" s="191">
        <f>'Unit Mix-Reno Schedule'!AV35</f>
        <v>1395.8549180327871</v>
      </c>
      <c r="Q23" s="191">
        <f>'Unit Mix-Reno Schedule'!AW35</f>
        <v>1395.8549180327871</v>
      </c>
      <c r="R23" s="191">
        <f>'Unit Mix-Reno Schedule'!AX35</f>
        <v>1395.8549180327871</v>
      </c>
      <c r="S23" s="191">
        <f>'Unit Mix-Reno Schedule'!AY35</f>
        <v>1465.6476639344264</v>
      </c>
      <c r="T23" s="191">
        <f>'Unit Mix-Reno Schedule'!AZ35</f>
        <v>1465.6476639344264</v>
      </c>
      <c r="U23" s="191">
        <f>'Unit Mix-Reno Schedule'!BA35</f>
        <v>1465.6476639344264</v>
      </c>
      <c r="V23" s="191">
        <f>'Unit Mix-Reno Schedule'!BB35</f>
        <v>1465.6476639344264</v>
      </c>
      <c r="W23" s="191">
        <f>'Unit Mix-Reno Schedule'!BC35</f>
        <v>1465.6476639344264</v>
      </c>
      <c r="X23" s="191">
        <f>'Unit Mix-Reno Schedule'!BD35</f>
        <v>1465.6476639344264</v>
      </c>
      <c r="Y23" s="191">
        <f>'Unit Mix-Reno Schedule'!BE35</f>
        <v>1465.6476639344264</v>
      </c>
      <c r="Z23" s="191">
        <f>'Unit Mix-Reno Schedule'!BF35</f>
        <v>1465.6476639344264</v>
      </c>
      <c r="AA23" s="191">
        <f>'Unit Mix-Reno Schedule'!BG35</f>
        <v>1465.6476639344264</v>
      </c>
      <c r="AB23" s="191">
        <f>'Unit Mix-Reno Schedule'!BH35</f>
        <v>1465.6476639344264</v>
      </c>
      <c r="AC23" s="191">
        <f>'Unit Mix-Reno Schedule'!BI35</f>
        <v>1465.6476639344264</v>
      </c>
      <c r="AD23" s="191">
        <f>'Unit Mix-Reno Schedule'!BJ35</f>
        <v>1465.6476639344264</v>
      </c>
      <c r="AE23" s="191">
        <f>'Unit Mix-Reno Schedule'!BK35</f>
        <v>1538.9300471311478</v>
      </c>
      <c r="AF23" s="191">
        <f>'Unit Mix-Reno Schedule'!BL35</f>
        <v>1538.9300471311478</v>
      </c>
      <c r="AG23" s="191">
        <f>'Unit Mix-Reno Schedule'!BM35</f>
        <v>1538.9300471311478</v>
      </c>
      <c r="AH23" s="191">
        <f>'Unit Mix-Reno Schedule'!BN35</f>
        <v>1538.9300471311478</v>
      </c>
      <c r="AI23" s="191">
        <f>'Unit Mix-Reno Schedule'!BO35</f>
        <v>1538.9300471311478</v>
      </c>
      <c r="AJ23" s="191">
        <f>'Unit Mix-Reno Schedule'!BP35</f>
        <v>1538.9300471311478</v>
      </c>
      <c r="AK23" s="191">
        <f>'Unit Mix-Reno Schedule'!BQ35</f>
        <v>1538.9300471311478</v>
      </c>
      <c r="AL23" s="191">
        <f>'Unit Mix-Reno Schedule'!BR35</f>
        <v>1538.9300471311478</v>
      </c>
      <c r="AM23" s="191">
        <f>'Unit Mix-Reno Schedule'!BS35</f>
        <v>1538.9300471311478</v>
      </c>
      <c r="AN23" s="191">
        <f>'Unit Mix-Reno Schedule'!BT35</f>
        <v>1538.9300471311478</v>
      </c>
      <c r="AO23" s="191">
        <f>'Unit Mix-Reno Schedule'!BU35</f>
        <v>1538.9300471311478</v>
      </c>
      <c r="AP23" s="191">
        <f>'Unit Mix-Reno Schedule'!BV35</f>
        <v>1538.9300471311478</v>
      </c>
      <c r="AQ23" s="191">
        <f>'Unit Mix-Reno Schedule'!BW35</f>
        <v>1600.4872490163939</v>
      </c>
      <c r="AR23" s="191">
        <f>'Unit Mix-Reno Schedule'!BX35</f>
        <v>1600.4872490163939</v>
      </c>
      <c r="AS23" s="191">
        <f>'Unit Mix-Reno Schedule'!BY35</f>
        <v>1600.4872490163939</v>
      </c>
      <c r="AT23" s="191">
        <f>'Unit Mix-Reno Schedule'!BZ35</f>
        <v>1600.4872490163939</v>
      </c>
      <c r="AU23" s="191">
        <f>'Unit Mix-Reno Schedule'!CA35</f>
        <v>1600.4872490163939</v>
      </c>
      <c r="AV23" s="191">
        <f>'Unit Mix-Reno Schedule'!CB35</f>
        <v>1600.4872490163939</v>
      </c>
      <c r="AW23" s="191">
        <f>'Unit Mix-Reno Schedule'!CC35</f>
        <v>1600.4872490163939</v>
      </c>
      <c r="AX23" s="191">
        <f>'Unit Mix-Reno Schedule'!CD35</f>
        <v>1600.4872490163939</v>
      </c>
      <c r="AY23" s="191">
        <f>'Unit Mix-Reno Schedule'!CE35</f>
        <v>1600.4872490163939</v>
      </c>
      <c r="AZ23" s="191">
        <f>'Unit Mix-Reno Schedule'!CF35</f>
        <v>1600.4872490163939</v>
      </c>
      <c r="BA23" s="191">
        <f>'Unit Mix-Reno Schedule'!CG35</f>
        <v>1600.4872490163939</v>
      </c>
      <c r="BB23" s="191">
        <f>'Unit Mix-Reno Schedule'!CH35</f>
        <v>1600.4872490163939</v>
      </c>
      <c r="BC23" s="191">
        <f>'Unit Mix-Reno Schedule'!CI35</f>
        <v>1664.5067389770497</v>
      </c>
      <c r="BD23" s="191">
        <f>'Unit Mix-Reno Schedule'!CJ35</f>
        <v>1664.5067389770497</v>
      </c>
      <c r="BE23" s="191">
        <f>'Unit Mix-Reno Schedule'!CK35</f>
        <v>1664.5067389770497</v>
      </c>
      <c r="BF23" s="191">
        <f>'Unit Mix-Reno Schedule'!CL35</f>
        <v>1664.5067389770497</v>
      </c>
      <c r="BG23" s="191">
        <f>'Unit Mix-Reno Schedule'!CM35</f>
        <v>1664.5067389770497</v>
      </c>
      <c r="BH23" s="191">
        <f>'Unit Mix-Reno Schedule'!CN35</f>
        <v>1664.5067389770497</v>
      </c>
      <c r="BI23" s="191">
        <f>'Unit Mix-Reno Schedule'!CO35</f>
        <v>1664.5067389770497</v>
      </c>
      <c r="BJ23" s="191">
        <f>'Unit Mix-Reno Schedule'!CP35</f>
        <v>1664.5067389770497</v>
      </c>
      <c r="BK23" s="191">
        <f>'Unit Mix-Reno Schedule'!CQ35</f>
        <v>1664.5067389770497</v>
      </c>
      <c r="BL23" s="191">
        <f>'Unit Mix-Reno Schedule'!CR35</f>
        <v>1664.5067389770497</v>
      </c>
      <c r="BM23" s="191">
        <f>'Unit Mix-Reno Schedule'!CS35</f>
        <v>1664.5067389770497</v>
      </c>
      <c r="BN23" s="191">
        <f>'Unit Mix-Reno Schedule'!CT35</f>
        <v>1664.5067389770497</v>
      </c>
      <c r="BO23" s="191">
        <f>'Unit Mix-Reno Schedule'!CU35</f>
        <v>1731.0870085361319</v>
      </c>
      <c r="BP23" s="191">
        <f>'Unit Mix-Reno Schedule'!CV35</f>
        <v>1731.0870085361319</v>
      </c>
      <c r="BQ23" s="191">
        <f>'Unit Mix-Reno Schedule'!CW35</f>
        <v>1731.0870085361319</v>
      </c>
      <c r="BR23" s="191">
        <f>'Unit Mix-Reno Schedule'!CX35</f>
        <v>1731.0870085361319</v>
      </c>
      <c r="BS23" s="191">
        <f>'Unit Mix-Reno Schedule'!CY35</f>
        <v>1731.0870085361319</v>
      </c>
      <c r="BT23" s="191">
        <f>'Unit Mix-Reno Schedule'!CZ35</f>
        <v>1731.0870085361319</v>
      </c>
      <c r="BU23" s="191">
        <f>'Unit Mix-Reno Schedule'!DA35</f>
        <v>1731.0870085361319</v>
      </c>
      <c r="BV23" s="191">
        <f>'Unit Mix-Reno Schedule'!DB35</f>
        <v>1731.0870085361319</v>
      </c>
      <c r="BW23" s="191">
        <f>'Unit Mix-Reno Schedule'!DC35</f>
        <v>1731.0870085361319</v>
      </c>
      <c r="BX23" s="191">
        <f>'Unit Mix-Reno Schedule'!DD35</f>
        <v>1731.0870085361319</v>
      </c>
      <c r="BY23" s="191">
        <f>'Unit Mix-Reno Schedule'!DE35</f>
        <v>1731.0870085361319</v>
      </c>
      <c r="BZ23" s="191">
        <f>'Unit Mix-Reno Schedule'!DF35</f>
        <v>1731.0870085361319</v>
      </c>
      <c r="CA23" s="191">
        <f>'Unit Mix-Reno Schedule'!DG35</f>
        <v>1800.3304888775772</v>
      </c>
      <c r="CB23" s="191">
        <f>'Unit Mix-Reno Schedule'!DH35</f>
        <v>1800.3304888775772</v>
      </c>
      <c r="CC23" s="191">
        <f>'Unit Mix-Reno Schedule'!DI35</f>
        <v>1800.3304888775772</v>
      </c>
      <c r="CD23" s="191">
        <f>'Unit Mix-Reno Schedule'!DJ35</f>
        <v>1800.3304888775772</v>
      </c>
      <c r="CE23" s="191">
        <f>'Unit Mix-Reno Schedule'!DK35</f>
        <v>1800.3304888775772</v>
      </c>
      <c r="CF23" s="191">
        <f>'Unit Mix-Reno Schedule'!DL35</f>
        <v>1800.3304888775772</v>
      </c>
      <c r="CG23" s="191">
        <f>'Unit Mix-Reno Schedule'!DM35</f>
        <v>1800.3304888775772</v>
      </c>
      <c r="CH23" s="191">
        <f>'Unit Mix-Reno Schedule'!DN35</f>
        <v>1800.3304888775772</v>
      </c>
      <c r="CI23" s="191">
        <f>'Unit Mix-Reno Schedule'!DO35</f>
        <v>1800.3304888775772</v>
      </c>
      <c r="CJ23" s="191">
        <f>'Unit Mix-Reno Schedule'!DP35</f>
        <v>1800.3304888775772</v>
      </c>
      <c r="CK23" s="191">
        <f>'Unit Mix-Reno Schedule'!DQ35</f>
        <v>1800.3304888775772</v>
      </c>
      <c r="CL23" s="191">
        <f>'Unit Mix-Reno Schedule'!DR35</f>
        <v>1800.3304888775772</v>
      </c>
      <c r="CM23" s="191">
        <f>'Unit Mix-Reno Schedule'!DS35</f>
        <v>1872.3437084326804</v>
      </c>
      <c r="CN23" s="191">
        <f>'Unit Mix-Reno Schedule'!DT35</f>
        <v>1872.3437084326804</v>
      </c>
      <c r="CO23" s="191">
        <f>'Unit Mix-Reno Schedule'!DU35</f>
        <v>1872.3437084326804</v>
      </c>
      <c r="CP23" s="191">
        <f>'Unit Mix-Reno Schedule'!DV35</f>
        <v>1872.3437084326804</v>
      </c>
      <c r="CQ23" s="191">
        <f>'Unit Mix-Reno Schedule'!DW35</f>
        <v>1872.3437084326804</v>
      </c>
      <c r="CR23" s="191">
        <f>'Unit Mix-Reno Schedule'!DX35</f>
        <v>1872.3437084326804</v>
      </c>
      <c r="CS23" s="191">
        <f>'Unit Mix-Reno Schedule'!DY35</f>
        <v>1872.3437084326804</v>
      </c>
      <c r="CT23" s="191">
        <f>'Unit Mix-Reno Schedule'!DZ35</f>
        <v>1872.3437084326804</v>
      </c>
      <c r="CU23" s="191">
        <f>'Unit Mix-Reno Schedule'!EA35</f>
        <v>1872.3437084326804</v>
      </c>
      <c r="CV23" s="191">
        <f>'Unit Mix-Reno Schedule'!EB35</f>
        <v>1872.3437084326804</v>
      </c>
      <c r="CW23" s="191">
        <f>'Unit Mix-Reno Schedule'!EC35</f>
        <v>1872.3437084326804</v>
      </c>
      <c r="CX23" s="191">
        <f>'Unit Mix-Reno Schedule'!ED35</f>
        <v>1872.3437084326804</v>
      </c>
      <c r="CY23" s="191">
        <f>'Unit Mix-Reno Schedule'!EE35</f>
        <v>1947.2374567699876</v>
      </c>
      <c r="CZ23" s="191">
        <f>'Unit Mix-Reno Schedule'!EF35</f>
        <v>1947.2374567699876</v>
      </c>
      <c r="DA23" s="191">
        <f>'Unit Mix-Reno Schedule'!EG35</f>
        <v>1947.2374567699876</v>
      </c>
      <c r="DB23" s="191">
        <f>'Unit Mix-Reno Schedule'!EH35</f>
        <v>1947.2374567699876</v>
      </c>
      <c r="DC23" s="191">
        <f>'Unit Mix-Reno Schedule'!EI35</f>
        <v>1947.2374567699876</v>
      </c>
      <c r="DD23" s="191">
        <f>'Unit Mix-Reno Schedule'!EJ35</f>
        <v>1947.2374567699876</v>
      </c>
      <c r="DE23" s="191">
        <f>'Unit Mix-Reno Schedule'!EK35</f>
        <v>1947.2374567699876</v>
      </c>
      <c r="DF23" s="191">
        <f>'Unit Mix-Reno Schedule'!EL35</f>
        <v>1947.2374567699876</v>
      </c>
      <c r="DG23" s="191">
        <f>'Unit Mix-Reno Schedule'!EM35</f>
        <v>1947.2374567699876</v>
      </c>
      <c r="DH23" s="191">
        <f>'Unit Mix-Reno Schedule'!EN35</f>
        <v>1947.2374567699876</v>
      </c>
      <c r="DI23" s="191">
        <f>'Unit Mix-Reno Schedule'!EO35</f>
        <v>1947.2374567699876</v>
      </c>
      <c r="DJ23" s="191">
        <f>'Unit Mix-Reno Schedule'!EP35</f>
        <v>1947.2374567699876</v>
      </c>
      <c r="DK23" s="191">
        <f>'Unit Mix-Reno Schedule'!EQ35</f>
        <v>2005.6545804730872</v>
      </c>
      <c r="DL23" s="191">
        <f>'Unit Mix-Reno Schedule'!ER35</f>
        <v>2005.6545804730872</v>
      </c>
      <c r="DM23" s="191">
        <f>'Unit Mix-Reno Schedule'!ES35</f>
        <v>2005.6545804730872</v>
      </c>
      <c r="DN23" s="191">
        <f>'Unit Mix-Reno Schedule'!ET35</f>
        <v>2005.6545804730872</v>
      </c>
      <c r="DO23" s="191">
        <f>'Unit Mix-Reno Schedule'!EU35</f>
        <v>2005.6545804730872</v>
      </c>
      <c r="DP23" s="191">
        <f>'Unit Mix-Reno Schedule'!EV35</f>
        <v>2005.6545804730872</v>
      </c>
      <c r="DQ23" s="191">
        <f>'Unit Mix-Reno Schedule'!EW35</f>
        <v>2005.6545804730872</v>
      </c>
      <c r="DR23" s="191">
        <f>'Unit Mix-Reno Schedule'!EX35</f>
        <v>2005.6545804730872</v>
      </c>
      <c r="DS23" s="191">
        <f>'Unit Mix-Reno Schedule'!EY35</f>
        <v>2005.6545804730872</v>
      </c>
      <c r="DT23" s="191">
        <f>'Unit Mix-Reno Schedule'!EZ35</f>
        <v>2005.6545804730872</v>
      </c>
      <c r="DU23" s="191">
        <f>'Unit Mix-Reno Schedule'!FA35</f>
        <v>2005.6545804730872</v>
      </c>
      <c r="DV23" s="191">
        <f>'Unit Mix-Reno Schedule'!FB35</f>
        <v>2005.6545804730872</v>
      </c>
      <c r="DW23" s="191">
        <f>'Unit Mix-Reno Schedule'!FC35</f>
        <v>2065.8242178872797</v>
      </c>
      <c r="DX23" s="191">
        <f>'Unit Mix-Reno Schedule'!FD35</f>
        <v>2065.8242178872797</v>
      </c>
      <c r="DY23" s="191">
        <f>'Unit Mix-Reno Schedule'!FE35</f>
        <v>2065.8242178872797</v>
      </c>
      <c r="DZ23" s="191">
        <f>'Unit Mix-Reno Schedule'!FF35</f>
        <v>2065.8242178872797</v>
      </c>
      <c r="EA23" s="191">
        <f>'Unit Mix-Reno Schedule'!FG35</f>
        <v>2065.8242178872797</v>
      </c>
      <c r="EB23" s="191">
        <f>'Unit Mix-Reno Schedule'!FH35</f>
        <v>2065.8242178872797</v>
      </c>
      <c r="EC23" s="191">
        <f>'Unit Mix-Reno Schedule'!FI35</f>
        <v>2065.8242178872797</v>
      </c>
      <c r="ED23" s="191">
        <f>'Unit Mix-Reno Schedule'!FJ35</f>
        <v>2065.8242178872797</v>
      </c>
      <c r="EE23" s="191">
        <f>'Unit Mix-Reno Schedule'!FK35</f>
        <v>2065.8242178872797</v>
      </c>
      <c r="EF23" s="191">
        <f>'Unit Mix-Reno Schedule'!FL35</f>
        <v>2065.8242178872797</v>
      </c>
      <c r="EG23" s="191">
        <f>'Unit Mix-Reno Schedule'!FM35</f>
        <v>2065.8242178872797</v>
      </c>
      <c r="EH23" s="191">
        <f>'Unit Mix-Reno Schedule'!FN35</f>
        <v>2065.8242178872797</v>
      </c>
      <c r="EI23" s="306" t="s">
        <v>243</v>
      </c>
    </row>
    <row r="24" spans="1:139" s="180" customFormat="1" x14ac:dyDescent="0.2">
      <c r="B24" s="305" t="s">
        <v>689</v>
      </c>
      <c r="C24" s="305"/>
      <c r="D24" s="305"/>
      <c r="E24" s="305"/>
      <c r="F24" s="191"/>
      <c r="G24" s="191">
        <f>'Unit Mix-Reno Schedule'!AM38</f>
        <v>320.65015654999263</v>
      </c>
      <c r="H24" s="191">
        <f>'Unit Mix-Reno Schedule'!AN38</f>
        <v>320.65015654999263</v>
      </c>
      <c r="I24" s="191">
        <f>'Unit Mix-Reno Schedule'!AO38</f>
        <v>320.65015654999263</v>
      </c>
      <c r="J24" s="191">
        <f>'Unit Mix-Reno Schedule'!AP38</f>
        <v>320.65015654999263</v>
      </c>
      <c r="K24" s="191">
        <f>'Unit Mix-Reno Schedule'!AQ38</f>
        <v>320.65015654999263</v>
      </c>
      <c r="L24" s="191">
        <f>'Unit Mix-Reno Schedule'!AR38</f>
        <v>320.65015654999263</v>
      </c>
      <c r="M24" s="191">
        <f>'Unit Mix-Reno Schedule'!AS38</f>
        <v>320.65015654999263</v>
      </c>
      <c r="N24" s="191">
        <f>'Unit Mix-Reno Schedule'!AT38</f>
        <v>320.65015654999263</v>
      </c>
      <c r="O24" s="191">
        <f>'Unit Mix-Reno Schedule'!AU38</f>
        <v>320.65015654999263</v>
      </c>
      <c r="P24" s="191">
        <f>'Unit Mix-Reno Schedule'!AV38</f>
        <v>320.65015654999263</v>
      </c>
      <c r="Q24" s="191">
        <f>'Unit Mix-Reno Schedule'!AW38</f>
        <v>320.65015654999263</v>
      </c>
      <c r="R24" s="191">
        <f>'Unit Mix-Reno Schedule'!AX38</f>
        <v>320.65015654999263</v>
      </c>
      <c r="S24" s="191">
        <f>'Unit Mix-Reno Schedule'!AY38</f>
        <v>336.6826643774923</v>
      </c>
      <c r="T24" s="191">
        <f>'Unit Mix-Reno Schedule'!AZ38</f>
        <v>336.6826643774923</v>
      </c>
      <c r="U24" s="191">
        <f>'Unit Mix-Reno Schedule'!BA38</f>
        <v>336.6826643774923</v>
      </c>
      <c r="V24" s="191">
        <f>'Unit Mix-Reno Schedule'!BB38</f>
        <v>336.6826643774923</v>
      </c>
      <c r="W24" s="191">
        <f>'Unit Mix-Reno Schedule'!BC38</f>
        <v>336.6826643774923</v>
      </c>
      <c r="X24" s="191">
        <f>'Unit Mix-Reno Schedule'!BD38</f>
        <v>336.6826643774923</v>
      </c>
      <c r="Y24" s="191">
        <f>'Unit Mix-Reno Schedule'!BE38</f>
        <v>336.6826643774923</v>
      </c>
      <c r="Z24" s="191">
        <f>'Unit Mix-Reno Schedule'!BF38</f>
        <v>336.6826643774923</v>
      </c>
      <c r="AA24" s="191">
        <f>'Unit Mix-Reno Schedule'!BG38</f>
        <v>336.6826643774923</v>
      </c>
      <c r="AB24" s="191">
        <f>'Unit Mix-Reno Schedule'!BH38</f>
        <v>336.6826643774923</v>
      </c>
      <c r="AC24" s="191">
        <f>'Unit Mix-Reno Schedule'!BI38</f>
        <v>336.6826643774923</v>
      </c>
      <c r="AD24" s="191">
        <f>'Unit Mix-Reno Schedule'!BJ38</f>
        <v>336.6826643774923</v>
      </c>
      <c r="AE24" s="191">
        <f>'Unit Mix-Reno Schedule'!BK38</f>
        <v>353.51679759636693</v>
      </c>
      <c r="AF24" s="191">
        <f>'Unit Mix-Reno Schedule'!BL38</f>
        <v>353.51679759636693</v>
      </c>
      <c r="AG24" s="191">
        <f>'Unit Mix-Reno Schedule'!BM38</f>
        <v>353.51679759636693</v>
      </c>
      <c r="AH24" s="191">
        <f>'Unit Mix-Reno Schedule'!BN38</f>
        <v>353.51679759636693</v>
      </c>
      <c r="AI24" s="191">
        <f>'Unit Mix-Reno Schedule'!BO38</f>
        <v>353.51679759636693</v>
      </c>
      <c r="AJ24" s="191">
        <f>'Unit Mix-Reno Schedule'!BP38</f>
        <v>353.51679759636693</v>
      </c>
      <c r="AK24" s="191">
        <f>'Unit Mix-Reno Schedule'!BQ38</f>
        <v>353.51679759636693</v>
      </c>
      <c r="AL24" s="191">
        <f>'Unit Mix-Reno Schedule'!BR38</f>
        <v>353.51679759636693</v>
      </c>
      <c r="AM24" s="191">
        <f>'Unit Mix-Reno Schedule'!BS38</f>
        <v>353.51679759636693</v>
      </c>
      <c r="AN24" s="191">
        <f>'Unit Mix-Reno Schedule'!BT38</f>
        <v>353.51679759636693</v>
      </c>
      <c r="AO24" s="191">
        <f>'Unit Mix-Reno Schedule'!BU38</f>
        <v>353.51679759636693</v>
      </c>
      <c r="AP24" s="191">
        <f>'Unit Mix-Reno Schedule'!BV38</f>
        <v>353.51679759636693</v>
      </c>
      <c r="AQ24" s="191">
        <f>'Unit Mix-Reno Schedule'!BW38</f>
        <v>367.65746950022162</v>
      </c>
      <c r="AR24" s="191">
        <f>'Unit Mix-Reno Schedule'!BX38</f>
        <v>367.65746950022162</v>
      </c>
      <c r="AS24" s="191">
        <f>'Unit Mix-Reno Schedule'!BY38</f>
        <v>367.65746950022162</v>
      </c>
      <c r="AT24" s="191">
        <f>'Unit Mix-Reno Schedule'!BZ38</f>
        <v>367.65746950022162</v>
      </c>
      <c r="AU24" s="191">
        <f>'Unit Mix-Reno Schedule'!CA38</f>
        <v>367.65746950022162</v>
      </c>
      <c r="AV24" s="191">
        <f>'Unit Mix-Reno Schedule'!CB38</f>
        <v>367.65746950022162</v>
      </c>
      <c r="AW24" s="191">
        <f>'Unit Mix-Reno Schedule'!CC38</f>
        <v>367.65746950022162</v>
      </c>
      <c r="AX24" s="191">
        <f>'Unit Mix-Reno Schedule'!CD38</f>
        <v>367.65746950022162</v>
      </c>
      <c r="AY24" s="191">
        <f>'Unit Mix-Reno Schedule'!CE38</f>
        <v>367.65746950022162</v>
      </c>
      <c r="AZ24" s="191">
        <f>'Unit Mix-Reno Schedule'!CF38</f>
        <v>367.65746950022162</v>
      </c>
      <c r="BA24" s="191">
        <f>'Unit Mix-Reno Schedule'!CG38</f>
        <v>367.65746950022162</v>
      </c>
      <c r="BB24" s="191">
        <f>'Unit Mix-Reno Schedule'!CH38</f>
        <v>367.65746950022162</v>
      </c>
      <c r="BC24" s="191">
        <f>'Unit Mix-Reno Schedule'!CI38</f>
        <v>382.36376828023049</v>
      </c>
      <c r="BD24" s="191">
        <f>'Unit Mix-Reno Schedule'!CJ38</f>
        <v>382.36376828023049</v>
      </c>
      <c r="BE24" s="191">
        <f>'Unit Mix-Reno Schedule'!CK38</f>
        <v>382.36376828023049</v>
      </c>
      <c r="BF24" s="191">
        <f>'Unit Mix-Reno Schedule'!CL38</f>
        <v>382.36376828023049</v>
      </c>
      <c r="BG24" s="191">
        <f>'Unit Mix-Reno Schedule'!CM38</f>
        <v>382.36376828023049</v>
      </c>
      <c r="BH24" s="191">
        <f>'Unit Mix-Reno Schedule'!CN38</f>
        <v>382.36376828023049</v>
      </c>
      <c r="BI24" s="191">
        <f>'Unit Mix-Reno Schedule'!CO38</f>
        <v>382.36376828023049</v>
      </c>
      <c r="BJ24" s="191">
        <f>'Unit Mix-Reno Schedule'!CP38</f>
        <v>382.36376828023049</v>
      </c>
      <c r="BK24" s="191">
        <f>'Unit Mix-Reno Schedule'!CQ38</f>
        <v>382.36376828023049</v>
      </c>
      <c r="BL24" s="191">
        <f>'Unit Mix-Reno Schedule'!CR38</f>
        <v>382.36376828023049</v>
      </c>
      <c r="BM24" s="191">
        <f>'Unit Mix-Reno Schedule'!CS38</f>
        <v>382.36376828023049</v>
      </c>
      <c r="BN24" s="191">
        <f>'Unit Mix-Reno Schedule'!CT38</f>
        <v>382.36376828023049</v>
      </c>
      <c r="BO24" s="191">
        <f>'Unit Mix-Reno Schedule'!CU38</f>
        <v>397.65831901143974</v>
      </c>
      <c r="BP24" s="191">
        <f>'Unit Mix-Reno Schedule'!CV38</f>
        <v>397.65831901143974</v>
      </c>
      <c r="BQ24" s="191">
        <f>'Unit Mix-Reno Schedule'!CW38</f>
        <v>397.65831901143974</v>
      </c>
      <c r="BR24" s="191">
        <f>'Unit Mix-Reno Schedule'!CX38</f>
        <v>397.65831901143974</v>
      </c>
      <c r="BS24" s="191">
        <f>'Unit Mix-Reno Schedule'!CY38</f>
        <v>397.65831901143974</v>
      </c>
      <c r="BT24" s="191">
        <f>'Unit Mix-Reno Schedule'!CZ38</f>
        <v>397.65831901143974</v>
      </c>
      <c r="BU24" s="191">
        <f>'Unit Mix-Reno Schedule'!DA38</f>
        <v>397.65831901143974</v>
      </c>
      <c r="BV24" s="191">
        <f>'Unit Mix-Reno Schedule'!DB38</f>
        <v>397.65831901143974</v>
      </c>
      <c r="BW24" s="191">
        <f>'Unit Mix-Reno Schedule'!DC38</f>
        <v>397.65831901143974</v>
      </c>
      <c r="BX24" s="191">
        <f>'Unit Mix-Reno Schedule'!DD38</f>
        <v>397.65831901143974</v>
      </c>
      <c r="BY24" s="191">
        <f>'Unit Mix-Reno Schedule'!DE38</f>
        <v>397.65831901143974</v>
      </c>
      <c r="BZ24" s="191">
        <f>'Unit Mix-Reno Schedule'!DF38</f>
        <v>397.65831901143974</v>
      </c>
      <c r="CA24" s="191">
        <f>'Unit Mix-Reno Schedule'!DG38</f>
        <v>413.56465177189733</v>
      </c>
      <c r="CB24" s="191">
        <f>'Unit Mix-Reno Schedule'!DH38</f>
        <v>413.56465177189733</v>
      </c>
      <c r="CC24" s="191">
        <f>'Unit Mix-Reno Schedule'!DI38</f>
        <v>413.56465177189733</v>
      </c>
      <c r="CD24" s="191">
        <f>'Unit Mix-Reno Schedule'!DJ38</f>
        <v>413.56465177189733</v>
      </c>
      <c r="CE24" s="191">
        <f>'Unit Mix-Reno Schedule'!DK38</f>
        <v>413.56465177189733</v>
      </c>
      <c r="CF24" s="191">
        <f>'Unit Mix-Reno Schedule'!DL38</f>
        <v>413.56465177189733</v>
      </c>
      <c r="CG24" s="191">
        <f>'Unit Mix-Reno Schedule'!DM38</f>
        <v>413.56465177189733</v>
      </c>
      <c r="CH24" s="191">
        <f>'Unit Mix-Reno Schedule'!DN38</f>
        <v>413.56465177189733</v>
      </c>
      <c r="CI24" s="191">
        <f>'Unit Mix-Reno Schedule'!DO38</f>
        <v>413.56465177189733</v>
      </c>
      <c r="CJ24" s="191">
        <f>'Unit Mix-Reno Schedule'!DP38</f>
        <v>413.56465177189733</v>
      </c>
      <c r="CK24" s="191">
        <f>'Unit Mix-Reno Schedule'!DQ38</f>
        <v>413.56465177189733</v>
      </c>
      <c r="CL24" s="191">
        <f>'Unit Mix-Reno Schedule'!DR38</f>
        <v>413.56465177189733</v>
      </c>
      <c r="CM24" s="191">
        <f>'Unit Mix-Reno Schedule'!DS38</f>
        <v>430.10723784277326</v>
      </c>
      <c r="CN24" s="191">
        <f>'Unit Mix-Reno Schedule'!DT38</f>
        <v>430.10723784277326</v>
      </c>
      <c r="CO24" s="191">
        <f>'Unit Mix-Reno Schedule'!DU38</f>
        <v>430.10723784277326</v>
      </c>
      <c r="CP24" s="191">
        <f>'Unit Mix-Reno Schedule'!DV38</f>
        <v>430.10723784277326</v>
      </c>
      <c r="CQ24" s="191">
        <f>'Unit Mix-Reno Schedule'!DW38</f>
        <v>430.10723784277326</v>
      </c>
      <c r="CR24" s="191">
        <f>'Unit Mix-Reno Schedule'!DX38</f>
        <v>430.10723784277326</v>
      </c>
      <c r="CS24" s="191">
        <f>'Unit Mix-Reno Schedule'!DY38</f>
        <v>430.10723784277326</v>
      </c>
      <c r="CT24" s="191">
        <f>'Unit Mix-Reno Schedule'!DZ38</f>
        <v>430.10723784277326</v>
      </c>
      <c r="CU24" s="191">
        <f>'Unit Mix-Reno Schedule'!EA38</f>
        <v>430.10723784277326</v>
      </c>
      <c r="CV24" s="191">
        <f>'Unit Mix-Reno Schedule'!EB38</f>
        <v>430.10723784277326</v>
      </c>
      <c r="CW24" s="191">
        <f>'Unit Mix-Reno Schedule'!EC38</f>
        <v>430.10723784277326</v>
      </c>
      <c r="CX24" s="191">
        <f>'Unit Mix-Reno Schedule'!ED38</f>
        <v>430.10723784277326</v>
      </c>
      <c r="CY24" s="191">
        <f>'Unit Mix-Reno Schedule'!EE38</f>
        <v>447.31152735648419</v>
      </c>
      <c r="CZ24" s="191">
        <f>'Unit Mix-Reno Schedule'!EF38</f>
        <v>447.31152735648419</v>
      </c>
      <c r="DA24" s="191">
        <f>'Unit Mix-Reno Schedule'!EG38</f>
        <v>447.31152735648419</v>
      </c>
      <c r="DB24" s="191">
        <f>'Unit Mix-Reno Schedule'!EH38</f>
        <v>447.31152735648419</v>
      </c>
      <c r="DC24" s="191">
        <f>'Unit Mix-Reno Schedule'!EI38</f>
        <v>447.31152735648419</v>
      </c>
      <c r="DD24" s="191">
        <f>'Unit Mix-Reno Schedule'!EJ38</f>
        <v>447.31152735648419</v>
      </c>
      <c r="DE24" s="191">
        <f>'Unit Mix-Reno Schedule'!EK38</f>
        <v>447.31152735648419</v>
      </c>
      <c r="DF24" s="191">
        <f>'Unit Mix-Reno Schedule'!EL38</f>
        <v>447.31152735648419</v>
      </c>
      <c r="DG24" s="191">
        <f>'Unit Mix-Reno Schedule'!EM38</f>
        <v>447.31152735648419</v>
      </c>
      <c r="DH24" s="191">
        <f>'Unit Mix-Reno Schedule'!EN38</f>
        <v>447.31152735648419</v>
      </c>
      <c r="DI24" s="191">
        <f>'Unit Mix-Reno Schedule'!EO38</f>
        <v>447.31152735648419</v>
      </c>
      <c r="DJ24" s="191">
        <f>'Unit Mix-Reno Schedule'!EP38</f>
        <v>447.31152735648419</v>
      </c>
      <c r="DK24" s="191">
        <f>'Unit Mix-Reno Schedule'!EQ38</f>
        <v>460.73087317717875</v>
      </c>
      <c r="DL24" s="191">
        <f>'Unit Mix-Reno Schedule'!ER38</f>
        <v>460.73087317717875</v>
      </c>
      <c r="DM24" s="191">
        <f>'Unit Mix-Reno Schedule'!ES38</f>
        <v>460.73087317717875</v>
      </c>
      <c r="DN24" s="191">
        <f>'Unit Mix-Reno Schedule'!ET38</f>
        <v>460.73087317717875</v>
      </c>
      <c r="DO24" s="191">
        <f>'Unit Mix-Reno Schedule'!EU38</f>
        <v>460.73087317717875</v>
      </c>
      <c r="DP24" s="191">
        <f>'Unit Mix-Reno Schedule'!EV38</f>
        <v>460.73087317717875</v>
      </c>
      <c r="DQ24" s="191">
        <f>'Unit Mix-Reno Schedule'!EW38</f>
        <v>460.73087317717875</v>
      </c>
      <c r="DR24" s="191">
        <f>'Unit Mix-Reno Schedule'!EX38</f>
        <v>460.73087317717875</v>
      </c>
      <c r="DS24" s="191">
        <f>'Unit Mix-Reno Schedule'!EY38</f>
        <v>460.73087317717875</v>
      </c>
      <c r="DT24" s="191">
        <f>'Unit Mix-Reno Schedule'!EZ38</f>
        <v>460.73087317717875</v>
      </c>
      <c r="DU24" s="191">
        <f>'Unit Mix-Reno Schedule'!FA38</f>
        <v>460.73087317717875</v>
      </c>
      <c r="DV24" s="191">
        <f>'Unit Mix-Reno Schedule'!FB38</f>
        <v>460.73087317717875</v>
      </c>
      <c r="DW24" s="191">
        <f>'Unit Mix-Reno Schedule'!FC38</f>
        <v>474.55279937249412</v>
      </c>
      <c r="DX24" s="191">
        <f>'Unit Mix-Reno Schedule'!FD38</f>
        <v>474.55279937249412</v>
      </c>
      <c r="DY24" s="191">
        <f>'Unit Mix-Reno Schedule'!FE38</f>
        <v>474.55279937249412</v>
      </c>
      <c r="DZ24" s="191">
        <f>'Unit Mix-Reno Schedule'!FF38</f>
        <v>474.55279937249412</v>
      </c>
      <c r="EA24" s="191">
        <f>'Unit Mix-Reno Schedule'!FG38</f>
        <v>474.55279937249412</v>
      </c>
      <c r="EB24" s="191">
        <f>'Unit Mix-Reno Schedule'!FH38</f>
        <v>474.55279937249412</v>
      </c>
      <c r="EC24" s="191">
        <f>'Unit Mix-Reno Schedule'!FI38</f>
        <v>474.55279937249412</v>
      </c>
      <c r="ED24" s="191">
        <f>'Unit Mix-Reno Schedule'!FJ38</f>
        <v>474.55279937249412</v>
      </c>
      <c r="EE24" s="191">
        <f>'Unit Mix-Reno Schedule'!FK38</f>
        <v>474.55279937249412</v>
      </c>
      <c r="EF24" s="191">
        <f>'Unit Mix-Reno Schedule'!FL38</f>
        <v>474.55279937249412</v>
      </c>
      <c r="EG24" s="191">
        <f>'Unit Mix-Reno Schedule'!FM38</f>
        <v>474.55279937249412</v>
      </c>
      <c r="EH24" s="191">
        <f>'Unit Mix-Reno Schedule'!FN38</f>
        <v>474.55279937249412</v>
      </c>
      <c r="EI24" s="306" t="s">
        <v>243</v>
      </c>
    </row>
    <row r="25" spans="1:139" s="180" customFormat="1" x14ac:dyDescent="0.2">
      <c r="B25" s="158"/>
      <c r="C25" s="158"/>
      <c r="D25" s="158"/>
      <c r="E25" s="158"/>
      <c r="EI25" s="301" t="s">
        <v>243</v>
      </c>
    </row>
    <row r="26" spans="1:139" s="180" customFormat="1" ht="15" thickBot="1" x14ac:dyDescent="0.25">
      <c r="B26" s="299" t="s">
        <v>86</v>
      </c>
      <c r="C26" s="299"/>
      <c r="D26" s="300" t="s">
        <v>794</v>
      </c>
      <c r="E26" s="307" t="s">
        <v>852</v>
      </c>
      <c r="F26" s="299"/>
      <c r="G26" s="299"/>
      <c r="H26" s="299"/>
      <c r="I26" s="299"/>
      <c r="J26" s="299"/>
      <c r="K26" s="299"/>
      <c r="L26" s="299"/>
      <c r="M26" s="299"/>
      <c r="N26" s="299"/>
      <c r="O26" s="299"/>
      <c r="P26" s="299"/>
      <c r="Q26" s="299"/>
      <c r="R26" s="299"/>
      <c r="S26" s="299"/>
      <c r="T26" s="299"/>
      <c r="U26" s="299"/>
      <c r="V26" s="299"/>
      <c r="W26" s="299"/>
      <c r="X26" s="299"/>
      <c r="Y26" s="299"/>
      <c r="Z26" s="299"/>
      <c r="AA26" s="299"/>
      <c r="AB26" s="299"/>
      <c r="AC26" s="299"/>
      <c r="AD26" s="299"/>
      <c r="AE26" s="299"/>
      <c r="AF26" s="299"/>
      <c r="AG26" s="299"/>
      <c r="AH26" s="299"/>
      <c r="AI26" s="299"/>
      <c r="AJ26" s="299"/>
      <c r="AK26" s="299"/>
      <c r="AL26" s="299"/>
      <c r="AM26" s="299"/>
      <c r="AN26" s="299"/>
      <c r="AO26" s="299"/>
      <c r="AP26" s="299"/>
      <c r="AQ26" s="299"/>
      <c r="AR26" s="299"/>
      <c r="AS26" s="299"/>
      <c r="AT26" s="299"/>
      <c r="AU26" s="299"/>
      <c r="AV26" s="299"/>
      <c r="AW26" s="299"/>
      <c r="AX26" s="299"/>
      <c r="AY26" s="299"/>
      <c r="AZ26" s="299"/>
      <c r="BA26" s="299"/>
      <c r="BB26" s="299"/>
      <c r="BC26" s="299"/>
      <c r="BD26" s="299"/>
      <c r="BE26" s="299"/>
      <c r="BF26" s="299"/>
      <c r="BG26" s="299"/>
      <c r="BH26" s="299"/>
      <c r="BI26" s="299"/>
      <c r="BJ26" s="299"/>
      <c r="BK26" s="299"/>
      <c r="BL26" s="299"/>
      <c r="BM26" s="299"/>
      <c r="BN26" s="299"/>
      <c r="BO26" s="299"/>
      <c r="BP26" s="299"/>
      <c r="BQ26" s="299"/>
      <c r="BR26" s="299"/>
      <c r="BS26" s="299"/>
      <c r="BT26" s="299"/>
      <c r="BU26" s="299"/>
      <c r="BV26" s="299"/>
      <c r="BW26" s="299"/>
      <c r="BX26" s="299"/>
      <c r="BY26" s="299"/>
      <c r="BZ26" s="299"/>
      <c r="CA26" s="299"/>
      <c r="CB26" s="299"/>
      <c r="CC26" s="299"/>
      <c r="CD26" s="299"/>
      <c r="CE26" s="299"/>
      <c r="CF26" s="299"/>
      <c r="CG26" s="299"/>
      <c r="CH26" s="299"/>
      <c r="CI26" s="299"/>
      <c r="CJ26" s="299"/>
      <c r="CK26" s="299"/>
      <c r="CL26" s="299"/>
      <c r="CM26" s="299"/>
      <c r="CN26" s="299"/>
      <c r="CO26" s="299"/>
      <c r="CP26" s="299"/>
      <c r="CQ26" s="299"/>
      <c r="CR26" s="299"/>
      <c r="CS26" s="299"/>
      <c r="CT26" s="299"/>
      <c r="CU26" s="299"/>
      <c r="CV26" s="299"/>
      <c r="CW26" s="299"/>
      <c r="CX26" s="299"/>
      <c r="CY26" s="299"/>
      <c r="CZ26" s="299"/>
      <c r="DA26" s="299"/>
      <c r="DB26" s="299"/>
      <c r="DC26" s="299"/>
      <c r="DD26" s="299"/>
      <c r="DE26" s="299"/>
      <c r="DF26" s="299"/>
      <c r="DG26" s="299"/>
      <c r="DH26" s="299"/>
      <c r="DI26" s="299"/>
      <c r="DJ26" s="299"/>
      <c r="DK26" s="299"/>
      <c r="DL26" s="299"/>
      <c r="DM26" s="299"/>
      <c r="DN26" s="299"/>
      <c r="DO26" s="299"/>
      <c r="DP26" s="299"/>
      <c r="DQ26" s="299"/>
      <c r="DR26" s="299"/>
      <c r="DS26" s="299"/>
      <c r="DT26" s="299"/>
      <c r="DU26" s="299"/>
      <c r="DV26" s="299"/>
      <c r="DW26" s="299"/>
      <c r="DX26" s="299"/>
      <c r="DY26" s="299"/>
      <c r="DZ26" s="299"/>
      <c r="EA26" s="299"/>
      <c r="EB26" s="299"/>
      <c r="EC26" s="299"/>
      <c r="ED26" s="299"/>
      <c r="EE26" s="299"/>
      <c r="EF26" s="299"/>
      <c r="EG26" s="299"/>
      <c r="EH26" s="299"/>
      <c r="EI26" s="158" t="s">
        <v>243</v>
      </c>
    </row>
    <row r="27" spans="1:139" s="217" customFormat="1" x14ac:dyDescent="0.2">
      <c r="B27" s="258" t="s">
        <v>690</v>
      </c>
      <c r="C27" s="209"/>
      <c r="D27" s="308">
        <f>SUMIF($F$4:$EH$4,"&lt;="&amp;HoldPeriod,$F27:$EH27)</f>
        <v>22444369.134844817</v>
      </c>
      <c r="E27" s="309">
        <f>Financials!AL9</f>
        <v>321310</v>
      </c>
      <c r="F27" s="217">
        <v>0</v>
      </c>
      <c r="G27" s="217">
        <f>IF(G4&gt;HoldPeriod+12,0,G23*units)</f>
        <v>340588.60000000003</v>
      </c>
      <c r="H27" s="217">
        <f>IF(H4&gt;HoldPeriod+12,0,H23*units)</f>
        <v>340588.60000000003</v>
      </c>
      <c r="I27" s="217">
        <f>IF(I4&gt;HoldPeriod+12,0,I23*units)</f>
        <v>340588.60000000003</v>
      </c>
      <c r="J27" s="217">
        <f t="shared" ref="J27:AL27" si="38">IF(J4&gt;HoldPeriod+12,0,J23*units)</f>
        <v>340588.60000000003</v>
      </c>
      <c r="K27" s="217">
        <f t="shared" si="38"/>
        <v>340588.60000000003</v>
      </c>
      <c r="L27" s="217">
        <f t="shared" si="38"/>
        <v>340588.60000000003</v>
      </c>
      <c r="M27" s="217">
        <f t="shared" si="38"/>
        <v>340588.60000000003</v>
      </c>
      <c r="N27" s="217">
        <f t="shared" si="38"/>
        <v>340588.60000000003</v>
      </c>
      <c r="O27" s="217">
        <f t="shared" si="38"/>
        <v>340588.60000000003</v>
      </c>
      <c r="P27" s="217">
        <f t="shared" si="38"/>
        <v>340588.60000000003</v>
      </c>
      <c r="Q27" s="217">
        <f t="shared" si="38"/>
        <v>340588.60000000003</v>
      </c>
      <c r="R27" s="217">
        <f t="shared" si="38"/>
        <v>340588.60000000003</v>
      </c>
      <c r="S27" s="217">
        <f t="shared" si="38"/>
        <v>357618.03</v>
      </c>
      <c r="T27" s="217">
        <f t="shared" si="38"/>
        <v>357618.03</v>
      </c>
      <c r="U27" s="217">
        <f t="shared" si="38"/>
        <v>357618.03</v>
      </c>
      <c r="V27" s="217">
        <f t="shared" si="38"/>
        <v>357618.03</v>
      </c>
      <c r="W27" s="217">
        <f t="shared" si="38"/>
        <v>357618.03</v>
      </c>
      <c r="X27" s="217">
        <f t="shared" si="38"/>
        <v>357618.03</v>
      </c>
      <c r="Y27" s="217">
        <f t="shared" si="38"/>
        <v>357618.03</v>
      </c>
      <c r="Z27" s="217">
        <f t="shared" si="38"/>
        <v>357618.03</v>
      </c>
      <c r="AA27" s="217">
        <f t="shared" si="38"/>
        <v>357618.03</v>
      </c>
      <c r="AB27" s="217">
        <f t="shared" si="38"/>
        <v>357618.03</v>
      </c>
      <c r="AC27" s="217">
        <f t="shared" si="38"/>
        <v>357618.03</v>
      </c>
      <c r="AD27" s="217">
        <f t="shared" si="38"/>
        <v>357618.03</v>
      </c>
      <c r="AE27" s="217">
        <f t="shared" si="38"/>
        <v>375498.93150000006</v>
      </c>
      <c r="AF27" s="217">
        <f t="shared" si="38"/>
        <v>375498.93150000006</v>
      </c>
      <c r="AG27" s="217">
        <f t="shared" si="38"/>
        <v>375498.93150000006</v>
      </c>
      <c r="AH27" s="217">
        <f t="shared" si="38"/>
        <v>375498.93150000006</v>
      </c>
      <c r="AI27" s="217">
        <f t="shared" si="38"/>
        <v>375498.93150000006</v>
      </c>
      <c r="AJ27" s="217">
        <f t="shared" si="38"/>
        <v>375498.93150000006</v>
      </c>
      <c r="AK27" s="217">
        <f t="shared" si="38"/>
        <v>375498.93150000006</v>
      </c>
      <c r="AL27" s="217">
        <f t="shared" si="38"/>
        <v>375498.93150000006</v>
      </c>
      <c r="AM27" s="217">
        <f t="shared" ref="AM27:BR27" si="39">IF(AM4&gt;HoldPeriod+12,0,AM23*units)</f>
        <v>375498.93150000006</v>
      </c>
      <c r="AN27" s="217">
        <f t="shared" si="39"/>
        <v>375498.93150000006</v>
      </c>
      <c r="AO27" s="217">
        <f t="shared" si="39"/>
        <v>375498.93150000006</v>
      </c>
      <c r="AP27" s="217">
        <f t="shared" si="39"/>
        <v>375498.93150000006</v>
      </c>
      <c r="AQ27" s="217">
        <f t="shared" si="39"/>
        <v>390518.88876000012</v>
      </c>
      <c r="AR27" s="217">
        <f t="shared" si="39"/>
        <v>390518.88876000012</v>
      </c>
      <c r="AS27" s="217">
        <f t="shared" si="39"/>
        <v>390518.88876000012</v>
      </c>
      <c r="AT27" s="217">
        <f t="shared" si="39"/>
        <v>390518.88876000012</v>
      </c>
      <c r="AU27" s="217">
        <f t="shared" si="39"/>
        <v>390518.88876000012</v>
      </c>
      <c r="AV27" s="217">
        <f t="shared" si="39"/>
        <v>390518.88876000012</v>
      </c>
      <c r="AW27" s="217">
        <f t="shared" si="39"/>
        <v>390518.88876000012</v>
      </c>
      <c r="AX27" s="217">
        <f t="shared" si="39"/>
        <v>390518.88876000012</v>
      </c>
      <c r="AY27" s="217">
        <f t="shared" si="39"/>
        <v>390518.88876000012</v>
      </c>
      <c r="AZ27" s="217">
        <f t="shared" si="39"/>
        <v>390518.88876000012</v>
      </c>
      <c r="BA27" s="217">
        <f t="shared" si="39"/>
        <v>390518.88876000012</v>
      </c>
      <c r="BB27" s="217">
        <f t="shared" si="39"/>
        <v>390518.88876000012</v>
      </c>
      <c r="BC27" s="217">
        <f t="shared" si="39"/>
        <v>406139.64431040012</v>
      </c>
      <c r="BD27" s="217">
        <f t="shared" si="39"/>
        <v>406139.64431040012</v>
      </c>
      <c r="BE27" s="217">
        <f t="shared" si="39"/>
        <v>406139.64431040012</v>
      </c>
      <c r="BF27" s="217">
        <f t="shared" si="39"/>
        <v>406139.64431040012</v>
      </c>
      <c r="BG27" s="217">
        <f t="shared" si="39"/>
        <v>406139.64431040012</v>
      </c>
      <c r="BH27" s="217">
        <f t="shared" si="39"/>
        <v>406139.64431040012</v>
      </c>
      <c r="BI27" s="217">
        <f t="shared" si="39"/>
        <v>406139.64431040012</v>
      </c>
      <c r="BJ27" s="217">
        <f t="shared" si="39"/>
        <v>406139.64431040012</v>
      </c>
      <c r="BK27" s="217">
        <f t="shared" si="39"/>
        <v>406139.64431040012</v>
      </c>
      <c r="BL27" s="217">
        <f t="shared" si="39"/>
        <v>406139.64431040012</v>
      </c>
      <c r="BM27" s="217">
        <f t="shared" si="39"/>
        <v>406139.64431040012</v>
      </c>
      <c r="BN27" s="217">
        <f t="shared" si="39"/>
        <v>406139.64431040012</v>
      </c>
      <c r="BO27" s="217">
        <f t="shared" si="39"/>
        <v>422385.23008281615</v>
      </c>
      <c r="BP27" s="217">
        <f t="shared" si="39"/>
        <v>422385.23008281615</v>
      </c>
      <c r="BQ27" s="217">
        <f t="shared" si="39"/>
        <v>422385.23008281615</v>
      </c>
      <c r="BR27" s="217">
        <f t="shared" si="39"/>
        <v>422385.23008281615</v>
      </c>
      <c r="BS27" s="217">
        <f t="shared" ref="BS27:CX27" si="40">IF(BS4&gt;HoldPeriod+12,0,BS23*units)</f>
        <v>422385.23008281615</v>
      </c>
      <c r="BT27" s="217">
        <f t="shared" si="40"/>
        <v>422385.23008281615</v>
      </c>
      <c r="BU27" s="217">
        <f t="shared" si="40"/>
        <v>422385.23008281615</v>
      </c>
      <c r="BV27" s="217">
        <f t="shared" si="40"/>
        <v>422385.23008281615</v>
      </c>
      <c r="BW27" s="217">
        <f t="shared" si="40"/>
        <v>422385.23008281615</v>
      </c>
      <c r="BX27" s="217">
        <f t="shared" si="40"/>
        <v>422385.23008281615</v>
      </c>
      <c r="BY27" s="217">
        <f t="shared" si="40"/>
        <v>422385.23008281615</v>
      </c>
      <c r="BZ27" s="217">
        <f t="shared" si="40"/>
        <v>422385.23008281615</v>
      </c>
      <c r="CA27" s="217">
        <f t="shared" si="40"/>
        <v>0</v>
      </c>
      <c r="CB27" s="217">
        <f t="shared" si="40"/>
        <v>0</v>
      </c>
      <c r="CC27" s="217">
        <f t="shared" si="40"/>
        <v>0</v>
      </c>
      <c r="CD27" s="217">
        <f t="shared" si="40"/>
        <v>0</v>
      </c>
      <c r="CE27" s="217">
        <f t="shared" si="40"/>
        <v>0</v>
      </c>
      <c r="CF27" s="217">
        <f t="shared" si="40"/>
        <v>0</v>
      </c>
      <c r="CG27" s="217">
        <f t="shared" si="40"/>
        <v>0</v>
      </c>
      <c r="CH27" s="217">
        <f t="shared" si="40"/>
        <v>0</v>
      </c>
      <c r="CI27" s="217">
        <f t="shared" si="40"/>
        <v>0</v>
      </c>
      <c r="CJ27" s="217">
        <f t="shared" si="40"/>
        <v>0</v>
      </c>
      <c r="CK27" s="217">
        <f t="shared" si="40"/>
        <v>0</v>
      </c>
      <c r="CL27" s="217">
        <f t="shared" si="40"/>
        <v>0</v>
      </c>
      <c r="CM27" s="217">
        <f t="shared" si="40"/>
        <v>0</v>
      </c>
      <c r="CN27" s="217">
        <f t="shared" si="40"/>
        <v>0</v>
      </c>
      <c r="CO27" s="217">
        <f t="shared" si="40"/>
        <v>0</v>
      </c>
      <c r="CP27" s="217">
        <f t="shared" si="40"/>
        <v>0</v>
      </c>
      <c r="CQ27" s="217">
        <f t="shared" si="40"/>
        <v>0</v>
      </c>
      <c r="CR27" s="217">
        <f t="shared" si="40"/>
        <v>0</v>
      </c>
      <c r="CS27" s="217">
        <f t="shared" si="40"/>
        <v>0</v>
      </c>
      <c r="CT27" s="217">
        <f t="shared" si="40"/>
        <v>0</v>
      </c>
      <c r="CU27" s="217">
        <f t="shared" si="40"/>
        <v>0</v>
      </c>
      <c r="CV27" s="217">
        <f t="shared" si="40"/>
        <v>0</v>
      </c>
      <c r="CW27" s="217">
        <f t="shared" si="40"/>
        <v>0</v>
      </c>
      <c r="CX27" s="217">
        <f t="shared" si="40"/>
        <v>0</v>
      </c>
      <c r="CY27" s="217">
        <f t="shared" ref="CY27:EH27" si="41">IF(CY4&gt;HoldPeriod+12,0,CY23*units)</f>
        <v>0</v>
      </c>
      <c r="CZ27" s="217">
        <f t="shared" si="41"/>
        <v>0</v>
      </c>
      <c r="DA27" s="217">
        <f t="shared" si="41"/>
        <v>0</v>
      </c>
      <c r="DB27" s="217">
        <f t="shared" si="41"/>
        <v>0</v>
      </c>
      <c r="DC27" s="217">
        <f t="shared" si="41"/>
        <v>0</v>
      </c>
      <c r="DD27" s="217">
        <f t="shared" si="41"/>
        <v>0</v>
      </c>
      <c r="DE27" s="217">
        <f t="shared" si="41"/>
        <v>0</v>
      </c>
      <c r="DF27" s="217">
        <f t="shared" si="41"/>
        <v>0</v>
      </c>
      <c r="DG27" s="217">
        <f t="shared" si="41"/>
        <v>0</v>
      </c>
      <c r="DH27" s="217">
        <f t="shared" si="41"/>
        <v>0</v>
      </c>
      <c r="DI27" s="217">
        <f t="shared" si="41"/>
        <v>0</v>
      </c>
      <c r="DJ27" s="217">
        <f t="shared" si="41"/>
        <v>0</v>
      </c>
      <c r="DK27" s="217">
        <f t="shared" si="41"/>
        <v>0</v>
      </c>
      <c r="DL27" s="217">
        <f t="shared" si="41"/>
        <v>0</v>
      </c>
      <c r="DM27" s="217">
        <f t="shared" si="41"/>
        <v>0</v>
      </c>
      <c r="DN27" s="217">
        <f t="shared" si="41"/>
        <v>0</v>
      </c>
      <c r="DO27" s="217">
        <f t="shared" si="41"/>
        <v>0</v>
      </c>
      <c r="DP27" s="217">
        <f t="shared" si="41"/>
        <v>0</v>
      </c>
      <c r="DQ27" s="217">
        <f t="shared" si="41"/>
        <v>0</v>
      </c>
      <c r="DR27" s="217">
        <f t="shared" si="41"/>
        <v>0</v>
      </c>
      <c r="DS27" s="217">
        <f t="shared" si="41"/>
        <v>0</v>
      </c>
      <c r="DT27" s="217">
        <f t="shared" si="41"/>
        <v>0</v>
      </c>
      <c r="DU27" s="217">
        <f t="shared" si="41"/>
        <v>0</v>
      </c>
      <c r="DV27" s="217">
        <f t="shared" si="41"/>
        <v>0</v>
      </c>
      <c r="DW27" s="217">
        <f t="shared" si="41"/>
        <v>0</v>
      </c>
      <c r="DX27" s="217">
        <f t="shared" si="41"/>
        <v>0</v>
      </c>
      <c r="DY27" s="217">
        <f t="shared" si="41"/>
        <v>0</v>
      </c>
      <c r="DZ27" s="217">
        <f t="shared" si="41"/>
        <v>0</v>
      </c>
      <c r="EA27" s="217">
        <f t="shared" si="41"/>
        <v>0</v>
      </c>
      <c r="EB27" s="217">
        <f t="shared" si="41"/>
        <v>0</v>
      </c>
      <c r="EC27" s="217">
        <f t="shared" si="41"/>
        <v>0</v>
      </c>
      <c r="ED27" s="217">
        <f t="shared" si="41"/>
        <v>0</v>
      </c>
      <c r="EE27" s="217">
        <f t="shared" si="41"/>
        <v>0</v>
      </c>
      <c r="EF27" s="217">
        <f t="shared" si="41"/>
        <v>0</v>
      </c>
      <c r="EG27" s="217">
        <f t="shared" si="41"/>
        <v>0</v>
      </c>
      <c r="EH27" s="217">
        <f t="shared" si="41"/>
        <v>0</v>
      </c>
      <c r="EI27" s="158" t="s">
        <v>243</v>
      </c>
    </row>
    <row r="28" spans="1:139" s="217" customFormat="1" x14ac:dyDescent="0.2">
      <c r="B28" s="258" t="s">
        <v>176</v>
      </c>
      <c r="C28" s="209"/>
      <c r="D28" s="308">
        <f t="shared" ref="D28:D35" ca="1" si="42">SUMIF($F$4:$EH$4,"&lt;="&amp;HoldPeriod,$F28:$EH28)</f>
        <v>3039152.5685896659</v>
      </c>
      <c r="E28" s="309">
        <v>0</v>
      </c>
      <c r="F28" s="217">
        <v>0</v>
      </c>
      <c r="G28" s="217">
        <f t="shared" ref="G28:AL28" ca="1" si="43">IF(G4&gt;HoldPeriod+12,0,G24*G21)</f>
        <v>0</v>
      </c>
      <c r="H28" s="217">
        <f t="shared" ca="1" si="43"/>
        <v>1603.250782749963</v>
      </c>
      <c r="I28" s="217">
        <f ca="1">IF(I4&gt;HoldPeriod+12,0,I24*I21)</f>
        <v>3206.5015654999261</v>
      </c>
      <c r="J28" s="217">
        <f t="shared" ca="1" si="43"/>
        <v>4809.7523482498891</v>
      </c>
      <c r="K28" s="217">
        <f t="shared" ca="1" si="43"/>
        <v>6413.0031309998521</v>
      </c>
      <c r="L28" s="217">
        <f t="shared" ca="1" si="43"/>
        <v>8016.2539137498161</v>
      </c>
      <c r="M28" s="217">
        <f t="shared" ca="1" si="43"/>
        <v>9619.5046964997782</v>
      </c>
      <c r="N28" s="217">
        <f t="shared" ca="1" si="43"/>
        <v>11222.755479249741</v>
      </c>
      <c r="O28" s="217">
        <f t="shared" ca="1" si="43"/>
        <v>12826.006261999704</v>
      </c>
      <c r="P28" s="217">
        <f t="shared" ca="1" si="43"/>
        <v>14429.257044749669</v>
      </c>
      <c r="Q28" s="217">
        <f t="shared" ca="1" si="43"/>
        <v>16032.507827499632</v>
      </c>
      <c r="R28" s="217">
        <f t="shared" ca="1" si="43"/>
        <v>17635.758610249595</v>
      </c>
      <c r="S28" s="217">
        <f t="shared" ca="1" si="43"/>
        <v>20200.959862649539</v>
      </c>
      <c r="T28" s="217">
        <f t="shared" ca="1" si="43"/>
        <v>22894.421177669476</v>
      </c>
      <c r="U28" s="217">
        <f t="shared" ca="1" si="43"/>
        <v>25587.882492689416</v>
      </c>
      <c r="V28" s="217">
        <f t="shared" ca="1" si="43"/>
        <v>28281.343807709352</v>
      </c>
      <c r="W28" s="217">
        <f t="shared" ca="1" si="43"/>
        <v>30974.805122729293</v>
      </c>
      <c r="X28" s="217">
        <f t="shared" ca="1" si="43"/>
        <v>33668.266437749233</v>
      </c>
      <c r="Y28" s="217">
        <f t="shared" ca="1" si="43"/>
        <v>36361.727752769169</v>
      </c>
      <c r="Z28" s="217">
        <f t="shared" ca="1" si="43"/>
        <v>39055.189067789106</v>
      </c>
      <c r="AA28" s="217">
        <f t="shared" ca="1" si="43"/>
        <v>41411.967718431551</v>
      </c>
      <c r="AB28" s="217">
        <f t="shared" ca="1" si="43"/>
        <v>43768.746369073997</v>
      </c>
      <c r="AC28" s="217">
        <f t="shared" ca="1" si="43"/>
        <v>46125.525019716442</v>
      </c>
      <c r="AD28" s="217">
        <f t="shared" ca="1" si="43"/>
        <v>48482.303670358888</v>
      </c>
      <c r="AE28" s="217">
        <f t="shared" ca="1" si="43"/>
        <v>53381.036437051407</v>
      </c>
      <c r="AF28" s="217">
        <f t="shared" ca="1" si="43"/>
        <v>55855.654020225971</v>
      </c>
      <c r="AG28" s="217">
        <f t="shared" ca="1" si="43"/>
        <v>58330.271603400543</v>
      </c>
      <c r="AH28" s="217">
        <f t="shared" ca="1" si="43"/>
        <v>60097.85559138238</v>
      </c>
      <c r="AI28" s="217">
        <f t="shared" ca="1" si="43"/>
        <v>61865.439579364211</v>
      </c>
      <c r="AJ28" s="217">
        <f t="shared" ca="1" si="43"/>
        <v>63633.023567346048</v>
      </c>
      <c r="AK28" s="217">
        <f t="shared" ca="1" si="43"/>
        <v>65400.607555327879</v>
      </c>
      <c r="AL28" s="217">
        <f t="shared" ca="1" si="43"/>
        <v>67168.191543309717</v>
      </c>
      <c r="AM28" s="217">
        <f t="shared" ref="AM28:BR28" ca="1" si="44">IF(AM4&gt;HoldPeriod+12,0,AM24*AM21)</f>
        <v>68935.775531291554</v>
      </c>
      <c r="AN28" s="217">
        <f t="shared" ca="1" si="44"/>
        <v>68935.775531291554</v>
      </c>
      <c r="AO28" s="217">
        <f t="shared" ca="1" si="44"/>
        <v>68935.775531291554</v>
      </c>
      <c r="AP28" s="217">
        <f t="shared" ca="1" si="44"/>
        <v>68935.775531291554</v>
      </c>
      <c r="AQ28" s="217">
        <f t="shared" ca="1" si="44"/>
        <v>71693.206552543212</v>
      </c>
      <c r="AR28" s="217">
        <f t="shared" ca="1" si="44"/>
        <v>71693.206552543212</v>
      </c>
      <c r="AS28" s="217">
        <f t="shared" ca="1" si="44"/>
        <v>71693.206552543212</v>
      </c>
      <c r="AT28" s="217">
        <f t="shared" ca="1" si="44"/>
        <v>71693.206552543212</v>
      </c>
      <c r="AU28" s="217">
        <f t="shared" ca="1" si="44"/>
        <v>71693.206552543212</v>
      </c>
      <c r="AV28" s="217">
        <f t="shared" ca="1" si="44"/>
        <v>71693.206552543212</v>
      </c>
      <c r="AW28" s="217">
        <f t="shared" ca="1" si="44"/>
        <v>71693.206552543212</v>
      </c>
      <c r="AX28" s="217">
        <f t="shared" ca="1" si="44"/>
        <v>71693.206552543212</v>
      </c>
      <c r="AY28" s="217">
        <f t="shared" ca="1" si="44"/>
        <v>71693.206552543212</v>
      </c>
      <c r="AZ28" s="217">
        <f t="shared" ca="1" si="44"/>
        <v>71693.206552543212</v>
      </c>
      <c r="BA28" s="217">
        <f t="shared" ca="1" si="44"/>
        <v>71693.206552543212</v>
      </c>
      <c r="BB28" s="217">
        <f t="shared" ca="1" si="44"/>
        <v>71693.206552543212</v>
      </c>
      <c r="BC28" s="217">
        <f t="shared" ca="1" si="44"/>
        <v>74560.934814644948</v>
      </c>
      <c r="BD28" s="217">
        <f t="shared" ca="1" si="44"/>
        <v>74560.934814644948</v>
      </c>
      <c r="BE28" s="217">
        <f t="shared" ca="1" si="44"/>
        <v>74560.934814644948</v>
      </c>
      <c r="BF28" s="217">
        <f t="shared" ca="1" si="44"/>
        <v>74560.934814644948</v>
      </c>
      <c r="BG28" s="217">
        <f t="shared" ca="1" si="44"/>
        <v>74560.934814644948</v>
      </c>
      <c r="BH28" s="217">
        <f t="shared" ca="1" si="44"/>
        <v>74560.934814644948</v>
      </c>
      <c r="BI28" s="217">
        <f t="shared" ca="1" si="44"/>
        <v>74560.934814644948</v>
      </c>
      <c r="BJ28" s="217">
        <f t="shared" ca="1" si="44"/>
        <v>74560.934814644948</v>
      </c>
      <c r="BK28" s="217">
        <f t="shared" ca="1" si="44"/>
        <v>74560.934814644948</v>
      </c>
      <c r="BL28" s="217">
        <f t="shared" ca="1" si="44"/>
        <v>74560.934814644948</v>
      </c>
      <c r="BM28" s="217">
        <f t="shared" ca="1" si="44"/>
        <v>74560.934814644948</v>
      </c>
      <c r="BN28" s="217">
        <f t="shared" ca="1" si="44"/>
        <v>74560.934814644948</v>
      </c>
      <c r="BO28" s="217">
        <f t="shared" ca="1" si="44"/>
        <v>77543.372207230743</v>
      </c>
      <c r="BP28" s="217">
        <f t="shared" ca="1" si="44"/>
        <v>77543.372207230743</v>
      </c>
      <c r="BQ28" s="217">
        <f t="shared" ca="1" si="44"/>
        <v>77543.372207230743</v>
      </c>
      <c r="BR28" s="217">
        <f t="shared" ca="1" si="44"/>
        <v>77543.372207230743</v>
      </c>
      <c r="BS28" s="217">
        <f t="shared" ref="BS28:CX28" ca="1" si="45">IF(BS4&gt;HoldPeriod+12,0,BS24*BS21)</f>
        <v>77543.372207230743</v>
      </c>
      <c r="BT28" s="217">
        <f t="shared" ca="1" si="45"/>
        <v>77543.372207230743</v>
      </c>
      <c r="BU28" s="217">
        <f t="shared" ca="1" si="45"/>
        <v>77543.372207230743</v>
      </c>
      <c r="BV28" s="217">
        <f t="shared" ca="1" si="45"/>
        <v>77543.372207230743</v>
      </c>
      <c r="BW28" s="217">
        <f t="shared" ca="1" si="45"/>
        <v>77543.372207230743</v>
      </c>
      <c r="BX28" s="217">
        <f t="shared" ca="1" si="45"/>
        <v>77543.372207230743</v>
      </c>
      <c r="BY28" s="217">
        <f t="shared" ca="1" si="45"/>
        <v>77543.372207230743</v>
      </c>
      <c r="BZ28" s="217">
        <f t="shared" ca="1" si="45"/>
        <v>77543.372207230743</v>
      </c>
      <c r="CA28" s="217">
        <f t="shared" si="45"/>
        <v>0</v>
      </c>
      <c r="CB28" s="217">
        <f t="shared" si="45"/>
        <v>0</v>
      </c>
      <c r="CC28" s="217">
        <f t="shared" si="45"/>
        <v>0</v>
      </c>
      <c r="CD28" s="217">
        <f t="shared" si="45"/>
        <v>0</v>
      </c>
      <c r="CE28" s="217">
        <f t="shared" si="45"/>
        <v>0</v>
      </c>
      <c r="CF28" s="217">
        <f t="shared" si="45"/>
        <v>0</v>
      </c>
      <c r="CG28" s="217">
        <f t="shared" si="45"/>
        <v>0</v>
      </c>
      <c r="CH28" s="217">
        <f t="shared" si="45"/>
        <v>0</v>
      </c>
      <c r="CI28" s="217">
        <f t="shared" si="45"/>
        <v>0</v>
      </c>
      <c r="CJ28" s="217">
        <f t="shared" si="45"/>
        <v>0</v>
      </c>
      <c r="CK28" s="217">
        <f t="shared" si="45"/>
        <v>0</v>
      </c>
      <c r="CL28" s="217">
        <f t="shared" si="45"/>
        <v>0</v>
      </c>
      <c r="CM28" s="217">
        <f t="shared" si="45"/>
        <v>0</v>
      </c>
      <c r="CN28" s="217">
        <f t="shared" si="45"/>
        <v>0</v>
      </c>
      <c r="CO28" s="217">
        <f t="shared" si="45"/>
        <v>0</v>
      </c>
      <c r="CP28" s="217">
        <f t="shared" si="45"/>
        <v>0</v>
      </c>
      <c r="CQ28" s="217">
        <f t="shared" si="45"/>
        <v>0</v>
      </c>
      <c r="CR28" s="217">
        <f t="shared" si="45"/>
        <v>0</v>
      </c>
      <c r="CS28" s="217">
        <f t="shared" si="45"/>
        <v>0</v>
      </c>
      <c r="CT28" s="217">
        <f t="shared" si="45"/>
        <v>0</v>
      </c>
      <c r="CU28" s="217">
        <f t="shared" si="45"/>
        <v>0</v>
      </c>
      <c r="CV28" s="217">
        <f t="shared" si="45"/>
        <v>0</v>
      </c>
      <c r="CW28" s="217">
        <f t="shared" si="45"/>
        <v>0</v>
      </c>
      <c r="CX28" s="217">
        <f t="shared" si="45"/>
        <v>0</v>
      </c>
      <c r="CY28" s="217">
        <f t="shared" ref="CY28:EH28" si="46">IF(CY4&gt;HoldPeriod+12,0,CY24*CY21)</f>
        <v>0</v>
      </c>
      <c r="CZ28" s="217">
        <f t="shared" si="46"/>
        <v>0</v>
      </c>
      <c r="DA28" s="217">
        <f t="shared" si="46"/>
        <v>0</v>
      </c>
      <c r="DB28" s="217">
        <f t="shared" si="46"/>
        <v>0</v>
      </c>
      <c r="DC28" s="217">
        <f t="shared" si="46"/>
        <v>0</v>
      </c>
      <c r="DD28" s="217">
        <f t="shared" si="46"/>
        <v>0</v>
      </c>
      <c r="DE28" s="217">
        <f t="shared" si="46"/>
        <v>0</v>
      </c>
      <c r="DF28" s="217">
        <f t="shared" si="46"/>
        <v>0</v>
      </c>
      <c r="DG28" s="217">
        <f t="shared" si="46"/>
        <v>0</v>
      </c>
      <c r="DH28" s="217">
        <f t="shared" si="46"/>
        <v>0</v>
      </c>
      <c r="DI28" s="217">
        <f t="shared" si="46"/>
        <v>0</v>
      </c>
      <c r="DJ28" s="217">
        <f t="shared" si="46"/>
        <v>0</v>
      </c>
      <c r="DK28" s="217">
        <f t="shared" si="46"/>
        <v>0</v>
      </c>
      <c r="DL28" s="217">
        <f t="shared" si="46"/>
        <v>0</v>
      </c>
      <c r="DM28" s="217">
        <f t="shared" si="46"/>
        <v>0</v>
      </c>
      <c r="DN28" s="217">
        <f t="shared" si="46"/>
        <v>0</v>
      </c>
      <c r="DO28" s="217">
        <f t="shared" si="46"/>
        <v>0</v>
      </c>
      <c r="DP28" s="217">
        <f t="shared" si="46"/>
        <v>0</v>
      </c>
      <c r="DQ28" s="217">
        <f t="shared" si="46"/>
        <v>0</v>
      </c>
      <c r="DR28" s="217">
        <f t="shared" si="46"/>
        <v>0</v>
      </c>
      <c r="DS28" s="217">
        <f t="shared" si="46"/>
        <v>0</v>
      </c>
      <c r="DT28" s="217">
        <f t="shared" si="46"/>
        <v>0</v>
      </c>
      <c r="DU28" s="217">
        <f t="shared" si="46"/>
        <v>0</v>
      </c>
      <c r="DV28" s="217">
        <f t="shared" si="46"/>
        <v>0</v>
      </c>
      <c r="DW28" s="217">
        <f t="shared" si="46"/>
        <v>0</v>
      </c>
      <c r="DX28" s="217">
        <f t="shared" si="46"/>
        <v>0</v>
      </c>
      <c r="DY28" s="217">
        <f t="shared" si="46"/>
        <v>0</v>
      </c>
      <c r="DZ28" s="217">
        <f t="shared" si="46"/>
        <v>0</v>
      </c>
      <c r="EA28" s="217">
        <f t="shared" si="46"/>
        <v>0</v>
      </c>
      <c r="EB28" s="217">
        <f t="shared" si="46"/>
        <v>0</v>
      </c>
      <c r="EC28" s="217">
        <f t="shared" si="46"/>
        <v>0</v>
      </c>
      <c r="ED28" s="217">
        <f t="shared" si="46"/>
        <v>0</v>
      </c>
      <c r="EE28" s="217">
        <f t="shared" si="46"/>
        <v>0</v>
      </c>
      <c r="EF28" s="217">
        <f t="shared" si="46"/>
        <v>0</v>
      </c>
      <c r="EG28" s="217">
        <f t="shared" si="46"/>
        <v>0</v>
      </c>
      <c r="EH28" s="217">
        <f t="shared" si="46"/>
        <v>0</v>
      </c>
      <c r="EI28" s="158" t="s">
        <v>243</v>
      </c>
    </row>
    <row r="29" spans="1:139" s="262" customFormat="1" x14ac:dyDescent="0.2">
      <c r="B29" s="261" t="s">
        <v>691</v>
      </c>
      <c r="C29" s="283"/>
      <c r="D29" s="310">
        <f t="shared" ca="1" si="42"/>
        <v>25483521.703434493</v>
      </c>
      <c r="E29" s="311">
        <f>SUM(E27:E28)</f>
        <v>321310</v>
      </c>
      <c r="F29" s="264"/>
      <c r="G29" s="264">
        <f ca="1">SUM(G27:G28)</f>
        <v>340588.60000000003</v>
      </c>
      <c r="H29" s="264">
        <f t="shared" ref="H29:BS29" ca="1" si="47">SUM(H27:H28)</f>
        <v>342191.85078275</v>
      </c>
      <c r="I29" s="264">
        <f t="shared" ca="1" si="47"/>
        <v>343795.10156549996</v>
      </c>
      <c r="J29" s="264">
        <f t="shared" ca="1" si="47"/>
        <v>345398.35234824993</v>
      </c>
      <c r="K29" s="264">
        <f t="shared" ca="1" si="47"/>
        <v>347001.60313099989</v>
      </c>
      <c r="L29" s="264">
        <f t="shared" ca="1" si="47"/>
        <v>348604.85391374986</v>
      </c>
      <c r="M29" s="264">
        <f t="shared" ca="1" si="47"/>
        <v>350208.10469649982</v>
      </c>
      <c r="N29" s="264">
        <f t="shared" ca="1" si="47"/>
        <v>351811.35547924979</v>
      </c>
      <c r="O29" s="264">
        <f t="shared" ca="1" si="47"/>
        <v>353414.60626199975</v>
      </c>
      <c r="P29" s="264">
        <f t="shared" ca="1" si="47"/>
        <v>355017.85704474972</v>
      </c>
      <c r="Q29" s="264">
        <f t="shared" ca="1" si="47"/>
        <v>356621.10782749968</v>
      </c>
      <c r="R29" s="264">
        <f t="shared" ca="1" si="47"/>
        <v>358224.35861024965</v>
      </c>
      <c r="S29" s="264">
        <f t="shared" ca="1" si="47"/>
        <v>377818.98986264959</v>
      </c>
      <c r="T29" s="264">
        <f t="shared" ca="1" si="47"/>
        <v>380512.45117766951</v>
      </c>
      <c r="U29" s="264">
        <f t="shared" ca="1" si="47"/>
        <v>383205.91249268944</v>
      </c>
      <c r="V29" s="264">
        <f t="shared" ca="1" si="47"/>
        <v>385899.37380770937</v>
      </c>
      <c r="W29" s="264">
        <f t="shared" ca="1" si="47"/>
        <v>388592.8351227293</v>
      </c>
      <c r="X29" s="264">
        <f t="shared" ca="1" si="47"/>
        <v>391286.29643774929</v>
      </c>
      <c r="Y29" s="264">
        <f t="shared" ca="1" si="47"/>
        <v>393979.75775276922</v>
      </c>
      <c r="Z29" s="264">
        <f t="shared" ca="1" si="47"/>
        <v>396673.21906778915</v>
      </c>
      <c r="AA29" s="264">
        <f t="shared" ca="1" si="47"/>
        <v>399029.99771843158</v>
      </c>
      <c r="AB29" s="264">
        <f t="shared" ca="1" si="47"/>
        <v>401386.77636907401</v>
      </c>
      <c r="AC29" s="264">
        <f t="shared" ca="1" si="47"/>
        <v>403743.5550197165</v>
      </c>
      <c r="AD29" s="264">
        <f t="shared" ca="1" si="47"/>
        <v>406100.33367035893</v>
      </c>
      <c r="AE29" s="264">
        <f t="shared" ca="1" si="47"/>
        <v>428879.96793705149</v>
      </c>
      <c r="AF29" s="264">
        <f t="shared" ca="1" si="47"/>
        <v>431354.58552022604</v>
      </c>
      <c r="AG29" s="264">
        <f t="shared" ca="1" si="47"/>
        <v>433829.20310340059</v>
      </c>
      <c r="AH29" s="264">
        <f t="shared" ca="1" si="47"/>
        <v>435596.78709138243</v>
      </c>
      <c r="AI29" s="264">
        <f t="shared" ca="1" si="47"/>
        <v>437364.37107936427</v>
      </c>
      <c r="AJ29" s="264">
        <f t="shared" ca="1" si="47"/>
        <v>439131.95506734611</v>
      </c>
      <c r="AK29" s="264">
        <f t="shared" ca="1" si="47"/>
        <v>440899.53905532794</v>
      </c>
      <c r="AL29" s="264">
        <f t="shared" ca="1" si="47"/>
        <v>442667.12304330978</v>
      </c>
      <c r="AM29" s="264">
        <f t="shared" ca="1" si="47"/>
        <v>444434.70703129162</v>
      </c>
      <c r="AN29" s="264">
        <f t="shared" ca="1" si="47"/>
        <v>444434.70703129162</v>
      </c>
      <c r="AO29" s="264">
        <f t="shared" ca="1" si="47"/>
        <v>444434.70703129162</v>
      </c>
      <c r="AP29" s="264">
        <f t="shared" ca="1" si="47"/>
        <v>444434.70703129162</v>
      </c>
      <c r="AQ29" s="264">
        <f t="shared" ca="1" si="47"/>
        <v>462212.09531254333</v>
      </c>
      <c r="AR29" s="264">
        <f t="shared" ca="1" si="47"/>
        <v>462212.09531254333</v>
      </c>
      <c r="AS29" s="264">
        <f t="shared" ca="1" si="47"/>
        <v>462212.09531254333</v>
      </c>
      <c r="AT29" s="264">
        <f t="shared" ca="1" si="47"/>
        <v>462212.09531254333</v>
      </c>
      <c r="AU29" s="264">
        <f t="shared" ca="1" si="47"/>
        <v>462212.09531254333</v>
      </c>
      <c r="AV29" s="264">
        <f t="shared" ca="1" si="47"/>
        <v>462212.09531254333</v>
      </c>
      <c r="AW29" s="264">
        <f t="shared" ca="1" si="47"/>
        <v>462212.09531254333</v>
      </c>
      <c r="AX29" s="264">
        <f t="shared" ca="1" si="47"/>
        <v>462212.09531254333</v>
      </c>
      <c r="AY29" s="264">
        <f t="shared" ca="1" si="47"/>
        <v>462212.09531254333</v>
      </c>
      <c r="AZ29" s="264">
        <f t="shared" ca="1" si="47"/>
        <v>462212.09531254333</v>
      </c>
      <c r="BA29" s="264">
        <f t="shared" ca="1" si="47"/>
        <v>462212.09531254333</v>
      </c>
      <c r="BB29" s="264">
        <f t="shared" ca="1" si="47"/>
        <v>462212.09531254333</v>
      </c>
      <c r="BC29" s="264">
        <f t="shared" ca="1" si="47"/>
        <v>480700.5791250451</v>
      </c>
      <c r="BD29" s="264">
        <f t="shared" ca="1" si="47"/>
        <v>480700.5791250451</v>
      </c>
      <c r="BE29" s="264">
        <f t="shared" ca="1" si="47"/>
        <v>480700.5791250451</v>
      </c>
      <c r="BF29" s="264">
        <f t="shared" ca="1" si="47"/>
        <v>480700.5791250451</v>
      </c>
      <c r="BG29" s="264">
        <f t="shared" ca="1" si="47"/>
        <v>480700.5791250451</v>
      </c>
      <c r="BH29" s="264">
        <f t="shared" ca="1" si="47"/>
        <v>480700.5791250451</v>
      </c>
      <c r="BI29" s="264">
        <f t="shared" ca="1" si="47"/>
        <v>480700.5791250451</v>
      </c>
      <c r="BJ29" s="264">
        <f t="shared" ca="1" si="47"/>
        <v>480700.5791250451</v>
      </c>
      <c r="BK29" s="264">
        <f t="shared" ca="1" si="47"/>
        <v>480700.5791250451</v>
      </c>
      <c r="BL29" s="264">
        <f t="shared" ca="1" si="47"/>
        <v>480700.5791250451</v>
      </c>
      <c r="BM29" s="264">
        <f t="shared" ca="1" si="47"/>
        <v>480700.5791250451</v>
      </c>
      <c r="BN29" s="264">
        <f t="shared" ca="1" si="47"/>
        <v>480700.5791250451</v>
      </c>
      <c r="BO29" s="264">
        <f t="shared" ca="1" si="47"/>
        <v>499928.60229004687</v>
      </c>
      <c r="BP29" s="264">
        <f t="shared" ca="1" si="47"/>
        <v>499928.60229004687</v>
      </c>
      <c r="BQ29" s="264">
        <f t="shared" ca="1" si="47"/>
        <v>499928.60229004687</v>
      </c>
      <c r="BR29" s="264">
        <f t="shared" ca="1" si="47"/>
        <v>499928.60229004687</v>
      </c>
      <c r="BS29" s="264">
        <f t="shared" ca="1" si="47"/>
        <v>499928.60229004687</v>
      </c>
      <c r="BT29" s="264">
        <f t="shared" ref="BT29:EE29" ca="1" si="48">SUM(BT27:BT28)</f>
        <v>499928.60229004687</v>
      </c>
      <c r="BU29" s="264">
        <f t="shared" ca="1" si="48"/>
        <v>499928.60229004687</v>
      </c>
      <c r="BV29" s="264">
        <f t="shared" ca="1" si="48"/>
        <v>499928.60229004687</v>
      </c>
      <c r="BW29" s="264">
        <f t="shared" ca="1" si="48"/>
        <v>499928.60229004687</v>
      </c>
      <c r="BX29" s="264">
        <f t="shared" ca="1" si="48"/>
        <v>499928.60229004687</v>
      </c>
      <c r="BY29" s="264">
        <f t="shared" ca="1" si="48"/>
        <v>499928.60229004687</v>
      </c>
      <c r="BZ29" s="264">
        <f t="shared" ca="1" si="48"/>
        <v>499928.60229004687</v>
      </c>
      <c r="CA29" s="264">
        <f t="shared" si="48"/>
        <v>0</v>
      </c>
      <c r="CB29" s="264">
        <f t="shared" si="48"/>
        <v>0</v>
      </c>
      <c r="CC29" s="264">
        <f t="shared" si="48"/>
        <v>0</v>
      </c>
      <c r="CD29" s="264">
        <f t="shared" si="48"/>
        <v>0</v>
      </c>
      <c r="CE29" s="264">
        <f t="shared" si="48"/>
        <v>0</v>
      </c>
      <c r="CF29" s="264">
        <f t="shared" si="48"/>
        <v>0</v>
      </c>
      <c r="CG29" s="264">
        <f t="shared" si="48"/>
        <v>0</v>
      </c>
      <c r="CH29" s="264">
        <f t="shared" si="48"/>
        <v>0</v>
      </c>
      <c r="CI29" s="264">
        <f t="shared" si="48"/>
        <v>0</v>
      </c>
      <c r="CJ29" s="264">
        <f t="shared" si="48"/>
        <v>0</v>
      </c>
      <c r="CK29" s="264">
        <f t="shared" si="48"/>
        <v>0</v>
      </c>
      <c r="CL29" s="264">
        <f t="shared" si="48"/>
        <v>0</v>
      </c>
      <c r="CM29" s="264">
        <f t="shared" si="48"/>
        <v>0</v>
      </c>
      <c r="CN29" s="264">
        <f t="shared" si="48"/>
        <v>0</v>
      </c>
      <c r="CO29" s="264">
        <f t="shared" si="48"/>
        <v>0</v>
      </c>
      <c r="CP29" s="264">
        <f t="shared" si="48"/>
        <v>0</v>
      </c>
      <c r="CQ29" s="264">
        <f t="shared" si="48"/>
        <v>0</v>
      </c>
      <c r="CR29" s="264">
        <f t="shared" si="48"/>
        <v>0</v>
      </c>
      <c r="CS29" s="264">
        <f t="shared" si="48"/>
        <v>0</v>
      </c>
      <c r="CT29" s="264">
        <f t="shared" si="48"/>
        <v>0</v>
      </c>
      <c r="CU29" s="264">
        <f t="shared" si="48"/>
        <v>0</v>
      </c>
      <c r="CV29" s="264">
        <f t="shared" si="48"/>
        <v>0</v>
      </c>
      <c r="CW29" s="264">
        <f t="shared" si="48"/>
        <v>0</v>
      </c>
      <c r="CX29" s="264">
        <f t="shared" si="48"/>
        <v>0</v>
      </c>
      <c r="CY29" s="264">
        <f t="shared" si="48"/>
        <v>0</v>
      </c>
      <c r="CZ29" s="264">
        <f t="shared" si="48"/>
        <v>0</v>
      </c>
      <c r="DA29" s="264">
        <f t="shared" si="48"/>
        <v>0</v>
      </c>
      <c r="DB29" s="264">
        <f t="shared" si="48"/>
        <v>0</v>
      </c>
      <c r="DC29" s="264">
        <f t="shared" si="48"/>
        <v>0</v>
      </c>
      <c r="DD29" s="264">
        <f t="shared" si="48"/>
        <v>0</v>
      </c>
      <c r="DE29" s="264">
        <f t="shared" si="48"/>
        <v>0</v>
      </c>
      <c r="DF29" s="264">
        <f t="shared" si="48"/>
        <v>0</v>
      </c>
      <c r="DG29" s="264">
        <f t="shared" si="48"/>
        <v>0</v>
      </c>
      <c r="DH29" s="264">
        <f t="shared" si="48"/>
        <v>0</v>
      </c>
      <c r="DI29" s="264">
        <f t="shared" si="48"/>
        <v>0</v>
      </c>
      <c r="DJ29" s="264">
        <f t="shared" si="48"/>
        <v>0</v>
      </c>
      <c r="DK29" s="264">
        <f t="shared" si="48"/>
        <v>0</v>
      </c>
      <c r="DL29" s="264">
        <f t="shared" si="48"/>
        <v>0</v>
      </c>
      <c r="DM29" s="264">
        <f t="shared" si="48"/>
        <v>0</v>
      </c>
      <c r="DN29" s="264">
        <f t="shared" si="48"/>
        <v>0</v>
      </c>
      <c r="DO29" s="264">
        <f t="shared" si="48"/>
        <v>0</v>
      </c>
      <c r="DP29" s="264">
        <f t="shared" si="48"/>
        <v>0</v>
      </c>
      <c r="DQ29" s="264">
        <f t="shared" si="48"/>
        <v>0</v>
      </c>
      <c r="DR29" s="264">
        <f t="shared" si="48"/>
        <v>0</v>
      </c>
      <c r="DS29" s="264">
        <f t="shared" si="48"/>
        <v>0</v>
      </c>
      <c r="DT29" s="264">
        <f t="shared" si="48"/>
        <v>0</v>
      </c>
      <c r="DU29" s="264">
        <f t="shared" si="48"/>
        <v>0</v>
      </c>
      <c r="DV29" s="264">
        <f t="shared" si="48"/>
        <v>0</v>
      </c>
      <c r="DW29" s="264">
        <f t="shared" si="48"/>
        <v>0</v>
      </c>
      <c r="DX29" s="264">
        <f t="shared" si="48"/>
        <v>0</v>
      </c>
      <c r="DY29" s="264">
        <f t="shared" si="48"/>
        <v>0</v>
      </c>
      <c r="DZ29" s="264">
        <f t="shared" si="48"/>
        <v>0</v>
      </c>
      <c r="EA29" s="264">
        <f t="shared" si="48"/>
        <v>0</v>
      </c>
      <c r="EB29" s="264">
        <f t="shared" si="48"/>
        <v>0</v>
      </c>
      <c r="EC29" s="264">
        <f t="shared" si="48"/>
        <v>0</v>
      </c>
      <c r="ED29" s="264">
        <f t="shared" si="48"/>
        <v>0</v>
      </c>
      <c r="EE29" s="264">
        <f t="shared" si="48"/>
        <v>0</v>
      </c>
      <c r="EF29" s="264">
        <f t="shared" ref="EF29:EH29" si="49">SUM(EF27:EF28)</f>
        <v>0</v>
      </c>
      <c r="EG29" s="264">
        <f t="shared" si="49"/>
        <v>0</v>
      </c>
      <c r="EH29" s="264">
        <f t="shared" si="49"/>
        <v>0</v>
      </c>
      <c r="EI29" s="158" t="s">
        <v>243</v>
      </c>
    </row>
    <row r="30" spans="1:139" s="217" customFormat="1" x14ac:dyDescent="0.2">
      <c r="B30" s="258" t="s">
        <v>84</v>
      </c>
      <c r="C30" s="209"/>
      <c r="D30" s="308">
        <f t="shared" ca="1" si="42"/>
        <v>-600298.10728911357</v>
      </c>
      <c r="E30" s="309">
        <f>Financials!AL10</f>
        <v>-21825</v>
      </c>
      <c r="F30" s="217">
        <v>0</v>
      </c>
      <c r="G30" s="217">
        <f ca="1">-(G27*INDEX('Ops Assumptions'!$I$34:$I$44,MATCH('Monthly Pro Forma'!G$5,'Ops Assumptions'!$B$34:$B$44,0))*'Unit Mix-Reno Schedule'!AM95)-(G29*INDEX('Ops Assumptions'!$J$34:$J$44,MATCH('Monthly Pro Forma'!G$5,'Ops Assumptions'!$B$34:$B$44,0))*'Unit Mix-Reno Schedule'!AM96)</f>
        <v>-16850.955624454153</v>
      </c>
      <c r="H30" s="217">
        <f ca="1">-(H27*INDEX('Ops Assumptions'!$I$34:$I$44,MATCH('Monthly Pro Forma'!H$5,'Ops Assumptions'!$B$34:$B$44,0))*'Unit Mix-Reno Schedule'!AN95)-(H29*INDEX('Ops Assumptions'!$J$34:$J$44,MATCH('Monthly Pro Forma'!H$5,'Ops Assumptions'!$B$34:$B$44,0))*'Unit Mix-Reno Schedule'!AN96)</f>
        <v>-16451.208564207493</v>
      </c>
      <c r="I30" s="217">
        <f ca="1">-(I27*INDEX('Ops Assumptions'!$I$34:$I$44,MATCH('Monthly Pro Forma'!I$5,'Ops Assumptions'!$B$34:$B$44,0))*'Unit Mix-Reno Schedule'!AO95)-(I29*INDEX('Ops Assumptions'!$J$34:$J$44,MATCH('Monthly Pro Forma'!I$5,'Ops Assumptions'!$B$34:$B$44,0))*'Unit Mix-Reno Schedule'!AO96)</f>
        <v>-16053.981898204458</v>
      </c>
      <c r="J30" s="217">
        <f ca="1">-(J27*INDEX('Ops Assumptions'!$I$34:$I$44,MATCH('Monthly Pro Forma'!J$5,'Ops Assumptions'!$B$34:$B$44,0))*'Unit Mix-Reno Schedule'!AP95)-(J29*INDEX('Ops Assumptions'!$J$34:$J$44,MATCH('Monthly Pro Forma'!J$5,'Ops Assumptions'!$B$34:$B$44,0))*'Unit Mix-Reno Schedule'!AP96)</f>
        <v>-15659.275626445047</v>
      </c>
      <c r="K30" s="217">
        <f ca="1">-(K27*INDEX('Ops Assumptions'!$I$34:$I$44,MATCH('Monthly Pro Forma'!K$5,'Ops Assumptions'!$B$34:$B$44,0))*'Unit Mix-Reno Schedule'!AQ95)-(K29*INDEX('Ops Assumptions'!$J$34:$J$44,MATCH('Monthly Pro Forma'!K$5,'Ops Assumptions'!$B$34:$B$44,0))*'Unit Mix-Reno Schedule'!AQ96)</f>
        <v>-15267.08974892926</v>
      </c>
      <c r="L30" s="217">
        <f ca="1">-(L27*INDEX('Ops Assumptions'!$I$34:$I$44,MATCH('Monthly Pro Forma'!L$5,'Ops Assumptions'!$B$34:$B$44,0))*'Unit Mix-Reno Schedule'!AR95)-(L29*INDEX('Ops Assumptions'!$J$34:$J$44,MATCH('Monthly Pro Forma'!L$5,'Ops Assumptions'!$B$34:$B$44,0))*'Unit Mix-Reno Schedule'!AR96)</f>
        <v>-14877.424265657097</v>
      </c>
      <c r="M30" s="217">
        <f ca="1">-(M27*INDEX('Ops Assumptions'!$I$34:$I$44,MATCH('Monthly Pro Forma'!M$5,'Ops Assumptions'!$B$34:$B$44,0))*'Unit Mix-Reno Schedule'!AS95)-(M29*INDEX('Ops Assumptions'!$J$34:$J$44,MATCH('Monthly Pro Forma'!M$5,'Ops Assumptions'!$B$34:$B$44,0))*'Unit Mix-Reno Schedule'!AS96)</f>
        <v>-14490.279176628561</v>
      </c>
      <c r="N30" s="217">
        <f ca="1">-(N27*INDEX('Ops Assumptions'!$I$34:$I$44,MATCH('Monthly Pro Forma'!N$5,'Ops Assumptions'!$B$34:$B$44,0))*'Unit Mix-Reno Schedule'!AT95)-(N29*INDEX('Ops Assumptions'!$J$34:$J$44,MATCH('Monthly Pro Forma'!N$5,'Ops Assumptions'!$B$34:$B$44,0))*'Unit Mix-Reno Schedule'!AT96)</f>
        <v>-14105.654481843649</v>
      </c>
      <c r="O30" s="217">
        <f ca="1">-(O27*INDEX('Ops Assumptions'!$I$34:$I$44,MATCH('Monthly Pro Forma'!O$5,'Ops Assumptions'!$B$34:$B$44,0))*'Unit Mix-Reno Schedule'!AU95)-(O29*INDEX('Ops Assumptions'!$J$34:$J$44,MATCH('Monthly Pro Forma'!O$5,'Ops Assumptions'!$B$34:$B$44,0))*'Unit Mix-Reno Schedule'!AU96)</f>
        <v>-13723.550181302358</v>
      </c>
      <c r="P30" s="217">
        <f ca="1">-(P27*INDEX('Ops Assumptions'!$I$34:$I$44,MATCH('Monthly Pro Forma'!P$5,'Ops Assumptions'!$B$34:$B$44,0))*'Unit Mix-Reno Schedule'!AV95)-(P29*INDEX('Ops Assumptions'!$J$34:$J$44,MATCH('Monthly Pro Forma'!P$5,'Ops Assumptions'!$B$34:$B$44,0))*'Unit Mix-Reno Schedule'!AV96)</f>
        <v>-13343.966275004695</v>
      </c>
      <c r="Q30" s="217">
        <f ca="1">-(Q27*INDEX('Ops Assumptions'!$I$34:$I$44,MATCH('Monthly Pro Forma'!Q$5,'Ops Assumptions'!$B$34:$B$44,0))*'Unit Mix-Reno Schedule'!AW95)-(Q29*INDEX('Ops Assumptions'!$J$34:$J$44,MATCH('Monthly Pro Forma'!Q$5,'Ops Assumptions'!$B$34:$B$44,0))*'Unit Mix-Reno Schedule'!AW96)</f>
        <v>-12966.902762950656</v>
      </c>
      <c r="R30" s="217">
        <f ca="1">-(R27*INDEX('Ops Assumptions'!$I$34:$I$44,MATCH('Monthly Pro Forma'!R$5,'Ops Assumptions'!$B$34:$B$44,0))*'Unit Mix-Reno Schedule'!AX95)-(R29*INDEX('Ops Assumptions'!$J$34:$J$44,MATCH('Monthly Pro Forma'!R$5,'Ops Assumptions'!$B$34:$B$44,0))*'Unit Mix-Reno Schedule'!AX96)</f>
        <v>-12592.359645140239</v>
      </c>
      <c r="S30" s="217">
        <f ca="1">-(S27*INDEX('Ops Assumptions'!$I$34:$I$44,MATCH('Monthly Pro Forma'!S$5,'Ops Assumptions'!$B$34:$B$44,0))*'Unit Mix-Reno Schedule'!AY95)-(S29*INDEX('Ops Assumptions'!$J$34:$J$44,MATCH('Monthly Pro Forma'!S$5,'Ops Assumptions'!$B$34:$B$44,0))*'Unit Mix-Reno Schedule'!AY96)</f>
        <v>-7351.7237846706903</v>
      </c>
      <c r="T30" s="217">
        <f ca="1">-(T27*INDEX('Ops Assumptions'!$I$34:$I$44,MATCH('Monthly Pro Forma'!T$5,'Ops Assumptions'!$B$34:$B$44,0))*'Unit Mix-Reno Schedule'!AZ95)-(T29*INDEX('Ops Assumptions'!$J$34:$J$44,MATCH('Monthly Pro Forma'!T$5,'Ops Assumptions'!$B$34:$B$44,0))*'Unit Mix-Reno Schedule'!AZ96)</f>
        <v>-7398.3006702928697</v>
      </c>
      <c r="U30" s="217">
        <f ca="1">-(U27*INDEX('Ops Assumptions'!$I$34:$I$44,MATCH('Monthly Pro Forma'!U$5,'Ops Assumptions'!$B$34:$B$44,0))*'Unit Mix-Reno Schedule'!BA95)-(U29*INDEX('Ops Assumptions'!$J$34:$J$44,MATCH('Monthly Pro Forma'!U$5,'Ops Assumptions'!$B$34:$B$44,0))*'Unit Mix-Reno Schedule'!BA96)</f>
        <v>-7449.5822918364802</v>
      </c>
      <c r="V30" s="217">
        <f ca="1">-(V27*INDEX('Ops Assumptions'!$I$34:$I$44,MATCH('Monthly Pro Forma'!V$5,'Ops Assumptions'!$B$34:$B$44,0))*'Unit Mix-Reno Schedule'!BB95)-(V29*INDEX('Ops Assumptions'!$J$34:$J$44,MATCH('Monthly Pro Forma'!V$5,'Ops Assumptions'!$B$34:$B$44,0))*'Unit Mix-Reno Schedule'!BB96)</f>
        <v>-7505.5686493015237</v>
      </c>
      <c r="W30" s="217">
        <f ca="1">-(W27*INDEX('Ops Assumptions'!$I$34:$I$44,MATCH('Monthly Pro Forma'!W$5,'Ops Assumptions'!$B$34:$B$44,0))*'Unit Mix-Reno Schedule'!BC95)-(W29*INDEX('Ops Assumptions'!$J$34:$J$44,MATCH('Monthly Pro Forma'!W$5,'Ops Assumptions'!$B$34:$B$44,0))*'Unit Mix-Reno Schedule'!BC96)</f>
        <v>-7566.2597426879993</v>
      </c>
      <c r="X30" s="217">
        <f ca="1">-(X27*INDEX('Ops Assumptions'!$I$34:$I$44,MATCH('Monthly Pro Forma'!X$5,'Ops Assumptions'!$B$34:$B$44,0))*'Unit Mix-Reno Schedule'!BD95)-(X29*INDEX('Ops Assumptions'!$J$34:$J$44,MATCH('Monthly Pro Forma'!X$5,'Ops Assumptions'!$B$34:$B$44,0))*'Unit Mix-Reno Schedule'!BD96)</f>
        <v>-7631.6555719959069</v>
      </c>
      <c r="Y30" s="217">
        <f ca="1">-(Y27*INDEX('Ops Assumptions'!$I$34:$I$44,MATCH('Monthly Pro Forma'!Y$5,'Ops Assumptions'!$B$34:$B$44,0))*'Unit Mix-Reno Schedule'!BE95)-(Y29*INDEX('Ops Assumptions'!$J$34:$J$44,MATCH('Monthly Pro Forma'!Y$5,'Ops Assumptions'!$B$34:$B$44,0))*'Unit Mix-Reno Schedule'!BE96)</f>
        <v>-7701.7561372252476</v>
      </c>
      <c r="Z30" s="217">
        <f ca="1">-(Z27*INDEX('Ops Assumptions'!$I$34:$I$44,MATCH('Monthly Pro Forma'!Z$5,'Ops Assumptions'!$B$34:$B$44,0))*'Unit Mix-Reno Schedule'!BF95)-(Z29*INDEX('Ops Assumptions'!$J$34:$J$44,MATCH('Monthly Pro Forma'!Z$5,'Ops Assumptions'!$B$34:$B$44,0))*'Unit Mix-Reno Schedule'!BF96)</f>
        <v>-7776.5614383760185</v>
      </c>
      <c r="AA30" s="217">
        <f ca="1">-(AA27*INDEX('Ops Assumptions'!$I$34:$I$44,MATCH('Monthly Pro Forma'!AA$5,'Ops Assumptions'!$B$34:$B$44,0))*'Unit Mix-Reno Schedule'!BG95)-(AA29*INDEX('Ops Assumptions'!$J$34:$J$44,MATCH('Monthly Pro Forma'!AA$5,'Ops Assumptions'!$B$34:$B$44,0))*'Unit Mix-Reno Schedule'!BG96)</f>
        <v>-7850.396387742996</v>
      </c>
      <c r="AB30" s="217">
        <f ca="1">-(AB27*INDEX('Ops Assumptions'!$I$34:$I$44,MATCH('Monthly Pro Forma'!AB$5,'Ops Assumptions'!$B$34:$B$44,0))*'Unit Mix-Reno Schedule'!BH95)-(AB29*INDEX('Ops Assumptions'!$J$34:$J$44,MATCH('Monthly Pro Forma'!AB$5,'Ops Assumptions'!$B$34:$B$44,0))*'Unit Mix-Reno Schedule'!BH96)</f>
        <v>-7928.3479810412246</v>
      </c>
      <c r="AC30" s="217">
        <f ca="1">-(AC27*INDEX('Ops Assumptions'!$I$34:$I$44,MATCH('Monthly Pro Forma'!AC$5,'Ops Assumptions'!$B$34:$B$44,0))*'Unit Mix-Reno Schedule'!BI95)-(AC29*INDEX('Ops Assumptions'!$J$34:$J$44,MATCH('Monthly Pro Forma'!AC$5,'Ops Assumptions'!$B$34:$B$44,0))*'Unit Mix-Reno Schedule'!BI96)</f>
        <v>-8010.4162182707078</v>
      </c>
      <c r="AD30" s="217">
        <f ca="1">-(AD27*INDEX('Ops Assumptions'!$I$34:$I$44,MATCH('Monthly Pro Forma'!AD$5,'Ops Assumptions'!$B$34:$B$44,0))*'Unit Mix-Reno Schedule'!BJ95)-(AD29*INDEX('Ops Assumptions'!$J$34:$J$44,MATCH('Monthly Pro Forma'!AD$5,'Ops Assumptions'!$B$34:$B$44,0))*'Unit Mix-Reno Schedule'!BJ96)</f>
        <v>-8096.6010994314456</v>
      </c>
      <c r="AE30" s="217">
        <f ca="1">-(AE27*INDEX('Ops Assumptions'!$I$34:$I$44,MATCH('Monthly Pro Forma'!AE$5,'Ops Assumptions'!$B$34:$B$44,0))*'Unit Mix-Reno Schedule'!BK95)-(AE29*INDEX('Ops Assumptions'!$J$34:$J$44,MATCH('Monthly Pro Forma'!AE$5,'Ops Assumptions'!$B$34:$B$44,0))*'Unit Mix-Reno Schedule'!BK96)</f>
        <v>-8577.5993587410303</v>
      </c>
      <c r="AF30" s="217">
        <f ca="1">-(AF27*INDEX('Ops Assumptions'!$I$34:$I$44,MATCH('Monthly Pro Forma'!AF$5,'Ops Assumptions'!$B$34:$B$44,0))*'Unit Mix-Reno Schedule'!BL95)-(AF29*INDEX('Ops Assumptions'!$J$34:$J$44,MATCH('Monthly Pro Forma'!AF$5,'Ops Assumptions'!$B$34:$B$44,0))*'Unit Mix-Reno Schedule'!BL96)</f>
        <v>-8627.0917104045202</v>
      </c>
      <c r="AG30" s="217">
        <f ca="1">-(AG27*INDEX('Ops Assumptions'!$I$34:$I$44,MATCH('Monthly Pro Forma'!AG$5,'Ops Assumptions'!$B$34:$B$44,0))*'Unit Mix-Reno Schedule'!BM95)-(AG29*INDEX('Ops Assumptions'!$J$34:$J$44,MATCH('Monthly Pro Forma'!AG$5,'Ops Assumptions'!$B$34:$B$44,0))*'Unit Mix-Reno Schedule'!BM96)</f>
        <v>-8676.5840620680119</v>
      </c>
      <c r="AH30" s="217">
        <f ca="1">-(AH27*INDEX('Ops Assumptions'!$I$34:$I$44,MATCH('Monthly Pro Forma'!AH$5,'Ops Assumptions'!$B$34:$B$44,0))*'Unit Mix-Reno Schedule'!BN95)-(AH29*INDEX('Ops Assumptions'!$J$34:$J$44,MATCH('Monthly Pro Forma'!AH$5,'Ops Assumptions'!$B$34:$B$44,0))*'Unit Mix-Reno Schedule'!BN96)</f>
        <v>-8711.9357418276486</v>
      </c>
      <c r="AI30" s="217">
        <f ca="1">-(AI27*INDEX('Ops Assumptions'!$I$34:$I$44,MATCH('Monthly Pro Forma'!AI$5,'Ops Assumptions'!$B$34:$B$44,0))*'Unit Mix-Reno Schedule'!BO95)-(AI29*INDEX('Ops Assumptions'!$J$34:$J$44,MATCH('Monthly Pro Forma'!AI$5,'Ops Assumptions'!$B$34:$B$44,0))*'Unit Mix-Reno Schedule'!BO96)</f>
        <v>-8747.2874215872853</v>
      </c>
      <c r="AJ30" s="217">
        <f ca="1">-(AJ27*INDEX('Ops Assumptions'!$I$34:$I$44,MATCH('Monthly Pro Forma'!AJ$5,'Ops Assumptions'!$B$34:$B$44,0))*'Unit Mix-Reno Schedule'!BP95)-(AJ29*INDEX('Ops Assumptions'!$J$34:$J$44,MATCH('Monthly Pro Forma'!AJ$5,'Ops Assumptions'!$B$34:$B$44,0))*'Unit Mix-Reno Schedule'!BP96)</f>
        <v>-8782.639101346922</v>
      </c>
      <c r="AK30" s="217">
        <f ca="1">-(AK27*INDEX('Ops Assumptions'!$I$34:$I$44,MATCH('Monthly Pro Forma'!AK$5,'Ops Assumptions'!$B$34:$B$44,0))*'Unit Mix-Reno Schedule'!BQ95)-(AK29*INDEX('Ops Assumptions'!$J$34:$J$44,MATCH('Monthly Pro Forma'!AK$5,'Ops Assumptions'!$B$34:$B$44,0))*'Unit Mix-Reno Schedule'!BQ96)</f>
        <v>-8817.9907811065586</v>
      </c>
      <c r="AL30" s="217">
        <f ca="1">-(AL27*INDEX('Ops Assumptions'!$I$34:$I$44,MATCH('Monthly Pro Forma'!AL$5,'Ops Assumptions'!$B$34:$B$44,0))*'Unit Mix-Reno Schedule'!BR95)-(AL29*INDEX('Ops Assumptions'!$J$34:$J$44,MATCH('Monthly Pro Forma'!AL$5,'Ops Assumptions'!$B$34:$B$44,0))*'Unit Mix-Reno Schedule'!BR96)</f>
        <v>-8853.3424608661953</v>
      </c>
      <c r="AM30" s="217">
        <f ca="1">-(AM27*INDEX('Ops Assumptions'!$I$34:$I$44,MATCH('Monthly Pro Forma'!AM$5,'Ops Assumptions'!$B$34:$B$44,0))*'Unit Mix-Reno Schedule'!BS95)-(AM29*INDEX('Ops Assumptions'!$J$34:$J$44,MATCH('Monthly Pro Forma'!AM$5,'Ops Assumptions'!$B$34:$B$44,0))*'Unit Mix-Reno Schedule'!BS96)</f>
        <v>-8888.694140625832</v>
      </c>
      <c r="AN30" s="217">
        <f ca="1">-(AN27*INDEX('Ops Assumptions'!$I$34:$I$44,MATCH('Monthly Pro Forma'!AN$5,'Ops Assumptions'!$B$34:$B$44,0))*'Unit Mix-Reno Schedule'!BT95)-(AN29*INDEX('Ops Assumptions'!$J$34:$J$44,MATCH('Monthly Pro Forma'!AN$5,'Ops Assumptions'!$B$34:$B$44,0))*'Unit Mix-Reno Schedule'!BT96)</f>
        <v>-8888.694140625832</v>
      </c>
      <c r="AO30" s="217">
        <f ca="1">-(AO27*INDEX('Ops Assumptions'!$I$34:$I$44,MATCH('Monthly Pro Forma'!AO$5,'Ops Assumptions'!$B$34:$B$44,0))*'Unit Mix-Reno Schedule'!BU95)-(AO29*INDEX('Ops Assumptions'!$J$34:$J$44,MATCH('Monthly Pro Forma'!AO$5,'Ops Assumptions'!$B$34:$B$44,0))*'Unit Mix-Reno Schedule'!BU96)</f>
        <v>-8888.694140625832</v>
      </c>
      <c r="AP30" s="217">
        <f ca="1">-(AP27*INDEX('Ops Assumptions'!$I$34:$I$44,MATCH('Monthly Pro Forma'!AP$5,'Ops Assumptions'!$B$34:$B$44,0))*'Unit Mix-Reno Schedule'!BV95)-(AP29*INDEX('Ops Assumptions'!$J$34:$J$44,MATCH('Monthly Pro Forma'!AP$5,'Ops Assumptions'!$B$34:$B$44,0))*'Unit Mix-Reno Schedule'!BV96)</f>
        <v>-8888.694140625832</v>
      </c>
      <c r="AQ30" s="217">
        <f ca="1">-(AQ27*INDEX('Ops Assumptions'!$I$34:$I$44,MATCH('Monthly Pro Forma'!AQ$5,'Ops Assumptions'!$B$34:$B$44,0))*'Unit Mix-Reno Schedule'!BW95)-(AQ29*INDEX('Ops Assumptions'!$J$34:$J$44,MATCH('Monthly Pro Forma'!AQ$5,'Ops Assumptions'!$B$34:$B$44,0))*'Unit Mix-Reno Schedule'!BW96)</f>
        <v>-9244.241906250867</v>
      </c>
      <c r="AR30" s="217">
        <f ca="1">-(AR27*INDEX('Ops Assumptions'!$I$34:$I$44,MATCH('Monthly Pro Forma'!AR$5,'Ops Assumptions'!$B$34:$B$44,0))*'Unit Mix-Reno Schedule'!BX95)-(AR29*INDEX('Ops Assumptions'!$J$34:$J$44,MATCH('Monthly Pro Forma'!AR$5,'Ops Assumptions'!$B$34:$B$44,0))*'Unit Mix-Reno Schedule'!BX96)</f>
        <v>-9244.241906250867</v>
      </c>
      <c r="AS30" s="217">
        <f ca="1">-(AS27*INDEX('Ops Assumptions'!$I$34:$I$44,MATCH('Monthly Pro Forma'!AS$5,'Ops Assumptions'!$B$34:$B$44,0))*'Unit Mix-Reno Schedule'!BY95)-(AS29*INDEX('Ops Assumptions'!$J$34:$J$44,MATCH('Monthly Pro Forma'!AS$5,'Ops Assumptions'!$B$34:$B$44,0))*'Unit Mix-Reno Schedule'!BY96)</f>
        <v>-9244.241906250867</v>
      </c>
      <c r="AT30" s="217">
        <f ca="1">-(AT27*INDEX('Ops Assumptions'!$I$34:$I$44,MATCH('Monthly Pro Forma'!AT$5,'Ops Assumptions'!$B$34:$B$44,0))*'Unit Mix-Reno Schedule'!BZ95)-(AT29*INDEX('Ops Assumptions'!$J$34:$J$44,MATCH('Monthly Pro Forma'!AT$5,'Ops Assumptions'!$B$34:$B$44,0))*'Unit Mix-Reno Schedule'!BZ96)</f>
        <v>-9244.241906250867</v>
      </c>
      <c r="AU30" s="217">
        <f ca="1">-(AU27*INDEX('Ops Assumptions'!$I$34:$I$44,MATCH('Monthly Pro Forma'!AU$5,'Ops Assumptions'!$B$34:$B$44,0))*'Unit Mix-Reno Schedule'!CA95)-(AU29*INDEX('Ops Assumptions'!$J$34:$J$44,MATCH('Monthly Pro Forma'!AU$5,'Ops Assumptions'!$B$34:$B$44,0))*'Unit Mix-Reno Schedule'!CA96)</f>
        <v>-9244.241906250867</v>
      </c>
      <c r="AV30" s="217">
        <f ca="1">-(AV27*INDEX('Ops Assumptions'!$I$34:$I$44,MATCH('Monthly Pro Forma'!AV$5,'Ops Assumptions'!$B$34:$B$44,0))*'Unit Mix-Reno Schedule'!CB95)-(AV29*INDEX('Ops Assumptions'!$J$34:$J$44,MATCH('Monthly Pro Forma'!AV$5,'Ops Assumptions'!$B$34:$B$44,0))*'Unit Mix-Reno Schedule'!CB96)</f>
        <v>-9244.241906250867</v>
      </c>
      <c r="AW30" s="217">
        <f ca="1">-(AW27*INDEX('Ops Assumptions'!$I$34:$I$44,MATCH('Monthly Pro Forma'!AW$5,'Ops Assumptions'!$B$34:$B$44,0))*'Unit Mix-Reno Schedule'!CC95)-(AW29*INDEX('Ops Assumptions'!$J$34:$J$44,MATCH('Monthly Pro Forma'!AW$5,'Ops Assumptions'!$B$34:$B$44,0))*'Unit Mix-Reno Schedule'!CC96)</f>
        <v>-9244.241906250867</v>
      </c>
      <c r="AX30" s="217">
        <f ca="1">-(AX27*INDEX('Ops Assumptions'!$I$34:$I$44,MATCH('Monthly Pro Forma'!AX$5,'Ops Assumptions'!$B$34:$B$44,0))*'Unit Mix-Reno Schedule'!CD95)-(AX29*INDEX('Ops Assumptions'!$J$34:$J$44,MATCH('Monthly Pro Forma'!AX$5,'Ops Assumptions'!$B$34:$B$44,0))*'Unit Mix-Reno Schedule'!CD96)</f>
        <v>-9244.241906250867</v>
      </c>
      <c r="AY30" s="217">
        <f ca="1">-(AY27*INDEX('Ops Assumptions'!$I$34:$I$44,MATCH('Monthly Pro Forma'!AY$5,'Ops Assumptions'!$B$34:$B$44,0))*'Unit Mix-Reno Schedule'!CE95)-(AY29*INDEX('Ops Assumptions'!$J$34:$J$44,MATCH('Monthly Pro Forma'!AY$5,'Ops Assumptions'!$B$34:$B$44,0))*'Unit Mix-Reno Schedule'!CE96)</f>
        <v>-9244.241906250867</v>
      </c>
      <c r="AZ30" s="217">
        <f ca="1">-(AZ27*INDEX('Ops Assumptions'!$I$34:$I$44,MATCH('Monthly Pro Forma'!AZ$5,'Ops Assumptions'!$B$34:$B$44,0))*'Unit Mix-Reno Schedule'!CF95)-(AZ29*INDEX('Ops Assumptions'!$J$34:$J$44,MATCH('Monthly Pro Forma'!AZ$5,'Ops Assumptions'!$B$34:$B$44,0))*'Unit Mix-Reno Schedule'!CF96)</f>
        <v>-9244.241906250867</v>
      </c>
      <c r="BA30" s="217">
        <f ca="1">-(BA27*INDEX('Ops Assumptions'!$I$34:$I$44,MATCH('Monthly Pro Forma'!BA$5,'Ops Assumptions'!$B$34:$B$44,0))*'Unit Mix-Reno Schedule'!CG95)-(BA29*INDEX('Ops Assumptions'!$J$34:$J$44,MATCH('Monthly Pro Forma'!BA$5,'Ops Assumptions'!$B$34:$B$44,0))*'Unit Mix-Reno Schedule'!CG96)</f>
        <v>-9244.241906250867</v>
      </c>
      <c r="BB30" s="217">
        <f ca="1">-(BB27*INDEX('Ops Assumptions'!$I$34:$I$44,MATCH('Monthly Pro Forma'!BB$5,'Ops Assumptions'!$B$34:$B$44,0))*'Unit Mix-Reno Schedule'!CH95)-(BB29*INDEX('Ops Assumptions'!$J$34:$J$44,MATCH('Monthly Pro Forma'!BB$5,'Ops Assumptions'!$B$34:$B$44,0))*'Unit Mix-Reno Schedule'!CH96)</f>
        <v>-9244.241906250867</v>
      </c>
      <c r="BC30" s="217">
        <f ca="1">-(BC27*INDEX('Ops Assumptions'!$I$34:$I$44,MATCH('Monthly Pro Forma'!BC$5,'Ops Assumptions'!$B$34:$B$44,0))*'Unit Mix-Reno Schedule'!CI95)-(BC29*INDEX('Ops Assumptions'!$J$34:$J$44,MATCH('Monthly Pro Forma'!BC$5,'Ops Assumptions'!$B$34:$B$44,0))*'Unit Mix-Reno Schedule'!CI96)</f>
        <v>-9614.0115825009016</v>
      </c>
      <c r="BD30" s="217">
        <f ca="1">-(BD27*INDEX('Ops Assumptions'!$I$34:$I$44,MATCH('Monthly Pro Forma'!BD$5,'Ops Assumptions'!$B$34:$B$44,0))*'Unit Mix-Reno Schedule'!CJ95)-(BD29*INDEX('Ops Assumptions'!$J$34:$J$44,MATCH('Monthly Pro Forma'!BD$5,'Ops Assumptions'!$B$34:$B$44,0))*'Unit Mix-Reno Schedule'!CJ96)</f>
        <v>-9614.0115825009016</v>
      </c>
      <c r="BE30" s="217">
        <f ca="1">-(BE27*INDEX('Ops Assumptions'!$I$34:$I$44,MATCH('Monthly Pro Forma'!BE$5,'Ops Assumptions'!$B$34:$B$44,0))*'Unit Mix-Reno Schedule'!CK95)-(BE29*INDEX('Ops Assumptions'!$J$34:$J$44,MATCH('Monthly Pro Forma'!BE$5,'Ops Assumptions'!$B$34:$B$44,0))*'Unit Mix-Reno Schedule'!CK96)</f>
        <v>-9614.0115825009016</v>
      </c>
      <c r="BF30" s="217">
        <f ca="1">-(BF27*INDEX('Ops Assumptions'!$I$34:$I$44,MATCH('Monthly Pro Forma'!BF$5,'Ops Assumptions'!$B$34:$B$44,0))*'Unit Mix-Reno Schedule'!CL95)-(BF29*INDEX('Ops Assumptions'!$J$34:$J$44,MATCH('Monthly Pro Forma'!BF$5,'Ops Assumptions'!$B$34:$B$44,0))*'Unit Mix-Reno Schedule'!CL96)</f>
        <v>-9614.0115825009016</v>
      </c>
      <c r="BG30" s="217">
        <f ca="1">-(BG27*INDEX('Ops Assumptions'!$I$34:$I$44,MATCH('Monthly Pro Forma'!BG$5,'Ops Assumptions'!$B$34:$B$44,0))*'Unit Mix-Reno Schedule'!CM95)-(BG29*INDEX('Ops Assumptions'!$J$34:$J$44,MATCH('Monthly Pro Forma'!BG$5,'Ops Assumptions'!$B$34:$B$44,0))*'Unit Mix-Reno Schedule'!CM96)</f>
        <v>-9614.0115825009016</v>
      </c>
      <c r="BH30" s="217">
        <f ca="1">-(BH27*INDEX('Ops Assumptions'!$I$34:$I$44,MATCH('Monthly Pro Forma'!BH$5,'Ops Assumptions'!$B$34:$B$44,0))*'Unit Mix-Reno Schedule'!CN95)-(BH29*INDEX('Ops Assumptions'!$J$34:$J$44,MATCH('Monthly Pro Forma'!BH$5,'Ops Assumptions'!$B$34:$B$44,0))*'Unit Mix-Reno Schedule'!CN96)</f>
        <v>-9614.0115825009016</v>
      </c>
      <c r="BI30" s="217">
        <f ca="1">-(BI27*INDEX('Ops Assumptions'!$I$34:$I$44,MATCH('Monthly Pro Forma'!BI$5,'Ops Assumptions'!$B$34:$B$44,0))*'Unit Mix-Reno Schedule'!CO95)-(BI29*INDEX('Ops Assumptions'!$J$34:$J$44,MATCH('Monthly Pro Forma'!BI$5,'Ops Assumptions'!$B$34:$B$44,0))*'Unit Mix-Reno Schedule'!CO96)</f>
        <v>-9614.0115825009016</v>
      </c>
      <c r="BJ30" s="217">
        <f ca="1">-(BJ27*INDEX('Ops Assumptions'!$I$34:$I$44,MATCH('Monthly Pro Forma'!BJ$5,'Ops Assumptions'!$B$34:$B$44,0))*'Unit Mix-Reno Schedule'!CP95)-(BJ29*INDEX('Ops Assumptions'!$J$34:$J$44,MATCH('Monthly Pro Forma'!BJ$5,'Ops Assumptions'!$B$34:$B$44,0))*'Unit Mix-Reno Schedule'!CP96)</f>
        <v>-9614.0115825009016</v>
      </c>
      <c r="BK30" s="217">
        <f ca="1">-(BK27*INDEX('Ops Assumptions'!$I$34:$I$44,MATCH('Monthly Pro Forma'!BK$5,'Ops Assumptions'!$B$34:$B$44,0))*'Unit Mix-Reno Schedule'!CQ95)-(BK29*INDEX('Ops Assumptions'!$J$34:$J$44,MATCH('Monthly Pro Forma'!BK$5,'Ops Assumptions'!$B$34:$B$44,0))*'Unit Mix-Reno Schedule'!CQ96)</f>
        <v>-9614.0115825009016</v>
      </c>
      <c r="BL30" s="217">
        <f ca="1">-(BL27*INDEX('Ops Assumptions'!$I$34:$I$44,MATCH('Monthly Pro Forma'!BL$5,'Ops Assumptions'!$B$34:$B$44,0))*'Unit Mix-Reno Schedule'!CR95)-(BL29*INDEX('Ops Assumptions'!$J$34:$J$44,MATCH('Monthly Pro Forma'!BL$5,'Ops Assumptions'!$B$34:$B$44,0))*'Unit Mix-Reno Schedule'!CR96)</f>
        <v>-9614.0115825009016</v>
      </c>
      <c r="BM30" s="217">
        <f ca="1">-(BM27*INDEX('Ops Assumptions'!$I$34:$I$44,MATCH('Monthly Pro Forma'!BM$5,'Ops Assumptions'!$B$34:$B$44,0))*'Unit Mix-Reno Schedule'!CS95)-(BM29*INDEX('Ops Assumptions'!$J$34:$J$44,MATCH('Monthly Pro Forma'!BM$5,'Ops Assumptions'!$B$34:$B$44,0))*'Unit Mix-Reno Schedule'!CS96)</f>
        <v>-9614.0115825009016</v>
      </c>
      <c r="BN30" s="217">
        <f ca="1">-(BN27*INDEX('Ops Assumptions'!$I$34:$I$44,MATCH('Monthly Pro Forma'!BN$5,'Ops Assumptions'!$B$34:$B$44,0))*'Unit Mix-Reno Schedule'!CT95)-(BN29*INDEX('Ops Assumptions'!$J$34:$J$44,MATCH('Monthly Pro Forma'!BN$5,'Ops Assumptions'!$B$34:$B$44,0))*'Unit Mix-Reno Schedule'!CT96)</f>
        <v>-9614.0115825009016</v>
      </c>
      <c r="BO30" s="217">
        <f ca="1">-(BO27*INDEX('Ops Assumptions'!$I$34:$I$44,MATCH('Monthly Pro Forma'!BO$5,'Ops Assumptions'!$B$34:$B$44,0))*'Unit Mix-Reno Schedule'!CU95)-(BO29*INDEX('Ops Assumptions'!$J$34:$J$44,MATCH('Monthly Pro Forma'!BO$5,'Ops Assumptions'!$B$34:$B$44,0))*'Unit Mix-Reno Schedule'!CU96)</f>
        <v>-9998.5720458009382</v>
      </c>
      <c r="BP30" s="217">
        <f ca="1">-(BP27*INDEX('Ops Assumptions'!$I$34:$I$44,MATCH('Monthly Pro Forma'!BP$5,'Ops Assumptions'!$B$34:$B$44,0))*'Unit Mix-Reno Schedule'!CV95)-(BP29*INDEX('Ops Assumptions'!$J$34:$J$44,MATCH('Monthly Pro Forma'!BP$5,'Ops Assumptions'!$B$34:$B$44,0))*'Unit Mix-Reno Schedule'!CV96)</f>
        <v>-9998.5720458009382</v>
      </c>
      <c r="BQ30" s="217">
        <f ca="1">-(BQ27*INDEX('Ops Assumptions'!$I$34:$I$44,MATCH('Monthly Pro Forma'!BQ$5,'Ops Assumptions'!$B$34:$B$44,0))*'Unit Mix-Reno Schedule'!CW95)-(BQ29*INDEX('Ops Assumptions'!$J$34:$J$44,MATCH('Monthly Pro Forma'!BQ$5,'Ops Assumptions'!$B$34:$B$44,0))*'Unit Mix-Reno Schedule'!CW96)</f>
        <v>-9998.5720458009382</v>
      </c>
      <c r="BR30" s="217">
        <f ca="1">-(BR27*INDEX('Ops Assumptions'!$I$34:$I$44,MATCH('Monthly Pro Forma'!BR$5,'Ops Assumptions'!$B$34:$B$44,0))*'Unit Mix-Reno Schedule'!CX95)-(BR29*INDEX('Ops Assumptions'!$J$34:$J$44,MATCH('Monthly Pro Forma'!BR$5,'Ops Assumptions'!$B$34:$B$44,0))*'Unit Mix-Reno Schedule'!CX96)</f>
        <v>-9998.5720458009382</v>
      </c>
      <c r="BS30" s="217">
        <f ca="1">-(BS27*INDEX('Ops Assumptions'!$I$34:$I$44,MATCH('Monthly Pro Forma'!BS$5,'Ops Assumptions'!$B$34:$B$44,0))*'Unit Mix-Reno Schedule'!CY95)-(BS29*INDEX('Ops Assumptions'!$J$34:$J$44,MATCH('Monthly Pro Forma'!BS$5,'Ops Assumptions'!$B$34:$B$44,0))*'Unit Mix-Reno Schedule'!CY96)</f>
        <v>-9998.5720458009382</v>
      </c>
      <c r="BT30" s="217">
        <f ca="1">-(BT27*INDEX('Ops Assumptions'!$I$34:$I$44,MATCH('Monthly Pro Forma'!BT$5,'Ops Assumptions'!$B$34:$B$44,0))*'Unit Mix-Reno Schedule'!CZ95)-(BT29*INDEX('Ops Assumptions'!$J$34:$J$44,MATCH('Monthly Pro Forma'!BT$5,'Ops Assumptions'!$B$34:$B$44,0))*'Unit Mix-Reno Schedule'!CZ96)</f>
        <v>-9998.5720458009382</v>
      </c>
      <c r="BU30" s="217">
        <f ca="1">-(BU27*INDEX('Ops Assumptions'!$I$34:$I$44,MATCH('Monthly Pro Forma'!BU$5,'Ops Assumptions'!$B$34:$B$44,0))*'Unit Mix-Reno Schedule'!DA95)-(BU29*INDEX('Ops Assumptions'!$J$34:$J$44,MATCH('Monthly Pro Forma'!BU$5,'Ops Assumptions'!$B$34:$B$44,0))*'Unit Mix-Reno Schedule'!DA96)</f>
        <v>-9998.5720458009382</v>
      </c>
      <c r="BV30" s="217">
        <f ca="1">-(BV27*INDEX('Ops Assumptions'!$I$34:$I$44,MATCH('Monthly Pro Forma'!BV$5,'Ops Assumptions'!$B$34:$B$44,0))*'Unit Mix-Reno Schedule'!DB95)-(BV29*INDEX('Ops Assumptions'!$J$34:$J$44,MATCH('Monthly Pro Forma'!BV$5,'Ops Assumptions'!$B$34:$B$44,0))*'Unit Mix-Reno Schedule'!DB96)</f>
        <v>-9998.5720458009382</v>
      </c>
      <c r="BW30" s="217">
        <f ca="1">-(BW27*INDEX('Ops Assumptions'!$I$34:$I$44,MATCH('Monthly Pro Forma'!BW$5,'Ops Assumptions'!$B$34:$B$44,0))*'Unit Mix-Reno Schedule'!DC95)-(BW29*INDEX('Ops Assumptions'!$J$34:$J$44,MATCH('Monthly Pro Forma'!BW$5,'Ops Assumptions'!$B$34:$B$44,0))*'Unit Mix-Reno Schedule'!DC96)</f>
        <v>-9998.5720458009382</v>
      </c>
      <c r="BX30" s="217">
        <f ca="1">-(BX27*INDEX('Ops Assumptions'!$I$34:$I$44,MATCH('Monthly Pro Forma'!BX$5,'Ops Assumptions'!$B$34:$B$44,0))*'Unit Mix-Reno Schedule'!DD95)-(BX29*INDEX('Ops Assumptions'!$J$34:$J$44,MATCH('Monthly Pro Forma'!BX$5,'Ops Assumptions'!$B$34:$B$44,0))*'Unit Mix-Reno Schedule'!DD96)</f>
        <v>-9998.5720458009382</v>
      </c>
      <c r="BY30" s="217">
        <f ca="1">-(BY27*INDEX('Ops Assumptions'!$I$34:$I$44,MATCH('Monthly Pro Forma'!BY$5,'Ops Assumptions'!$B$34:$B$44,0))*'Unit Mix-Reno Schedule'!DE95)-(BY29*INDEX('Ops Assumptions'!$J$34:$J$44,MATCH('Monthly Pro Forma'!BY$5,'Ops Assumptions'!$B$34:$B$44,0))*'Unit Mix-Reno Schedule'!DE96)</f>
        <v>-9998.5720458009382</v>
      </c>
      <c r="BZ30" s="217">
        <f ca="1">-(BZ27*INDEX('Ops Assumptions'!$I$34:$I$44,MATCH('Monthly Pro Forma'!BZ$5,'Ops Assumptions'!$B$34:$B$44,0))*'Unit Mix-Reno Schedule'!DF95)-(BZ29*INDEX('Ops Assumptions'!$J$34:$J$44,MATCH('Monthly Pro Forma'!BZ$5,'Ops Assumptions'!$B$34:$B$44,0))*'Unit Mix-Reno Schedule'!DF96)</f>
        <v>-9998.5720458009382</v>
      </c>
      <c r="CA30" s="217">
        <f ca="1">-(CA27*INDEX('Ops Assumptions'!$I$34:$I$44,MATCH('Monthly Pro Forma'!CA$5,'Ops Assumptions'!$B$34:$B$44,0))*'Unit Mix-Reno Schedule'!DG95)-(CA29*INDEX('Ops Assumptions'!$J$34:$J$44,MATCH('Monthly Pro Forma'!CA$5,'Ops Assumptions'!$B$34:$B$44,0))*'Unit Mix-Reno Schedule'!DG96)</f>
        <v>0</v>
      </c>
      <c r="CB30" s="217">
        <f ca="1">-(CB27*INDEX('Ops Assumptions'!$I$34:$I$44,MATCH('Monthly Pro Forma'!CB$5,'Ops Assumptions'!$B$34:$B$44,0))*'Unit Mix-Reno Schedule'!DH95)-(CB29*INDEX('Ops Assumptions'!$J$34:$J$44,MATCH('Monthly Pro Forma'!CB$5,'Ops Assumptions'!$B$34:$B$44,0))*'Unit Mix-Reno Schedule'!DH96)</f>
        <v>0</v>
      </c>
      <c r="CC30" s="217">
        <f ca="1">-(CC27*INDEX('Ops Assumptions'!$I$34:$I$44,MATCH('Monthly Pro Forma'!CC$5,'Ops Assumptions'!$B$34:$B$44,0))*'Unit Mix-Reno Schedule'!DI95)-(CC29*INDEX('Ops Assumptions'!$J$34:$J$44,MATCH('Monthly Pro Forma'!CC$5,'Ops Assumptions'!$B$34:$B$44,0))*'Unit Mix-Reno Schedule'!DI96)</f>
        <v>0</v>
      </c>
      <c r="CD30" s="217">
        <f ca="1">-(CD27*INDEX('Ops Assumptions'!$I$34:$I$44,MATCH('Monthly Pro Forma'!CD$5,'Ops Assumptions'!$B$34:$B$44,0))*'Unit Mix-Reno Schedule'!DJ95)-(CD29*INDEX('Ops Assumptions'!$J$34:$J$44,MATCH('Monthly Pro Forma'!CD$5,'Ops Assumptions'!$B$34:$B$44,0))*'Unit Mix-Reno Schedule'!DJ96)</f>
        <v>0</v>
      </c>
      <c r="CE30" s="217">
        <f ca="1">-(CE27*INDEX('Ops Assumptions'!$I$34:$I$44,MATCH('Monthly Pro Forma'!CE$5,'Ops Assumptions'!$B$34:$B$44,0))*'Unit Mix-Reno Schedule'!DK95)-(CE29*INDEX('Ops Assumptions'!$J$34:$J$44,MATCH('Monthly Pro Forma'!CE$5,'Ops Assumptions'!$B$34:$B$44,0))*'Unit Mix-Reno Schedule'!DK96)</f>
        <v>0</v>
      </c>
      <c r="CF30" s="217">
        <f ca="1">-(CF27*INDEX('Ops Assumptions'!$I$34:$I$44,MATCH('Monthly Pro Forma'!CF$5,'Ops Assumptions'!$B$34:$B$44,0))*'Unit Mix-Reno Schedule'!DL95)-(CF29*INDEX('Ops Assumptions'!$J$34:$J$44,MATCH('Monthly Pro Forma'!CF$5,'Ops Assumptions'!$B$34:$B$44,0))*'Unit Mix-Reno Schedule'!DL96)</f>
        <v>0</v>
      </c>
      <c r="CG30" s="217">
        <f ca="1">-(CG27*INDEX('Ops Assumptions'!$I$34:$I$44,MATCH('Monthly Pro Forma'!CG$5,'Ops Assumptions'!$B$34:$B$44,0))*'Unit Mix-Reno Schedule'!DM95)-(CG29*INDEX('Ops Assumptions'!$J$34:$J$44,MATCH('Monthly Pro Forma'!CG$5,'Ops Assumptions'!$B$34:$B$44,0))*'Unit Mix-Reno Schedule'!DM96)</f>
        <v>0</v>
      </c>
      <c r="CH30" s="217">
        <f ca="1">-(CH27*INDEX('Ops Assumptions'!$I$34:$I$44,MATCH('Monthly Pro Forma'!CH$5,'Ops Assumptions'!$B$34:$B$44,0))*'Unit Mix-Reno Schedule'!DN95)-(CH29*INDEX('Ops Assumptions'!$J$34:$J$44,MATCH('Monthly Pro Forma'!CH$5,'Ops Assumptions'!$B$34:$B$44,0))*'Unit Mix-Reno Schedule'!DN96)</f>
        <v>0</v>
      </c>
      <c r="CI30" s="217">
        <f ca="1">-(CI27*INDEX('Ops Assumptions'!$I$34:$I$44,MATCH('Monthly Pro Forma'!CI$5,'Ops Assumptions'!$B$34:$B$44,0))*'Unit Mix-Reno Schedule'!DO95)-(CI29*INDEX('Ops Assumptions'!$J$34:$J$44,MATCH('Monthly Pro Forma'!CI$5,'Ops Assumptions'!$B$34:$B$44,0))*'Unit Mix-Reno Schedule'!DO96)</f>
        <v>0</v>
      </c>
      <c r="CJ30" s="217">
        <f ca="1">-(CJ27*INDEX('Ops Assumptions'!$I$34:$I$44,MATCH('Monthly Pro Forma'!CJ$5,'Ops Assumptions'!$B$34:$B$44,0))*'Unit Mix-Reno Schedule'!DP95)-(CJ29*INDEX('Ops Assumptions'!$J$34:$J$44,MATCH('Monthly Pro Forma'!CJ$5,'Ops Assumptions'!$B$34:$B$44,0))*'Unit Mix-Reno Schedule'!DP96)</f>
        <v>0</v>
      </c>
      <c r="CK30" s="217">
        <f ca="1">-(CK27*INDEX('Ops Assumptions'!$I$34:$I$44,MATCH('Monthly Pro Forma'!CK$5,'Ops Assumptions'!$B$34:$B$44,0))*'Unit Mix-Reno Schedule'!DQ95)-(CK29*INDEX('Ops Assumptions'!$J$34:$J$44,MATCH('Monthly Pro Forma'!CK$5,'Ops Assumptions'!$B$34:$B$44,0))*'Unit Mix-Reno Schedule'!DQ96)</f>
        <v>0</v>
      </c>
      <c r="CL30" s="217">
        <f ca="1">-(CL27*INDEX('Ops Assumptions'!$I$34:$I$44,MATCH('Monthly Pro Forma'!CL$5,'Ops Assumptions'!$B$34:$B$44,0))*'Unit Mix-Reno Schedule'!DR95)-(CL29*INDEX('Ops Assumptions'!$J$34:$J$44,MATCH('Monthly Pro Forma'!CL$5,'Ops Assumptions'!$B$34:$B$44,0))*'Unit Mix-Reno Schedule'!DR96)</f>
        <v>0</v>
      </c>
      <c r="CM30" s="217">
        <f ca="1">-(CM27*INDEX('Ops Assumptions'!$I$34:$I$44,MATCH('Monthly Pro Forma'!CM$5,'Ops Assumptions'!$B$34:$B$44,0))*'Unit Mix-Reno Schedule'!DS95)-(CM29*INDEX('Ops Assumptions'!$J$34:$J$44,MATCH('Monthly Pro Forma'!CM$5,'Ops Assumptions'!$B$34:$B$44,0))*'Unit Mix-Reno Schedule'!DS96)</f>
        <v>0</v>
      </c>
      <c r="CN30" s="217">
        <f ca="1">-(CN27*INDEX('Ops Assumptions'!$I$34:$I$44,MATCH('Monthly Pro Forma'!CN$5,'Ops Assumptions'!$B$34:$B$44,0))*'Unit Mix-Reno Schedule'!DT95)-(CN29*INDEX('Ops Assumptions'!$J$34:$J$44,MATCH('Monthly Pro Forma'!CN$5,'Ops Assumptions'!$B$34:$B$44,0))*'Unit Mix-Reno Schedule'!DT96)</f>
        <v>0</v>
      </c>
      <c r="CO30" s="217">
        <f ca="1">-(CO27*INDEX('Ops Assumptions'!$I$34:$I$44,MATCH('Monthly Pro Forma'!CO$5,'Ops Assumptions'!$B$34:$B$44,0))*'Unit Mix-Reno Schedule'!DU95)-(CO29*INDEX('Ops Assumptions'!$J$34:$J$44,MATCH('Monthly Pro Forma'!CO$5,'Ops Assumptions'!$B$34:$B$44,0))*'Unit Mix-Reno Schedule'!DU96)</f>
        <v>0</v>
      </c>
      <c r="CP30" s="217">
        <f ca="1">-(CP27*INDEX('Ops Assumptions'!$I$34:$I$44,MATCH('Monthly Pro Forma'!CP$5,'Ops Assumptions'!$B$34:$B$44,0))*'Unit Mix-Reno Schedule'!DV95)-(CP29*INDEX('Ops Assumptions'!$J$34:$J$44,MATCH('Monthly Pro Forma'!CP$5,'Ops Assumptions'!$B$34:$B$44,0))*'Unit Mix-Reno Schedule'!DV96)</f>
        <v>0</v>
      </c>
      <c r="CQ30" s="217">
        <f ca="1">-(CQ27*INDEX('Ops Assumptions'!$I$34:$I$44,MATCH('Monthly Pro Forma'!CQ$5,'Ops Assumptions'!$B$34:$B$44,0))*'Unit Mix-Reno Schedule'!DW95)-(CQ29*INDEX('Ops Assumptions'!$J$34:$J$44,MATCH('Monthly Pro Forma'!CQ$5,'Ops Assumptions'!$B$34:$B$44,0))*'Unit Mix-Reno Schedule'!DW96)</f>
        <v>0</v>
      </c>
      <c r="CR30" s="217">
        <f ca="1">-(CR27*INDEX('Ops Assumptions'!$I$34:$I$44,MATCH('Monthly Pro Forma'!CR$5,'Ops Assumptions'!$B$34:$B$44,0))*'Unit Mix-Reno Schedule'!DX95)-(CR29*INDEX('Ops Assumptions'!$J$34:$J$44,MATCH('Monthly Pro Forma'!CR$5,'Ops Assumptions'!$B$34:$B$44,0))*'Unit Mix-Reno Schedule'!DX96)</f>
        <v>0</v>
      </c>
      <c r="CS30" s="217">
        <f ca="1">-(CS27*INDEX('Ops Assumptions'!$I$34:$I$44,MATCH('Monthly Pro Forma'!CS$5,'Ops Assumptions'!$B$34:$B$44,0))*'Unit Mix-Reno Schedule'!DY95)-(CS29*INDEX('Ops Assumptions'!$J$34:$J$44,MATCH('Monthly Pro Forma'!CS$5,'Ops Assumptions'!$B$34:$B$44,0))*'Unit Mix-Reno Schedule'!DY96)</f>
        <v>0</v>
      </c>
      <c r="CT30" s="217">
        <f ca="1">-(CT27*INDEX('Ops Assumptions'!$I$34:$I$44,MATCH('Monthly Pro Forma'!CT$5,'Ops Assumptions'!$B$34:$B$44,0))*'Unit Mix-Reno Schedule'!DZ95)-(CT29*INDEX('Ops Assumptions'!$J$34:$J$44,MATCH('Monthly Pro Forma'!CT$5,'Ops Assumptions'!$B$34:$B$44,0))*'Unit Mix-Reno Schedule'!DZ96)</f>
        <v>0</v>
      </c>
      <c r="CU30" s="217">
        <f ca="1">-(CU27*INDEX('Ops Assumptions'!$I$34:$I$44,MATCH('Monthly Pro Forma'!CU$5,'Ops Assumptions'!$B$34:$B$44,0))*'Unit Mix-Reno Schedule'!EA95)-(CU29*INDEX('Ops Assumptions'!$J$34:$J$44,MATCH('Monthly Pro Forma'!CU$5,'Ops Assumptions'!$B$34:$B$44,0))*'Unit Mix-Reno Schedule'!EA96)</f>
        <v>0</v>
      </c>
      <c r="CV30" s="217">
        <f ca="1">-(CV27*INDEX('Ops Assumptions'!$I$34:$I$44,MATCH('Monthly Pro Forma'!CV$5,'Ops Assumptions'!$B$34:$B$44,0))*'Unit Mix-Reno Schedule'!EB95)-(CV29*INDEX('Ops Assumptions'!$J$34:$J$44,MATCH('Monthly Pro Forma'!CV$5,'Ops Assumptions'!$B$34:$B$44,0))*'Unit Mix-Reno Schedule'!EB96)</f>
        <v>0</v>
      </c>
      <c r="CW30" s="217">
        <f ca="1">-(CW27*INDEX('Ops Assumptions'!$I$34:$I$44,MATCH('Monthly Pro Forma'!CW$5,'Ops Assumptions'!$B$34:$B$44,0))*'Unit Mix-Reno Schedule'!EC95)-(CW29*INDEX('Ops Assumptions'!$J$34:$J$44,MATCH('Monthly Pro Forma'!CW$5,'Ops Assumptions'!$B$34:$B$44,0))*'Unit Mix-Reno Schedule'!EC96)</f>
        <v>0</v>
      </c>
      <c r="CX30" s="217">
        <f ca="1">-(CX27*INDEX('Ops Assumptions'!$I$34:$I$44,MATCH('Monthly Pro Forma'!CX$5,'Ops Assumptions'!$B$34:$B$44,0))*'Unit Mix-Reno Schedule'!ED95)-(CX29*INDEX('Ops Assumptions'!$J$34:$J$44,MATCH('Monthly Pro Forma'!CX$5,'Ops Assumptions'!$B$34:$B$44,0))*'Unit Mix-Reno Schedule'!ED96)</f>
        <v>0</v>
      </c>
      <c r="CY30" s="217">
        <f ca="1">-(CY27*INDEX('Ops Assumptions'!$I$34:$I$44,MATCH('Monthly Pro Forma'!CY$5,'Ops Assumptions'!$B$34:$B$44,0))*'Unit Mix-Reno Schedule'!EE95)-(CY29*INDEX('Ops Assumptions'!$J$34:$J$44,MATCH('Monthly Pro Forma'!CY$5,'Ops Assumptions'!$B$34:$B$44,0))*'Unit Mix-Reno Schedule'!EE96)</f>
        <v>0</v>
      </c>
      <c r="CZ30" s="217">
        <f ca="1">-(CZ27*INDEX('Ops Assumptions'!$I$34:$I$44,MATCH('Monthly Pro Forma'!CZ$5,'Ops Assumptions'!$B$34:$B$44,0))*'Unit Mix-Reno Schedule'!EF95)-(CZ29*INDEX('Ops Assumptions'!$J$34:$J$44,MATCH('Monthly Pro Forma'!CZ$5,'Ops Assumptions'!$B$34:$B$44,0))*'Unit Mix-Reno Schedule'!EF96)</f>
        <v>0</v>
      </c>
      <c r="DA30" s="217">
        <f ca="1">-(DA27*INDEX('Ops Assumptions'!$I$34:$I$44,MATCH('Monthly Pro Forma'!DA$5,'Ops Assumptions'!$B$34:$B$44,0))*'Unit Mix-Reno Schedule'!EG95)-(DA29*INDEX('Ops Assumptions'!$J$34:$J$44,MATCH('Monthly Pro Forma'!DA$5,'Ops Assumptions'!$B$34:$B$44,0))*'Unit Mix-Reno Schedule'!EG96)</f>
        <v>0</v>
      </c>
      <c r="DB30" s="217">
        <f ca="1">-(DB27*INDEX('Ops Assumptions'!$I$34:$I$44,MATCH('Monthly Pro Forma'!DB$5,'Ops Assumptions'!$B$34:$B$44,0))*'Unit Mix-Reno Schedule'!EH95)-(DB29*INDEX('Ops Assumptions'!$J$34:$J$44,MATCH('Monthly Pro Forma'!DB$5,'Ops Assumptions'!$B$34:$B$44,0))*'Unit Mix-Reno Schedule'!EH96)</f>
        <v>0</v>
      </c>
      <c r="DC30" s="217">
        <f ca="1">-(DC27*INDEX('Ops Assumptions'!$I$34:$I$44,MATCH('Monthly Pro Forma'!DC$5,'Ops Assumptions'!$B$34:$B$44,0))*'Unit Mix-Reno Schedule'!EI95)-(DC29*INDEX('Ops Assumptions'!$J$34:$J$44,MATCH('Monthly Pro Forma'!DC$5,'Ops Assumptions'!$B$34:$B$44,0))*'Unit Mix-Reno Schedule'!EI96)</f>
        <v>0</v>
      </c>
      <c r="DD30" s="217">
        <f ca="1">-(DD27*INDEX('Ops Assumptions'!$I$34:$I$44,MATCH('Monthly Pro Forma'!DD$5,'Ops Assumptions'!$B$34:$B$44,0))*'Unit Mix-Reno Schedule'!EJ95)-(DD29*INDEX('Ops Assumptions'!$J$34:$J$44,MATCH('Monthly Pro Forma'!DD$5,'Ops Assumptions'!$B$34:$B$44,0))*'Unit Mix-Reno Schedule'!EJ96)</f>
        <v>0</v>
      </c>
      <c r="DE30" s="217">
        <f ca="1">-(DE27*INDEX('Ops Assumptions'!$I$34:$I$44,MATCH('Monthly Pro Forma'!DE$5,'Ops Assumptions'!$B$34:$B$44,0))*'Unit Mix-Reno Schedule'!EK95)-(DE29*INDEX('Ops Assumptions'!$J$34:$J$44,MATCH('Monthly Pro Forma'!DE$5,'Ops Assumptions'!$B$34:$B$44,0))*'Unit Mix-Reno Schedule'!EK96)</f>
        <v>0</v>
      </c>
      <c r="DF30" s="217">
        <f ca="1">-(DF27*INDEX('Ops Assumptions'!$I$34:$I$44,MATCH('Monthly Pro Forma'!DF$5,'Ops Assumptions'!$B$34:$B$44,0))*'Unit Mix-Reno Schedule'!EL95)-(DF29*INDEX('Ops Assumptions'!$J$34:$J$44,MATCH('Monthly Pro Forma'!DF$5,'Ops Assumptions'!$B$34:$B$44,0))*'Unit Mix-Reno Schedule'!EL96)</f>
        <v>0</v>
      </c>
      <c r="DG30" s="217">
        <f ca="1">-(DG27*INDEX('Ops Assumptions'!$I$34:$I$44,MATCH('Monthly Pro Forma'!DG$5,'Ops Assumptions'!$B$34:$B$44,0))*'Unit Mix-Reno Schedule'!EM95)-(DG29*INDEX('Ops Assumptions'!$J$34:$J$44,MATCH('Monthly Pro Forma'!DG$5,'Ops Assumptions'!$B$34:$B$44,0))*'Unit Mix-Reno Schedule'!EM96)</f>
        <v>0</v>
      </c>
      <c r="DH30" s="217">
        <f ca="1">-(DH27*INDEX('Ops Assumptions'!$I$34:$I$44,MATCH('Monthly Pro Forma'!DH$5,'Ops Assumptions'!$B$34:$B$44,0))*'Unit Mix-Reno Schedule'!EN95)-(DH29*INDEX('Ops Assumptions'!$J$34:$J$44,MATCH('Monthly Pro Forma'!DH$5,'Ops Assumptions'!$B$34:$B$44,0))*'Unit Mix-Reno Schedule'!EN96)</f>
        <v>0</v>
      </c>
      <c r="DI30" s="217">
        <f ca="1">-(DI27*INDEX('Ops Assumptions'!$I$34:$I$44,MATCH('Monthly Pro Forma'!DI$5,'Ops Assumptions'!$B$34:$B$44,0))*'Unit Mix-Reno Schedule'!EO95)-(DI29*INDEX('Ops Assumptions'!$J$34:$J$44,MATCH('Monthly Pro Forma'!DI$5,'Ops Assumptions'!$B$34:$B$44,0))*'Unit Mix-Reno Schedule'!EO96)</f>
        <v>0</v>
      </c>
      <c r="DJ30" s="217">
        <f ca="1">-(DJ27*INDEX('Ops Assumptions'!$I$34:$I$44,MATCH('Monthly Pro Forma'!DJ$5,'Ops Assumptions'!$B$34:$B$44,0))*'Unit Mix-Reno Schedule'!EP95)-(DJ29*INDEX('Ops Assumptions'!$J$34:$J$44,MATCH('Monthly Pro Forma'!DJ$5,'Ops Assumptions'!$B$34:$B$44,0))*'Unit Mix-Reno Schedule'!EP96)</f>
        <v>0</v>
      </c>
      <c r="DK30" s="217">
        <f ca="1">-(DK27*INDEX('Ops Assumptions'!$I$34:$I$44,MATCH('Monthly Pro Forma'!DK$5,'Ops Assumptions'!$B$34:$B$44,0))*'Unit Mix-Reno Schedule'!EQ95)-(DK29*INDEX('Ops Assumptions'!$J$34:$J$44,MATCH('Monthly Pro Forma'!DK$5,'Ops Assumptions'!$B$34:$B$44,0))*'Unit Mix-Reno Schedule'!EQ96)</f>
        <v>0</v>
      </c>
      <c r="DL30" s="217">
        <f ca="1">-(DL27*INDEX('Ops Assumptions'!$I$34:$I$44,MATCH('Monthly Pro Forma'!DL$5,'Ops Assumptions'!$B$34:$B$44,0))*'Unit Mix-Reno Schedule'!ER95)-(DL29*INDEX('Ops Assumptions'!$J$34:$J$44,MATCH('Monthly Pro Forma'!DL$5,'Ops Assumptions'!$B$34:$B$44,0))*'Unit Mix-Reno Schedule'!ER96)</f>
        <v>0</v>
      </c>
      <c r="DM30" s="217">
        <f ca="1">-(DM27*INDEX('Ops Assumptions'!$I$34:$I$44,MATCH('Monthly Pro Forma'!DM$5,'Ops Assumptions'!$B$34:$B$44,0))*'Unit Mix-Reno Schedule'!ES95)-(DM29*INDEX('Ops Assumptions'!$J$34:$J$44,MATCH('Monthly Pro Forma'!DM$5,'Ops Assumptions'!$B$34:$B$44,0))*'Unit Mix-Reno Schedule'!ES96)</f>
        <v>0</v>
      </c>
      <c r="DN30" s="217">
        <f ca="1">-(DN27*INDEX('Ops Assumptions'!$I$34:$I$44,MATCH('Monthly Pro Forma'!DN$5,'Ops Assumptions'!$B$34:$B$44,0))*'Unit Mix-Reno Schedule'!ET95)-(DN29*INDEX('Ops Assumptions'!$J$34:$J$44,MATCH('Monthly Pro Forma'!DN$5,'Ops Assumptions'!$B$34:$B$44,0))*'Unit Mix-Reno Schedule'!ET96)</f>
        <v>0</v>
      </c>
      <c r="DO30" s="217">
        <f ca="1">-(DO27*INDEX('Ops Assumptions'!$I$34:$I$44,MATCH('Monthly Pro Forma'!DO$5,'Ops Assumptions'!$B$34:$B$44,0))*'Unit Mix-Reno Schedule'!EU95)-(DO29*INDEX('Ops Assumptions'!$J$34:$J$44,MATCH('Monthly Pro Forma'!DO$5,'Ops Assumptions'!$B$34:$B$44,0))*'Unit Mix-Reno Schedule'!EU96)</f>
        <v>0</v>
      </c>
      <c r="DP30" s="217">
        <f ca="1">-(DP27*INDEX('Ops Assumptions'!$I$34:$I$44,MATCH('Monthly Pro Forma'!DP$5,'Ops Assumptions'!$B$34:$B$44,0))*'Unit Mix-Reno Schedule'!EV95)-(DP29*INDEX('Ops Assumptions'!$J$34:$J$44,MATCH('Monthly Pro Forma'!DP$5,'Ops Assumptions'!$B$34:$B$44,0))*'Unit Mix-Reno Schedule'!EV96)</f>
        <v>0</v>
      </c>
      <c r="DQ30" s="217">
        <f ca="1">-(DQ27*INDEX('Ops Assumptions'!$I$34:$I$44,MATCH('Monthly Pro Forma'!DQ$5,'Ops Assumptions'!$B$34:$B$44,0))*'Unit Mix-Reno Schedule'!EW95)-(DQ29*INDEX('Ops Assumptions'!$J$34:$J$44,MATCH('Monthly Pro Forma'!DQ$5,'Ops Assumptions'!$B$34:$B$44,0))*'Unit Mix-Reno Schedule'!EW96)</f>
        <v>0</v>
      </c>
      <c r="DR30" s="217">
        <f ca="1">-(DR27*INDEX('Ops Assumptions'!$I$34:$I$44,MATCH('Monthly Pro Forma'!DR$5,'Ops Assumptions'!$B$34:$B$44,0))*'Unit Mix-Reno Schedule'!EX95)-(DR29*INDEX('Ops Assumptions'!$J$34:$J$44,MATCH('Monthly Pro Forma'!DR$5,'Ops Assumptions'!$B$34:$B$44,0))*'Unit Mix-Reno Schedule'!EX96)</f>
        <v>0</v>
      </c>
      <c r="DS30" s="217">
        <f ca="1">-(DS27*INDEX('Ops Assumptions'!$I$34:$I$44,MATCH('Monthly Pro Forma'!DS$5,'Ops Assumptions'!$B$34:$B$44,0))*'Unit Mix-Reno Schedule'!EY95)-(DS29*INDEX('Ops Assumptions'!$J$34:$J$44,MATCH('Monthly Pro Forma'!DS$5,'Ops Assumptions'!$B$34:$B$44,0))*'Unit Mix-Reno Schedule'!EY96)</f>
        <v>0</v>
      </c>
      <c r="DT30" s="217">
        <f ca="1">-(DT27*INDEX('Ops Assumptions'!$I$34:$I$44,MATCH('Monthly Pro Forma'!DT$5,'Ops Assumptions'!$B$34:$B$44,0))*'Unit Mix-Reno Schedule'!EZ95)-(DT29*INDEX('Ops Assumptions'!$J$34:$J$44,MATCH('Monthly Pro Forma'!DT$5,'Ops Assumptions'!$B$34:$B$44,0))*'Unit Mix-Reno Schedule'!EZ96)</f>
        <v>0</v>
      </c>
      <c r="DU30" s="217">
        <f ca="1">-(DU27*INDEX('Ops Assumptions'!$I$34:$I$44,MATCH('Monthly Pro Forma'!DU$5,'Ops Assumptions'!$B$34:$B$44,0))*'Unit Mix-Reno Schedule'!FA95)-(DU29*INDEX('Ops Assumptions'!$J$34:$J$44,MATCH('Monthly Pro Forma'!DU$5,'Ops Assumptions'!$B$34:$B$44,0))*'Unit Mix-Reno Schedule'!FA96)</f>
        <v>0</v>
      </c>
      <c r="DV30" s="217">
        <f ca="1">-(DV27*INDEX('Ops Assumptions'!$I$34:$I$44,MATCH('Monthly Pro Forma'!DV$5,'Ops Assumptions'!$B$34:$B$44,0))*'Unit Mix-Reno Schedule'!FB95)-(DV29*INDEX('Ops Assumptions'!$J$34:$J$44,MATCH('Monthly Pro Forma'!DV$5,'Ops Assumptions'!$B$34:$B$44,0))*'Unit Mix-Reno Schedule'!FB96)</f>
        <v>0</v>
      </c>
      <c r="DW30" s="217">
        <f ca="1">-(DW27*INDEX('Ops Assumptions'!$I$34:$I$44,MATCH('Monthly Pro Forma'!DW$5,'Ops Assumptions'!$B$34:$B$44,0))*'Unit Mix-Reno Schedule'!FC95)-(DW29*INDEX('Ops Assumptions'!$J$34:$J$44,MATCH('Monthly Pro Forma'!DW$5,'Ops Assumptions'!$B$34:$B$44,0))*'Unit Mix-Reno Schedule'!FC96)</f>
        <v>0</v>
      </c>
      <c r="DX30" s="217">
        <f ca="1">-(DX27*INDEX('Ops Assumptions'!$I$34:$I$44,MATCH('Monthly Pro Forma'!DX$5,'Ops Assumptions'!$B$34:$B$44,0))*'Unit Mix-Reno Schedule'!FD95)-(DX29*INDEX('Ops Assumptions'!$J$34:$J$44,MATCH('Monthly Pro Forma'!DX$5,'Ops Assumptions'!$B$34:$B$44,0))*'Unit Mix-Reno Schedule'!FD96)</f>
        <v>0</v>
      </c>
      <c r="DY30" s="217">
        <f ca="1">-(DY27*INDEX('Ops Assumptions'!$I$34:$I$44,MATCH('Monthly Pro Forma'!DY$5,'Ops Assumptions'!$B$34:$B$44,0))*'Unit Mix-Reno Schedule'!FE95)-(DY29*INDEX('Ops Assumptions'!$J$34:$J$44,MATCH('Monthly Pro Forma'!DY$5,'Ops Assumptions'!$B$34:$B$44,0))*'Unit Mix-Reno Schedule'!FE96)</f>
        <v>0</v>
      </c>
      <c r="DZ30" s="217">
        <f ca="1">-(DZ27*INDEX('Ops Assumptions'!$I$34:$I$44,MATCH('Monthly Pro Forma'!DZ$5,'Ops Assumptions'!$B$34:$B$44,0))*'Unit Mix-Reno Schedule'!FF95)-(DZ29*INDEX('Ops Assumptions'!$J$34:$J$44,MATCH('Monthly Pro Forma'!DZ$5,'Ops Assumptions'!$B$34:$B$44,0))*'Unit Mix-Reno Schedule'!FF96)</f>
        <v>0</v>
      </c>
      <c r="EA30" s="217">
        <f ca="1">-(EA27*INDEX('Ops Assumptions'!$I$34:$I$44,MATCH('Monthly Pro Forma'!EA$5,'Ops Assumptions'!$B$34:$B$44,0))*'Unit Mix-Reno Schedule'!FG95)-(EA29*INDEX('Ops Assumptions'!$J$34:$J$44,MATCH('Monthly Pro Forma'!EA$5,'Ops Assumptions'!$B$34:$B$44,0))*'Unit Mix-Reno Schedule'!FG96)</f>
        <v>0</v>
      </c>
      <c r="EB30" s="217">
        <f ca="1">-(EB27*INDEX('Ops Assumptions'!$I$34:$I$44,MATCH('Monthly Pro Forma'!EB$5,'Ops Assumptions'!$B$34:$B$44,0))*'Unit Mix-Reno Schedule'!FH95)-(EB29*INDEX('Ops Assumptions'!$J$34:$J$44,MATCH('Monthly Pro Forma'!EB$5,'Ops Assumptions'!$B$34:$B$44,0))*'Unit Mix-Reno Schedule'!FH96)</f>
        <v>0</v>
      </c>
      <c r="EC30" s="217">
        <f ca="1">-(EC27*INDEX('Ops Assumptions'!$I$34:$I$44,MATCH('Monthly Pro Forma'!EC$5,'Ops Assumptions'!$B$34:$B$44,0))*'Unit Mix-Reno Schedule'!FI95)-(EC29*INDEX('Ops Assumptions'!$J$34:$J$44,MATCH('Monthly Pro Forma'!EC$5,'Ops Assumptions'!$B$34:$B$44,0))*'Unit Mix-Reno Schedule'!FI96)</f>
        <v>0</v>
      </c>
      <c r="ED30" s="217">
        <f ca="1">-(ED27*INDEX('Ops Assumptions'!$I$34:$I$44,MATCH('Monthly Pro Forma'!ED$5,'Ops Assumptions'!$B$34:$B$44,0))*'Unit Mix-Reno Schedule'!FJ95)-(ED29*INDEX('Ops Assumptions'!$J$34:$J$44,MATCH('Monthly Pro Forma'!ED$5,'Ops Assumptions'!$B$34:$B$44,0))*'Unit Mix-Reno Schedule'!FJ96)</f>
        <v>0</v>
      </c>
      <c r="EE30" s="217">
        <f ca="1">-(EE27*INDEX('Ops Assumptions'!$I$34:$I$44,MATCH('Monthly Pro Forma'!EE$5,'Ops Assumptions'!$B$34:$B$44,0))*'Unit Mix-Reno Schedule'!FK95)-(EE29*INDEX('Ops Assumptions'!$J$34:$J$44,MATCH('Monthly Pro Forma'!EE$5,'Ops Assumptions'!$B$34:$B$44,0))*'Unit Mix-Reno Schedule'!FK96)</f>
        <v>0</v>
      </c>
      <c r="EF30" s="217">
        <f ca="1">-(EF27*INDEX('Ops Assumptions'!$I$34:$I$44,MATCH('Monthly Pro Forma'!EF$5,'Ops Assumptions'!$B$34:$B$44,0))*'Unit Mix-Reno Schedule'!FL95)-(EF29*INDEX('Ops Assumptions'!$J$34:$J$44,MATCH('Monthly Pro Forma'!EF$5,'Ops Assumptions'!$B$34:$B$44,0))*'Unit Mix-Reno Schedule'!FL96)</f>
        <v>0</v>
      </c>
      <c r="EG30" s="217">
        <f ca="1">-(EG27*INDEX('Ops Assumptions'!$I$34:$I$44,MATCH('Monthly Pro Forma'!EG$5,'Ops Assumptions'!$B$34:$B$44,0))*'Unit Mix-Reno Schedule'!FM95)-(EG29*INDEX('Ops Assumptions'!$J$34:$J$44,MATCH('Monthly Pro Forma'!EG$5,'Ops Assumptions'!$B$34:$B$44,0))*'Unit Mix-Reno Schedule'!FM96)</f>
        <v>0</v>
      </c>
      <c r="EH30" s="217">
        <f ca="1">-(EH27*INDEX('Ops Assumptions'!$I$34:$I$44,MATCH('Monthly Pro Forma'!EH$5,'Ops Assumptions'!$B$34:$B$44,0))*'Unit Mix-Reno Schedule'!FN95)-(EH29*INDEX('Ops Assumptions'!$J$34:$J$44,MATCH('Monthly Pro Forma'!EH$5,'Ops Assumptions'!$B$34:$B$44,0))*'Unit Mix-Reno Schedule'!FN96)</f>
        <v>0</v>
      </c>
      <c r="EI30" s="158" t="s">
        <v>243</v>
      </c>
    </row>
    <row r="31" spans="1:139" s="312" customFormat="1" x14ac:dyDescent="0.2">
      <c r="A31" s="282"/>
      <c r="B31" s="261" t="s">
        <v>146</v>
      </c>
      <c r="C31" s="283"/>
      <c r="D31" s="310">
        <f t="shared" ca="1" si="42"/>
        <v>24883223.596145373</v>
      </c>
      <c r="E31" s="311">
        <f>SUM(E29:E30)</f>
        <v>299485</v>
      </c>
      <c r="F31" s="264"/>
      <c r="G31" s="264">
        <f t="shared" ref="G31:AL31" ca="1" si="50">IF(G4&gt;HoldPeriod+12,0,SUM(G29:G30))</f>
        <v>323737.6443755459</v>
      </c>
      <c r="H31" s="264">
        <f t="shared" ca="1" si="50"/>
        <v>325740.64221854252</v>
      </c>
      <c r="I31" s="264">
        <f t="shared" ca="1" si="50"/>
        <v>327741.11966729548</v>
      </c>
      <c r="J31" s="264">
        <f t="shared" ca="1" si="50"/>
        <v>329739.07672180486</v>
      </c>
      <c r="K31" s="264">
        <f ca="1">IF(K4&gt;HoldPeriod+12,0,SUM(K29:K30))</f>
        <v>331734.51338207064</v>
      </c>
      <c r="L31" s="264">
        <f t="shared" ca="1" si="50"/>
        <v>333727.42964809277</v>
      </c>
      <c r="M31" s="264">
        <f t="shared" ca="1" si="50"/>
        <v>335717.82551987126</v>
      </c>
      <c r="N31" s="264">
        <f t="shared" ca="1" si="50"/>
        <v>337705.70099740615</v>
      </c>
      <c r="O31" s="264">
        <f t="shared" ca="1" si="50"/>
        <v>339691.0560806974</v>
      </c>
      <c r="P31" s="264">
        <f t="shared" ca="1" si="50"/>
        <v>341673.89076974505</v>
      </c>
      <c r="Q31" s="264">
        <f t="shared" ca="1" si="50"/>
        <v>343654.20506454905</v>
      </c>
      <c r="R31" s="264">
        <f t="shared" ca="1" si="50"/>
        <v>345631.99896510941</v>
      </c>
      <c r="S31" s="264">
        <f t="shared" ca="1" si="50"/>
        <v>370467.26607797889</v>
      </c>
      <c r="T31" s="264">
        <f t="shared" ca="1" si="50"/>
        <v>373114.15050737665</v>
      </c>
      <c r="U31" s="264">
        <f t="shared" ca="1" si="50"/>
        <v>375756.33020085294</v>
      </c>
      <c r="V31" s="264">
        <f t="shared" ca="1" si="50"/>
        <v>378393.80515840783</v>
      </c>
      <c r="W31" s="264">
        <f t="shared" ca="1" si="50"/>
        <v>381026.57538004132</v>
      </c>
      <c r="X31" s="264">
        <f t="shared" ca="1" si="50"/>
        <v>383654.6408657534</v>
      </c>
      <c r="Y31" s="264">
        <f t="shared" ca="1" si="50"/>
        <v>386278.00161554397</v>
      </c>
      <c r="Z31" s="264">
        <f t="shared" ca="1" si="50"/>
        <v>388896.65762941312</v>
      </c>
      <c r="AA31" s="264">
        <f t="shared" ca="1" si="50"/>
        <v>391179.60133068857</v>
      </c>
      <c r="AB31" s="264">
        <f t="shared" ca="1" si="50"/>
        <v>393458.42838803277</v>
      </c>
      <c r="AC31" s="264">
        <f t="shared" ca="1" si="50"/>
        <v>395733.13880144578</v>
      </c>
      <c r="AD31" s="264">
        <f t="shared" ca="1" si="50"/>
        <v>398003.73257092747</v>
      </c>
      <c r="AE31" s="264">
        <f t="shared" ca="1" si="50"/>
        <v>420302.36857831047</v>
      </c>
      <c r="AF31" s="264">
        <f t="shared" ca="1" si="50"/>
        <v>422727.49380982155</v>
      </c>
      <c r="AG31" s="264">
        <f t="shared" ca="1" si="50"/>
        <v>425152.61904133257</v>
      </c>
      <c r="AH31" s="264">
        <f t="shared" ca="1" si="50"/>
        <v>426884.85134955478</v>
      </c>
      <c r="AI31" s="264">
        <f t="shared" ca="1" si="50"/>
        <v>428617.083657777</v>
      </c>
      <c r="AJ31" s="264">
        <f t="shared" ca="1" si="50"/>
        <v>430349.31596599921</v>
      </c>
      <c r="AK31" s="264">
        <f t="shared" ca="1" si="50"/>
        <v>432081.54827422136</v>
      </c>
      <c r="AL31" s="264">
        <f t="shared" ca="1" si="50"/>
        <v>433813.78058244358</v>
      </c>
      <c r="AM31" s="264">
        <f t="shared" ref="AM31:BR31" ca="1" si="51">IF(AM4&gt;HoldPeriod+12,0,SUM(AM29:AM30))</f>
        <v>435546.01289066579</v>
      </c>
      <c r="AN31" s="264">
        <f t="shared" ca="1" si="51"/>
        <v>435546.01289066579</v>
      </c>
      <c r="AO31" s="264">
        <f t="shared" ca="1" si="51"/>
        <v>435546.01289066579</v>
      </c>
      <c r="AP31" s="264">
        <f t="shared" ca="1" si="51"/>
        <v>435546.01289066579</v>
      </c>
      <c r="AQ31" s="264">
        <f t="shared" ca="1" si="51"/>
        <v>452967.85340629244</v>
      </c>
      <c r="AR31" s="264">
        <f t="shared" ca="1" si="51"/>
        <v>452967.85340629244</v>
      </c>
      <c r="AS31" s="264">
        <f t="shared" ca="1" si="51"/>
        <v>452967.85340629244</v>
      </c>
      <c r="AT31" s="264">
        <f t="shared" ca="1" si="51"/>
        <v>452967.85340629244</v>
      </c>
      <c r="AU31" s="264">
        <f t="shared" ca="1" si="51"/>
        <v>452967.85340629244</v>
      </c>
      <c r="AV31" s="264">
        <f t="shared" ca="1" si="51"/>
        <v>452967.85340629244</v>
      </c>
      <c r="AW31" s="264">
        <f t="shared" ca="1" si="51"/>
        <v>452967.85340629244</v>
      </c>
      <c r="AX31" s="264">
        <f t="shared" ca="1" si="51"/>
        <v>452967.85340629244</v>
      </c>
      <c r="AY31" s="264">
        <f t="shared" ca="1" si="51"/>
        <v>452967.85340629244</v>
      </c>
      <c r="AZ31" s="264">
        <f t="shared" ca="1" si="51"/>
        <v>452967.85340629244</v>
      </c>
      <c r="BA31" s="264">
        <f t="shared" ca="1" si="51"/>
        <v>452967.85340629244</v>
      </c>
      <c r="BB31" s="264">
        <f t="shared" ca="1" si="51"/>
        <v>452967.85340629244</v>
      </c>
      <c r="BC31" s="264">
        <f t="shared" ca="1" si="51"/>
        <v>471086.56754254422</v>
      </c>
      <c r="BD31" s="264">
        <f t="shared" ca="1" si="51"/>
        <v>471086.56754254422</v>
      </c>
      <c r="BE31" s="264">
        <f t="shared" ca="1" si="51"/>
        <v>471086.56754254422</v>
      </c>
      <c r="BF31" s="264">
        <f t="shared" ca="1" si="51"/>
        <v>471086.56754254422</v>
      </c>
      <c r="BG31" s="264">
        <f t="shared" ca="1" si="51"/>
        <v>471086.56754254422</v>
      </c>
      <c r="BH31" s="264">
        <f t="shared" ca="1" si="51"/>
        <v>471086.56754254422</v>
      </c>
      <c r="BI31" s="264">
        <f t="shared" ca="1" si="51"/>
        <v>471086.56754254422</v>
      </c>
      <c r="BJ31" s="264">
        <f t="shared" ca="1" si="51"/>
        <v>471086.56754254422</v>
      </c>
      <c r="BK31" s="264">
        <f t="shared" ca="1" si="51"/>
        <v>471086.56754254422</v>
      </c>
      <c r="BL31" s="264">
        <f t="shared" ca="1" si="51"/>
        <v>471086.56754254422</v>
      </c>
      <c r="BM31" s="264">
        <f t="shared" ca="1" si="51"/>
        <v>471086.56754254422</v>
      </c>
      <c r="BN31" s="264">
        <f t="shared" ca="1" si="51"/>
        <v>471086.56754254422</v>
      </c>
      <c r="BO31" s="264">
        <f t="shared" ca="1" si="51"/>
        <v>489930.03024424595</v>
      </c>
      <c r="BP31" s="264">
        <f t="shared" ca="1" si="51"/>
        <v>489930.03024424595</v>
      </c>
      <c r="BQ31" s="264">
        <f t="shared" ca="1" si="51"/>
        <v>489930.03024424595</v>
      </c>
      <c r="BR31" s="264">
        <f t="shared" ca="1" si="51"/>
        <v>489930.03024424595</v>
      </c>
      <c r="BS31" s="264">
        <f t="shared" ref="BS31:CX31" ca="1" si="52">IF(BS4&gt;HoldPeriod+12,0,SUM(BS29:BS30))</f>
        <v>489930.03024424595</v>
      </c>
      <c r="BT31" s="264">
        <f t="shared" ca="1" si="52"/>
        <v>489930.03024424595</v>
      </c>
      <c r="BU31" s="264">
        <f t="shared" ca="1" si="52"/>
        <v>489930.03024424595</v>
      </c>
      <c r="BV31" s="264">
        <f t="shared" ca="1" si="52"/>
        <v>489930.03024424595</v>
      </c>
      <c r="BW31" s="264">
        <f t="shared" ca="1" si="52"/>
        <v>489930.03024424595</v>
      </c>
      <c r="BX31" s="264">
        <f t="shared" ca="1" si="52"/>
        <v>489930.03024424595</v>
      </c>
      <c r="BY31" s="264">
        <f t="shared" ca="1" si="52"/>
        <v>489930.03024424595</v>
      </c>
      <c r="BZ31" s="264">
        <f t="shared" ca="1" si="52"/>
        <v>489930.03024424595</v>
      </c>
      <c r="CA31" s="264">
        <f t="shared" si="52"/>
        <v>0</v>
      </c>
      <c r="CB31" s="264">
        <f t="shared" si="52"/>
        <v>0</v>
      </c>
      <c r="CC31" s="264">
        <f t="shared" si="52"/>
        <v>0</v>
      </c>
      <c r="CD31" s="264">
        <f t="shared" si="52"/>
        <v>0</v>
      </c>
      <c r="CE31" s="264">
        <f t="shared" si="52"/>
        <v>0</v>
      </c>
      <c r="CF31" s="264">
        <f t="shared" si="52"/>
        <v>0</v>
      </c>
      <c r="CG31" s="264">
        <f t="shared" si="52"/>
        <v>0</v>
      </c>
      <c r="CH31" s="264">
        <f t="shared" si="52"/>
        <v>0</v>
      </c>
      <c r="CI31" s="264">
        <f t="shared" si="52"/>
        <v>0</v>
      </c>
      <c r="CJ31" s="264">
        <f t="shared" si="52"/>
        <v>0</v>
      </c>
      <c r="CK31" s="264">
        <f t="shared" si="52"/>
        <v>0</v>
      </c>
      <c r="CL31" s="264">
        <f t="shared" si="52"/>
        <v>0</v>
      </c>
      <c r="CM31" s="264">
        <f t="shared" si="52"/>
        <v>0</v>
      </c>
      <c r="CN31" s="264">
        <f t="shared" si="52"/>
        <v>0</v>
      </c>
      <c r="CO31" s="264">
        <f t="shared" si="52"/>
        <v>0</v>
      </c>
      <c r="CP31" s="264">
        <f t="shared" si="52"/>
        <v>0</v>
      </c>
      <c r="CQ31" s="264">
        <f t="shared" si="52"/>
        <v>0</v>
      </c>
      <c r="CR31" s="264">
        <f t="shared" si="52"/>
        <v>0</v>
      </c>
      <c r="CS31" s="264">
        <f t="shared" si="52"/>
        <v>0</v>
      </c>
      <c r="CT31" s="264">
        <f t="shared" si="52"/>
        <v>0</v>
      </c>
      <c r="CU31" s="264">
        <f t="shared" si="52"/>
        <v>0</v>
      </c>
      <c r="CV31" s="264">
        <f t="shared" si="52"/>
        <v>0</v>
      </c>
      <c r="CW31" s="264">
        <f t="shared" si="52"/>
        <v>0</v>
      </c>
      <c r="CX31" s="264">
        <f t="shared" si="52"/>
        <v>0</v>
      </c>
      <c r="CY31" s="264">
        <f t="shared" ref="CY31:ED31" si="53">IF(CY4&gt;HoldPeriod+12,0,SUM(CY29:CY30))</f>
        <v>0</v>
      </c>
      <c r="CZ31" s="264">
        <f t="shared" si="53"/>
        <v>0</v>
      </c>
      <c r="DA31" s="264">
        <f t="shared" si="53"/>
        <v>0</v>
      </c>
      <c r="DB31" s="264">
        <f t="shared" si="53"/>
        <v>0</v>
      </c>
      <c r="DC31" s="264">
        <f t="shared" si="53"/>
        <v>0</v>
      </c>
      <c r="DD31" s="264">
        <f t="shared" si="53"/>
        <v>0</v>
      </c>
      <c r="DE31" s="264">
        <f t="shared" si="53"/>
        <v>0</v>
      </c>
      <c r="DF31" s="264">
        <f t="shared" si="53"/>
        <v>0</v>
      </c>
      <c r="DG31" s="264">
        <f t="shared" si="53"/>
        <v>0</v>
      </c>
      <c r="DH31" s="264">
        <f t="shared" si="53"/>
        <v>0</v>
      </c>
      <c r="DI31" s="264">
        <f t="shared" si="53"/>
        <v>0</v>
      </c>
      <c r="DJ31" s="264">
        <f t="shared" si="53"/>
        <v>0</v>
      </c>
      <c r="DK31" s="264">
        <f t="shared" si="53"/>
        <v>0</v>
      </c>
      <c r="DL31" s="264">
        <f t="shared" si="53"/>
        <v>0</v>
      </c>
      <c r="DM31" s="264">
        <f t="shared" si="53"/>
        <v>0</v>
      </c>
      <c r="DN31" s="264">
        <f t="shared" si="53"/>
        <v>0</v>
      </c>
      <c r="DO31" s="264">
        <f t="shared" si="53"/>
        <v>0</v>
      </c>
      <c r="DP31" s="264">
        <f t="shared" si="53"/>
        <v>0</v>
      </c>
      <c r="DQ31" s="264">
        <f t="shared" si="53"/>
        <v>0</v>
      </c>
      <c r="DR31" s="264">
        <f t="shared" si="53"/>
        <v>0</v>
      </c>
      <c r="DS31" s="264">
        <f t="shared" si="53"/>
        <v>0</v>
      </c>
      <c r="DT31" s="264">
        <f t="shared" si="53"/>
        <v>0</v>
      </c>
      <c r="DU31" s="264">
        <f t="shared" si="53"/>
        <v>0</v>
      </c>
      <c r="DV31" s="264">
        <f t="shared" si="53"/>
        <v>0</v>
      </c>
      <c r="DW31" s="264">
        <f t="shared" si="53"/>
        <v>0</v>
      </c>
      <c r="DX31" s="264">
        <f t="shared" si="53"/>
        <v>0</v>
      </c>
      <c r="DY31" s="264">
        <f t="shared" si="53"/>
        <v>0</v>
      </c>
      <c r="DZ31" s="264">
        <f t="shared" si="53"/>
        <v>0</v>
      </c>
      <c r="EA31" s="264">
        <f t="shared" si="53"/>
        <v>0</v>
      </c>
      <c r="EB31" s="264">
        <f t="shared" si="53"/>
        <v>0</v>
      </c>
      <c r="EC31" s="264">
        <f t="shared" si="53"/>
        <v>0</v>
      </c>
      <c r="ED31" s="264">
        <f t="shared" si="53"/>
        <v>0</v>
      </c>
      <c r="EE31" s="264">
        <f t="shared" ref="EE31:EH31" si="54">IF(EE4&gt;HoldPeriod+12,0,SUM(EE29:EE30))</f>
        <v>0</v>
      </c>
      <c r="EF31" s="264">
        <f t="shared" si="54"/>
        <v>0</v>
      </c>
      <c r="EG31" s="264">
        <f t="shared" si="54"/>
        <v>0</v>
      </c>
      <c r="EH31" s="264">
        <f t="shared" si="54"/>
        <v>0</v>
      </c>
      <c r="EI31" s="158" t="s">
        <v>243</v>
      </c>
    </row>
    <row r="32" spans="1:139" s="217" customFormat="1" x14ac:dyDescent="0.2">
      <c r="B32" s="258" t="s">
        <v>18</v>
      </c>
      <c r="C32" s="209"/>
      <c r="D32" s="308">
        <f t="shared" ca="1" si="42"/>
        <v>-1363187.1576733305</v>
      </c>
      <c r="E32" s="309">
        <f>Financials!AL12</f>
        <v>-13595</v>
      </c>
      <c r="F32" s="217">
        <v>0</v>
      </c>
      <c r="G32" s="313">
        <f ca="1">IF(G4&gt;HoldPeriod+12,0,-'Unit Mix-Reno Schedule'!AM65)</f>
        <v>-20435.316000000003</v>
      </c>
      <c r="H32" s="313">
        <f ca="1">IF(H4&gt;HoldPeriod+12,0,-'Unit Mix-Reno Schedule'!AN65)</f>
        <v>-20531.511046965003</v>
      </c>
      <c r="I32" s="313">
        <f ca="1">IF(I4&gt;HoldPeriod+12,0,-'Unit Mix-Reno Schedule'!AO65)</f>
        <v>-20627.706093929999</v>
      </c>
      <c r="J32" s="313">
        <f ca="1">IF(J4&gt;HoldPeriod+12,0,-'Unit Mix-Reno Schedule'!AP65)</f>
        <v>-20723.901140894995</v>
      </c>
      <c r="K32" s="313">
        <f ca="1">IF(K4&gt;HoldPeriod+12,0,-'Unit Mix-Reno Schedule'!AQ65)</f>
        <v>-20820.096187859992</v>
      </c>
      <c r="L32" s="313">
        <f ca="1">IF(L4&gt;HoldPeriod+12,0,-'Unit Mix-Reno Schedule'!AR65)</f>
        <v>-20916.291234824992</v>
      </c>
      <c r="M32" s="313">
        <f ca="1">IF(M4&gt;HoldPeriod+12,0,-'Unit Mix-Reno Schedule'!AS65)</f>
        <v>-21012.486281789988</v>
      </c>
      <c r="N32" s="313">
        <f ca="1">IF(N4&gt;HoldPeriod+12,0,-'Unit Mix-Reno Schedule'!AT65)</f>
        <v>-21108.681328754988</v>
      </c>
      <c r="O32" s="313">
        <f ca="1">IF(O4&gt;HoldPeriod+12,0,-'Unit Mix-Reno Schedule'!AU65)</f>
        <v>-21204.876375719985</v>
      </c>
      <c r="P32" s="313">
        <f ca="1">IF(P4&gt;HoldPeriod+12,0,-'Unit Mix-Reno Schedule'!AV65)</f>
        <v>-21301.071422684985</v>
      </c>
      <c r="Q32" s="313">
        <f ca="1">IF(Q4&gt;HoldPeriod+12,0,-'Unit Mix-Reno Schedule'!AW65)</f>
        <v>-21397.266469649981</v>
      </c>
      <c r="R32" s="313">
        <f ca="1">IF(R4&gt;HoldPeriod+12,0,-'Unit Mix-Reno Schedule'!AX65)</f>
        <v>-21493.461516614982</v>
      </c>
      <c r="S32" s="313">
        <f ca="1">IF(S4&gt;HoldPeriod+12,0,-'Unit Mix-Reno Schedule'!AY65)</f>
        <v>-22669.139391758974</v>
      </c>
      <c r="T32" s="313">
        <f ca="1">IF(T4&gt;HoldPeriod+12,0,-'Unit Mix-Reno Schedule'!AZ65)</f>
        <v>-22830.747070660167</v>
      </c>
      <c r="U32" s="313">
        <f ca="1">IF(U4&gt;HoldPeriod+12,0,-'Unit Mix-Reno Schedule'!BA65)</f>
        <v>-22992.354749561367</v>
      </c>
      <c r="V32" s="313">
        <f ca="1">IF(V4&gt;HoldPeriod+12,0,-'Unit Mix-Reno Schedule'!BB65)</f>
        <v>-23153.962428462561</v>
      </c>
      <c r="W32" s="313">
        <f ca="1">IF(W4&gt;HoldPeriod+12,0,-'Unit Mix-Reno Schedule'!BC65)</f>
        <v>-23315.570107363757</v>
      </c>
      <c r="X32" s="313">
        <f ca="1">IF(X4&gt;HoldPeriod+12,0,-'Unit Mix-Reno Schedule'!BD65)</f>
        <v>-23477.177786264954</v>
      </c>
      <c r="Y32" s="313">
        <f ca="1">IF(Y4&gt;HoldPeriod+12,0,-'Unit Mix-Reno Schedule'!BE65)</f>
        <v>-23638.785465166155</v>
      </c>
      <c r="Z32" s="313">
        <f ca="1">IF(Z4&gt;HoldPeriod+12,0,-'Unit Mix-Reno Schedule'!BF65)</f>
        <v>-23800.393144067348</v>
      </c>
      <c r="AA32" s="313">
        <f ca="1">IF(AA4&gt;HoldPeriod+12,0,-'Unit Mix-Reno Schedule'!BG65)</f>
        <v>-23941.799863105894</v>
      </c>
      <c r="AB32" s="313">
        <f ca="1">IF(AB4&gt;HoldPeriod+12,0,-'Unit Mix-Reno Schedule'!BH65)</f>
        <v>-24083.206582144438</v>
      </c>
      <c r="AC32" s="313">
        <f ca="1">IF(AC4&gt;HoldPeriod+12,0,-'Unit Mix-Reno Schedule'!BI65)</f>
        <v>-24224.613301182988</v>
      </c>
      <c r="AD32" s="313">
        <f ca="1">IF(AD4&gt;HoldPeriod+12,0,-'Unit Mix-Reno Schedule'!BJ65)</f>
        <v>-24366.020020221535</v>
      </c>
      <c r="AE32" s="313">
        <f ca="1">IF(AE4&gt;HoldPeriod+12,0,-'Unit Mix-Reno Schedule'!BK65)</f>
        <v>-21443.998396852578</v>
      </c>
      <c r="AF32" s="313">
        <f ca="1">IF(AF4&gt;HoldPeriod+12,0,-'Unit Mix-Reno Schedule'!BL65)</f>
        <v>-21567.729276011305</v>
      </c>
      <c r="AG32" s="313">
        <f ca="1">IF(AG4&gt;HoldPeriod+12,0,-'Unit Mix-Reno Schedule'!BM65)</f>
        <v>-21691.460155170033</v>
      </c>
      <c r="AH32" s="313">
        <f ca="1">IF(AH4&gt;HoldPeriod+12,0,-'Unit Mix-Reno Schedule'!BN65)</f>
        <v>-21779.839354569121</v>
      </c>
      <c r="AI32" s="313">
        <f ca="1">IF(AI4&gt;HoldPeriod+12,0,-'Unit Mix-Reno Schedule'!BO65)</f>
        <v>-21868.218553968214</v>
      </c>
      <c r="AJ32" s="313">
        <f ca="1">IF(AJ4&gt;HoldPeriod+12,0,-'Unit Mix-Reno Schedule'!BP65)</f>
        <v>-21956.597753367307</v>
      </c>
      <c r="AK32" s="313">
        <f ca="1">IF(AK4&gt;HoldPeriod+12,0,-'Unit Mix-Reno Schedule'!BQ65)</f>
        <v>-22044.976952766399</v>
      </c>
      <c r="AL32" s="313">
        <f ca="1">IF(AL4&gt;HoldPeriod+12,0,-'Unit Mix-Reno Schedule'!BR65)</f>
        <v>-22133.356152165492</v>
      </c>
      <c r="AM32" s="313">
        <f ca="1">IF(AM4&gt;HoldPeriod+12,0,-'Unit Mix-Reno Schedule'!BS65)</f>
        <v>-22221.735351564581</v>
      </c>
      <c r="AN32" s="313">
        <f ca="1">IF(AN4&gt;HoldPeriod+12,0,-'Unit Mix-Reno Schedule'!BT65)</f>
        <v>-22221.735351564581</v>
      </c>
      <c r="AO32" s="313">
        <f ca="1">IF(AO4&gt;HoldPeriod+12,0,-'Unit Mix-Reno Schedule'!BU65)</f>
        <v>-22221.735351564581</v>
      </c>
      <c r="AP32" s="313">
        <f ca="1">IF(AP4&gt;HoldPeriod+12,0,-'Unit Mix-Reno Schedule'!BV65)</f>
        <v>-22221.735351564581</v>
      </c>
      <c r="AQ32" s="313">
        <f ca="1">IF(AQ4&gt;HoldPeriod+12,0,-'Unit Mix-Reno Schedule'!BW65)</f>
        <v>-23110.604765627169</v>
      </c>
      <c r="AR32" s="313">
        <f ca="1">IF(AR4&gt;HoldPeriod+12,0,-'Unit Mix-Reno Schedule'!BX65)</f>
        <v>-23110.604765627169</v>
      </c>
      <c r="AS32" s="313">
        <f ca="1">IF(AS4&gt;HoldPeriod+12,0,-'Unit Mix-Reno Schedule'!BY65)</f>
        <v>-23110.604765627169</v>
      </c>
      <c r="AT32" s="313">
        <f ca="1">IF(AT4&gt;HoldPeriod+12,0,-'Unit Mix-Reno Schedule'!BZ65)</f>
        <v>-23110.604765627169</v>
      </c>
      <c r="AU32" s="313">
        <f ca="1">IF(AU4&gt;HoldPeriod+12,0,-'Unit Mix-Reno Schedule'!CA65)</f>
        <v>-23110.604765627169</v>
      </c>
      <c r="AV32" s="313">
        <f ca="1">IF(AV4&gt;HoldPeriod+12,0,-'Unit Mix-Reno Schedule'!CB65)</f>
        <v>-23110.604765627169</v>
      </c>
      <c r="AW32" s="313">
        <f ca="1">IF(AW4&gt;HoldPeriod+12,0,-'Unit Mix-Reno Schedule'!CC65)</f>
        <v>-23110.604765627169</v>
      </c>
      <c r="AX32" s="313">
        <f ca="1">IF(AX4&gt;HoldPeriod+12,0,-'Unit Mix-Reno Schedule'!CD65)</f>
        <v>-23110.604765627169</v>
      </c>
      <c r="AY32" s="313">
        <f ca="1">IF(AY4&gt;HoldPeriod+12,0,-'Unit Mix-Reno Schedule'!CE65)</f>
        <v>-23110.604765627169</v>
      </c>
      <c r="AZ32" s="313">
        <f ca="1">IF(AZ4&gt;HoldPeriod+12,0,-'Unit Mix-Reno Schedule'!CF65)</f>
        <v>-23110.604765627169</v>
      </c>
      <c r="BA32" s="313">
        <f ca="1">IF(BA4&gt;HoldPeriod+12,0,-'Unit Mix-Reno Schedule'!CG65)</f>
        <v>-23110.604765627169</v>
      </c>
      <c r="BB32" s="313">
        <f ca="1">IF(BB4&gt;HoldPeriod+12,0,-'Unit Mix-Reno Schedule'!CH65)</f>
        <v>-23110.604765627169</v>
      </c>
      <c r="BC32" s="313">
        <f ca="1">IF(BC4&gt;HoldPeriod+12,0,-'Unit Mix-Reno Schedule'!CI65)</f>
        <v>-24035.028956252256</v>
      </c>
      <c r="BD32" s="313">
        <f ca="1">IF(BD4&gt;HoldPeriod+12,0,-'Unit Mix-Reno Schedule'!CJ65)</f>
        <v>-24035.028956252256</v>
      </c>
      <c r="BE32" s="313">
        <f ca="1">IF(BE4&gt;HoldPeriod+12,0,-'Unit Mix-Reno Schedule'!CK65)</f>
        <v>-24035.028956252256</v>
      </c>
      <c r="BF32" s="313">
        <f ca="1">IF(BF4&gt;HoldPeriod+12,0,-'Unit Mix-Reno Schedule'!CL65)</f>
        <v>-24035.028956252256</v>
      </c>
      <c r="BG32" s="313">
        <f ca="1">IF(BG4&gt;HoldPeriod+12,0,-'Unit Mix-Reno Schedule'!CM65)</f>
        <v>-24035.028956252256</v>
      </c>
      <c r="BH32" s="313">
        <f ca="1">IF(BH4&gt;HoldPeriod+12,0,-'Unit Mix-Reno Schedule'!CN65)</f>
        <v>-24035.028956252256</v>
      </c>
      <c r="BI32" s="313">
        <f ca="1">IF(BI4&gt;HoldPeriod+12,0,-'Unit Mix-Reno Schedule'!CO65)</f>
        <v>-24035.028956252256</v>
      </c>
      <c r="BJ32" s="313">
        <f ca="1">IF(BJ4&gt;HoldPeriod+12,0,-'Unit Mix-Reno Schedule'!CP65)</f>
        <v>-24035.028956252256</v>
      </c>
      <c r="BK32" s="313">
        <f ca="1">IF(BK4&gt;HoldPeriod+12,0,-'Unit Mix-Reno Schedule'!CQ65)</f>
        <v>-24035.028956252256</v>
      </c>
      <c r="BL32" s="313">
        <f ca="1">IF(BL4&gt;HoldPeriod+12,0,-'Unit Mix-Reno Schedule'!CR65)</f>
        <v>-24035.028956252256</v>
      </c>
      <c r="BM32" s="313">
        <f ca="1">IF(BM4&gt;HoldPeriod+12,0,-'Unit Mix-Reno Schedule'!CS65)</f>
        <v>-24035.028956252256</v>
      </c>
      <c r="BN32" s="313">
        <f ca="1">IF(BN4&gt;HoldPeriod+12,0,-'Unit Mix-Reno Schedule'!CT65)</f>
        <v>-24035.028956252256</v>
      </c>
      <c r="BO32" s="313">
        <f ca="1">IF(BO4&gt;HoldPeriod+12,0,-'Unit Mix-Reno Schedule'!CU65)</f>
        <v>-24996.430114502346</v>
      </c>
      <c r="BP32" s="313">
        <f ca="1">IF(BP4&gt;HoldPeriod+12,0,-'Unit Mix-Reno Schedule'!CV65)</f>
        <v>-24996.430114502346</v>
      </c>
      <c r="BQ32" s="313">
        <f ca="1">IF(BQ4&gt;HoldPeriod+12,0,-'Unit Mix-Reno Schedule'!CW65)</f>
        <v>-24996.430114502346</v>
      </c>
      <c r="BR32" s="313">
        <f ca="1">IF(BR4&gt;HoldPeriod+12,0,-'Unit Mix-Reno Schedule'!CX65)</f>
        <v>-24996.430114502346</v>
      </c>
      <c r="BS32" s="313">
        <f ca="1">IF(BS4&gt;HoldPeriod+12,0,-'Unit Mix-Reno Schedule'!CY65)</f>
        <v>-24996.430114502346</v>
      </c>
      <c r="BT32" s="313">
        <f ca="1">IF(BT4&gt;HoldPeriod+12,0,-'Unit Mix-Reno Schedule'!CZ65)</f>
        <v>-24996.430114502346</v>
      </c>
      <c r="BU32" s="313">
        <f ca="1">IF(BU4&gt;HoldPeriod+12,0,-'Unit Mix-Reno Schedule'!DA65)</f>
        <v>-24996.430114502346</v>
      </c>
      <c r="BV32" s="313">
        <f ca="1">IF(BV4&gt;HoldPeriod+12,0,-'Unit Mix-Reno Schedule'!DB65)</f>
        <v>-24996.430114502346</v>
      </c>
      <c r="BW32" s="313">
        <f ca="1">IF(BW4&gt;HoldPeriod+12,0,-'Unit Mix-Reno Schedule'!DC65)</f>
        <v>-24996.430114502346</v>
      </c>
      <c r="BX32" s="313">
        <f ca="1">IF(BX4&gt;HoldPeriod+12,0,-'Unit Mix-Reno Schedule'!DD65)</f>
        <v>-24996.430114502346</v>
      </c>
      <c r="BY32" s="313">
        <f ca="1">IF(BY4&gt;HoldPeriod+12,0,-'Unit Mix-Reno Schedule'!DE65)</f>
        <v>-24996.430114502346</v>
      </c>
      <c r="BZ32" s="313">
        <f ca="1">IF(BZ4&gt;HoldPeriod+12,0,-'Unit Mix-Reno Schedule'!DF65)</f>
        <v>-24996.430114502346</v>
      </c>
      <c r="CA32" s="313">
        <f>IF(CA4&gt;HoldPeriod+12,0,-'Unit Mix-Reno Schedule'!DG65)</f>
        <v>0</v>
      </c>
      <c r="CB32" s="313">
        <f>IF(CB4&gt;HoldPeriod+12,0,-'Unit Mix-Reno Schedule'!DH65)</f>
        <v>0</v>
      </c>
      <c r="CC32" s="313">
        <f>IF(CC4&gt;HoldPeriod+12,0,-'Unit Mix-Reno Schedule'!DI65)</f>
        <v>0</v>
      </c>
      <c r="CD32" s="313">
        <f>IF(CD4&gt;HoldPeriod+12,0,-'Unit Mix-Reno Schedule'!DJ65)</f>
        <v>0</v>
      </c>
      <c r="CE32" s="313">
        <f>IF(CE4&gt;HoldPeriod+12,0,-'Unit Mix-Reno Schedule'!DK65)</f>
        <v>0</v>
      </c>
      <c r="CF32" s="313">
        <f>IF(CF4&gt;HoldPeriod+12,0,-'Unit Mix-Reno Schedule'!DL65)</f>
        <v>0</v>
      </c>
      <c r="CG32" s="313">
        <f>IF(CG4&gt;HoldPeriod+12,0,-'Unit Mix-Reno Schedule'!DM65)</f>
        <v>0</v>
      </c>
      <c r="CH32" s="313">
        <f>IF(CH4&gt;HoldPeriod+12,0,-'Unit Mix-Reno Schedule'!DN65)</f>
        <v>0</v>
      </c>
      <c r="CI32" s="313">
        <f>IF(CI4&gt;HoldPeriod+12,0,-'Unit Mix-Reno Schedule'!DO65)</f>
        <v>0</v>
      </c>
      <c r="CJ32" s="313">
        <f>IF(CJ4&gt;HoldPeriod+12,0,-'Unit Mix-Reno Schedule'!DP65)</f>
        <v>0</v>
      </c>
      <c r="CK32" s="313">
        <f>IF(CK4&gt;HoldPeriod+12,0,-'Unit Mix-Reno Schedule'!DQ65)</f>
        <v>0</v>
      </c>
      <c r="CL32" s="313">
        <f>IF(CL4&gt;HoldPeriod+12,0,-'Unit Mix-Reno Schedule'!DR65)</f>
        <v>0</v>
      </c>
      <c r="CM32" s="313">
        <f>IF(CM4&gt;HoldPeriod+12,0,-'Unit Mix-Reno Schedule'!DS65)</f>
        <v>0</v>
      </c>
      <c r="CN32" s="313">
        <f>IF(CN4&gt;HoldPeriod+12,0,-'Unit Mix-Reno Schedule'!DT65)</f>
        <v>0</v>
      </c>
      <c r="CO32" s="313">
        <f>IF(CO4&gt;HoldPeriod+12,0,-'Unit Mix-Reno Schedule'!DU65)</f>
        <v>0</v>
      </c>
      <c r="CP32" s="313">
        <f>IF(CP4&gt;HoldPeriod+12,0,-'Unit Mix-Reno Schedule'!DV65)</f>
        <v>0</v>
      </c>
      <c r="CQ32" s="313">
        <f>IF(CQ4&gt;HoldPeriod+12,0,-'Unit Mix-Reno Schedule'!DW65)</f>
        <v>0</v>
      </c>
      <c r="CR32" s="313">
        <f>IF(CR4&gt;HoldPeriod+12,0,-'Unit Mix-Reno Schedule'!DX65)</f>
        <v>0</v>
      </c>
      <c r="CS32" s="313">
        <f>IF(CS4&gt;HoldPeriod+12,0,-'Unit Mix-Reno Schedule'!DY65)</f>
        <v>0</v>
      </c>
      <c r="CT32" s="313">
        <f>IF(CT4&gt;HoldPeriod+12,0,-'Unit Mix-Reno Schedule'!DZ65)</f>
        <v>0</v>
      </c>
      <c r="CU32" s="313">
        <f>IF(CU4&gt;HoldPeriod+12,0,-'Unit Mix-Reno Schedule'!EA65)</f>
        <v>0</v>
      </c>
      <c r="CV32" s="313">
        <f>IF(CV4&gt;HoldPeriod+12,0,-'Unit Mix-Reno Schedule'!EB65)</f>
        <v>0</v>
      </c>
      <c r="CW32" s="313">
        <f>IF(CW4&gt;HoldPeriod+12,0,-'Unit Mix-Reno Schedule'!EC65)</f>
        <v>0</v>
      </c>
      <c r="CX32" s="313">
        <f>IF(CX4&gt;HoldPeriod+12,0,-'Unit Mix-Reno Schedule'!ED65)</f>
        <v>0</v>
      </c>
      <c r="CY32" s="313">
        <f>IF(CY4&gt;HoldPeriod+12,0,-'Unit Mix-Reno Schedule'!EE65)</f>
        <v>0</v>
      </c>
      <c r="CZ32" s="313">
        <f>IF(CZ4&gt;HoldPeriod+12,0,-'Unit Mix-Reno Schedule'!EF65)</f>
        <v>0</v>
      </c>
      <c r="DA32" s="313">
        <f>IF(DA4&gt;HoldPeriod+12,0,-'Unit Mix-Reno Schedule'!EG65)</f>
        <v>0</v>
      </c>
      <c r="DB32" s="313">
        <f>IF(DB4&gt;HoldPeriod+12,0,-'Unit Mix-Reno Schedule'!EH65)</f>
        <v>0</v>
      </c>
      <c r="DC32" s="313">
        <f>IF(DC4&gt;HoldPeriod+12,0,-'Unit Mix-Reno Schedule'!EI65)</f>
        <v>0</v>
      </c>
      <c r="DD32" s="313">
        <f>IF(DD4&gt;HoldPeriod+12,0,-'Unit Mix-Reno Schedule'!EJ65)</f>
        <v>0</v>
      </c>
      <c r="DE32" s="313">
        <f>IF(DE4&gt;HoldPeriod+12,0,-'Unit Mix-Reno Schedule'!EK65)</f>
        <v>0</v>
      </c>
      <c r="DF32" s="313">
        <f>IF(DF4&gt;HoldPeriod+12,0,-'Unit Mix-Reno Schedule'!EL65)</f>
        <v>0</v>
      </c>
      <c r="DG32" s="313">
        <f>IF(DG4&gt;HoldPeriod+12,0,-'Unit Mix-Reno Schedule'!EM65)</f>
        <v>0</v>
      </c>
      <c r="DH32" s="313">
        <f>IF(DH4&gt;HoldPeriod+12,0,-'Unit Mix-Reno Schedule'!EN65)</f>
        <v>0</v>
      </c>
      <c r="DI32" s="313">
        <f>IF(DI4&gt;HoldPeriod+12,0,-'Unit Mix-Reno Schedule'!EO65)</f>
        <v>0</v>
      </c>
      <c r="DJ32" s="313">
        <f>IF(DJ4&gt;HoldPeriod+12,0,-'Unit Mix-Reno Schedule'!EP65)</f>
        <v>0</v>
      </c>
      <c r="DK32" s="313">
        <f>IF(DK4&gt;HoldPeriod+12,0,-'Unit Mix-Reno Schedule'!EQ65)</f>
        <v>0</v>
      </c>
      <c r="DL32" s="313">
        <f>IF(DL4&gt;HoldPeriod+12,0,-'Unit Mix-Reno Schedule'!ER65)</f>
        <v>0</v>
      </c>
      <c r="DM32" s="313">
        <f>IF(DM4&gt;HoldPeriod+12,0,-'Unit Mix-Reno Schedule'!ES65)</f>
        <v>0</v>
      </c>
      <c r="DN32" s="313">
        <f>IF(DN4&gt;HoldPeriod+12,0,-'Unit Mix-Reno Schedule'!ET65)</f>
        <v>0</v>
      </c>
      <c r="DO32" s="313">
        <f>IF(DO4&gt;HoldPeriod+12,0,-'Unit Mix-Reno Schedule'!EU65)</f>
        <v>0</v>
      </c>
      <c r="DP32" s="313">
        <f>IF(DP4&gt;HoldPeriod+12,0,-'Unit Mix-Reno Schedule'!EV65)</f>
        <v>0</v>
      </c>
      <c r="DQ32" s="313">
        <f>IF(DQ4&gt;HoldPeriod+12,0,-'Unit Mix-Reno Schedule'!EW65)</f>
        <v>0</v>
      </c>
      <c r="DR32" s="313">
        <f>IF(DR4&gt;HoldPeriod+12,0,-'Unit Mix-Reno Schedule'!EX65)</f>
        <v>0</v>
      </c>
      <c r="DS32" s="313">
        <f>IF(DS4&gt;HoldPeriod+12,0,-'Unit Mix-Reno Schedule'!EY65)</f>
        <v>0</v>
      </c>
      <c r="DT32" s="313">
        <f>IF(DT4&gt;HoldPeriod+12,0,-'Unit Mix-Reno Schedule'!EZ65)</f>
        <v>0</v>
      </c>
      <c r="DU32" s="313">
        <f>IF(DU4&gt;HoldPeriod+12,0,-'Unit Mix-Reno Schedule'!FA65)</f>
        <v>0</v>
      </c>
      <c r="DV32" s="313">
        <f>IF(DV4&gt;HoldPeriod+12,0,-'Unit Mix-Reno Schedule'!FB65)</f>
        <v>0</v>
      </c>
      <c r="DW32" s="313">
        <f>IF(DW4&gt;HoldPeriod+12,0,-'Unit Mix-Reno Schedule'!FC65)</f>
        <v>0</v>
      </c>
      <c r="DX32" s="313">
        <f>IF(DX4&gt;HoldPeriod+12,0,-'Unit Mix-Reno Schedule'!FD65)</f>
        <v>0</v>
      </c>
      <c r="DY32" s="313">
        <f>IF(DY4&gt;HoldPeriod+12,0,-'Unit Mix-Reno Schedule'!FE65)</f>
        <v>0</v>
      </c>
      <c r="DZ32" s="313">
        <f>IF(DZ4&gt;HoldPeriod+12,0,-'Unit Mix-Reno Schedule'!FF65)</f>
        <v>0</v>
      </c>
      <c r="EA32" s="313">
        <f>IF(EA4&gt;HoldPeriod+12,0,-'Unit Mix-Reno Schedule'!FG65)</f>
        <v>0</v>
      </c>
      <c r="EB32" s="313">
        <f>IF(EB4&gt;HoldPeriod+12,0,-'Unit Mix-Reno Schedule'!FH65)</f>
        <v>0</v>
      </c>
      <c r="EC32" s="313">
        <f>IF(EC4&gt;HoldPeriod+12,0,-'Unit Mix-Reno Schedule'!FI65)</f>
        <v>0</v>
      </c>
      <c r="ED32" s="313">
        <f>IF(ED4&gt;HoldPeriod+12,0,-'Unit Mix-Reno Schedule'!FJ65)</f>
        <v>0</v>
      </c>
      <c r="EE32" s="313">
        <f>IF(EE4&gt;HoldPeriod+12,0,-'Unit Mix-Reno Schedule'!FK65)</f>
        <v>0</v>
      </c>
      <c r="EF32" s="313">
        <f>IF(EF4&gt;HoldPeriod+12,0,-'Unit Mix-Reno Schedule'!FL65)</f>
        <v>0</v>
      </c>
      <c r="EG32" s="313">
        <f>IF(EG4&gt;HoldPeriod+12,0,-'Unit Mix-Reno Schedule'!FM65)</f>
        <v>0</v>
      </c>
      <c r="EH32" s="313">
        <f>IF(EH4&gt;HoldPeriod+12,0,-'Unit Mix-Reno Schedule'!FN65)</f>
        <v>0</v>
      </c>
      <c r="EI32" s="158" t="s">
        <v>243</v>
      </c>
    </row>
    <row r="33" spans="1:139" s="217" customFormat="1" x14ac:dyDescent="0.2">
      <c r="B33" s="258" t="s">
        <v>79</v>
      </c>
      <c r="C33" s="209"/>
      <c r="D33" s="308">
        <f t="shared" ca="1" si="42"/>
        <v>-124416.11798072682</v>
      </c>
      <c r="E33" s="309">
        <f>Financials!AL13</f>
        <v>-2630.6666666666665</v>
      </c>
      <c r="F33" s="217">
        <v>0</v>
      </c>
      <c r="G33" s="217">
        <f ca="1">G31*-INDEX('Ops Assumptions'!$H$34:$H$44,MATCH('Monthly Pro Forma'!G$5,'Ops Assumptions'!$B$34:$B$44,0))</f>
        <v>-1618.6882218777296</v>
      </c>
      <c r="H33" s="217">
        <f ca="1">H31*-INDEX('Ops Assumptions'!$H$34:$H$44,MATCH('Monthly Pro Forma'!H$5,'Ops Assumptions'!$B$34:$B$44,0))</f>
        <v>-1628.7032110927125</v>
      </c>
      <c r="I33" s="217">
        <f ca="1">I31*-INDEX('Ops Assumptions'!$H$34:$H$44,MATCH('Monthly Pro Forma'!I$5,'Ops Assumptions'!$B$34:$B$44,0))</f>
        <v>-1638.7055983364774</v>
      </c>
      <c r="J33" s="217">
        <f ca="1">J31*-INDEX('Ops Assumptions'!$H$34:$H$44,MATCH('Monthly Pro Forma'!J$5,'Ops Assumptions'!$B$34:$B$44,0))</f>
        <v>-1648.6953836090242</v>
      </c>
      <c r="K33" s="217">
        <f ca="1">K31*-INDEX('Ops Assumptions'!$H$34:$H$44,MATCH('Monthly Pro Forma'!K$5,'Ops Assumptions'!$B$34:$B$44,0))</f>
        <v>-1658.6725669103532</v>
      </c>
      <c r="L33" s="217">
        <f ca="1">L31*-INDEX('Ops Assumptions'!$H$34:$H$44,MATCH('Monthly Pro Forma'!L$5,'Ops Assumptions'!$B$34:$B$44,0))</f>
        <v>-1668.6371482404638</v>
      </c>
      <c r="M33" s="217">
        <f ca="1">M31*-INDEX('Ops Assumptions'!$H$34:$H$44,MATCH('Monthly Pro Forma'!M$5,'Ops Assumptions'!$B$34:$B$44,0))</f>
        <v>-1678.5891275993563</v>
      </c>
      <c r="N33" s="217">
        <f ca="1">N31*-INDEX('Ops Assumptions'!$H$34:$H$44,MATCH('Monthly Pro Forma'!N$5,'Ops Assumptions'!$B$34:$B$44,0))</f>
        <v>-1688.5285049870308</v>
      </c>
      <c r="O33" s="217">
        <f ca="1">O31*-INDEX('Ops Assumptions'!$H$34:$H$44,MATCH('Monthly Pro Forma'!O$5,'Ops Assumptions'!$B$34:$B$44,0))</f>
        <v>-1698.455280403487</v>
      </c>
      <c r="P33" s="217">
        <f ca="1">P31*-INDEX('Ops Assumptions'!$H$34:$H$44,MATCH('Monthly Pro Forma'!P$5,'Ops Assumptions'!$B$34:$B$44,0))</f>
        <v>-1708.3694538487252</v>
      </c>
      <c r="Q33" s="217">
        <f ca="1">Q31*-INDEX('Ops Assumptions'!$H$34:$H$44,MATCH('Monthly Pro Forma'!Q$5,'Ops Assumptions'!$B$34:$B$44,0))</f>
        <v>-1718.2710253227453</v>
      </c>
      <c r="R33" s="217">
        <f ca="1">R31*-INDEX('Ops Assumptions'!$H$34:$H$44,MATCH('Monthly Pro Forma'!R$5,'Ops Assumptions'!$B$34:$B$44,0))</f>
        <v>-1728.1599948255471</v>
      </c>
      <c r="S33" s="217">
        <f ca="1">S31*-INDEX('Ops Assumptions'!$H$34:$H$44,MATCH('Monthly Pro Forma'!S$5,'Ops Assumptions'!$B$34:$B$44,0))</f>
        <v>-1852.3363303898946</v>
      </c>
      <c r="T33" s="217">
        <f ca="1">T31*-INDEX('Ops Assumptions'!$H$34:$H$44,MATCH('Monthly Pro Forma'!T$5,'Ops Assumptions'!$B$34:$B$44,0))</f>
        <v>-1865.5707525368832</v>
      </c>
      <c r="U33" s="217">
        <f ca="1">U31*-INDEX('Ops Assumptions'!$H$34:$H$44,MATCH('Monthly Pro Forma'!U$5,'Ops Assumptions'!$B$34:$B$44,0))</f>
        <v>-1878.7816510042649</v>
      </c>
      <c r="V33" s="217">
        <f ca="1">V31*-INDEX('Ops Assumptions'!$H$34:$H$44,MATCH('Monthly Pro Forma'!V$5,'Ops Assumptions'!$B$34:$B$44,0))</f>
        <v>-1891.9690257920392</v>
      </c>
      <c r="W33" s="217">
        <f ca="1">W31*-INDEX('Ops Assumptions'!$H$34:$H$44,MATCH('Monthly Pro Forma'!W$5,'Ops Assumptions'!$B$34:$B$44,0))</f>
        <v>-1905.1328769002066</v>
      </c>
      <c r="X33" s="217">
        <f ca="1">X31*-INDEX('Ops Assumptions'!$H$34:$H$44,MATCH('Monthly Pro Forma'!X$5,'Ops Assumptions'!$B$34:$B$44,0))</f>
        <v>-1918.273204328767</v>
      </c>
      <c r="Y33" s="217">
        <f ca="1">Y31*-INDEX('Ops Assumptions'!$H$34:$H$44,MATCH('Monthly Pro Forma'!Y$5,'Ops Assumptions'!$B$34:$B$44,0))</f>
        <v>-1931.3900080777198</v>
      </c>
      <c r="Z33" s="217">
        <f ca="1">Z31*-INDEX('Ops Assumptions'!$H$34:$H$44,MATCH('Monthly Pro Forma'!Z$5,'Ops Assumptions'!$B$34:$B$44,0))</f>
        <v>-1944.4832881470657</v>
      </c>
      <c r="AA33" s="217">
        <f ca="1">AA31*-INDEX('Ops Assumptions'!$H$34:$H$44,MATCH('Monthly Pro Forma'!AA$5,'Ops Assumptions'!$B$34:$B$44,0))</f>
        <v>-1955.898006653443</v>
      </c>
      <c r="AB33" s="217">
        <f ca="1">AB31*-INDEX('Ops Assumptions'!$H$34:$H$44,MATCH('Monthly Pro Forma'!AB$5,'Ops Assumptions'!$B$34:$B$44,0))</f>
        <v>-1967.2921419401639</v>
      </c>
      <c r="AC33" s="217">
        <f ca="1">AC31*-INDEX('Ops Assumptions'!$H$34:$H$44,MATCH('Monthly Pro Forma'!AC$5,'Ops Assumptions'!$B$34:$B$44,0))</f>
        <v>-1978.6656940072289</v>
      </c>
      <c r="AD33" s="217">
        <f ca="1">AD31*-INDEX('Ops Assumptions'!$H$34:$H$44,MATCH('Monthly Pro Forma'!AD$5,'Ops Assumptions'!$B$34:$B$44,0))</f>
        <v>-1990.0186628546373</v>
      </c>
      <c r="AE33" s="217">
        <f ca="1">AE31*-INDEX('Ops Assumptions'!$H$34:$H$44,MATCH('Monthly Pro Forma'!AE$5,'Ops Assumptions'!$B$34:$B$44,0))</f>
        <v>-2101.5118428915525</v>
      </c>
      <c r="AF33" s="217">
        <f ca="1">AF31*-INDEX('Ops Assumptions'!$H$34:$H$44,MATCH('Monthly Pro Forma'!AF$5,'Ops Assumptions'!$B$34:$B$44,0))</f>
        <v>-2113.6374690491079</v>
      </c>
      <c r="AG33" s="217">
        <f ca="1">AG31*-INDEX('Ops Assumptions'!$H$34:$H$44,MATCH('Monthly Pro Forma'!AG$5,'Ops Assumptions'!$B$34:$B$44,0))</f>
        <v>-2125.7630952066629</v>
      </c>
      <c r="AH33" s="217">
        <f ca="1">AH31*-INDEX('Ops Assumptions'!$H$34:$H$44,MATCH('Monthly Pro Forma'!AH$5,'Ops Assumptions'!$B$34:$B$44,0))</f>
        <v>-2134.4242567477741</v>
      </c>
      <c r="AI33" s="217">
        <f ca="1">AI31*-INDEX('Ops Assumptions'!$H$34:$H$44,MATCH('Monthly Pro Forma'!AI$5,'Ops Assumptions'!$B$34:$B$44,0))</f>
        <v>-2143.0854182888852</v>
      </c>
      <c r="AJ33" s="217">
        <f ca="1">AJ31*-INDEX('Ops Assumptions'!$H$34:$H$44,MATCH('Monthly Pro Forma'!AJ$5,'Ops Assumptions'!$B$34:$B$44,0))</f>
        <v>-2151.7465798299959</v>
      </c>
      <c r="AK33" s="217">
        <f ca="1">AK31*-INDEX('Ops Assumptions'!$H$34:$H$44,MATCH('Monthly Pro Forma'!AK$5,'Ops Assumptions'!$B$34:$B$44,0))</f>
        <v>-2160.407741371107</v>
      </c>
      <c r="AL33" s="217">
        <f ca="1">AL31*-INDEX('Ops Assumptions'!$H$34:$H$44,MATCH('Monthly Pro Forma'!AL$5,'Ops Assumptions'!$B$34:$B$44,0))</f>
        <v>-2169.0689029122177</v>
      </c>
      <c r="AM33" s="217">
        <f ca="1">AM31*-INDEX('Ops Assumptions'!$H$34:$H$44,MATCH('Monthly Pro Forma'!AM$5,'Ops Assumptions'!$B$34:$B$44,0))</f>
        <v>-2177.7300644533289</v>
      </c>
      <c r="AN33" s="217">
        <f ca="1">AN31*-INDEX('Ops Assumptions'!$H$34:$H$44,MATCH('Monthly Pro Forma'!AN$5,'Ops Assumptions'!$B$34:$B$44,0))</f>
        <v>-2177.7300644533289</v>
      </c>
      <c r="AO33" s="217">
        <f ca="1">AO31*-INDEX('Ops Assumptions'!$H$34:$H$44,MATCH('Monthly Pro Forma'!AO$5,'Ops Assumptions'!$B$34:$B$44,0))</f>
        <v>-2177.7300644533289</v>
      </c>
      <c r="AP33" s="217">
        <f ca="1">AP31*-INDEX('Ops Assumptions'!$H$34:$H$44,MATCH('Monthly Pro Forma'!AP$5,'Ops Assumptions'!$B$34:$B$44,0))</f>
        <v>-2177.7300644533289</v>
      </c>
      <c r="AQ33" s="217">
        <f ca="1">AQ31*-INDEX('Ops Assumptions'!$H$34:$H$44,MATCH('Monthly Pro Forma'!AQ$5,'Ops Assumptions'!$B$34:$B$44,0))</f>
        <v>-2264.8392670314624</v>
      </c>
      <c r="AR33" s="217">
        <f ca="1">AR31*-INDEX('Ops Assumptions'!$H$34:$H$44,MATCH('Monthly Pro Forma'!AR$5,'Ops Assumptions'!$B$34:$B$44,0))</f>
        <v>-2264.8392670314624</v>
      </c>
      <c r="AS33" s="217">
        <f ca="1">AS31*-INDEX('Ops Assumptions'!$H$34:$H$44,MATCH('Monthly Pro Forma'!AS$5,'Ops Assumptions'!$B$34:$B$44,0))</f>
        <v>-2264.8392670314624</v>
      </c>
      <c r="AT33" s="217">
        <f ca="1">AT31*-INDEX('Ops Assumptions'!$H$34:$H$44,MATCH('Monthly Pro Forma'!AT$5,'Ops Assumptions'!$B$34:$B$44,0))</f>
        <v>-2264.8392670314624</v>
      </c>
      <c r="AU33" s="217">
        <f ca="1">AU31*-INDEX('Ops Assumptions'!$H$34:$H$44,MATCH('Monthly Pro Forma'!AU$5,'Ops Assumptions'!$B$34:$B$44,0))</f>
        <v>-2264.8392670314624</v>
      </c>
      <c r="AV33" s="217">
        <f ca="1">AV31*-INDEX('Ops Assumptions'!$H$34:$H$44,MATCH('Monthly Pro Forma'!AV$5,'Ops Assumptions'!$B$34:$B$44,0))</f>
        <v>-2264.8392670314624</v>
      </c>
      <c r="AW33" s="217">
        <f ca="1">AW31*-INDEX('Ops Assumptions'!$H$34:$H$44,MATCH('Monthly Pro Forma'!AW$5,'Ops Assumptions'!$B$34:$B$44,0))</f>
        <v>-2264.8392670314624</v>
      </c>
      <c r="AX33" s="217">
        <f ca="1">AX31*-INDEX('Ops Assumptions'!$H$34:$H$44,MATCH('Monthly Pro Forma'!AX$5,'Ops Assumptions'!$B$34:$B$44,0))</f>
        <v>-2264.8392670314624</v>
      </c>
      <c r="AY33" s="217">
        <f ca="1">AY31*-INDEX('Ops Assumptions'!$H$34:$H$44,MATCH('Monthly Pro Forma'!AY$5,'Ops Assumptions'!$B$34:$B$44,0))</f>
        <v>-2264.8392670314624</v>
      </c>
      <c r="AZ33" s="217">
        <f ca="1">AZ31*-INDEX('Ops Assumptions'!$H$34:$H$44,MATCH('Monthly Pro Forma'!AZ$5,'Ops Assumptions'!$B$34:$B$44,0))</f>
        <v>-2264.8392670314624</v>
      </c>
      <c r="BA33" s="217">
        <f ca="1">BA31*-INDEX('Ops Assumptions'!$H$34:$H$44,MATCH('Monthly Pro Forma'!BA$5,'Ops Assumptions'!$B$34:$B$44,0))</f>
        <v>-2264.8392670314624</v>
      </c>
      <c r="BB33" s="217">
        <f ca="1">BB31*-INDEX('Ops Assumptions'!$H$34:$H$44,MATCH('Monthly Pro Forma'!BB$5,'Ops Assumptions'!$B$34:$B$44,0))</f>
        <v>-2264.8392670314624</v>
      </c>
      <c r="BC33" s="217">
        <f ca="1">BC31*-INDEX('Ops Assumptions'!$H$34:$H$44,MATCH('Monthly Pro Forma'!BC$5,'Ops Assumptions'!$B$34:$B$44,0))</f>
        <v>-2355.4328377127213</v>
      </c>
      <c r="BD33" s="217">
        <f ca="1">BD31*-INDEX('Ops Assumptions'!$H$34:$H$44,MATCH('Monthly Pro Forma'!BD$5,'Ops Assumptions'!$B$34:$B$44,0))</f>
        <v>-2355.4328377127213</v>
      </c>
      <c r="BE33" s="217">
        <f ca="1">BE31*-INDEX('Ops Assumptions'!$H$34:$H$44,MATCH('Monthly Pro Forma'!BE$5,'Ops Assumptions'!$B$34:$B$44,0))</f>
        <v>-2355.4328377127213</v>
      </c>
      <c r="BF33" s="217">
        <f ca="1">BF31*-INDEX('Ops Assumptions'!$H$34:$H$44,MATCH('Monthly Pro Forma'!BF$5,'Ops Assumptions'!$B$34:$B$44,0))</f>
        <v>-2355.4328377127213</v>
      </c>
      <c r="BG33" s="217">
        <f ca="1">BG31*-INDEX('Ops Assumptions'!$H$34:$H$44,MATCH('Monthly Pro Forma'!BG$5,'Ops Assumptions'!$B$34:$B$44,0))</f>
        <v>-2355.4328377127213</v>
      </c>
      <c r="BH33" s="217">
        <f ca="1">BH31*-INDEX('Ops Assumptions'!$H$34:$H$44,MATCH('Monthly Pro Forma'!BH$5,'Ops Assumptions'!$B$34:$B$44,0))</f>
        <v>-2355.4328377127213</v>
      </c>
      <c r="BI33" s="217">
        <f ca="1">BI31*-INDEX('Ops Assumptions'!$H$34:$H$44,MATCH('Monthly Pro Forma'!BI$5,'Ops Assumptions'!$B$34:$B$44,0))</f>
        <v>-2355.4328377127213</v>
      </c>
      <c r="BJ33" s="217">
        <f ca="1">BJ31*-INDEX('Ops Assumptions'!$H$34:$H$44,MATCH('Monthly Pro Forma'!BJ$5,'Ops Assumptions'!$B$34:$B$44,0))</f>
        <v>-2355.4328377127213</v>
      </c>
      <c r="BK33" s="217">
        <f ca="1">BK31*-INDEX('Ops Assumptions'!$H$34:$H$44,MATCH('Monthly Pro Forma'!BK$5,'Ops Assumptions'!$B$34:$B$44,0))</f>
        <v>-2355.4328377127213</v>
      </c>
      <c r="BL33" s="217">
        <f ca="1">BL31*-INDEX('Ops Assumptions'!$H$34:$H$44,MATCH('Monthly Pro Forma'!BL$5,'Ops Assumptions'!$B$34:$B$44,0))</f>
        <v>-2355.4328377127213</v>
      </c>
      <c r="BM33" s="217">
        <f ca="1">BM31*-INDEX('Ops Assumptions'!$H$34:$H$44,MATCH('Monthly Pro Forma'!BM$5,'Ops Assumptions'!$B$34:$B$44,0))</f>
        <v>-2355.4328377127213</v>
      </c>
      <c r="BN33" s="217">
        <f ca="1">BN31*-INDEX('Ops Assumptions'!$H$34:$H$44,MATCH('Monthly Pro Forma'!BN$5,'Ops Assumptions'!$B$34:$B$44,0))</f>
        <v>-2355.4328377127213</v>
      </c>
      <c r="BO33" s="217">
        <f ca="1">BO31*-INDEX('Ops Assumptions'!$H$34:$H$44,MATCH('Monthly Pro Forma'!BO$5,'Ops Assumptions'!$B$34:$B$44,0))</f>
        <v>-2449.6501512212299</v>
      </c>
      <c r="BP33" s="217">
        <f ca="1">BP31*-INDEX('Ops Assumptions'!$H$34:$H$44,MATCH('Monthly Pro Forma'!BP$5,'Ops Assumptions'!$B$34:$B$44,0))</f>
        <v>-2449.6501512212299</v>
      </c>
      <c r="BQ33" s="217">
        <f ca="1">BQ31*-INDEX('Ops Assumptions'!$H$34:$H$44,MATCH('Monthly Pro Forma'!BQ$5,'Ops Assumptions'!$B$34:$B$44,0))</f>
        <v>-2449.6501512212299</v>
      </c>
      <c r="BR33" s="217">
        <f ca="1">BR31*-INDEX('Ops Assumptions'!$H$34:$H$44,MATCH('Monthly Pro Forma'!BR$5,'Ops Assumptions'!$B$34:$B$44,0))</f>
        <v>-2449.6501512212299</v>
      </c>
      <c r="BS33" s="217">
        <f ca="1">BS31*-INDEX('Ops Assumptions'!$H$34:$H$44,MATCH('Monthly Pro Forma'!BS$5,'Ops Assumptions'!$B$34:$B$44,0))</f>
        <v>-2449.6501512212299</v>
      </c>
      <c r="BT33" s="217">
        <f ca="1">BT31*-INDEX('Ops Assumptions'!$H$34:$H$44,MATCH('Monthly Pro Forma'!BT$5,'Ops Assumptions'!$B$34:$B$44,0))</f>
        <v>-2449.6501512212299</v>
      </c>
      <c r="BU33" s="217">
        <f ca="1">BU31*-INDEX('Ops Assumptions'!$H$34:$H$44,MATCH('Monthly Pro Forma'!BU$5,'Ops Assumptions'!$B$34:$B$44,0))</f>
        <v>-2449.6501512212299</v>
      </c>
      <c r="BV33" s="217">
        <f ca="1">BV31*-INDEX('Ops Assumptions'!$H$34:$H$44,MATCH('Monthly Pro Forma'!BV$5,'Ops Assumptions'!$B$34:$B$44,0))</f>
        <v>-2449.6501512212299</v>
      </c>
      <c r="BW33" s="217">
        <f ca="1">BW31*-INDEX('Ops Assumptions'!$H$34:$H$44,MATCH('Monthly Pro Forma'!BW$5,'Ops Assumptions'!$B$34:$B$44,0))</f>
        <v>-2449.6501512212299</v>
      </c>
      <c r="BX33" s="217">
        <f ca="1">BX31*-INDEX('Ops Assumptions'!$H$34:$H$44,MATCH('Monthly Pro Forma'!BX$5,'Ops Assumptions'!$B$34:$B$44,0))</f>
        <v>-2449.6501512212299</v>
      </c>
      <c r="BY33" s="217">
        <f ca="1">BY31*-INDEX('Ops Assumptions'!$H$34:$H$44,MATCH('Monthly Pro Forma'!BY$5,'Ops Assumptions'!$B$34:$B$44,0))</f>
        <v>-2449.6501512212299</v>
      </c>
      <c r="BZ33" s="217">
        <f ca="1">BZ31*-INDEX('Ops Assumptions'!$H$34:$H$44,MATCH('Monthly Pro Forma'!BZ$5,'Ops Assumptions'!$B$34:$B$44,0))</f>
        <v>-2449.6501512212299</v>
      </c>
      <c r="CA33" s="217">
        <f>CA31*-INDEX('Ops Assumptions'!$H$34:$H$44,MATCH('Monthly Pro Forma'!CA$5,'Ops Assumptions'!$B$34:$B$44,0))</f>
        <v>0</v>
      </c>
      <c r="CB33" s="217">
        <f>CB31*-INDEX('Ops Assumptions'!$H$34:$H$44,MATCH('Monthly Pro Forma'!CB$5,'Ops Assumptions'!$B$34:$B$44,0))</f>
        <v>0</v>
      </c>
      <c r="CC33" s="217">
        <f>CC31*-INDEX('Ops Assumptions'!$H$34:$H$44,MATCH('Monthly Pro Forma'!CC$5,'Ops Assumptions'!$B$34:$B$44,0))</f>
        <v>0</v>
      </c>
      <c r="CD33" s="217">
        <f>CD31*-INDEX('Ops Assumptions'!$H$34:$H$44,MATCH('Monthly Pro Forma'!CD$5,'Ops Assumptions'!$B$34:$B$44,0))</f>
        <v>0</v>
      </c>
      <c r="CE33" s="217">
        <f>CE31*-INDEX('Ops Assumptions'!$H$34:$H$44,MATCH('Monthly Pro Forma'!CE$5,'Ops Assumptions'!$B$34:$B$44,0))</f>
        <v>0</v>
      </c>
      <c r="CF33" s="217">
        <f>CF31*-INDEX('Ops Assumptions'!$H$34:$H$44,MATCH('Monthly Pro Forma'!CF$5,'Ops Assumptions'!$B$34:$B$44,0))</f>
        <v>0</v>
      </c>
      <c r="CG33" s="217">
        <f>CG31*-INDEX('Ops Assumptions'!$H$34:$H$44,MATCH('Monthly Pro Forma'!CG$5,'Ops Assumptions'!$B$34:$B$44,0))</f>
        <v>0</v>
      </c>
      <c r="CH33" s="217">
        <f>CH31*-INDEX('Ops Assumptions'!$H$34:$H$44,MATCH('Monthly Pro Forma'!CH$5,'Ops Assumptions'!$B$34:$B$44,0))</f>
        <v>0</v>
      </c>
      <c r="CI33" s="217">
        <f>CI31*-INDEX('Ops Assumptions'!$H$34:$H$44,MATCH('Monthly Pro Forma'!CI$5,'Ops Assumptions'!$B$34:$B$44,0))</f>
        <v>0</v>
      </c>
      <c r="CJ33" s="217">
        <f>CJ31*-INDEX('Ops Assumptions'!$H$34:$H$44,MATCH('Monthly Pro Forma'!CJ$5,'Ops Assumptions'!$B$34:$B$44,0))</f>
        <v>0</v>
      </c>
      <c r="CK33" s="217">
        <f>CK31*-INDEX('Ops Assumptions'!$H$34:$H$44,MATCH('Monthly Pro Forma'!CK$5,'Ops Assumptions'!$B$34:$B$44,0))</f>
        <v>0</v>
      </c>
      <c r="CL33" s="217">
        <f>CL31*-INDEX('Ops Assumptions'!$H$34:$H$44,MATCH('Monthly Pro Forma'!CL$5,'Ops Assumptions'!$B$34:$B$44,0))</f>
        <v>0</v>
      </c>
      <c r="CM33" s="217">
        <f>CM31*-INDEX('Ops Assumptions'!$H$34:$H$44,MATCH('Monthly Pro Forma'!CM$5,'Ops Assumptions'!$B$34:$B$44,0))</f>
        <v>0</v>
      </c>
      <c r="CN33" s="217">
        <f>CN31*-INDEX('Ops Assumptions'!$H$34:$H$44,MATCH('Monthly Pro Forma'!CN$5,'Ops Assumptions'!$B$34:$B$44,0))</f>
        <v>0</v>
      </c>
      <c r="CO33" s="217">
        <f>CO31*-INDEX('Ops Assumptions'!$H$34:$H$44,MATCH('Monthly Pro Forma'!CO$5,'Ops Assumptions'!$B$34:$B$44,0))</f>
        <v>0</v>
      </c>
      <c r="CP33" s="217">
        <f>CP31*-INDEX('Ops Assumptions'!$H$34:$H$44,MATCH('Monthly Pro Forma'!CP$5,'Ops Assumptions'!$B$34:$B$44,0))</f>
        <v>0</v>
      </c>
      <c r="CQ33" s="217">
        <f>CQ31*-INDEX('Ops Assumptions'!$H$34:$H$44,MATCH('Monthly Pro Forma'!CQ$5,'Ops Assumptions'!$B$34:$B$44,0))</f>
        <v>0</v>
      </c>
      <c r="CR33" s="217">
        <f>CR31*-INDEX('Ops Assumptions'!$H$34:$H$44,MATCH('Monthly Pro Forma'!CR$5,'Ops Assumptions'!$B$34:$B$44,0))</f>
        <v>0</v>
      </c>
      <c r="CS33" s="217">
        <f>CS31*-INDEX('Ops Assumptions'!$H$34:$H$44,MATCH('Monthly Pro Forma'!CS$5,'Ops Assumptions'!$B$34:$B$44,0))</f>
        <v>0</v>
      </c>
      <c r="CT33" s="217">
        <f>CT31*-INDEX('Ops Assumptions'!$H$34:$H$44,MATCH('Monthly Pro Forma'!CT$5,'Ops Assumptions'!$B$34:$B$44,0))</f>
        <v>0</v>
      </c>
      <c r="CU33" s="217">
        <f>CU31*-INDEX('Ops Assumptions'!$H$34:$H$44,MATCH('Monthly Pro Forma'!CU$5,'Ops Assumptions'!$B$34:$B$44,0))</f>
        <v>0</v>
      </c>
      <c r="CV33" s="217">
        <f>CV31*-INDEX('Ops Assumptions'!$H$34:$H$44,MATCH('Monthly Pro Forma'!CV$5,'Ops Assumptions'!$B$34:$B$44,0))</f>
        <v>0</v>
      </c>
      <c r="CW33" s="217">
        <f>CW31*-INDEX('Ops Assumptions'!$H$34:$H$44,MATCH('Monthly Pro Forma'!CW$5,'Ops Assumptions'!$B$34:$B$44,0))</f>
        <v>0</v>
      </c>
      <c r="CX33" s="217">
        <f>CX31*-INDEX('Ops Assumptions'!$H$34:$H$44,MATCH('Monthly Pro Forma'!CX$5,'Ops Assumptions'!$B$34:$B$44,0))</f>
        <v>0</v>
      </c>
      <c r="CY33" s="217">
        <f>CY31*-INDEX('Ops Assumptions'!$H$34:$H$44,MATCH('Monthly Pro Forma'!CY$5,'Ops Assumptions'!$B$34:$B$44,0))</f>
        <v>0</v>
      </c>
      <c r="CZ33" s="217">
        <f>CZ31*-INDEX('Ops Assumptions'!$H$34:$H$44,MATCH('Monthly Pro Forma'!CZ$5,'Ops Assumptions'!$B$34:$B$44,0))</f>
        <v>0</v>
      </c>
      <c r="DA33" s="217">
        <f>DA31*-INDEX('Ops Assumptions'!$H$34:$H$44,MATCH('Monthly Pro Forma'!DA$5,'Ops Assumptions'!$B$34:$B$44,0))</f>
        <v>0</v>
      </c>
      <c r="DB33" s="217">
        <f>DB31*-INDEX('Ops Assumptions'!$H$34:$H$44,MATCH('Monthly Pro Forma'!DB$5,'Ops Assumptions'!$B$34:$B$44,0))</f>
        <v>0</v>
      </c>
      <c r="DC33" s="217">
        <f>DC31*-INDEX('Ops Assumptions'!$H$34:$H$44,MATCH('Monthly Pro Forma'!DC$5,'Ops Assumptions'!$B$34:$B$44,0))</f>
        <v>0</v>
      </c>
      <c r="DD33" s="217">
        <f>DD31*-INDEX('Ops Assumptions'!$H$34:$H$44,MATCH('Monthly Pro Forma'!DD$5,'Ops Assumptions'!$B$34:$B$44,0))</f>
        <v>0</v>
      </c>
      <c r="DE33" s="217">
        <f>DE31*-INDEX('Ops Assumptions'!$H$34:$H$44,MATCH('Monthly Pro Forma'!DE$5,'Ops Assumptions'!$B$34:$B$44,0))</f>
        <v>0</v>
      </c>
      <c r="DF33" s="217">
        <f>DF31*-INDEX('Ops Assumptions'!$H$34:$H$44,MATCH('Monthly Pro Forma'!DF$5,'Ops Assumptions'!$B$34:$B$44,0))</f>
        <v>0</v>
      </c>
      <c r="DG33" s="217">
        <f>DG31*-INDEX('Ops Assumptions'!$H$34:$H$44,MATCH('Monthly Pro Forma'!DG$5,'Ops Assumptions'!$B$34:$B$44,0))</f>
        <v>0</v>
      </c>
      <c r="DH33" s="217">
        <f>DH31*-INDEX('Ops Assumptions'!$H$34:$H$44,MATCH('Monthly Pro Forma'!DH$5,'Ops Assumptions'!$B$34:$B$44,0))</f>
        <v>0</v>
      </c>
      <c r="DI33" s="217">
        <f>DI31*-INDEX('Ops Assumptions'!$H$34:$H$44,MATCH('Monthly Pro Forma'!DI$5,'Ops Assumptions'!$B$34:$B$44,0))</f>
        <v>0</v>
      </c>
      <c r="DJ33" s="217">
        <f>DJ31*-INDEX('Ops Assumptions'!$H$34:$H$44,MATCH('Monthly Pro Forma'!DJ$5,'Ops Assumptions'!$B$34:$B$44,0))</f>
        <v>0</v>
      </c>
      <c r="DK33" s="217">
        <f>DK31*-INDEX('Ops Assumptions'!$H$34:$H$44,MATCH('Monthly Pro Forma'!DK$5,'Ops Assumptions'!$B$34:$B$44,0))</f>
        <v>0</v>
      </c>
      <c r="DL33" s="217">
        <f>DL31*-INDEX('Ops Assumptions'!$H$34:$H$44,MATCH('Monthly Pro Forma'!DL$5,'Ops Assumptions'!$B$34:$B$44,0))</f>
        <v>0</v>
      </c>
      <c r="DM33" s="217">
        <f>DM31*-INDEX('Ops Assumptions'!$H$34:$H$44,MATCH('Monthly Pro Forma'!DM$5,'Ops Assumptions'!$B$34:$B$44,0))</f>
        <v>0</v>
      </c>
      <c r="DN33" s="217">
        <f>DN31*-INDEX('Ops Assumptions'!$H$34:$H$44,MATCH('Monthly Pro Forma'!DN$5,'Ops Assumptions'!$B$34:$B$44,0))</f>
        <v>0</v>
      </c>
      <c r="DO33" s="217">
        <f>DO31*-INDEX('Ops Assumptions'!$H$34:$H$44,MATCH('Monthly Pro Forma'!DO$5,'Ops Assumptions'!$B$34:$B$44,0))</f>
        <v>0</v>
      </c>
      <c r="DP33" s="217">
        <f>DP31*-INDEX('Ops Assumptions'!$H$34:$H$44,MATCH('Monthly Pro Forma'!DP$5,'Ops Assumptions'!$B$34:$B$44,0))</f>
        <v>0</v>
      </c>
      <c r="DQ33" s="217">
        <f>DQ31*-INDEX('Ops Assumptions'!$H$34:$H$44,MATCH('Monthly Pro Forma'!DQ$5,'Ops Assumptions'!$B$34:$B$44,0))</f>
        <v>0</v>
      </c>
      <c r="DR33" s="217">
        <f>DR31*-INDEX('Ops Assumptions'!$H$34:$H$44,MATCH('Monthly Pro Forma'!DR$5,'Ops Assumptions'!$B$34:$B$44,0))</f>
        <v>0</v>
      </c>
      <c r="DS33" s="217">
        <f>DS31*-INDEX('Ops Assumptions'!$H$34:$H$44,MATCH('Monthly Pro Forma'!DS$5,'Ops Assumptions'!$B$34:$B$44,0))</f>
        <v>0</v>
      </c>
      <c r="DT33" s="217">
        <f>DT31*-INDEX('Ops Assumptions'!$H$34:$H$44,MATCH('Monthly Pro Forma'!DT$5,'Ops Assumptions'!$B$34:$B$44,0))</f>
        <v>0</v>
      </c>
      <c r="DU33" s="217">
        <f>DU31*-INDEX('Ops Assumptions'!$H$34:$H$44,MATCH('Monthly Pro Forma'!DU$5,'Ops Assumptions'!$B$34:$B$44,0))</f>
        <v>0</v>
      </c>
      <c r="DV33" s="217">
        <f>DV31*-INDEX('Ops Assumptions'!$H$34:$H$44,MATCH('Monthly Pro Forma'!DV$5,'Ops Assumptions'!$B$34:$B$44,0))</f>
        <v>0</v>
      </c>
      <c r="DW33" s="217">
        <f>DW31*-INDEX('Ops Assumptions'!$H$34:$H$44,MATCH('Monthly Pro Forma'!DW$5,'Ops Assumptions'!$B$34:$B$44,0))</f>
        <v>0</v>
      </c>
      <c r="DX33" s="217">
        <f>DX31*-INDEX('Ops Assumptions'!$H$34:$H$44,MATCH('Monthly Pro Forma'!DX$5,'Ops Assumptions'!$B$34:$B$44,0))</f>
        <v>0</v>
      </c>
      <c r="DY33" s="217">
        <f>DY31*-INDEX('Ops Assumptions'!$H$34:$H$44,MATCH('Monthly Pro Forma'!DY$5,'Ops Assumptions'!$B$34:$B$44,0))</f>
        <v>0</v>
      </c>
      <c r="DZ33" s="217">
        <f>DZ31*-INDEX('Ops Assumptions'!$H$34:$H$44,MATCH('Monthly Pro Forma'!DZ$5,'Ops Assumptions'!$B$34:$B$44,0))</f>
        <v>0</v>
      </c>
      <c r="EA33" s="217">
        <f>EA31*-INDEX('Ops Assumptions'!$H$34:$H$44,MATCH('Monthly Pro Forma'!EA$5,'Ops Assumptions'!$B$34:$B$44,0))</f>
        <v>0</v>
      </c>
      <c r="EB33" s="217">
        <f>EB31*-INDEX('Ops Assumptions'!$H$34:$H$44,MATCH('Monthly Pro Forma'!EB$5,'Ops Assumptions'!$B$34:$B$44,0))</f>
        <v>0</v>
      </c>
      <c r="EC33" s="217">
        <f>EC31*-INDEX('Ops Assumptions'!$H$34:$H$44,MATCH('Monthly Pro Forma'!EC$5,'Ops Assumptions'!$B$34:$B$44,0))</f>
        <v>0</v>
      </c>
      <c r="ED33" s="217">
        <f>ED31*-INDEX('Ops Assumptions'!$H$34:$H$44,MATCH('Monthly Pro Forma'!ED$5,'Ops Assumptions'!$B$34:$B$44,0))</f>
        <v>0</v>
      </c>
      <c r="EE33" s="217">
        <f>EE31*-INDEX('Ops Assumptions'!$H$34:$H$44,MATCH('Monthly Pro Forma'!EE$5,'Ops Assumptions'!$B$34:$B$44,0))</f>
        <v>0</v>
      </c>
      <c r="EF33" s="217">
        <f>EF31*-INDEX('Ops Assumptions'!$H$34:$H$44,MATCH('Monthly Pro Forma'!EF$5,'Ops Assumptions'!$B$34:$B$44,0))</f>
        <v>0</v>
      </c>
      <c r="EG33" s="217">
        <f>EG31*-INDEX('Ops Assumptions'!$H$34:$H$44,MATCH('Monthly Pro Forma'!EG$5,'Ops Assumptions'!$B$34:$B$44,0))</f>
        <v>0</v>
      </c>
      <c r="EH33" s="217">
        <f>EH31*-INDEX('Ops Assumptions'!$H$34:$H$44,MATCH('Monthly Pro Forma'!EH$5,'Ops Assumptions'!$B$34:$B$44,0))</f>
        <v>0</v>
      </c>
      <c r="EI33" s="158" t="s">
        <v>243</v>
      </c>
    </row>
    <row r="34" spans="1:139" s="217" customFormat="1" x14ac:dyDescent="0.2">
      <c r="B34" s="258" t="s">
        <v>15</v>
      </c>
      <c r="C34" s="209"/>
      <c r="D34" s="308">
        <f t="shared" ca="1" si="42"/>
        <v>-144498.59349778047</v>
      </c>
      <c r="E34" s="309">
        <f>Financials!AL14</f>
        <v>-639.11333333333334</v>
      </c>
      <c r="F34" s="217">
        <v>0</v>
      </c>
      <c r="G34" s="217">
        <f ca="1">G31*-INDEX('Ops Assumptions'!$F$34:$F$44,MATCH('Monthly Pro Forma'!G$5,'Ops Assumptions'!$B$34:$B$44,0))</f>
        <v>-3237.3764437554591</v>
      </c>
      <c r="H34" s="217">
        <f ca="1">H31*-INDEX('Ops Assumptions'!$F$34:$F$44,MATCH('Monthly Pro Forma'!H$5,'Ops Assumptions'!$B$34:$B$44,0))</f>
        <v>-3257.4064221854251</v>
      </c>
      <c r="I34" s="217">
        <f ca="1">I31*-INDEX('Ops Assumptions'!$F$34:$F$44,MATCH('Monthly Pro Forma'!I$5,'Ops Assumptions'!$B$34:$B$44,0))</f>
        <v>-3277.4111966729547</v>
      </c>
      <c r="J34" s="217">
        <f ca="1">J31*-INDEX('Ops Assumptions'!$F$34:$F$44,MATCH('Monthly Pro Forma'!J$5,'Ops Assumptions'!$B$34:$B$44,0))</f>
        <v>-3297.3907672180485</v>
      </c>
      <c r="K34" s="217">
        <f ca="1">K31*-INDEX('Ops Assumptions'!$F$34:$F$44,MATCH('Monthly Pro Forma'!K$5,'Ops Assumptions'!$B$34:$B$44,0))</f>
        <v>-3317.3451338207065</v>
      </c>
      <c r="L34" s="217">
        <f ca="1">L31*-INDEX('Ops Assumptions'!$F$34:$F$44,MATCH('Monthly Pro Forma'!L$5,'Ops Assumptions'!$B$34:$B$44,0))</f>
        <v>-3337.2742964809277</v>
      </c>
      <c r="M34" s="217">
        <f ca="1">M31*-INDEX('Ops Assumptions'!$F$34:$F$44,MATCH('Monthly Pro Forma'!M$5,'Ops Assumptions'!$B$34:$B$44,0))</f>
        <v>-3357.1782551987126</v>
      </c>
      <c r="N34" s="217">
        <f ca="1">N31*-INDEX('Ops Assumptions'!$F$34:$F$44,MATCH('Monthly Pro Forma'!N$5,'Ops Assumptions'!$B$34:$B$44,0))</f>
        <v>-3377.0570099740617</v>
      </c>
      <c r="O34" s="217">
        <f ca="1">O31*-INDEX('Ops Assumptions'!$F$34:$F$44,MATCH('Monthly Pro Forma'!O$5,'Ops Assumptions'!$B$34:$B$44,0))</f>
        <v>-3396.910560806974</v>
      </c>
      <c r="P34" s="217">
        <f ca="1">P31*-INDEX('Ops Assumptions'!$F$34:$F$44,MATCH('Monthly Pro Forma'!P$5,'Ops Assumptions'!$B$34:$B$44,0))</f>
        <v>-3416.7389076974505</v>
      </c>
      <c r="Q34" s="217">
        <f ca="1">Q31*-INDEX('Ops Assumptions'!$F$34:$F$44,MATCH('Monthly Pro Forma'!Q$5,'Ops Assumptions'!$B$34:$B$44,0))</f>
        <v>-3436.5420506454907</v>
      </c>
      <c r="R34" s="217">
        <f ca="1">R31*-INDEX('Ops Assumptions'!$F$34:$F$44,MATCH('Monthly Pro Forma'!R$5,'Ops Assumptions'!$B$34:$B$44,0))</f>
        <v>-3456.3199896510941</v>
      </c>
      <c r="S34" s="217">
        <f ca="1">S31*-INDEX('Ops Assumptions'!$F$34:$F$44,MATCH('Monthly Pro Forma'!S$5,'Ops Assumptions'!$B$34:$B$44,0))</f>
        <v>-1852.3363303898946</v>
      </c>
      <c r="T34" s="217">
        <f ca="1">T31*-INDEX('Ops Assumptions'!$F$34:$F$44,MATCH('Monthly Pro Forma'!T$5,'Ops Assumptions'!$B$34:$B$44,0))</f>
        <v>-1865.5707525368832</v>
      </c>
      <c r="U34" s="217">
        <f ca="1">U31*-INDEX('Ops Assumptions'!$F$34:$F$44,MATCH('Monthly Pro Forma'!U$5,'Ops Assumptions'!$B$34:$B$44,0))</f>
        <v>-1878.7816510042649</v>
      </c>
      <c r="V34" s="217">
        <f ca="1">V31*-INDEX('Ops Assumptions'!$F$34:$F$44,MATCH('Monthly Pro Forma'!V$5,'Ops Assumptions'!$B$34:$B$44,0))</f>
        <v>-1891.9690257920392</v>
      </c>
      <c r="W34" s="217">
        <f ca="1">W31*-INDEX('Ops Assumptions'!$F$34:$F$44,MATCH('Monthly Pro Forma'!W$5,'Ops Assumptions'!$B$34:$B$44,0))</f>
        <v>-1905.1328769002066</v>
      </c>
      <c r="X34" s="217">
        <f ca="1">X31*-INDEX('Ops Assumptions'!$F$34:$F$44,MATCH('Monthly Pro Forma'!X$5,'Ops Assumptions'!$B$34:$B$44,0))</f>
        <v>-1918.273204328767</v>
      </c>
      <c r="Y34" s="217">
        <f ca="1">Y31*-INDEX('Ops Assumptions'!$F$34:$F$44,MATCH('Monthly Pro Forma'!Y$5,'Ops Assumptions'!$B$34:$B$44,0))</f>
        <v>-1931.3900080777198</v>
      </c>
      <c r="Z34" s="217">
        <f ca="1">Z31*-INDEX('Ops Assumptions'!$F$34:$F$44,MATCH('Monthly Pro Forma'!Z$5,'Ops Assumptions'!$B$34:$B$44,0))</f>
        <v>-1944.4832881470657</v>
      </c>
      <c r="AA34" s="217">
        <f ca="1">AA31*-INDEX('Ops Assumptions'!$F$34:$F$44,MATCH('Monthly Pro Forma'!AA$5,'Ops Assumptions'!$B$34:$B$44,0))</f>
        <v>-1955.898006653443</v>
      </c>
      <c r="AB34" s="217">
        <f ca="1">AB31*-INDEX('Ops Assumptions'!$F$34:$F$44,MATCH('Monthly Pro Forma'!AB$5,'Ops Assumptions'!$B$34:$B$44,0))</f>
        <v>-1967.2921419401639</v>
      </c>
      <c r="AC34" s="217">
        <f ca="1">AC31*-INDEX('Ops Assumptions'!$F$34:$F$44,MATCH('Monthly Pro Forma'!AC$5,'Ops Assumptions'!$B$34:$B$44,0))</f>
        <v>-1978.6656940072289</v>
      </c>
      <c r="AD34" s="217">
        <f ca="1">AD31*-INDEX('Ops Assumptions'!$F$34:$F$44,MATCH('Monthly Pro Forma'!AD$5,'Ops Assumptions'!$B$34:$B$44,0))</f>
        <v>-1990.0186628546373</v>
      </c>
      <c r="AE34" s="217">
        <f ca="1">AE31*-INDEX('Ops Assumptions'!$F$34:$F$44,MATCH('Monthly Pro Forma'!AE$5,'Ops Assumptions'!$B$34:$B$44,0))</f>
        <v>-2101.5118428915525</v>
      </c>
      <c r="AF34" s="217">
        <f ca="1">AF31*-INDEX('Ops Assumptions'!$F$34:$F$44,MATCH('Monthly Pro Forma'!AF$5,'Ops Assumptions'!$B$34:$B$44,0))</f>
        <v>-2113.6374690491079</v>
      </c>
      <c r="AG34" s="217">
        <f ca="1">AG31*-INDEX('Ops Assumptions'!$F$34:$F$44,MATCH('Monthly Pro Forma'!AG$5,'Ops Assumptions'!$B$34:$B$44,0))</f>
        <v>-2125.7630952066629</v>
      </c>
      <c r="AH34" s="217">
        <f ca="1">AH31*-INDEX('Ops Assumptions'!$F$34:$F$44,MATCH('Monthly Pro Forma'!AH$5,'Ops Assumptions'!$B$34:$B$44,0))</f>
        <v>-2134.4242567477741</v>
      </c>
      <c r="AI34" s="217">
        <f ca="1">AI31*-INDEX('Ops Assumptions'!$F$34:$F$44,MATCH('Monthly Pro Forma'!AI$5,'Ops Assumptions'!$B$34:$B$44,0))</f>
        <v>-2143.0854182888852</v>
      </c>
      <c r="AJ34" s="217">
        <f ca="1">AJ31*-INDEX('Ops Assumptions'!$F$34:$F$44,MATCH('Monthly Pro Forma'!AJ$5,'Ops Assumptions'!$B$34:$B$44,0))</f>
        <v>-2151.7465798299959</v>
      </c>
      <c r="AK34" s="217">
        <f ca="1">AK31*-INDEX('Ops Assumptions'!$F$34:$F$44,MATCH('Monthly Pro Forma'!AK$5,'Ops Assumptions'!$B$34:$B$44,0))</f>
        <v>-2160.407741371107</v>
      </c>
      <c r="AL34" s="217">
        <f ca="1">AL31*-INDEX('Ops Assumptions'!$F$34:$F$44,MATCH('Monthly Pro Forma'!AL$5,'Ops Assumptions'!$B$34:$B$44,0))</f>
        <v>-2169.0689029122177</v>
      </c>
      <c r="AM34" s="217">
        <f ca="1">AM31*-INDEX('Ops Assumptions'!$F$34:$F$44,MATCH('Monthly Pro Forma'!AM$5,'Ops Assumptions'!$B$34:$B$44,0))</f>
        <v>-2177.7300644533289</v>
      </c>
      <c r="AN34" s="217">
        <f ca="1">AN31*-INDEX('Ops Assumptions'!$F$34:$F$44,MATCH('Monthly Pro Forma'!AN$5,'Ops Assumptions'!$B$34:$B$44,0))</f>
        <v>-2177.7300644533289</v>
      </c>
      <c r="AO34" s="217">
        <f ca="1">AO31*-INDEX('Ops Assumptions'!$F$34:$F$44,MATCH('Monthly Pro Forma'!AO$5,'Ops Assumptions'!$B$34:$B$44,0))</f>
        <v>-2177.7300644533289</v>
      </c>
      <c r="AP34" s="217">
        <f ca="1">AP31*-INDEX('Ops Assumptions'!$F$34:$F$44,MATCH('Monthly Pro Forma'!AP$5,'Ops Assumptions'!$B$34:$B$44,0))</f>
        <v>-2177.7300644533289</v>
      </c>
      <c r="AQ34" s="217">
        <f ca="1">AQ31*-INDEX('Ops Assumptions'!$F$34:$F$44,MATCH('Monthly Pro Forma'!AQ$5,'Ops Assumptions'!$B$34:$B$44,0))</f>
        <v>-2264.8392670314624</v>
      </c>
      <c r="AR34" s="217">
        <f ca="1">AR31*-INDEX('Ops Assumptions'!$F$34:$F$44,MATCH('Monthly Pro Forma'!AR$5,'Ops Assumptions'!$B$34:$B$44,0))</f>
        <v>-2264.8392670314624</v>
      </c>
      <c r="AS34" s="217">
        <f ca="1">AS31*-INDEX('Ops Assumptions'!$F$34:$F$44,MATCH('Monthly Pro Forma'!AS$5,'Ops Assumptions'!$B$34:$B$44,0))</f>
        <v>-2264.8392670314624</v>
      </c>
      <c r="AT34" s="217">
        <f ca="1">AT31*-INDEX('Ops Assumptions'!$F$34:$F$44,MATCH('Monthly Pro Forma'!AT$5,'Ops Assumptions'!$B$34:$B$44,0))</f>
        <v>-2264.8392670314624</v>
      </c>
      <c r="AU34" s="217">
        <f ca="1">AU31*-INDEX('Ops Assumptions'!$F$34:$F$44,MATCH('Monthly Pro Forma'!AU$5,'Ops Assumptions'!$B$34:$B$44,0))</f>
        <v>-2264.8392670314624</v>
      </c>
      <c r="AV34" s="217">
        <f ca="1">AV31*-INDEX('Ops Assumptions'!$F$34:$F$44,MATCH('Monthly Pro Forma'!AV$5,'Ops Assumptions'!$B$34:$B$44,0))</f>
        <v>-2264.8392670314624</v>
      </c>
      <c r="AW34" s="217">
        <f ca="1">AW31*-INDEX('Ops Assumptions'!$F$34:$F$44,MATCH('Monthly Pro Forma'!AW$5,'Ops Assumptions'!$B$34:$B$44,0))</f>
        <v>-2264.8392670314624</v>
      </c>
      <c r="AX34" s="217">
        <f ca="1">AX31*-INDEX('Ops Assumptions'!$F$34:$F$44,MATCH('Monthly Pro Forma'!AX$5,'Ops Assumptions'!$B$34:$B$44,0))</f>
        <v>-2264.8392670314624</v>
      </c>
      <c r="AY34" s="217">
        <f ca="1">AY31*-INDEX('Ops Assumptions'!$F$34:$F$44,MATCH('Monthly Pro Forma'!AY$5,'Ops Assumptions'!$B$34:$B$44,0))</f>
        <v>-2264.8392670314624</v>
      </c>
      <c r="AZ34" s="217">
        <f ca="1">AZ31*-INDEX('Ops Assumptions'!$F$34:$F$44,MATCH('Monthly Pro Forma'!AZ$5,'Ops Assumptions'!$B$34:$B$44,0))</f>
        <v>-2264.8392670314624</v>
      </c>
      <c r="BA34" s="217">
        <f ca="1">BA31*-INDEX('Ops Assumptions'!$F$34:$F$44,MATCH('Monthly Pro Forma'!BA$5,'Ops Assumptions'!$B$34:$B$44,0))</f>
        <v>-2264.8392670314624</v>
      </c>
      <c r="BB34" s="217">
        <f ca="1">BB31*-INDEX('Ops Assumptions'!$F$34:$F$44,MATCH('Monthly Pro Forma'!BB$5,'Ops Assumptions'!$B$34:$B$44,0))</f>
        <v>-2264.8392670314624</v>
      </c>
      <c r="BC34" s="217">
        <f ca="1">BC31*-INDEX('Ops Assumptions'!$F$34:$F$44,MATCH('Monthly Pro Forma'!BC$5,'Ops Assumptions'!$B$34:$B$44,0))</f>
        <v>-2355.4328377127213</v>
      </c>
      <c r="BD34" s="217">
        <f ca="1">BD31*-INDEX('Ops Assumptions'!$F$34:$F$44,MATCH('Monthly Pro Forma'!BD$5,'Ops Assumptions'!$B$34:$B$44,0))</f>
        <v>-2355.4328377127213</v>
      </c>
      <c r="BE34" s="217">
        <f ca="1">BE31*-INDEX('Ops Assumptions'!$F$34:$F$44,MATCH('Monthly Pro Forma'!BE$5,'Ops Assumptions'!$B$34:$B$44,0))</f>
        <v>-2355.4328377127213</v>
      </c>
      <c r="BF34" s="217">
        <f ca="1">BF31*-INDEX('Ops Assumptions'!$F$34:$F$44,MATCH('Monthly Pro Forma'!BF$5,'Ops Assumptions'!$B$34:$B$44,0))</f>
        <v>-2355.4328377127213</v>
      </c>
      <c r="BG34" s="217">
        <f ca="1">BG31*-INDEX('Ops Assumptions'!$F$34:$F$44,MATCH('Monthly Pro Forma'!BG$5,'Ops Assumptions'!$B$34:$B$44,0))</f>
        <v>-2355.4328377127213</v>
      </c>
      <c r="BH34" s="217">
        <f ca="1">BH31*-INDEX('Ops Assumptions'!$F$34:$F$44,MATCH('Monthly Pro Forma'!BH$5,'Ops Assumptions'!$B$34:$B$44,0))</f>
        <v>-2355.4328377127213</v>
      </c>
      <c r="BI34" s="217">
        <f ca="1">BI31*-INDEX('Ops Assumptions'!$F$34:$F$44,MATCH('Monthly Pro Forma'!BI$5,'Ops Assumptions'!$B$34:$B$44,0))</f>
        <v>-2355.4328377127213</v>
      </c>
      <c r="BJ34" s="217">
        <f ca="1">BJ31*-INDEX('Ops Assumptions'!$F$34:$F$44,MATCH('Monthly Pro Forma'!BJ$5,'Ops Assumptions'!$B$34:$B$44,0))</f>
        <v>-2355.4328377127213</v>
      </c>
      <c r="BK34" s="217">
        <f ca="1">BK31*-INDEX('Ops Assumptions'!$F$34:$F$44,MATCH('Monthly Pro Forma'!BK$5,'Ops Assumptions'!$B$34:$B$44,0))</f>
        <v>-2355.4328377127213</v>
      </c>
      <c r="BL34" s="217">
        <f ca="1">BL31*-INDEX('Ops Assumptions'!$F$34:$F$44,MATCH('Monthly Pro Forma'!BL$5,'Ops Assumptions'!$B$34:$B$44,0))</f>
        <v>-2355.4328377127213</v>
      </c>
      <c r="BM34" s="217">
        <f ca="1">BM31*-INDEX('Ops Assumptions'!$F$34:$F$44,MATCH('Monthly Pro Forma'!BM$5,'Ops Assumptions'!$B$34:$B$44,0))</f>
        <v>-2355.4328377127213</v>
      </c>
      <c r="BN34" s="217">
        <f ca="1">BN31*-INDEX('Ops Assumptions'!$F$34:$F$44,MATCH('Monthly Pro Forma'!BN$5,'Ops Assumptions'!$B$34:$B$44,0))</f>
        <v>-2355.4328377127213</v>
      </c>
      <c r="BO34" s="217">
        <f ca="1">BO31*-INDEX('Ops Assumptions'!$F$34:$F$44,MATCH('Monthly Pro Forma'!BO$5,'Ops Assumptions'!$B$34:$B$44,0))</f>
        <v>-2449.6501512212299</v>
      </c>
      <c r="BP34" s="217">
        <f ca="1">BP31*-INDEX('Ops Assumptions'!$F$34:$F$44,MATCH('Monthly Pro Forma'!BP$5,'Ops Assumptions'!$B$34:$B$44,0))</f>
        <v>-2449.6501512212299</v>
      </c>
      <c r="BQ34" s="217">
        <f ca="1">BQ31*-INDEX('Ops Assumptions'!$F$34:$F$44,MATCH('Monthly Pro Forma'!BQ$5,'Ops Assumptions'!$B$34:$B$44,0))</f>
        <v>-2449.6501512212299</v>
      </c>
      <c r="BR34" s="217">
        <f ca="1">BR31*-INDEX('Ops Assumptions'!$F$34:$F$44,MATCH('Monthly Pro Forma'!BR$5,'Ops Assumptions'!$B$34:$B$44,0))</f>
        <v>-2449.6501512212299</v>
      </c>
      <c r="BS34" s="217">
        <f ca="1">BS31*-INDEX('Ops Assumptions'!$F$34:$F$44,MATCH('Monthly Pro Forma'!BS$5,'Ops Assumptions'!$B$34:$B$44,0))</f>
        <v>-2449.6501512212299</v>
      </c>
      <c r="BT34" s="217">
        <f ca="1">BT31*-INDEX('Ops Assumptions'!$F$34:$F$44,MATCH('Monthly Pro Forma'!BT$5,'Ops Assumptions'!$B$34:$B$44,0))</f>
        <v>-2449.6501512212299</v>
      </c>
      <c r="BU34" s="217">
        <f ca="1">BU31*-INDEX('Ops Assumptions'!$F$34:$F$44,MATCH('Monthly Pro Forma'!BU$5,'Ops Assumptions'!$B$34:$B$44,0))</f>
        <v>-2449.6501512212299</v>
      </c>
      <c r="BV34" s="217">
        <f ca="1">BV31*-INDEX('Ops Assumptions'!$F$34:$F$44,MATCH('Monthly Pro Forma'!BV$5,'Ops Assumptions'!$B$34:$B$44,0))</f>
        <v>-2449.6501512212299</v>
      </c>
      <c r="BW34" s="217">
        <f ca="1">BW31*-INDEX('Ops Assumptions'!$F$34:$F$44,MATCH('Monthly Pro Forma'!BW$5,'Ops Assumptions'!$B$34:$B$44,0))</f>
        <v>-2449.6501512212299</v>
      </c>
      <c r="BX34" s="217">
        <f ca="1">BX31*-INDEX('Ops Assumptions'!$F$34:$F$44,MATCH('Monthly Pro Forma'!BX$5,'Ops Assumptions'!$B$34:$B$44,0))</f>
        <v>-2449.6501512212299</v>
      </c>
      <c r="BY34" s="217">
        <f ca="1">BY31*-INDEX('Ops Assumptions'!$F$34:$F$44,MATCH('Monthly Pro Forma'!BY$5,'Ops Assumptions'!$B$34:$B$44,0))</f>
        <v>-2449.6501512212299</v>
      </c>
      <c r="BZ34" s="217">
        <f ca="1">BZ31*-INDEX('Ops Assumptions'!$F$34:$F$44,MATCH('Monthly Pro Forma'!BZ$5,'Ops Assumptions'!$B$34:$B$44,0))</f>
        <v>-2449.6501512212299</v>
      </c>
      <c r="CA34" s="217">
        <f>CA31*-INDEX('Ops Assumptions'!$F$34:$F$44,MATCH('Monthly Pro Forma'!CA$5,'Ops Assumptions'!$B$34:$B$44,0))</f>
        <v>0</v>
      </c>
      <c r="CB34" s="217">
        <f>CB31*-INDEX('Ops Assumptions'!$F$34:$F$44,MATCH('Monthly Pro Forma'!CB$5,'Ops Assumptions'!$B$34:$B$44,0))</f>
        <v>0</v>
      </c>
      <c r="CC34" s="217">
        <f>CC31*-INDEX('Ops Assumptions'!$F$34:$F$44,MATCH('Monthly Pro Forma'!CC$5,'Ops Assumptions'!$B$34:$B$44,0))</f>
        <v>0</v>
      </c>
      <c r="CD34" s="217">
        <f>CD31*-INDEX('Ops Assumptions'!$F$34:$F$44,MATCH('Monthly Pro Forma'!CD$5,'Ops Assumptions'!$B$34:$B$44,0))</f>
        <v>0</v>
      </c>
      <c r="CE34" s="217">
        <f>CE31*-INDEX('Ops Assumptions'!$F$34:$F$44,MATCH('Monthly Pro Forma'!CE$5,'Ops Assumptions'!$B$34:$B$44,0))</f>
        <v>0</v>
      </c>
      <c r="CF34" s="217">
        <f>CF31*-INDEX('Ops Assumptions'!$F$34:$F$44,MATCH('Monthly Pro Forma'!CF$5,'Ops Assumptions'!$B$34:$B$44,0))</f>
        <v>0</v>
      </c>
      <c r="CG34" s="217">
        <f>CG31*-INDEX('Ops Assumptions'!$F$34:$F$44,MATCH('Monthly Pro Forma'!CG$5,'Ops Assumptions'!$B$34:$B$44,0))</f>
        <v>0</v>
      </c>
      <c r="CH34" s="217">
        <f>CH31*-INDEX('Ops Assumptions'!$F$34:$F$44,MATCH('Monthly Pro Forma'!CH$5,'Ops Assumptions'!$B$34:$B$44,0))</f>
        <v>0</v>
      </c>
      <c r="CI34" s="217">
        <f>CI31*-INDEX('Ops Assumptions'!$F$34:$F$44,MATCH('Monthly Pro Forma'!CI$5,'Ops Assumptions'!$B$34:$B$44,0))</f>
        <v>0</v>
      </c>
      <c r="CJ34" s="217">
        <f>CJ31*-INDEX('Ops Assumptions'!$F$34:$F$44,MATCH('Monthly Pro Forma'!CJ$5,'Ops Assumptions'!$B$34:$B$44,0))</f>
        <v>0</v>
      </c>
      <c r="CK34" s="217">
        <f>CK31*-INDEX('Ops Assumptions'!$F$34:$F$44,MATCH('Monthly Pro Forma'!CK$5,'Ops Assumptions'!$B$34:$B$44,0))</f>
        <v>0</v>
      </c>
      <c r="CL34" s="217">
        <f>CL31*-INDEX('Ops Assumptions'!$F$34:$F$44,MATCH('Monthly Pro Forma'!CL$5,'Ops Assumptions'!$B$34:$B$44,0))</f>
        <v>0</v>
      </c>
      <c r="CM34" s="217">
        <f>CM31*-INDEX('Ops Assumptions'!$F$34:$F$44,MATCH('Monthly Pro Forma'!CM$5,'Ops Assumptions'!$B$34:$B$44,0))</f>
        <v>0</v>
      </c>
      <c r="CN34" s="217">
        <f>CN31*-INDEX('Ops Assumptions'!$F$34:$F$44,MATCH('Monthly Pro Forma'!CN$5,'Ops Assumptions'!$B$34:$B$44,0))</f>
        <v>0</v>
      </c>
      <c r="CO34" s="217">
        <f>CO31*-INDEX('Ops Assumptions'!$F$34:$F$44,MATCH('Monthly Pro Forma'!CO$5,'Ops Assumptions'!$B$34:$B$44,0))</f>
        <v>0</v>
      </c>
      <c r="CP34" s="217">
        <f>CP31*-INDEX('Ops Assumptions'!$F$34:$F$44,MATCH('Monthly Pro Forma'!CP$5,'Ops Assumptions'!$B$34:$B$44,0))</f>
        <v>0</v>
      </c>
      <c r="CQ34" s="217">
        <f>CQ31*-INDEX('Ops Assumptions'!$F$34:$F$44,MATCH('Monthly Pro Forma'!CQ$5,'Ops Assumptions'!$B$34:$B$44,0))</f>
        <v>0</v>
      </c>
      <c r="CR34" s="217">
        <f>CR31*-INDEX('Ops Assumptions'!$F$34:$F$44,MATCH('Monthly Pro Forma'!CR$5,'Ops Assumptions'!$B$34:$B$44,0))</f>
        <v>0</v>
      </c>
      <c r="CS34" s="217">
        <f>CS31*-INDEX('Ops Assumptions'!$F$34:$F$44,MATCH('Monthly Pro Forma'!CS$5,'Ops Assumptions'!$B$34:$B$44,0))</f>
        <v>0</v>
      </c>
      <c r="CT34" s="217">
        <f>CT31*-INDEX('Ops Assumptions'!$F$34:$F$44,MATCH('Monthly Pro Forma'!CT$5,'Ops Assumptions'!$B$34:$B$44,0))</f>
        <v>0</v>
      </c>
      <c r="CU34" s="217">
        <f>CU31*-INDEX('Ops Assumptions'!$F$34:$F$44,MATCH('Monthly Pro Forma'!CU$5,'Ops Assumptions'!$B$34:$B$44,0))</f>
        <v>0</v>
      </c>
      <c r="CV34" s="217">
        <f>CV31*-INDEX('Ops Assumptions'!$F$34:$F$44,MATCH('Monthly Pro Forma'!CV$5,'Ops Assumptions'!$B$34:$B$44,0))</f>
        <v>0</v>
      </c>
      <c r="CW34" s="217">
        <f>CW31*-INDEX('Ops Assumptions'!$F$34:$F$44,MATCH('Monthly Pro Forma'!CW$5,'Ops Assumptions'!$B$34:$B$44,0))</f>
        <v>0</v>
      </c>
      <c r="CX34" s="217">
        <f>CX31*-INDEX('Ops Assumptions'!$F$34:$F$44,MATCH('Monthly Pro Forma'!CX$5,'Ops Assumptions'!$B$34:$B$44,0))</f>
        <v>0</v>
      </c>
      <c r="CY34" s="217">
        <f>CY31*-INDEX('Ops Assumptions'!$F$34:$F$44,MATCH('Monthly Pro Forma'!CY$5,'Ops Assumptions'!$B$34:$B$44,0))</f>
        <v>0</v>
      </c>
      <c r="CZ34" s="217">
        <f>CZ31*-INDEX('Ops Assumptions'!$F$34:$F$44,MATCH('Monthly Pro Forma'!CZ$5,'Ops Assumptions'!$B$34:$B$44,0))</f>
        <v>0</v>
      </c>
      <c r="DA34" s="217">
        <f>DA31*-INDEX('Ops Assumptions'!$F$34:$F$44,MATCH('Monthly Pro Forma'!DA$5,'Ops Assumptions'!$B$34:$B$44,0))</f>
        <v>0</v>
      </c>
      <c r="DB34" s="217">
        <f>DB31*-INDEX('Ops Assumptions'!$F$34:$F$44,MATCH('Monthly Pro Forma'!DB$5,'Ops Assumptions'!$B$34:$B$44,0))</f>
        <v>0</v>
      </c>
      <c r="DC34" s="217">
        <f>DC31*-INDEX('Ops Assumptions'!$F$34:$F$44,MATCH('Monthly Pro Forma'!DC$5,'Ops Assumptions'!$B$34:$B$44,0))</f>
        <v>0</v>
      </c>
      <c r="DD34" s="217">
        <f>DD31*-INDEX('Ops Assumptions'!$F$34:$F$44,MATCH('Monthly Pro Forma'!DD$5,'Ops Assumptions'!$B$34:$B$44,0))</f>
        <v>0</v>
      </c>
      <c r="DE34" s="217">
        <f>DE31*-INDEX('Ops Assumptions'!$F$34:$F$44,MATCH('Monthly Pro Forma'!DE$5,'Ops Assumptions'!$B$34:$B$44,0))</f>
        <v>0</v>
      </c>
      <c r="DF34" s="217">
        <f>DF31*-INDEX('Ops Assumptions'!$F$34:$F$44,MATCH('Monthly Pro Forma'!DF$5,'Ops Assumptions'!$B$34:$B$44,0))</f>
        <v>0</v>
      </c>
      <c r="DG34" s="217">
        <f>DG31*-INDEX('Ops Assumptions'!$F$34:$F$44,MATCH('Monthly Pro Forma'!DG$5,'Ops Assumptions'!$B$34:$B$44,0))</f>
        <v>0</v>
      </c>
      <c r="DH34" s="217">
        <f>DH31*-INDEX('Ops Assumptions'!$F$34:$F$44,MATCH('Monthly Pro Forma'!DH$5,'Ops Assumptions'!$B$34:$B$44,0))</f>
        <v>0</v>
      </c>
      <c r="DI34" s="217">
        <f>DI31*-INDEX('Ops Assumptions'!$F$34:$F$44,MATCH('Monthly Pro Forma'!DI$5,'Ops Assumptions'!$B$34:$B$44,0))</f>
        <v>0</v>
      </c>
      <c r="DJ34" s="217">
        <f>DJ31*-INDEX('Ops Assumptions'!$F$34:$F$44,MATCH('Monthly Pro Forma'!DJ$5,'Ops Assumptions'!$B$34:$B$44,0))</f>
        <v>0</v>
      </c>
      <c r="DK34" s="217">
        <f>DK31*-INDEX('Ops Assumptions'!$F$34:$F$44,MATCH('Monthly Pro Forma'!DK$5,'Ops Assumptions'!$B$34:$B$44,0))</f>
        <v>0</v>
      </c>
      <c r="DL34" s="217">
        <f>DL31*-INDEX('Ops Assumptions'!$F$34:$F$44,MATCH('Monthly Pro Forma'!DL$5,'Ops Assumptions'!$B$34:$B$44,0))</f>
        <v>0</v>
      </c>
      <c r="DM34" s="217">
        <f>DM31*-INDEX('Ops Assumptions'!$F$34:$F$44,MATCH('Monthly Pro Forma'!DM$5,'Ops Assumptions'!$B$34:$B$44,0))</f>
        <v>0</v>
      </c>
      <c r="DN34" s="217">
        <f>DN31*-INDEX('Ops Assumptions'!$F$34:$F$44,MATCH('Monthly Pro Forma'!DN$5,'Ops Assumptions'!$B$34:$B$44,0))</f>
        <v>0</v>
      </c>
      <c r="DO34" s="217">
        <f>DO31*-INDEX('Ops Assumptions'!$F$34:$F$44,MATCH('Monthly Pro Forma'!DO$5,'Ops Assumptions'!$B$34:$B$44,0))</f>
        <v>0</v>
      </c>
      <c r="DP34" s="217">
        <f>DP31*-INDEX('Ops Assumptions'!$F$34:$F$44,MATCH('Monthly Pro Forma'!DP$5,'Ops Assumptions'!$B$34:$B$44,0))</f>
        <v>0</v>
      </c>
      <c r="DQ34" s="217">
        <f>DQ31*-INDEX('Ops Assumptions'!$F$34:$F$44,MATCH('Monthly Pro Forma'!DQ$5,'Ops Assumptions'!$B$34:$B$44,0))</f>
        <v>0</v>
      </c>
      <c r="DR34" s="217">
        <f>DR31*-INDEX('Ops Assumptions'!$F$34:$F$44,MATCH('Monthly Pro Forma'!DR$5,'Ops Assumptions'!$B$34:$B$44,0))</f>
        <v>0</v>
      </c>
      <c r="DS34" s="217">
        <f>DS31*-INDEX('Ops Assumptions'!$F$34:$F$44,MATCH('Monthly Pro Forma'!DS$5,'Ops Assumptions'!$B$34:$B$44,0))</f>
        <v>0</v>
      </c>
      <c r="DT34" s="217">
        <f>DT31*-INDEX('Ops Assumptions'!$F$34:$F$44,MATCH('Monthly Pro Forma'!DT$5,'Ops Assumptions'!$B$34:$B$44,0))</f>
        <v>0</v>
      </c>
      <c r="DU34" s="217">
        <f>DU31*-INDEX('Ops Assumptions'!$F$34:$F$44,MATCH('Monthly Pro Forma'!DU$5,'Ops Assumptions'!$B$34:$B$44,0))</f>
        <v>0</v>
      </c>
      <c r="DV34" s="217">
        <f>DV31*-INDEX('Ops Assumptions'!$F$34:$F$44,MATCH('Monthly Pro Forma'!DV$5,'Ops Assumptions'!$B$34:$B$44,0))</f>
        <v>0</v>
      </c>
      <c r="DW34" s="217">
        <f>DW31*-INDEX('Ops Assumptions'!$F$34:$F$44,MATCH('Monthly Pro Forma'!DW$5,'Ops Assumptions'!$B$34:$B$44,0))</f>
        <v>0</v>
      </c>
      <c r="DX34" s="217">
        <f>DX31*-INDEX('Ops Assumptions'!$F$34:$F$44,MATCH('Monthly Pro Forma'!DX$5,'Ops Assumptions'!$B$34:$B$44,0))</f>
        <v>0</v>
      </c>
      <c r="DY34" s="217">
        <f>DY31*-INDEX('Ops Assumptions'!$F$34:$F$44,MATCH('Monthly Pro Forma'!DY$5,'Ops Assumptions'!$B$34:$B$44,0))</f>
        <v>0</v>
      </c>
      <c r="DZ34" s="217">
        <f>DZ31*-INDEX('Ops Assumptions'!$F$34:$F$44,MATCH('Monthly Pro Forma'!DZ$5,'Ops Assumptions'!$B$34:$B$44,0))</f>
        <v>0</v>
      </c>
      <c r="EA34" s="217">
        <f>EA31*-INDEX('Ops Assumptions'!$F$34:$F$44,MATCH('Monthly Pro Forma'!EA$5,'Ops Assumptions'!$B$34:$B$44,0))</f>
        <v>0</v>
      </c>
      <c r="EB34" s="217">
        <f>EB31*-INDEX('Ops Assumptions'!$F$34:$F$44,MATCH('Monthly Pro Forma'!EB$5,'Ops Assumptions'!$B$34:$B$44,0))</f>
        <v>0</v>
      </c>
      <c r="EC34" s="217">
        <f>EC31*-INDEX('Ops Assumptions'!$F$34:$F$44,MATCH('Monthly Pro Forma'!EC$5,'Ops Assumptions'!$B$34:$B$44,0))</f>
        <v>0</v>
      </c>
      <c r="ED34" s="217">
        <f>ED31*-INDEX('Ops Assumptions'!$F$34:$F$44,MATCH('Monthly Pro Forma'!ED$5,'Ops Assumptions'!$B$34:$B$44,0))</f>
        <v>0</v>
      </c>
      <c r="EE34" s="217">
        <f>EE31*-INDEX('Ops Assumptions'!$F$34:$F$44,MATCH('Monthly Pro Forma'!EE$5,'Ops Assumptions'!$B$34:$B$44,0))</f>
        <v>0</v>
      </c>
      <c r="EF34" s="217">
        <f>EF31*-INDEX('Ops Assumptions'!$F$34:$F$44,MATCH('Monthly Pro Forma'!EF$5,'Ops Assumptions'!$B$34:$B$44,0))</f>
        <v>0</v>
      </c>
      <c r="EG34" s="217">
        <f>EG31*-INDEX('Ops Assumptions'!$F$34:$F$44,MATCH('Monthly Pro Forma'!EG$5,'Ops Assumptions'!$B$34:$B$44,0))</f>
        <v>0</v>
      </c>
      <c r="EH34" s="217">
        <f>EH31*-INDEX('Ops Assumptions'!$F$34:$F$44,MATCH('Monthly Pro Forma'!EH$5,'Ops Assumptions'!$B$34:$B$44,0))</f>
        <v>0</v>
      </c>
      <c r="EI34" s="158" t="s">
        <v>243</v>
      </c>
    </row>
    <row r="35" spans="1:139" s="312" customFormat="1" x14ac:dyDescent="0.2">
      <c r="A35" s="282"/>
      <c r="B35" s="261" t="s">
        <v>19</v>
      </c>
      <c r="C35" s="283"/>
      <c r="D35" s="310">
        <f t="shared" ca="1" si="42"/>
        <v>23251121.726993516</v>
      </c>
      <c r="E35" s="311">
        <f>SUM(E31:E34)</f>
        <v>282620.21999999997</v>
      </c>
      <c r="F35" s="264">
        <f t="shared" ref="F35:AK35" si="55">IF(F4&gt;HoldPeriod+12,0,SUM(F31:F34))</f>
        <v>0</v>
      </c>
      <c r="G35" s="264">
        <f t="shared" ca="1" si="55"/>
        <v>298446.26370991272</v>
      </c>
      <c r="H35" s="264">
        <f t="shared" ca="1" si="55"/>
        <v>300323.02153829933</v>
      </c>
      <c r="I35" s="264">
        <f t="shared" ca="1" si="55"/>
        <v>302197.29677835607</v>
      </c>
      <c r="J35" s="264">
        <f t="shared" ca="1" si="55"/>
        <v>304069.08943008282</v>
      </c>
      <c r="K35" s="264">
        <f t="shared" ca="1" si="55"/>
        <v>305938.39949347958</v>
      </c>
      <c r="L35" s="264">
        <f t="shared" ca="1" si="55"/>
        <v>307805.2269685464</v>
      </c>
      <c r="M35" s="264">
        <f t="shared" ca="1" si="55"/>
        <v>309669.57185528317</v>
      </c>
      <c r="N35" s="264">
        <f t="shared" ca="1" si="55"/>
        <v>311531.43415369006</v>
      </c>
      <c r="O35" s="264">
        <f t="shared" ca="1" si="55"/>
        <v>313390.81386376696</v>
      </c>
      <c r="P35" s="264">
        <f t="shared" ca="1" si="55"/>
        <v>315247.71098551387</v>
      </c>
      <c r="Q35" s="264">
        <f t="shared" ca="1" si="55"/>
        <v>317102.12551893084</v>
      </c>
      <c r="R35" s="264">
        <f t="shared" ca="1" si="55"/>
        <v>318954.05746401777</v>
      </c>
      <c r="S35" s="264">
        <f t="shared" ca="1" si="55"/>
        <v>344093.45402544015</v>
      </c>
      <c r="T35" s="264">
        <f t="shared" ca="1" si="55"/>
        <v>346552.26193164272</v>
      </c>
      <c r="U35" s="264">
        <f t="shared" ca="1" si="55"/>
        <v>349006.41214928305</v>
      </c>
      <c r="V35" s="264">
        <f t="shared" ca="1" si="55"/>
        <v>351455.9046783612</v>
      </c>
      <c r="W35" s="264">
        <f t="shared" ca="1" si="55"/>
        <v>353900.73951887718</v>
      </c>
      <c r="X35" s="264">
        <f t="shared" ca="1" si="55"/>
        <v>356340.91667083086</v>
      </c>
      <c r="Y35" s="264">
        <f t="shared" ca="1" si="55"/>
        <v>358776.43613422237</v>
      </c>
      <c r="Z35" s="264">
        <f t="shared" ca="1" si="55"/>
        <v>361207.29790905165</v>
      </c>
      <c r="AA35" s="264">
        <f t="shared" ca="1" si="55"/>
        <v>363326.00545427576</v>
      </c>
      <c r="AB35" s="264">
        <f t="shared" ca="1" si="55"/>
        <v>365440.63752200804</v>
      </c>
      <c r="AC35" s="264">
        <f t="shared" ca="1" si="55"/>
        <v>367551.19411224831</v>
      </c>
      <c r="AD35" s="264">
        <f t="shared" ca="1" si="55"/>
        <v>369657.6752249967</v>
      </c>
      <c r="AE35" s="264">
        <f t="shared" ca="1" si="55"/>
        <v>394655.34649567475</v>
      </c>
      <c r="AF35" s="264">
        <f t="shared" ca="1" si="55"/>
        <v>396932.48959571199</v>
      </c>
      <c r="AG35" s="264">
        <f t="shared" ca="1" si="55"/>
        <v>399209.63269574929</v>
      </c>
      <c r="AH35" s="264">
        <f t="shared" ca="1" si="55"/>
        <v>400836.1634814901</v>
      </c>
      <c r="AI35" s="264">
        <f t="shared" ca="1" si="55"/>
        <v>402462.69426723098</v>
      </c>
      <c r="AJ35" s="264">
        <f t="shared" ca="1" si="55"/>
        <v>404089.22505297186</v>
      </c>
      <c r="AK35" s="264">
        <f t="shared" ca="1" si="55"/>
        <v>405715.75583871268</v>
      </c>
      <c r="AL35" s="264">
        <f t="shared" ref="AL35:BQ35" ca="1" si="56">IF(AL4&gt;HoldPeriod+12,0,SUM(AL31:AL34))</f>
        <v>407342.28662445367</v>
      </c>
      <c r="AM35" s="264">
        <f t="shared" ca="1" si="56"/>
        <v>408968.81741019455</v>
      </c>
      <c r="AN35" s="264">
        <f t="shared" ca="1" si="56"/>
        <v>408968.81741019455</v>
      </c>
      <c r="AO35" s="264">
        <f t="shared" ca="1" si="56"/>
        <v>408968.81741019455</v>
      </c>
      <c r="AP35" s="264">
        <f t="shared" ca="1" si="56"/>
        <v>408968.81741019455</v>
      </c>
      <c r="AQ35" s="264">
        <f t="shared" ca="1" si="56"/>
        <v>425327.57010660233</v>
      </c>
      <c r="AR35" s="264">
        <f t="shared" ca="1" si="56"/>
        <v>425327.57010660233</v>
      </c>
      <c r="AS35" s="264">
        <f t="shared" ca="1" si="56"/>
        <v>425327.57010660233</v>
      </c>
      <c r="AT35" s="264">
        <f t="shared" ca="1" si="56"/>
        <v>425327.57010660233</v>
      </c>
      <c r="AU35" s="264">
        <f t="shared" ca="1" si="56"/>
        <v>425327.57010660233</v>
      </c>
      <c r="AV35" s="264">
        <f t="shared" ca="1" si="56"/>
        <v>425327.57010660233</v>
      </c>
      <c r="AW35" s="264">
        <f t="shared" ca="1" si="56"/>
        <v>425327.57010660233</v>
      </c>
      <c r="AX35" s="264">
        <f t="shared" ca="1" si="56"/>
        <v>425327.57010660233</v>
      </c>
      <c r="AY35" s="264">
        <f t="shared" ca="1" si="56"/>
        <v>425327.57010660233</v>
      </c>
      <c r="AZ35" s="264">
        <f t="shared" ca="1" si="56"/>
        <v>425327.57010660233</v>
      </c>
      <c r="BA35" s="264">
        <f t="shared" ca="1" si="56"/>
        <v>425327.57010660233</v>
      </c>
      <c r="BB35" s="264">
        <f t="shared" ca="1" si="56"/>
        <v>425327.57010660233</v>
      </c>
      <c r="BC35" s="264">
        <f t="shared" ca="1" si="56"/>
        <v>442340.67291086656</v>
      </c>
      <c r="BD35" s="264">
        <f t="shared" ca="1" si="56"/>
        <v>442340.67291086656</v>
      </c>
      <c r="BE35" s="264">
        <f t="shared" ca="1" si="56"/>
        <v>442340.67291086656</v>
      </c>
      <c r="BF35" s="264">
        <f t="shared" ca="1" si="56"/>
        <v>442340.67291086656</v>
      </c>
      <c r="BG35" s="264">
        <f t="shared" ca="1" si="56"/>
        <v>442340.67291086656</v>
      </c>
      <c r="BH35" s="264">
        <f t="shared" ca="1" si="56"/>
        <v>442340.67291086656</v>
      </c>
      <c r="BI35" s="264">
        <f t="shared" ca="1" si="56"/>
        <v>442340.67291086656</v>
      </c>
      <c r="BJ35" s="264">
        <f t="shared" ca="1" si="56"/>
        <v>442340.67291086656</v>
      </c>
      <c r="BK35" s="264">
        <f t="shared" ca="1" si="56"/>
        <v>442340.67291086656</v>
      </c>
      <c r="BL35" s="264">
        <f t="shared" ca="1" si="56"/>
        <v>442340.67291086656</v>
      </c>
      <c r="BM35" s="264">
        <f t="shared" ca="1" si="56"/>
        <v>442340.67291086656</v>
      </c>
      <c r="BN35" s="264">
        <f t="shared" ca="1" si="56"/>
        <v>442340.67291086656</v>
      </c>
      <c r="BO35" s="264">
        <f t="shared" ca="1" si="56"/>
        <v>460034.29982730112</v>
      </c>
      <c r="BP35" s="264">
        <f t="shared" ca="1" si="56"/>
        <v>460034.29982730112</v>
      </c>
      <c r="BQ35" s="264">
        <f t="shared" ca="1" si="56"/>
        <v>460034.29982730112</v>
      </c>
      <c r="BR35" s="264">
        <f t="shared" ref="BR35:CW35" ca="1" si="57">IF(BR4&gt;HoldPeriod+12,0,SUM(BR31:BR34))</f>
        <v>460034.29982730112</v>
      </c>
      <c r="BS35" s="264">
        <f t="shared" ca="1" si="57"/>
        <v>460034.29982730112</v>
      </c>
      <c r="BT35" s="264">
        <f t="shared" ca="1" si="57"/>
        <v>460034.29982730112</v>
      </c>
      <c r="BU35" s="264">
        <f t="shared" ca="1" si="57"/>
        <v>460034.29982730112</v>
      </c>
      <c r="BV35" s="264">
        <f t="shared" ca="1" si="57"/>
        <v>460034.29982730112</v>
      </c>
      <c r="BW35" s="264">
        <f t="shared" ca="1" si="57"/>
        <v>460034.29982730112</v>
      </c>
      <c r="BX35" s="264">
        <f t="shared" ca="1" si="57"/>
        <v>460034.29982730112</v>
      </c>
      <c r="BY35" s="264">
        <f t="shared" ca="1" si="57"/>
        <v>460034.29982730112</v>
      </c>
      <c r="BZ35" s="264">
        <f t="shared" ca="1" si="57"/>
        <v>460034.29982730112</v>
      </c>
      <c r="CA35" s="264">
        <f t="shared" si="57"/>
        <v>0</v>
      </c>
      <c r="CB35" s="264">
        <f t="shared" si="57"/>
        <v>0</v>
      </c>
      <c r="CC35" s="264">
        <f t="shared" si="57"/>
        <v>0</v>
      </c>
      <c r="CD35" s="264">
        <f t="shared" si="57"/>
        <v>0</v>
      </c>
      <c r="CE35" s="264">
        <f t="shared" si="57"/>
        <v>0</v>
      </c>
      <c r="CF35" s="264">
        <f t="shared" si="57"/>
        <v>0</v>
      </c>
      <c r="CG35" s="264">
        <f t="shared" si="57"/>
        <v>0</v>
      </c>
      <c r="CH35" s="264">
        <f t="shared" si="57"/>
        <v>0</v>
      </c>
      <c r="CI35" s="264">
        <f t="shared" si="57"/>
        <v>0</v>
      </c>
      <c r="CJ35" s="264">
        <f t="shared" si="57"/>
        <v>0</v>
      </c>
      <c r="CK35" s="264">
        <f t="shared" si="57"/>
        <v>0</v>
      </c>
      <c r="CL35" s="264">
        <f t="shared" si="57"/>
        <v>0</v>
      </c>
      <c r="CM35" s="264">
        <f t="shared" si="57"/>
        <v>0</v>
      </c>
      <c r="CN35" s="264">
        <f t="shared" si="57"/>
        <v>0</v>
      </c>
      <c r="CO35" s="264">
        <f t="shared" si="57"/>
        <v>0</v>
      </c>
      <c r="CP35" s="264">
        <f t="shared" si="57"/>
        <v>0</v>
      </c>
      <c r="CQ35" s="264">
        <f t="shared" si="57"/>
        <v>0</v>
      </c>
      <c r="CR35" s="264">
        <f t="shared" si="57"/>
        <v>0</v>
      </c>
      <c r="CS35" s="264">
        <f t="shared" si="57"/>
        <v>0</v>
      </c>
      <c r="CT35" s="264">
        <f t="shared" si="57"/>
        <v>0</v>
      </c>
      <c r="CU35" s="264">
        <f t="shared" si="57"/>
        <v>0</v>
      </c>
      <c r="CV35" s="264">
        <f t="shared" si="57"/>
        <v>0</v>
      </c>
      <c r="CW35" s="264">
        <f t="shared" si="57"/>
        <v>0</v>
      </c>
      <c r="CX35" s="264">
        <f t="shared" ref="CX35:EC35" si="58">IF(CX4&gt;HoldPeriod+12,0,SUM(CX31:CX34))</f>
        <v>0</v>
      </c>
      <c r="CY35" s="264">
        <f t="shared" si="58"/>
        <v>0</v>
      </c>
      <c r="CZ35" s="264">
        <f t="shared" si="58"/>
        <v>0</v>
      </c>
      <c r="DA35" s="264">
        <f t="shared" si="58"/>
        <v>0</v>
      </c>
      <c r="DB35" s="264">
        <f t="shared" si="58"/>
        <v>0</v>
      </c>
      <c r="DC35" s="264">
        <f t="shared" si="58"/>
        <v>0</v>
      </c>
      <c r="DD35" s="264">
        <f t="shared" si="58"/>
        <v>0</v>
      </c>
      <c r="DE35" s="264">
        <f t="shared" si="58"/>
        <v>0</v>
      </c>
      <c r="DF35" s="264">
        <f t="shared" si="58"/>
        <v>0</v>
      </c>
      <c r="DG35" s="264">
        <f t="shared" si="58"/>
        <v>0</v>
      </c>
      <c r="DH35" s="264">
        <f t="shared" si="58"/>
        <v>0</v>
      </c>
      <c r="DI35" s="264">
        <f t="shared" si="58"/>
        <v>0</v>
      </c>
      <c r="DJ35" s="264">
        <f t="shared" si="58"/>
        <v>0</v>
      </c>
      <c r="DK35" s="264">
        <f t="shared" si="58"/>
        <v>0</v>
      </c>
      <c r="DL35" s="264">
        <f t="shared" si="58"/>
        <v>0</v>
      </c>
      <c r="DM35" s="264">
        <f t="shared" si="58"/>
        <v>0</v>
      </c>
      <c r="DN35" s="264">
        <f t="shared" si="58"/>
        <v>0</v>
      </c>
      <c r="DO35" s="264">
        <f t="shared" si="58"/>
        <v>0</v>
      </c>
      <c r="DP35" s="264">
        <f t="shared" si="58"/>
        <v>0</v>
      </c>
      <c r="DQ35" s="264">
        <f t="shared" si="58"/>
        <v>0</v>
      </c>
      <c r="DR35" s="264">
        <f t="shared" si="58"/>
        <v>0</v>
      </c>
      <c r="DS35" s="264">
        <f t="shared" si="58"/>
        <v>0</v>
      </c>
      <c r="DT35" s="264">
        <f t="shared" si="58"/>
        <v>0</v>
      </c>
      <c r="DU35" s="264">
        <f t="shared" si="58"/>
        <v>0</v>
      </c>
      <c r="DV35" s="264">
        <f t="shared" si="58"/>
        <v>0</v>
      </c>
      <c r="DW35" s="264">
        <f t="shared" si="58"/>
        <v>0</v>
      </c>
      <c r="DX35" s="264">
        <f t="shared" si="58"/>
        <v>0</v>
      </c>
      <c r="DY35" s="264">
        <f t="shared" si="58"/>
        <v>0</v>
      </c>
      <c r="DZ35" s="264">
        <f t="shared" si="58"/>
        <v>0</v>
      </c>
      <c r="EA35" s="264">
        <f t="shared" si="58"/>
        <v>0</v>
      </c>
      <c r="EB35" s="264">
        <f t="shared" si="58"/>
        <v>0</v>
      </c>
      <c r="EC35" s="264">
        <f t="shared" si="58"/>
        <v>0</v>
      </c>
      <c r="ED35" s="264">
        <f t="shared" ref="ED35:EH35" si="59">IF(ED4&gt;HoldPeriod+12,0,SUM(ED31:ED34))</f>
        <v>0</v>
      </c>
      <c r="EE35" s="264">
        <f t="shared" si="59"/>
        <v>0</v>
      </c>
      <c r="EF35" s="264">
        <f t="shared" si="59"/>
        <v>0</v>
      </c>
      <c r="EG35" s="264">
        <f t="shared" si="59"/>
        <v>0</v>
      </c>
      <c r="EH35" s="264">
        <f t="shared" si="59"/>
        <v>0</v>
      </c>
      <c r="EI35" s="158" t="s">
        <v>243</v>
      </c>
    </row>
    <row r="36" spans="1:139" s="217" customFormat="1" x14ac:dyDescent="0.2">
      <c r="B36" s="209"/>
      <c r="C36" s="209"/>
      <c r="D36" s="308"/>
      <c r="E36" s="309"/>
      <c r="EI36" s="158" t="s">
        <v>243</v>
      </c>
    </row>
    <row r="37" spans="1:139" s="217" customFormat="1" ht="15" thickBot="1" x14ac:dyDescent="0.25">
      <c r="B37" s="299" t="s">
        <v>30</v>
      </c>
      <c r="C37" s="299"/>
      <c r="D37" s="300"/>
      <c r="E37" s="307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9"/>
      <c r="V37" s="299"/>
      <c r="W37" s="299"/>
      <c r="X37" s="299"/>
      <c r="Y37" s="299"/>
      <c r="Z37" s="299"/>
      <c r="AA37" s="299"/>
      <c r="AB37" s="299"/>
      <c r="AC37" s="299"/>
      <c r="AD37" s="299"/>
      <c r="AE37" s="299"/>
      <c r="AF37" s="299"/>
      <c r="AG37" s="299"/>
      <c r="AH37" s="299"/>
      <c r="AI37" s="299"/>
      <c r="AJ37" s="299"/>
      <c r="AK37" s="299"/>
      <c r="AL37" s="299"/>
      <c r="AM37" s="299"/>
      <c r="AN37" s="299"/>
      <c r="AO37" s="299"/>
      <c r="AP37" s="299"/>
      <c r="AQ37" s="299"/>
      <c r="AR37" s="299"/>
      <c r="AS37" s="299"/>
      <c r="AT37" s="299"/>
      <c r="AU37" s="299"/>
      <c r="AV37" s="299"/>
      <c r="AW37" s="299"/>
      <c r="AX37" s="299"/>
      <c r="AY37" s="299"/>
      <c r="AZ37" s="299"/>
      <c r="BA37" s="299"/>
      <c r="BB37" s="299"/>
      <c r="BC37" s="299"/>
      <c r="BD37" s="299"/>
      <c r="BE37" s="299"/>
      <c r="BF37" s="299"/>
      <c r="BG37" s="299"/>
      <c r="BH37" s="299"/>
      <c r="BI37" s="299"/>
      <c r="BJ37" s="299"/>
      <c r="BK37" s="299"/>
      <c r="BL37" s="299"/>
      <c r="BM37" s="299"/>
      <c r="BN37" s="299"/>
      <c r="BO37" s="299"/>
      <c r="BP37" s="299"/>
      <c r="BQ37" s="299"/>
      <c r="BR37" s="299"/>
      <c r="BS37" s="299"/>
      <c r="BT37" s="299"/>
      <c r="BU37" s="299"/>
      <c r="BV37" s="299"/>
      <c r="BW37" s="299"/>
      <c r="BX37" s="299"/>
      <c r="BY37" s="299"/>
      <c r="BZ37" s="299"/>
      <c r="CA37" s="299"/>
      <c r="CB37" s="299"/>
      <c r="CC37" s="299"/>
      <c r="CD37" s="299"/>
      <c r="CE37" s="299"/>
      <c r="CF37" s="299"/>
      <c r="CG37" s="299"/>
      <c r="CH37" s="299"/>
      <c r="CI37" s="299"/>
      <c r="CJ37" s="299"/>
      <c r="CK37" s="299"/>
      <c r="CL37" s="299"/>
      <c r="CM37" s="299"/>
      <c r="CN37" s="299"/>
      <c r="CO37" s="299"/>
      <c r="CP37" s="299"/>
      <c r="CQ37" s="299"/>
      <c r="CR37" s="299"/>
      <c r="CS37" s="299"/>
      <c r="CT37" s="299"/>
      <c r="CU37" s="299"/>
      <c r="CV37" s="299"/>
      <c r="CW37" s="299"/>
      <c r="CX37" s="299"/>
      <c r="CY37" s="299"/>
      <c r="CZ37" s="299"/>
      <c r="DA37" s="299"/>
      <c r="DB37" s="299"/>
      <c r="DC37" s="299"/>
      <c r="DD37" s="299"/>
      <c r="DE37" s="299"/>
      <c r="DF37" s="299"/>
      <c r="DG37" s="299"/>
      <c r="DH37" s="299"/>
      <c r="DI37" s="299"/>
      <c r="DJ37" s="299"/>
      <c r="DK37" s="299"/>
      <c r="DL37" s="299"/>
      <c r="DM37" s="299"/>
      <c r="DN37" s="299"/>
      <c r="DO37" s="299"/>
      <c r="DP37" s="299"/>
      <c r="DQ37" s="299"/>
      <c r="DR37" s="299"/>
      <c r="DS37" s="299"/>
      <c r="DT37" s="299"/>
      <c r="DU37" s="299"/>
      <c r="DV37" s="299"/>
      <c r="DW37" s="299"/>
      <c r="DX37" s="299"/>
      <c r="DY37" s="299"/>
      <c r="DZ37" s="299"/>
      <c r="EA37" s="299"/>
      <c r="EB37" s="299"/>
      <c r="EC37" s="299"/>
      <c r="ED37" s="299"/>
      <c r="EE37" s="299"/>
      <c r="EF37" s="299"/>
      <c r="EG37" s="299"/>
      <c r="EH37" s="299"/>
      <c r="EI37" s="158" t="s">
        <v>243</v>
      </c>
    </row>
    <row r="38" spans="1:139" s="217" customFormat="1" x14ac:dyDescent="0.2">
      <c r="B38" s="258" t="s">
        <v>78</v>
      </c>
      <c r="C38" s="209"/>
      <c r="D38" s="308">
        <f>SUMIF($F$4:$EH$4,"&lt;="&amp;HoldPeriod,$F38:$EH38)</f>
        <v>1679358.0692899821</v>
      </c>
      <c r="E38" s="309">
        <f>Financials!AL16</f>
        <v>24995.436666666661</v>
      </c>
      <c r="F38" s="217">
        <v>0</v>
      </c>
      <c r="G38" s="217">
        <f>IF(G$4&gt;HoldPeriod+12,0,'Ops Assumptions'!U28)</f>
        <v>25995.254133333328</v>
      </c>
      <c r="H38" s="217">
        <f>IF(H$4&gt;HoldPeriod+12,0,'Ops Assumptions'!V28)</f>
        <v>25995.254133333328</v>
      </c>
      <c r="I38" s="217">
        <f>IF(I$4&gt;HoldPeriod+12,0,'Ops Assumptions'!W28)</f>
        <v>25995.254133333328</v>
      </c>
      <c r="J38" s="217">
        <f>IF(J$4&gt;HoldPeriod+12,0,'Ops Assumptions'!X28)</f>
        <v>25995.254133333328</v>
      </c>
      <c r="K38" s="217">
        <f>IF(K$4&gt;HoldPeriod+12,0,'Ops Assumptions'!Y28)</f>
        <v>25995.254133333328</v>
      </c>
      <c r="L38" s="217">
        <f>IF(L$4&gt;HoldPeriod+12,0,'Ops Assumptions'!Z28)</f>
        <v>25995.254133333328</v>
      </c>
      <c r="M38" s="217">
        <f>IF(M$4&gt;HoldPeriod+12,0,'Ops Assumptions'!AA28)</f>
        <v>25995.254133333328</v>
      </c>
      <c r="N38" s="217">
        <f>IF(N$4&gt;HoldPeriod+12,0,'Ops Assumptions'!AB28)</f>
        <v>25995.254133333328</v>
      </c>
      <c r="O38" s="217">
        <f>IF(O$4&gt;HoldPeriod+12,0,'Ops Assumptions'!AC28)</f>
        <v>25995.254133333328</v>
      </c>
      <c r="P38" s="217">
        <f>IF(P$4&gt;HoldPeriod+12,0,'Ops Assumptions'!AD28)</f>
        <v>25995.254133333328</v>
      </c>
      <c r="Q38" s="217">
        <f>IF(Q$4&gt;HoldPeriod+12,0,'Ops Assumptions'!AE28)</f>
        <v>25995.254133333328</v>
      </c>
      <c r="R38" s="217">
        <f>IF(R$4&gt;HoldPeriod+12,0,'Ops Assumptions'!AF28)</f>
        <v>25995.254133333328</v>
      </c>
      <c r="S38" s="217">
        <f>IF(S$4&gt;HoldPeriod+12,0,'Ops Assumptions'!AG28)</f>
        <v>27035.064298666661</v>
      </c>
      <c r="T38" s="217">
        <f>IF(T$4&gt;HoldPeriod+12,0,'Ops Assumptions'!AH28)</f>
        <v>27035.064298666661</v>
      </c>
      <c r="U38" s="217">
        <f>IF(U$4&gt;HoldPeriod+12,0,'Ops Assumptions'!AI28)</f>
        <v>27035.064298666661</v>
      </c>
      <c r="V38" s="217">
        <f>IF(V$4&gt;HoldPeriod+12,0,'Ops Assumptions'!AJ28)</f>
        <v>27035.064298666661</v>
      </c>
      <c r="W38" s="217">
        <f>IF(W$4&gt;HoldPeriod+12,0,'Ops Assumptions'!AK28)</f>
        <v>27035.064298666661</v>
      </c>
      <c r="X38" s="217">
        <f>IF(X$4&gt;HoldPeriod+12,0,'Ops Assumptions'!AL28)</f>
        <v>27035.064298666661</v>
      </c>
      <c r="Y38" s="217">
        <f>IF(Y$4&gt;HoldPeriod+12,0,'Ops Assumptions'!AM28)</f>
        <v>27035.064298666661</v>
      </c>
      <c r="Z38" s="217">
        <f>IF(Z$4&gt;HoldPeriod+12,0,'Ops Assumptions'!AN28)</f>
        <v>27035.064298666661</v>
      </c>
      <c r="AA38" s="217">
        <f>IF(AA$4&gt;HoldPeriod+12,0,'Ops Assumptions'!AO28)</f>
        <v>27035.064298666661</v>
      </c>
      <c r="AB38" s="217">
        <f>IF(AB$4&gt;HoldPeriod+12,0,'Ops Assumptions'!AP28)</f>
        <v>27035.064298666661</v>
      </c>
      <c r="AC38" s="217">
        <f>IF(AC$4&gt;HoldPeriod+12,0,'Ops Assumptions'!AQ28)</f>
        <v>27035.064298666661</v>
      </c>
      <c r="AD38" s="217">
        <f>IF(AD$4&gt;HoldPeriod+12,0,'Ops Assumptions'!AR28)</f>
        <v>27035.064298666661</v>
      </c>
      <c r="AE38" s="217">
        <f>IF(AE$4&gt;HoldPeriod+12,0,'Ops Assumptions'!AS28)</f>
        <v>27981.291549119993</v>
      </c>
      <c r="AF38" s="217">
        <f>IF(AF$4&gt;HoldPeriod+12,0,'Ops Assumptions'!AT28)</f>
        <v>27981.291549119993</v>
      </c>
      <c r="AG38" s="217">
        <f>IF(AG$4&gt;HoldPeriod+12,0,'Ops Assumptions'!AU28)</f>
        <v>27981.291549119993</v>
      </c>
      <c r="AH38" s="217">
        <f>IF(AH$4&gt;HoldPeriod+12,0,'Ops Assumptions'!AV28)</f>
        <v>27981.291549119993</v>
      </c>
      <c r="AI38" s="217">
        <f>IF(AI$4&gt;HoldPeriod+12,0,'Ops Assumptions'!AW28)</f>
        <v>27981.291549119993</v>
      </c>
      <c r="AJ38" s="217">
        <f>IF(AJ$4&gt;HoldPeriod+12,0,'Ops Assumptions'!AX28)</f>
        <v>27981.291549119993</v>
      </c>
      <c r="AK38" s="217">
        <f>IF(AK$4&gt;HoldPeriod+12,0,'Ops Assumptions'!AY28)</f>
        <v>27981.291549119993</v>
      </c>
      <c r="AL38" s="217">
        <f>IF(AL$4&gt;HoldPeriod+12,0,'Ops Assumptions'!AZ28)</f>
        <v>27981.291549119993</v>
      </c>
      <c r="AM38" s="217">
        <f>IF(AM$4&gt;HoldPeriod+12,0,'Ops Assumptions'!BA28)</f>
        <v>27981.291549119993</v>
      </c>
      <c r="AN38" s="217">
        <f>IF(AN$4&gt;HoldPeriod+12,0,'Ops Assumptions'!BB28)</f>
        <v>27981.291549119993</v>
      </c>
      <c r="AO38" s="217">
        <f>IF(AO$4&gt;HoldPeriod+12,0,'Ops Assumptions'!BC28)</f>
        <v>27981.291549119993</v>
      </c>
      <c r="AP38" s="217">
        <f>IF(AP$4&gt;HoldPeriod+12,0,'Ops Assumptions'!BD28)</f>
        <v>27981.291549119993</v>
      </c>
      <c r="AQ38" s="217">
        <f>IF(AQ$4&gt;HoldPeriod+12,0,'Ops Assumptions'!BE28)</f>
        <v>28960.636753339189</v>
      </c>
      <c r="AR38" s="217">
        <f>IF(AR$4&gt;HoldPeriod+12,0,'Ops Assumptions'!BF28)</f>
        <v>28960.636753339189</v>
      </c>
      <c r="AS38" s="217">
        <f>IF(AS$4&gt;HoldPeriod+12,0,'Ops Assumptions'!BG28)</f>
        <v>28960.636753339189</v>
      </c>
      <c r="AT38" s="217">
        <f>IF(AT$4&gt;HoldPeriod+12,0,'Ops Assumptions'!BH28)</f>
        <v>28960.636753339189</v>
      </c>
      <c r="AU38" s="217">
        <f>IF(AU$4&gt;HoldPeriod+12,0,'Ops Assumptions'!BI28)</f>
        <v>28960.636753339189</v>
      </c>
      <c r="AV38" s="217">
        <f>IF(AV$4&gt;HoldPeriod+12,0,'Ops Assumptions'!BJ28)</f>
        <v>28960.636753339189</v>
      </c>
      <c r="AW38" s="217">
        <f>IF(AW$4&gt;HoldPeriod+12,0,'Ops Assumptions'!BK28)</f>
        <v>28960.636753339189</v>
      </c>
      <c r="AX38" s="217">
        <f>IF(AX$4&gt;HoldPeriod+12,0,'Ops Assumptions'!BL28)</f>
        <v>28960.636753339189</v>
      </c>
      <c r="AY38" s="217">
        <f>IF(AY$4&gt;HoldPeriod+12,0,'Ops Assumptions'!BM28)</f>
        <v>28960.636753339189</v>
      </c>
      <c r="AZ38" s="217">
        <f>IF(AZ$4&gt;HoldPeriod+12,0,'Ops Assumptions'!BN28)</f>
        <v>28960.636753339189</v>
      </c>
      <c r="BA38" s="217">
        <f>IF(BA$4&gt;HoldPeriod+12,0,'Ops Assumptions'!BO28)</f>
        <v>28960.636753339189</v>
      </c>
      <c r="BB38" s="217">
        <f>IF(BB$4&gt;HoldPeriod+12,0,'Ops Assumptions'!BP28)</f>
        <v>28960.636753339189</v>
      </c>
      <c r="BC38" s="217">
        <f>IF(BC$4&gt;HoldPeriod+12,0,'Ops Assumptions'!BQ28)</f>
        <v>29974.259039706059</v>
      </c>
      <c r="BD38" s="217">
        <f>IF(BD$4&gt;HoldPeriod+12,0,'Ops Assumptions'!BR28)</f>
        <v>29974.259039706059</v>
      </c>
      <c r="BE38" s="217">
        <f>IF(BE$4&gt;HoldPeriod+12,0,'Ops Assumptions'!BS28)</f>
        <v>29974.259039706059</v>
      </c>
      <c r="BF38" s="217">
        <f>IF(BF$4&gt;HoldPeriod+12,0,'Ops Assumptions'!BT28)</f>
        <v>29974.259039706059</v>
      </c>
      <c r="BG38" s="217">
        <f>IF(BG$4&gt;HoldPeriod+12,0,'Ops Assumptions'!BU28)</f>
        <v>29974.259039706059</v>
      </c>
      <c r="BH38" s="217">
        <f>IF(BH$4&gt;HoldPeriod+12,0,'Ops Assumptions'!BV28)</f>
        <v>29974.259039706059</v>
      </c>
      <c r="BI38" s="217">
        <f>IF(BI$4&gt;HoldPeriod+12,0,'Ops Assumptions'!BW28)</f>
        <v>29974.259039706059</v>
      </c>
      <c r="BJ38" s="217">
        <f>IF(BJ$4&gt;HoldPeriod+12,0,'Ops Assumptions'!BX28)</f>
        <v>29974.259039706059</v>
      </c>
      <c r="BK38" s="217">
        <f>IF(BK$4&gt;HoldPeriod+12,0,'Ops Assumptions'!BY28)</f>
        <v>29974.259039706059</v>
      </c>
      <c r="BL38" s="217">
        <f>IF(BL$4&gt;HoldPeriod+12,0,'Ops Assumptions'!BZ28)</f>
        <v>29974.259039706059</v>
      </c>
      <c r="BM38" s="217">
        <f>IF(BM$4&gt;HoldPeriod+12,0,'Ops Assumptions'!CA28)</f>
        <v>29974.259039706059</v>
      </c>
      <c r="BN38" s="217">
        <f>IF(BN$4&gt;HoldPeriod+12,0,'Ops Assumptions'!CB28)</f>
        <v>29974.259039706059</v>
      </c>
      <c r="BO38" s="217">
        <f>IF(BO$4&gt;HoldPeriod+12,0,'Ops Assumptions'!CC28)</f>
        <v>31023.358106095769</v>
      </c>
      <c r="BP38" s="217">
        <f>IF(BP$4&gt;HoldPeriod+12,0,'Ops Assumptions'!CD28)</f>
        <v>31023.358106095769</v>
      </c>
      <c r="BQ38" s="217">
        <f>IF(BQ$4&gt;HoldPeriod+12,0,'Ops Assumptions'!CE28)</f>
        <v>31023.358106095769</v>
      </c>
      <c r="BR38" s="217">
        <f>IF(BR$4&gt;HoldPeriod+12,0,'Ops Assumptions'!CF28)</f>
        <v>31023.358106095769</v>
      </c>
      <c r="BS38" s="217">
        <f>IF(BS$4&gt;HoldPeriod+12,0,'Ops Assumptions'!CG28)</f>
        <v>31023.358106095769</v>
      </c>
      <c r="BT38" s="217">
        <f>IF(BT$4&gt;HoldPeriod+12,0,'Ops Assumptions'!CH28)</f>
        <v>31023.358106095769</v>
      </c>
      <c r="BU38" s="217">
        <f>IF(BU$4&gt;HoldPeriod+12,0,'Ops Assumptions'!CI28)</f>
        <v>31023.358106095769</v>
      </c>
      <c r="BV38" s="217">
        <f>IF(BV$4&gt;HoldPeriod+12,0,'Ops Assumptions'!CJ28)</f>
        <v>31023.358106095769</v>
      </c>
      <c r="BW38" s="217">
        <f>IF(BW$4&gt;HoldPeriod+12,0,'Ops Assumptions'!CK28)</f>
        <v>31023.358106095769</v>
      </c>
      <c r="BX38" s="217">
        <f>IF(BX$4&gt;HoldPeriod+12,0,'Ops Assumptions'!CL28)</f>
        <v>31023.358106095769</v>
      </c>
      <c r="BY38" s="217">
        <f>IF(BY$4&gt;HoldPeriod+12,0,'Ops Assumptions'!CM28)</f>
        <v>31023.358106095769</v>
      </c>
      <c r="BZ38" s="217">
        <f>IF(BZ$4&gt;HoldPeriod+12,0,'Ops Assumptions'!CN28)</f>
        <v>31023.358106095769</v>
      </c>
      <c r="CA38" s="217">
        <f>IF(CA$4&gt;HoldPeriod+12,0,'Ops Assumptions'!CO28)</f>
        <v>0</v>
      </c>
      <c r="CB38" s="217">
        <f>IF(CB$4&gt;HoldPeriod+12,0,'Ops Assumptions'!CP28)</f>
        <v>0</v>
      </c>
      <c r="CC38" s="217">
        <f>IF(CC$4&gt;HoldPeriod+12,0,'Ops Assumptions'!CQ28)</f>
        <v>0</v>
      </c>
      <c r="CD38" s="217">
        <f>IF(CD$4&gt;HoldPeriod+12,0,'Ops Assumptions'!CR28)</f>
        <v>0</v>
      </c>
      <c r="CE38" s="217">
        <f>IF(CE$4&gt;HoldPeriod+12,0,'Ops Assumptions'!CS28)</f>
        <v>0</v>
      </c>
      <c r="CF38" s="217">
        <f>IF(CF$4&gt;HoldPeriod+12,0,'Ops Assumptions'!CT28)</f>
        <v>0</v>
      </c>
      <c r="CG38" s="217">
        <f>IF(CG$4&gt;HoldPeriod+12,0,'Ops Assumptions'!CU28)</f>
        <v>0</v>
      </c>
      <c r="CH38" s="217">
        <f>IF(CH$4&gt;HoldPeriod+12,0,'Ops Assumptions'!CV28)</f>
        <v>0</v>
      </c>
      <c r="CI38" s="217">
        <f>IF(CI$4&gt;HoldPeriod+12,0,'Ops Assumptions'!CW28)</f>
        <v>0</v>
      </c>
      <c r="CJ38" s="217">
        <f>IF(CJ$4&gt;HoldPeriod+12,0,'Ops Assumptions'!CX28)</f>
        <v>0</v>
      </c>
      <c r="CK38" s="217">
        <f>IF(CK$4&gt;HoldPeriod+12,0,'Ops Assumptions'!CY28)</f>
        <v>0</v>
      </c>
      <c r="CL38" s="217">
        <f>IF(CL$4&gt;HoldPeriod+12,0,'Ops Assumptions'!CZ28)</f>
        <v>0</v>
      </c>
      <c r="CM38" s="217">
        <f>IF(CM$4&gt;HoldPeriod+12,0,'Ops Assumptions'!DA28)</f>
        <v>0</v>
      </c>
      <c r="CN38" s="217">
        <f>IF(CN$4&gt;HoldPeriod+12,0,'Ops Assumptions'!DB28)</f>
        <v>0</v>
      </c>
      <c r="CO38" s="217">
        <f>IF(CO$4&gt;HoldPeriod+12,0,'Ops Assumptions'!DC28)</f>
        <v>0</v>
      </c>
      <c r="CP38" s="217">
        <f>IF(CP$4&gt;HoldPeriod+12,0,'Ops Assumptions'!DD28)</f>
        <v>0</v>
      </c>
      <c r="CQ38" s="217">
        <f>IF(CQ$4&gt;HoldPeriod+12,0,'Ops Assumptions'!DE28)</f>
        <v>0</v>
      </c>
      <c r="CR38" s="217">
        <f>IF(CR$4&gt;HoldPeriod+12,0,'Ops Assumptions'!DF28)</f>
        <v>0</v>
      </c>
      <c r="CS38" s="217">
        <f>IF(CS$4&gt;HoldPeriod+12,0,'Ops Assumptions'!DG28)</f>
        <v>0</v>
      </c>
      <c r="CT38" s="217">
        <f>IF(CT$4&gt;HoldPeriod+12,0,'Ops Assumptions'!DH28)</f>
        <v>0</v>
      </c>
      <c r="CU38" s="217">
        <f>IF(CU$4&gt;HoldPeriod+12,0,'Ops Assumptions'!DI28)</f>
        <v>0</v>
      </c>
      <c r="CV38" s="217">
        <f>IF(CV$4&gt;HoldPeriod+12,0,'Ops Assumptions'!DJ28)</f>
        <v>0</v>
      </c>
      <c r="CW38" s="217">
        <f>IF(CW$4&gt;HoldPeriod+12,0,'Ops Assumptions'!DK28)</f>
        <v>0</v>
      </c>
      <c r="CX38" s="217">
        <f>IF(CX$4&gt;HoldPeriod+12,0,'Ops Assumptions'!DL28)</f>
        <v>0</v>
      </c>
      <c r="CY38" s="217">
        <f>IF(CY$4&gt;HoldPeriod+12,0,'Ops Assumptions'!DM28)</f>
        <v>0</v>
      </c>
      <c r="CZ38" s="217">
        <f>IF(CZ$4&gt;HoldPeriod+12,0,'Ops Assumptions'!DN28)</f>
        <v>0</v>
      </c>
      <c r="DA38" s="217">
        <f>IF(DA$4&gt;HoldPeriod+12,0,'Ops Assumptions'!DO28)</f>
        <v>0</v>
      </c>
      <c r="DB38" s="217">
        <f>IF(DB$4&gt;HoldPeriod+12,0,'Ops Assumptions'!DP28)</f>
        <v>0</v>
      </c>
      <c r="DC38" s="217">
        <f>IF(DC$4&gt;HoldPeriod+12,0,'Ops Assumptions'!DQ28)</f>
        <v>0</v>
      </c>
      <c r="DD38" s="217">
        <f>IF(DD$4&gt;HoldPeriod+12,0,'Ops Assumptions'!DR28)</f>
        <v>0</v>
      </c>
      <c r="DE38" s="217">
        <f>IF(DE$4&gt;HoldPeriod+12,0,'Ops Assumptions'!DS28)</f>
        <v>0</v>
      </c>
      <c r="DF38" s="217">
        <f>IF(DF$4&gt;HoldPeriod+12,0,'Ops Assumptions'!DT28)</f>
        <v>0</v>
      </c>
      <c r="DG38" s="217">
        <f>IF(DG$4&gt;HoldPeriod+12,0,'Ops Assumptions'!DU28)</f>
        <v>0</v>
      </c>
      <c r="DH38" s="217">
        <f>IF(DH$4&gt;HoldPeriod+12,0,'Ops Assumptions'!DV28)</f>
        <v>0</v>
      </c>
      <c r="DI38" s="217">
        <f>IF(DI$4&gt;HoldPeriod+12,0,'Ops Assumptions'!DW28)</f>
        <v>0</v>
      </c>
      <c r="DJ38" s="217">
        <f>IF(DJ$4&gt;HoldPeriod+12,0,'Ops Assumptions'!DX28)</f>
        <v>0</v>
      </c>
      <c r="DK38" s="217">
        <f>IF(DK$4&gt;HoldPeriod+12,0,'Ops Assumptions'!DY28)</f>
        <v>0</v>
      </c>
      <c r="DL38" s="217">
        <f>IF(DL$4&gt;HoldPeriod+12,0,'Ops Assumptions'!DZ28)</f>
        <v>0</v>
      </c>
      <c r="DM38" s="217">
        <f>IF(DM$4&gt;HoldPeriod+12,0,'Ops Assumptions'!EA28)</f>
        <v>0</v>
      </c>
      <c r="DN38" s="217">
        <f>IF(DN$4&gt;HoldPeriod+12,0,'Ops Assumptions'!EB28)</f>
        <v>0</v>
      </c>
      <c r="DO38" s="217">
        <f>IF(DO$4&gt;HoldPeriod+12,0,'Ops Assumptions'!EC28)</f>
        <v>0</v>
      </c>
      <c r="DP38" s="217">
        <f>IF(DP$4&gt;HoldPeriod+12,0,'Ops Assumptions'!ED28)</f>
        <v>0</v>
      </c>
      <c r="DQ38" s="217">
        <f>IF(DQ$4&gt;HoldPeriod+12,0,'Ops Assumptions'!EE28)</f>
        <v>0</v>
      </c>
      <c r="DR38" s="217">
        <f>IF(DR$4&gt;HoldPeriod+12,0,'Ops Assumptions'!EF28)</f>
        <v>0</v>
      </c>
      <c r="DS38" s="217">
        <f>IF(DS$4&gt;HoldPeriod+12,0,'Ops Assumptions'!EG28)</f>
        <v>0</v>
      </c>
      <c r="DT38" s="217">
        <f>IF(DT$4&gt;HoldPeriod+12,0,'Ops Assumptions'!EH28)</f>
        <v>0</v>
      </c>
      <c r="DU38" s="217">
        <f>IF(DU$4&gt;HoldPeriod+12,0,'Ops Assumptions'!EI28)</f>
        <v>0</v>
      </c>
      <c r="DV38" s="217">
        <f>IF(DV$4&gt;HoldPeriod+12,0,'Ops Assumptions'!EJ28)</f>
        <v>0</v>
      </c>
      <c r="DW38" s="217">
        <f>IF(DW$4&gt;HoldPeriod+12,0,'Ops Assumptions'!EK28)</f>
        <v>0</v>
      </c>
      <c r="DX38" s="217">
        <f>IF(DX$4&gt;HoldPeriod+12,0,'Ops Assumptions'!EL28)</f>
        <v>0</v>
      </c>
      <c r="DY38" s="217">
        <f>IF(DY$4&gt;HoldPeriod+12,0,'Ops Assumptions'!EM28)</f>
        <v>0</v>
      </c>
      <c r="DZ38" s="217">
        <f>IF(DZ$4&gt;HoldPeriod+12,0,'Ops Assumptions'!EN28)</f>
        <v>0</v>
      </c>
      <c r="EA38" s="217">
        <f>IF(EA$4&gt;HoldPeriod+12,0,'Ops Assumptions'!EO28)</f>
        <v>0</v>
      </c>
      <c r="EB38" s="217">
        <f>IF(EB$4&gt;HoldPeriod+12,0,'Ops Assumptions'!EP28)</f>
        <v>0</v>
      </c>
      <c r="EC38" s="217">
        <f>IF(EC$4&gt;HoldPeriod+12,0,'Ops Assumptions'!EQ28)</f>
        <v>0</v>
      </c>
      <c r="ED38" s="217">
        <f>IF(ED$4&gt;HoldPeriod+12,0,'Ops Assumptions'!ER28)</f>
        <v>0</v>
      </c>
      <c r="EE38" s="217">
        <f>IF(EE$4&gt;HoldPeriod+12,0,'Ops Assumptions'!ES28)</f>
        <v>0</v>
      </c>
      <c r="EF38" s="217">
        <f>IF(EF$4&gt;HoldPeriod+12,0,'Ops Assumptions'!ET28)</f>
        <v>0</v>
      </c>
      <c r="EG38" s="217">
        <f>IF(EG$4&gt;HoldPeriod+12,0,'Ops Assumptions'!EU28)</f>
        <v>0</v>
      </c>
      <c r="EH38" s="217">
        <f>IF(EH$4&gt;HoldPeriod+12,0,'Ops Assumptions'!EV28)</f>
        <v>0</v>
      </c>
      <c r="EI38" s="158" t="s">
        <v>243</v>
      </c>
    </row>
    <row r="39" spans="1:139" s="314" customFormat="1" x14ac:dyDescent="0.2">
      <c r="B39" s="258" t="s">
        <v>154</v>
      </c>
      <c r="C39" s="209"/>
      <c r="D39" s="308">
        <f>SUMIF($F$4:$EH$4,"&lt;="&amp;HoldPeriod,$F39:$EH39)</f>
        <v>653189.31144149427</v>
      </c>
      <c r="E39" s="309">
        <f>Financials!AL17</f>
        <v>9859.1166666666668</v>
      </c>
      <c r="F39" s="314">
        <v>0</v>
      </c>
      <c r="G39" s="314">
        <f>IF(G$4&gt;HoldPeriod+12,0,G50*-INDEX('Ops Assumptions'!$K$34:$K$44,MATCH('Monthly Pro Forma'!G$5,'Ops Assumptions'!$B$34:$B$44,0)))</f>
        <v>10252.599399999999</v>
      </c>
      <c r="H39" s="314">
        <f>IF(H$4&gt;HoldPeriod+12,0,H50*-INDEX('Ops Assumptions'!$K$34:$K$44,MATCH('Monthly Pro Forma'!H$5,'Ops Assumptions'!$B$34:$B$44,0)))</f>
        <v>10252.599399999999</v>
      </c>
      <c r="I39" s="314">
        <f>IF(I$4&gt;HoldPeriod+12,0,I50*-INDEX('Ops Assumptions'!$K$34:$K$44,MATCH('Monthly Pro Forma'!I$5,'Ops Assumptions'!$B$34:$B$44,0)))</f>
        <v>10252.599399999999</v>
      </c>
      <c r="J39" s="314">
        <f>IF(J$4&gt;HoldPeriod+12,0,J50*-INDEX('Ops Assumptions'!$K$34:$K$44,MATCH('Monthly Pro Forma'!J$5,'Ops Assumptions'!$B$34:$B$44,0)))</f>
        <v>10252.599399999999</v>
      </c>
      <c r="K39" s="314">
        <f>IF(K$4&gt;HoldPeriod+12,0,K50*-INDEX('Ops Assumptions'!$K$34:$K$44,MATCH('Monthly Pro Forma'!K$5,'Ops Assumptions'!$B$34:$B$44,0)))</f>
        <v>10252.599399999999</v>
      </c>
      <c r="L39" s="314">
        <f>IF(L$4&gt;HoldPeriod+12,0,L50*-INDEX('Ops Assumptions'!$K$34:$K$44,MATCH('Monthly Pro Forma'!L$5,'Ops Assumptions'!$B$34:$B$44,0)))</f>
        <v>10252.599399999999</v>
      </c>
      <c r="M39" s="314">
        <f>IF(M$4&gt;HoldPeriod+12,0,M50*-INDEX('Ops Assumptions'!$K$34:$K$44,MATCH('Monthly Pro Forma'!M$5,'Ops Assumptions'!$B$34:$B$44,0)))</f>
        <v>10252.599399999999</v>
      </c>
      <c r="N39" s="314">
        <f>IF(N$4&gt;HoldPeriod+12,0,N50*-INDEX('Ops Assumptions'!$K$34:$K$44,MATCH('Monthly Pro Forma'!N$5,'Ops Assumptions'!$B$34:$B$44,0)))</f>
        <v>10252.599399999999</v>
      </c>
      <c r="O39" s="314">
        <f>IF(O$4&gt;HoldPeriod+12,0,O50*-INDEX('Ops Assumptions'!$K$34:$K$44,MATCH('Monthly Pro Forma'!O$5,'Ops Assumptions'!$B$34:$B$44,0)))</f>
        <v>10252.599399999999</v>
      </c>
      <c r="P39" s="314">
        <f>IF(P$4&gt;HoldPeriod+12,0,P50*-INDEX('Ops Assumptions'!$K$34:$K$44,MATCH('Monthly Pro Forma'!P$5,'Ops Assumptions'!$B$34:$B$44,0)))</f>
        <v>10252.599399999999</v>
      </c>
      <c r="Q39" s="314">
        <f>IF(Q$4&gt;HoldPeriod+12,0,Q50*-INDEX('Ops Assumptions'!$K$34:$K$44,MATCH('Monthly Pro Forma'!Q$5,'Ops Assumptions'!$B$34:$B$44,0)))</f>
        <v>10252.599399999999</v>
      </c>
      <c r="R39" s="314">
        <f>IF(R$4&gt;HoldPeriod+12,0,R50*-INDEX('Ops Assumptions'!$K$34:$K$44,MATCH('Monthly Pro Forma'!R$5,'Ops Assumptions'!$B$34:$B$44,0)))</f>
        <v>10252.599399999999</v>
      </c>
      <c r="S39" s="314">
        <f>IF(S$4&gt;HoldPeriod+12,0,S50*-INDEX('Ops Assumptions'!$K$34:$K$44,MATCH('Monthly Pro Forma'!S$5,'Ops Assumptions'!$B$34:$B$44,0)))</f>
        <v>10560.177382</v>
      </c>
      <c r="T39" s="314">
        <f>IF(T$4&gt;HoldPeriod+12,0,T50*-INDEX('Ops Assumptions'!$K$34:$K$44,MATCH('Monthly Pro Forma'!T$5,'Ops Assumptions'!$B$34:$B$44,0)))</f>
        <v>10560.177382</v>
      </c>
      <c r="U39" s="314">
        <f>IF(U$4&gt;HoldPeriod+12,0,U50*-INDEX('Ops Assumptions'!$K$34:$K$44,MATCH('Monthly Pro Forma'!U$5,'Ops Assumptions'!$B$34:$B$44,0)))</f>
        <v>10560.177382</v>
      </c>
      <c r="V39" s="314">
        <f>IF(V$4&gt;HoldPeriod+12,0,V50*-INDEX('Ops Assumptions'!$K$34:$K$44,MATCH('Monthly Pro Forma'!V$5,'Ops Assumptions'!$B$34:$B$44,0)))</f>
        <v>10560.177382</v>
      </c>
      <c r="W39" s="314">
        <f>IF(W$4&gt;HoldPeriod+12,0,W50*-INDEX('Ops Assumptions'!$K$34:$K$44,MATCH('Monthly Pro Forma'!W$5,'Ops Assumptions'!$B$34:$B$44,0)))</f>
        <v>10560.177382</v>
      </c>
      <c r="X39" s="314">
        <f>IF(X$4&gt;HoldPeriod+12,0,X50*-INDEX('Ops Assumptions'!$K$34:$K$44,MATCH('Monthly Pro Forma'!X$5,'Ops Assumptions'!$B$34:$B$44,0)))</f>
        <v>10560.177382</v>
      </c>
      <c r="Y39" s="314">
        <f>IF(Y$4&gt;HoldPeriod+12,0,Y50*-INDEX('Ops Assumptions'!$K$34:$K$44,MATCH('Monthly Pro Forma'!Y$5,'Ops Assumptions'!$B$34:$B$44,0)))</f>
        <v>10560.177382</v>
      </c>
      <c r="Z39" s="314">
        <f>IF(Z$4&gt;HoldPeriod+12,0,Z50*-INDEX('Ops Assumptions'!$K$34:$K$44,MATCH('Monthly Pro Forma'!Z$5,'Ops Assumptions'!$B$34:$B$44,0)))</f>
        <v>10560.177382</v>
      </c>
      <c r="AA39" s="314">
        <f>IF(AA$4&gt;HoldPeriod+12,0,AA50*-INDEX('Ops Assumptions'!$K$34:$K$44,MATCH('Monthly Pro Forma'!AA$5,'Ops Assumptions'!$B$34:$B$44,0)))</f>
        <v>10560.177382</v>
      </c>
      <c r="AB39" s="314">
        <f>IF(AB$4&gt;HoldPeriod+12,0,AB50*-INDEX('Ops Assumptions'!$K$34:$K$44,MATCH('Monthly Pro Forma'!AB$5,'Ops Assumptions'!$B$34:$B$44,0)))</f>
        <v>10560.177382</v>
      </c>
      <c r="AC39" s="314">
        <f>IF(AC$4&gt;HoldPeriod+12,0,AC50*-INDEX('Ops Assumptions'!$K$34:$K$44,MATCH('Monthly Pro Forma'!AC$5,'Ops Assumptions'!$B$34:$B$44,0)))</f>
        <v>10560.177382</v>
      </c>
      <c r="AD39" s="314">
        <f>IF(AD$4&gt;HoldPeriod+12,0,AD50*-INDEX('Ops Assumptions'!$K$34:$K$44,MATCH('Monthly Pro Forma'!AD$5,'Ops Assumptions'!$B$34:$B$44,0)))</f>
        <v>10560.177382</v>
      </c>
      <c r="AE39" s="314">
        <f>IF(AE$4&gt;HoldPeriod+12,0,AE50*-INDEX('Ops Assumptions'!$K$34:$K$44,MATCH('Monthly Pro Forma'!AE$5,'Ops Assumptions'!$B$34:$B$44,0)))</f>
        <v>10876.98270346</v>
      </c>
      <c r="AF39" s="314">
        <f>IF(AF$4&gt;HoldPeriod+12,0,AF50*-INDEX('Ops Assumptions'!$K$34:$K$44,MATCH('Monthly Pro Forma'!AF$5,'Ops Assumptions'!$B$34:$B$44,0)))</f>
        <v>10876.98270346</v>
      </c>
      <c r="AG39" s="314">
        <f>IF(AG$4&gt;HoldPeriod+12,0,AG50*-INDEX('Ops Assumptions'!$K$34:$K$44,MATCH('Monthly Pro Forma'!AG$5,'Ops Assumptions'!$B$34:$B$44,0)))</f>
        <v>10876.98270346</v>
      </c>
      <c r="AH39" s="314">
        <f>IF(AH$4&gt;HoldPeriod+12,0,AH50*-INDEX('Ops Assumptions'!$K$34:$K$44,MATCH('Monthly Pro Forma'!AH$5,'Ops Assumptions'!$B$34:$B$44,0)))</f>
        <v>10876.98270346</v>
      </c>
      <c r="AI39" s="314">
        <f>IF(AI$4&gt;HoldPeriod+12,0,AI50*-INDEX('Ops Assumptions'!$K$34:$K$44,MATCH('Monthly Pro Forma'!AI$5,'Ops Assumptions'!$B$34:$B$44,0)))</f>
        <v>10876.98270346</v>
      </c>
      <c r="AJ39" s="314">
        <f>IF(AJ$4&gt;HoldPeriod+12,0,AJ50*-INDEX('Ops Assumptions'!$K$34:$K$44,MATCH('Monthly Pro Forma'!AJ$5,'Ops Assumptions'!$B$34:$B$44,0)))</f>
        <v>10876.98270346</v>
      </c>
      <c r="AK39" s="314">
        <f>IF(AK$4&gt;HoldPeriod+12,0,AK50*-INDEX('Ops Assumptions'!$K$34:$K$44,MATCH('Monthly Pro Forma'!AK$5,'Ops Assumptions'!$B$34:$B$44,0)))</f>
        <v>10876.98270346</v>
      </c>
      <c r="AL39" s="314">
        <f>IF(AL$4&gt;HoldPeriod+12,0,AL50*-INDEX('Ops Assumptions'!$K$34:$K$44,MATCH('Monthly Pro Forma'!AL$5,'Ops Assumptions'!$B$34:$B$44,0)))</f>
        <v>10876.98270346</v>
      </c>
      <c r="AM39" s="314">
        <f>IF(AM$4&gt;HoldPeriod+12,0,AM50*-INDEX('Ops Assumptions'!$K$34:$K$44,MATCH('Monthly Pro Forma'!AM$5,'Ops Assumptions'!$B$34:$B$44,0)))</f>
        <v>10876.98270346</v>
      </c>
      <c r="AN39" s="314">
        <f>IF(AN$4&gt;HoldPeriod+12,0,AN50*-INDEX('Ops Assumptions'!$K$34:$K$44,MATCH('Monthly Pro Forma'!AN$5,'Ops Assumptions'!$B$34:$B$44,0)))</f>
        <v>10876.98270346</v>
      </c>
      <c r="AO39" s="314">
        <f>IF(AO$4&gt;HoldPeriod+12,0,AO50*-INDEX('Ops Assumptions'!$K$34:$K$44,MATCH('Monthly Pro Forma'!AO$5,'Ops Assumptions'!$B$34:$B$44,0)))</f>
        <v>10876.98270346</v>
      </c>
      <c r="AP39" s="314">
        <f>IF(AP$4&gt;HoldPeriod+12,0,AP50*-INDEX('Ops Assumptions'!$K$34:$K$44,MATCH('Monthly Pro Forma'!AP$5,'Ops Assumptions'!$B$34:$B$44,0)))</f>
        <v>10876.98270346</v>
      </c>
      <c r="AQ39" s="314">
        <f>IF(AQ$4&gt;HoldPeriod+12,0,AQ50*-INDEX('Ops Assumptions'!$K$34:$K$44,MATCH('Monthly Pro Forma'!AQ$5,'Ops Assumptions'!$B$34:$B$44,0)))</f>
        <v>11203.292184563799</v>
      </c>
      <c r="AR39" s="314">
        <f>IF(AR$4&gt;HoldPeriod+12,0,AR50*-INDEX('Ops Assumptions'!$K$34:$K$44,MATCH('Monthly Pro Forma'!AR$5,'Ops Assumptions'!$B$34:$B$44,0)))</f>
        <v>11203.292184563799</v>
      </c>
      <c r="AS39" s="314">
        <f>IF(AS$4&gt;HoldPeriod+12,0,AS50*-INDEX('Ops Assumptions'!$K$34:$K$44,MATCH('Monthly Pro Forma'!AS$5,'Ops Assumptions'!$B$34:$B$44,0)))</f>
        <v>11203.292184563799</v>
      </c>
      <c r="AT39" s="314">
        <f>IF(AT$4&gt;HoldPeriod+12,0,AT50*-INDEX('Ops Assumptions'!$K$34:$K$44,MATCH('Monthly Pro Forma'!AT$5,'Ops Assumptions'!$B$34:$B$44,0)))</f>
        <v>11203.292184563799</v>
      </c>
      <c r="AU39" s="314">
        <f>IF(AU$4&gt;HoldPeriod+12,0,AU50*-INDEX('Ops Assumptions'!$K$34:$K$44,MATCH('Monthly Pro Forma'!AU$5,'Ops Assumptions'!$B$34:$B$44,0)))</f>
        <v>11203.292184563799</v>
      </c>
      <c r="AV39" s="314">
        <f>IF(AV$4&gt;HoldPeriod+12,0,AV50*-INDEX('Ops Assumptions'!$K$34:$K$44,MATCH('Monthly Pro Forma'!AV$5,'Ops Assumptions'!$B$34:$B$44,0)))</f>
        <v>11203.292184563799</v>
      </c>
      <c r="AW39" s="314">
        <f>IF(AW$4&gt;HoldPeriod+12,0,AW50*-INDEX('Ops Assumptions'!$K$34:$K$44,MATCH('Monthly Pro Forma'!AW$5,'Ops Assumptions'!$B$34:$B$44,0)))</f>
        <v>11203.292184563799</v>
      </c>
      <c r="AX39" s="314">
        <f>IF(AX$4&gt;HoldPeriod+12,0,AX50*-INDEX('Ops Assumptions'!$K$34:$K$44,MATCH('Monthly Pro Forma'!AX$5,'Ops Assumptions'!$B$34:$B$44,0)))</f>
        <v>11203.292184563799</v>
      </c>
      <c r="AY39" s="314">
        <f>IF(AY$4&gt;HoldPeriod+12,0,AY50*-INDEX('Ops Assumptions'!$K$34:$K$44,MATCH('Monthly Pro Forma'!AY$5,'Ops Assumptions'!$B$34:$B$44,0)))</f>
        <v>11203.292184563799</v>
      </c>
      <c r="AZ39" s="314">
        <f>IF(AZ$4&gt;HoldPeriod+12,0,AZ50*-INDEX('Ops Assumptions'!$K$34:$K$44,MATCH('Monthly Pro Forma'!AZ$5,'Ops Assumptions'!$B$34:$B$44,0)))</f>
        <v>11203.292184563799</v>
      </c>
      <c r="BA39" s="314">
        <f>IF(BA$4&gt;HoldPeriod+12,0,BA50*-INDEX('Ops Assumptions'!$K$34:$K$44,MATCH('Monthly Pro Forma'!BA$5,'Ops Assumptions'!$B$34:$B$44,0)))</f>
        <v>11203.292184563799</v>
      </c>
      <c r="BB39" s="314">
        <f>IF(BB$4&gt;HoldPeriod+12,0,BB50*-INDEX('Ops Assumptions'!$K$34:$K$44,MATCH('Monthly Pro Forma'!BB$5,'Ops Assumptions'!$B$34:$B$44,0)))</f>
        <v>11203.292184563799</v>
      </c>
      <c r="BC39" s="314">
        <f>IF(BC$4&gt;HoldPeriod+12,0,BC50*-INDEX('Ops Assumptions'!$K$34:$K$44,MATCH('Monthly Pro Forma'!BC$5,'Ops Assumptions'!$B$34:$B$44,0)))</f>
        <v>11539.390950100715</v>
      </c>
      <c r="BD39" s="314">
        <f>IF(BD$4&gt;HoldPeriod+12,0,BD50*-INDEX('Ops Assumptions'!$K$34:$K$44,MATCH('Monthly Pro Forma'!BD$5,'Ops Assumptions'!$B$34:$B$44,0)))</f>
        <v>11539.390950100715</v>
      </c>
      <c r="BE39" s="314">
        <f>IF(BE$4&gt;HoldPeriod+12,0,BE50*-INDEX('Ops Assumptions'!$K$34:$K$44,MATCH('Monthly Pro Forma'!BE$5,'Ops Assumptions'!$B$34:$B$44,0)))</f>
        <v>11539.390950100715</v>
      </c>
      <c r="BF39" s="314">
        <f>IF(BF$4&gt;HoldPeriod+12,0,BF50*-INDEX('Ops Assumptions'!$K$34:$K$44,MATCH('Monthly Pro Forma'!BF$5,'Ops Assumptions'!$B$34:$B$44,0)))</f>
        <v>11539.390950100715</v>
      </c>
      <c r="BG39" s="314">
        <f>IF(BG$4&gt;HoldPeriod+12,0,BG50*-INDEX('Ops Assumptions'!$K$34:$K$44,MATCH('Monthly Pro Forma'!BG$5,'Ops Assumptions'!$B$34:$B$44,0)))</f>
        <v>11539.390950100715</v>
      </c>
      <c r="BH39" s="314">
        <f>IF(BH$4&gt;HoldPeriod+12,0,BH50*-INDEX('Ops Assumptions'!$K$34:$K$44,MATCH('Monthly Pro Forma'!BH$5,'Ops Assumptions'!$B$34:$B$44,0)))</f>
        <v>11539.390950100715</v>
      </c>
      <c r="BI39" s="314">
        <f>IF(BI$4&gt;HoldPeriod+12,0,BI50*-INDEX('Ops Assumptions'!$K$34:$K$44,MATCH('Monthly Pro Forma'!BI$5,'Ops Assumptions'!$B$34:$B$44,0)))</f>
        <v>11539.390950100715</v>
      </c>
      <c r="BJ39" s="314">
        <f>IF(BJ$4&gt;HoldPeriod+12,0,BJ50*-INDEX('Ops Assumptions'!$K$34:$K$44,MATCH('Monthly Pro Forma'!BJ$5,'Ops Assumptions'!$B$34:$B$44,0)))</f>
        <v>11539.390950100715</v>
      </c>
      <c r="BK39" s="314">
        <f>IF(BK$4&gt;HoldPeriod+12,0,BK50*-INDEX('Ops Assumptions'!$K$34:$K$44,MATCH('Monthly Pro Forma'!BK$5,'Ops Assumptions'!$B$34:$B$44,0)))</f>
        <v>11539.390950100715</v>
      </c>
      <c r="BL39" s="314">
        <f>IF(BL$4&gt;HoldPeriod+12,0,BL50*-INDEX('Ops Assumptions'!$K$34:$K$44,MATCH('Monthly Pro Forma'!BL$5,'Ops Assumptions'!$B$34:$B$44,0)))</f>
        <v>11539.390950100715</v>
      </c>
      <c r="BM39" s="314">
        <f>IF(BM$4&gt;HoldPeriod+12,0,BM50*-INDEX('Ops Assumptions'!$K$34:$K$44,MATCH('Monthly Pro Forma'!BM$5,'Ops Assumptions'!$B$34:$B$44,0)))</f>
        <v>11539.390950100715</v>
      </c>
      <c r="BN39" s="314">
        <f>IF(BN$4&gt;HoldPeriod+12,0,BN50*-INDEX('Ops Assumptions'!$K$34:$K$44,MATCH('Monthly Pro Forma'!BN$5,'Ops Assumptions'!$B$34:$B$44,0)))</f>
        <v>11539.390950100715</v>
      </c>
      <c r="BO39" s="314">
        <f>IF(BO$4&gt;HoldPeriod+12,0,BO50*-INDEX('Ops Assumptions'!$K$34:$K$44,MATCH('Monthly Pro Forma'!BO$5,'Ops Assumptions'!$B$34:$B$44,0)))</f>
        <v>11885.572678603736</v>
      </c>
      <c r="BP39" s="314">
        <f>IF(BP$4&gt;HoldPeriod+12,0,BP50*-INDEX('Ops Assumptions'!$K$34:$K$44,MATCH('Monthly Pro Forma'!BP$5,'Ops Assumptions'!$B$34:$B$44,0)))</f>
        <v>11885.572678603736</v>
      </c>
      <c r="BQ39" s="314">
        <f>IF(BQ$4&gt;HoldPeriod+12,0,BQ50*-INDEX('Ops Assumptions'!$K$34:$K$44,MATCH('Monthly Pro Forma'!BQ$5,'Ops Assumptions'!$B$34:$B$44,0)))</f>
        <v>11885.572678603736</v>
      </c>
      <c r="BR39" s="314">
        <f>IF(BR$4&gt;HoldPeriod+12,0,BR50*-INDEX('Ops Assumptions'!$K$34:$K$44,MATCH('Monthly Pro Forma'!BR$5,'Ops Assumptions'!$B$34:$B$44,0)))</f>
        <v>11885.572678603736</v>
      </c>
      <c r="BS39" s="314">
        <f>IF(BS$4&gt;HoldPeriod+12,0,BS50*-INDEX('Ops Assumptions'!$K$34:$K$44,MATCH('Monthly Pro Forma'!BS$5,'Ops Assumptions'!$B$34:$B$44,0)))</f>
        <v>11885.572678603736</v>
      </c>
      <c r="BT39" s="314">
        <f>IF(BT$4&gt;HoldPeriod+12,0,BT50*-INDEX('Ops Assumptions'!$K$34:$K$44,MATCH('Monthly Pro Forma'!BT$5,'Ops Assumptions'!$B$34:$B$44,0)))</f>
        <v>11885.572678603736</v>
      </c>
      <c r="BU39" s="314">
        <f>IF(BU$4&gt;HoldPeriod+12,0,BU50*-INDEX('Ops Assumptions'!$K$34:$K$44,MATCH('Monthly Pro Forma'!BU$5,'Ops Assumptions'!$B$34:$B$44,0)))</f>
        <v>11885.572678603736</v>
      </c>
      <c r="BV39" s="314">
        <f>IF(BV$4&gt;HoldPeriod+12,0,BV50*-INDEX('Ops Assumptions'!$K$34:$K$44,MATCH('Monthly Pro Forma'!BV$5,'Ops Assumptions'!$B$34:$B$44,0)))</f>
        <v>11885.572678603736</v>
      </c>
      <c r="BW39" s="314">
        <f>IF(BW$4&gt;HoldPeriod+12,0,BW50*-INDEX('Ops Assumptions'!$K$34:$K$44,MATCH('Monthly Pro Forma'!BW$5,'Ops Assumptions'!$B$34:$B$44,0)))</f>
        <v>11885.572678603736</v>
      </c>
      <c r="BX39" s="314">
        <f>IF(BX$4&gt;HoldPeriod+12,0,BX50*-INDEX('Ops Assumptions'!$K$34:$K$44,MATCH('Monthly Pro Forma'!BX$5,'Ops Assumptions'!$B$34:$B$44,0)))</f>
        <v>11885.572678603736</v>
      </c>
      <c r="BY39" s="314">
        <f>IF(BY$4&gt;HoldPeriod+12,0,BY50*-INDEX('Ops Assumptions'!$K$34:$K$44,MATCH('Monthly Pro Forma'!BY$5,'Ops Assumptions'!$B$34:$B$44,0)))</f>
        <v>11885.572678603736</v>
      </c>
      <c r="BZ39" s="314">
        <f>IF(BZ$4&gt;HoldPeriod+12,0,BZ50*-INDEX('Ops Assumptions'!$K$34:$K$44,MATCH('Monthly Pro Forma'!BZ$5,'Ops Assumptions'!$B$34:$B$44,0)))</f>
        <v>11885.572678603736</v>
      </c>
      <c r="CA39" s="314">
        <f>IF(CA$4&gt;HoldPeriod+12,0,CA50*-INDEX('Ops Assumptions'!$K$34:$K$44,MATCH('Monthly Pro Forma'!CA$5,'Ops Assumptions'!$B$34:$B$44,0)))</f>
        <v>0</v>
      </c>
      <c r="CB39" s="314">
        <f>IF(CB$4&gt;HoldPeriod+12,0,CB50*-INDEX('Ops Assumptions'!$K$34:$K$44,MATCH('Monthly Pro Forma'!CB$5,'Ops Assumptions'!$B$34:$B$44,0)))</f>
        <v>0</v>
      </c>
      <c r="CC39" s="314">
        <f>IF(CC$4&gt;HoldPeriod+12,0,CC50*-INDEX('Ops Assumptions'!$K$34:$K$44,MATCH('Monthly Pro Forma'!CC$5,'Ops Assumptions'!$B$34:$B$44,0)))</f>
        <v>0</v>
      </c>
      <c r="CD39" s="314">
        <f>IF(CD$4&gt;HoldPeriod+12,0,CD50*-INDEX('Ops Assumptions'!$K$34:$K$44,MATCH('Monthly Pro Forma'!CD$5,'Ops Assumptions'!$B$34:$B$44,0)))</f>
        <v>0</v>
      </c>
      <c r="CE39" s="314">
        <f>IF(CE$4&gt;HoldPeriod+12,0,CE50*-INDEX('Ops Assumptions'!$K$34:$K$44,MATCH('Monthly Pro Forma'!CE$5,'Ops Assumptions'!$B$34:$B$44,0)))</f>
        <v>0</v>
      </c>
      <c r="CF39" s="314">
        <f>IF(CF$4&gt;HoldPeriod+12,0,CF50*-INDEX('Ops Assumptions'!$K$34:$K$44,MATCH('Monthly Pro Forma'!CF$5,'Ops Assumptions'!$B$34:$B$44,0)))</f>
        <v>0</v>
      </c>
      <c r="CG39" s="314">
        <f>IF(CG$4&gt;HoldPeriod+12,0,CG50*-INDEX('Ops Assumptions'!$K$34:$K$44,MATCH('Monthly Pro Forma'!CG$5,'Ops Assumptions'!$B$34:$B$44,0)))</f>
        <v>0</v>
      </c>
      <c r="CH39" s="314">
        <f>IF(CH$4&gt;HoldPeriod+12,0,CH50*-INDEX('Ops Assumptions'!$K$34:$K$44,MATCH('Monthly Pro Forma'!CH$5,'Ops Assumptions'!$B$34:$B$44,0)))</f>
        <v>0</v>
      </c>
      <c r="CI39" s="314">
        <f>IF(CI$4&gt;HoldPeriod+12,0,CI50*-INDEX('Ops Assumptions'!$K$34:$K$44,MATCH('Monthly Pro Forma'!CI$5,'Ops Assumptions'!$B$34:$B$44,0)))</f>
        <v>0</v>
      </c>
      <c r="CJ39" s="314">
        <f>IF(CJ$4&gt;HoldPeriod+12,0,CJ50*-INDEX('Ops Assumptions'!$K$34:$K$44,MATCH('Monthly Pro Forma'!CJ$5,'Ops Assumptions'!$B$34:$B$44,0)))</f>
        <v>0</v>
      </c>
      <c r="CK39" s="314">
        <f>IF(CK$4&gt;HoldPeriod+12,0,CK50*-INDEX('Ops Assumptions'!$K$34:$K$44,MATCH('Monthly Pro Forma'!CK$5,'Ops Assumptions'!$B$34:$B$44,0)))</f>
        <v>0</v>
      </c>
      <c r="CL39" s="314">
        <f>IF(CL$4&gt;HoldPeriod+12,0,CL50*-INDEX('Ops Assumptions'!$K$34:$K$44,MATCH('Monthly Pro Forma'!CL$5,'Ops Assumptions'!$B$34:$B$44,0)))</f>
        <v>0</v>
      </c>
      <c r="CM39" s="314">
        <f>IF(CM$4&gt;HoldPeriod+12,0,CM50*-INDEX('Ops Assumptions'!$K$34:$K$44,MATCH('Monthly Pro Forma'!CM$5,'Ops Assumptions'!$B$34:$B$44,0)))</f>
        <v>0</v>
      </c>
      <c r="CN39" s="314">
        <f>IF(CN$4&gt;HoldPeriod+12,0,CN50*-INDEX('Ops Assumptions'!$K$34:$K$44,MATCH('Monthly Pro Forma'!CN$5,'Ops Assumptions'!$B$34:$B$44,0)))</f>
        <v>0</v>
      </c>
      <c r="CO39" s="314">
        <f>IF(CO$4&gt;HoldPeriod+12,0,CO50*-INDEX('Ops Assumptions'!$K$34:$K$44,MATCH('Monthly Pro Forma'!CO$5,'Ops Assumptions'!$B$34:$B$44,0)))</f>
        <v>0</v>
      </c>
      <c r="CP39" s="314">
        <f>IF(CP$4&gt;HoldPeriod+12,0,CP50*-INDEX('Ops Assumptions'!$K$34:$K$44,MATCH('Monthly Pro Forma'!CP$5,'Ops Assumptions'!$B$34:$B$44,0)))</f>
        <v>0</v>
      </c>
      <c r="CQ39" s="314">
        <f>IF(CQ$4&gt;HoldPeriod+12,0,CQ50*-INDEX('Ops Assumptions'!$K$34:$K$44,MATCH('Monthly Pro Forma'!CQ$5,'Ops Assumptions'!$B$34:$B$44,0)))</f>
        <v>0</v>
      </c>
      <c r="CR39" s="314">
        <f>IF(CR$4&gt;HoldPeriod+12,0,CR50*-INDEX('Ops Assumptions'!$K$34:$K$44,MATCH('Monthly Pro Forma'!CR$5,'Ops Assumptions'!$B$34:$B$44,0)))</f>
        <v>0</v>
      </c>
      <c r="CS39" s="314">
        <f>IF(CS$4&gt;HoldPeriod+12,0,CS50*-INDEX('Ops Assumptions'!$K$34:$K$44,MATCH('Monthly Pro Forma'!CS$5,'Ops Assumptions'!$B$34:$B$44,0)))</f>
        <v>0</v>
      </c>
      <c r="CT39" s="314">
        <f>IF(CT$4&gt;HoldPeriod+12,0,CT50*-INDEX('Ops Assumptions'!$K$34:$K$44,MATCH('Monthly Pro Forma'!CT$5,'Ops Assumptions'!$B$34:$B$44,0)))</f>
        <v>0</v>
      </c>
      <c r="CU39" s="314">
        <f>IF(CU$4&gt;HoldPeriod+12,0,CU50*-INDEX('Ops Assumptions'!$K$34:$K$44,MATCH('Monthly Pro Forma'!CU$5,'Ops Assumptions'!$B$34:$B$44,0)))</f>
        <v>0</v>
      </c>
      <c r="CV39" s="314">
        <f>IF(CV$4&gt;HoldPeriod+12,0,CV50*-INDEX('Ops Assumptions'!$K$34:$K$44,MATCH('Monthly Pro Forma'!CV$5,'Ops Assumptions'!$B$34:$B$44,0)))</f>
        <v>0</v>
      </c>
      <c r="CW39" s="314">
        <f>IF(CW$4&gt;HoldPeriod+12,0,CW50*-INDEX('Ops Assumptions'!$K$34:$K$44,MATCH('Monthly Pro Forma'!CW$5,'Ops Assumptions'!$B$34:$B$44,0)))</f>
        <v>0</v>
      </c>
      <c r="CX39" s="314">
        <f>IF(CX$4&gt;HoldPeriod+12,0,CX50*-INDEX('Ops Assumptions'!$K$34:$K$44,MATCH('Monthly Pro Forma'!CX$5,'Ops Assumptions'!$B$34:$B$44,0)))</f>
        <v>0</v>
      </c>
      <c r="CY39" s="314">
        <f>IF(CY$4&gt;HoldPeriod+12,0,CY50*-INDEX('Ops Assumptions'!$K$34:$K$44,MATCH('Monthly Pro Forma'!CY$5,'Ops Assumptions'!$B$34:$B$44,0)))</f>
        <v>0</v>
      </c>
      <c r="CZ39" s="314">
        <f>IF(CZ$4&gt;HoldPeriod+12,0,CZ50*-INDEX('Ops Assumptions'!$K$34:$K$44,MATCH('Monthly Pro Forma'!CZ$5,'Ops Assumptions'!$B$34:$B$44,0)))</f>
        <v>0</v>
      </c>
      <c r="DA39" s="314">
        <f>IF(DA$4&gt;HoldPeriod+12,0,DA50*-INDEX('Ops Assumptions'!$K$34:$K$44,MATCH('Monthly Pro Forma'!DA$5,'Ops Assumptions'!$B$34:$B$44,0)))</f>
        <v>0</v>
      </c>
      <c r="DB39" s="314">
        <f>IF(DB$4&gt;HoldPeriod+12,0,DB50*-INDEX('Ops Assumptions'!$K$34:$K$44,MATCH('Monthly Pro Forma'!DB$5,'Ops Assumptions'!$B$34:$B$44,0)))</f>
        <v>0</v>
      </c>
      <c r="DC39" s="314">
        <f>IF(DC$4&gt;HoldPeriod+12,0,DC50*-INDEX('Ops Assumptions'!$K$34:$K$44,MATCH('Monthly Pro Forma'!DC$5,'Ops Assumptions'!$B$34:$B$44,0)))</f>
        <v>0</v>
      </c>
      <c r="DD39" s="314">
        <f>IF(DD$4&gt;HoldPeriod+12,0,DD50*-INDEX('Ops Assumptions'!$K$34:$K$44,MATCH('Monthly Pro Forma'!DD$5,'Ops Assumptions'!$B$34:$B$44,0)))</f>
        <v>0</v>
      </c>
      <c r="DE39" s="314">
        <f>IF(DE$4&gt;HoldPeriod+12,0,DE50*-INDEX('Ops Assumptions'!$K$34:$K$44,MATCH('Monthly Pro Forma'!DE$5,'Ops Assumptions'!$B$34:$B$44,0)))</f>
        <v>0</v>
      </c>
      <c r="DF39" s="314">
        <f>IF(DF$4&gt;HoldPeriod+12,0,DF50*-INDEX('Ops Assumptions'!$K$34:$K$44,MATCH('Monthly Pro Forma'!DF$5,'Ops Assumptions'!$B$34:$B$44,0)))</f>
        <v>0</v>
      </c>
      <c r="DG39" s="314">
        <f>IF(DG$4&gt;HoldPeriod+12,0,DG50*-INDEX('Ops Assumptions'!$K$34:$K$44,MATCH('Monthly Pro Forma'!DG$5,'Ops Assumptions'!$B$34:$B$44,0)))</f>
        <v>0</v>
      </c>
      <c r="DH39" s="314">
        <f>IF(DH$4&gt;HoldPeriod+12,0,DH50*-INDEX('Ops Assumptions'!$K$34:$K$44,MATCH('Monthly Pro Forma'!DH$5,'Ops Assumptions'!$B$34:$B$44,0)))</f>
        <v>0</v>
      </c>
      <c r="DI39" s="314">
        <f>IF(DI$4&gt;HoldPeriod+12,0,DI50*-INDEX('Ops Assumptions'!$K$34:$K$44,MATCH('Monthly Pro Forma'!DI$5,'Ops Assumptions'!$B$34:$B$44,0)))</f>
        <v>0</v>
      </c>
      <c r="DJ39" s="314">
        <f>IF(DJ$4&gt;HoldPeriod+12,0,DJ50*-INDEX('Ops Assumptions'!$K$34:$K$44,MATCH('Monthly Pro Forma'!DJ$5,'Ops Assumptions'!$B$34:$B$44,0)))</f>
        <v>0</v>
      </c>
      <c r="DK39" s="314">
        <f>IF(DK$4&gt;HoldPeriod+12,0,DK50*-INDEX('Ops Assumptions'!$K$34:$K$44,MATCH('Monthly Pro Forma'!DK$5,'Ops Assumptions'!$B$34:$B$44,0)))</f>
        <v>0</v>
      </c>
      <c r="DL39" s="314">
        <f>IF(DL$4&gt;HoldPeriod+12,0,DL50*-INDEX('Ops Assumptions'!$K$34:$K$44,MATCH('Monthly Pro Forma'!DL$5,'Ops Assumptions'!$B$34:$B$44,0)))</f>
        <v>0</v>
      </c>
      <c r="DM39" s="314">
        <f>IF(DM$4&gt;HoldPeriod+12,0,DM50*-INDEX('Ops Assumptions'!$K$34:$K$44,MATCH('Monthly Pro Forma'!DM$5,'Ops Assumptions'!$B$34:$B$44,0)))</f>
        <v>0</v>
      </c>
      <c r="DN39" s="314">
        <f>IF(DN$4&gt;HoldPeriod+12,0,DN50*-INDEX('Ops Assumptions'!$K$34:$K$44,MATCH('Monthly Pro Forma'!DN$5,'Ops Assumptions'!$B$34:$B$44,0)))</f>
        <v>0</v>
      </c>
      <c r="DO39" s="314">
        <f>IF(DO$4&gt;HoldPeriod+12,0,DO50*-INDEX('Ops Assumptions'!$K$34:$K$44,MATCH('Monthly Pro Forma'!DO$5,'Ops Assumptions'!$B$34:$B$44,0)))</f>
        <v>0</v>
      </c>
      <c r="DP39" s="314">
        <f>IF(DP$4&gt;HoldPeriod+12,0,DP50*-INDEX('Ops Assumptions'!$K$34:$K$44,MATCH('Monthly Pro Forma'!DP$5,'Ops Assumptions'!$B$34:$B$44,0)))</f>
        <v>0</v>
      </c>
      <c r="DQ39" s="314">
        <f>IF(DQ$4&gt;HoldPeriod+12,0,DQ50*-INDEX('Ops Assumptions'!$K$34:$K$44,MATCH('Monthly Pro Forma'!DQ$5,'Ops Assumptions'!$B$34:$B$44,0)))</f>
        <v>0</v>
      </c>
      <c r="DR39" s="314">
        <f>IF(DR$4&gt;HoldPeriod+12,0,DR50*-INDEX('Ops Assumptions'!$K$34:$K$44,MATCH('Monthly Pro Forma'!DR$5,'Ops Assumptions'!$B$34:$B$44,0)))</f>
        <v>0</v>
      </c>
      <c r="DS39" s="314">
        <f>IF(DS$4&gt;HoldPeriod+12,0,DS50*-INDEX('Ops Assumptions'!$K$34:$K$44,MATCH('Monthly Pro Forma'!DS$5,'Ops Assumptions'!$B$34:$B$44,0)))</f>
        <v>0</v>
      </c>
      <c r="DT39" s="314">
        <f>IF(DT$4&gt;HoldPeriod+12,0,DT50*-INDEX('Ops Assumptions'!$K$34:$K$44,MATCH('Monthly Pro Forma'!DT$5,'Ops Assumptions'!$B$34:$B$44,0)))</f>
        <v>0</v>
      </c>
      <c r="DU39" s="314">
        <f>IF(DU$4&gt;HoldPeriod+12,0,DU50*-INDEX('Ops Assumptions'!$K$34:$K$44,MATCH('Monthly Pro Forma'!DU$5,'Ops Assumptions'!$B$34:$B$44,0)))</f>
        <v>0</v>
      </c>
      <c r="DV39" s="314">
        <f>IF(DV$4&gt;HoldPeriod+12,0,DV50*-INDEX('Ops Assumptions'!$K$34:$K$44,MATCH('Monthly Pro Forma'!DV$5,'Ops Assumptions'!$B$34:$B$44,0)))</f>
        <v>0</v>
      </c>
      <c r="DW39" s="314">
        <f>IF(DW$4&gt;HoldPeriod+12,0,DW50*-INDEX('Ops Assumptions'!$K$34:$K$44,MATCH('Monthly Pro Forma'!DW$5,'Ops Assumptions'!$B$34:$B$44,0)))</f>
        <v>0</v>
      </c>
      <c r="DX39" s="314">
        <f>IF(DX$4&gt;HoldPeriod+12,0,DX50*-INDEX('Ops Assumptions'!$K$34:$K$44,MATCH('Monthly Pro Forma'!DX$5,'Ops Assumptions'!$B$34:$B$44,0)))</f>
        <v>0</v>
      </c>
      <c r="DY39" s="314">
        <f>IF(DY$4&gt;HoldPeriod+12,0,DY50*-INDEX('Ops Assumptions'!$K$34:$K$44,MATCH('Monthly Pro Forma'!DY$5,'Ops Assumptions'!$B$34:$B$44,0)))</f>
        <v>0</v>
      </c>
      <c r="DZ39" s="314">
        <f>IF(DZ$4&gt;HoldPeriod+12,0,DZ50*-INDEX('Ops Assumptions'!$K$34:$K$44,MATCH('Monthly Pro Forma'!DZ$5,'Ops Assumptions'!$B$34:$B$44,0)))</f>
        <v>0</v>
      </c>
      <c r="EA39" s="314">
        <f>IF(EA$4&gt;HoldPeriod+12,0,EA50*-INDEX('Ops Assumptions'!$K$34:$K$44,MATCH('Monthly Pro Forma'!EA$5,'Ops Assumptions'!$B$34:$B$44,0)))</f>
        <v>0</v>
      </c>
      <c r="EB39" s="314">
        <f>IF(EB$4&gt;HoldPeriod+12,0,EB50*-INDEX('Ops Assumptions'!$K$34:$K$44,MATCH('Monthly Pro Forma'!EB$5,'Ops Assumptions'!$B$34:$B$44,0)))</f>
        <v>0</v>
      </c>
      <c r="EC39" s="314">
        <f>IF(EC$4&gt;HoldPeriod+12,0,EC50*-INDEX('Ops Assumptions'!$K$34:$K$44,MATCH('Monthly Pro Forma'!EC$5,'Ops Assumptions'!$B$34:$B$44,0)))</f>
        <v>0</v>
      </c>
      <c r="ED39" s="314">
        <f>IF(ED$4&gt;HoldPeriod+12,0,ED50*-INDEX('Ops Assumptions'!$K$34:$K$44,MATCH('Monthly Pro Forma'!ED$5,'Ops Assumptions'!$B$34:$B$44,0)))</f>
        <v>0</v>
      </c>
      <c r="EE39" s="314">
        <f>IF(EE$4&gt;HoldPeriod+12,0,EE50*-INDEX('Ops Assumptions'!$K$34:$K$44,MATCH('Monthly Pro Forma'!EE$5,'Ops Assumptions'!$B$34:$B$44,0)))</f>
        <v>0</v>
      </c>
      <c r="EF39" s="314">
        <f>IF(EF$4&gt;HoldPeriod+12,0,EF50*-INDEX('Ops Assumptions'!$K$34:$K$44,MATCH('Monthly Pro Forma'!EF$5,'Ops Assumptions'!$B$34:$B$44,0)))</f>
        <v>0</v>
      </c>
      <c r="EG39" s="314">
        <f>IF(EG$4&gt;HoldPeriod+12,0,EG50*-INDEX('Ops Assumptions'!$K$34:$K$44,MATCH('Monthly Pro Forma'!EG$5,'Ops Assumptions'!$B$34:$B$44,0)))</f>
        <v>0</v>
      </c>
      <c r="EH39" s="314">
        <f>IF(EH$4&gt;HoldPeriod+12,0,EH50*-INDEX('Ops Assumptions'!$K$34:$K$44,MATCH('Monthly Pro Forma'!EH$5,'Ops Assumptions'!$B$34:$B$44,0)))</f>
        <v>0</v>
      </c>
      <c r="EI39" s="158" t="s">
        <v>243</v>
      </c>
    </row>
    <row r="40" spans="1:139" s="312" customFormat="1" x14ac:dyDescent="0.2">
      <c r="A40" s="282"/>
      <c r="B40" s="261" t="s">
        <v>20</v>
      </c>
      <c r="C40" s="283"/>
      <c r="D40" s="310">
        <f>SUMIF($F$4:$EH$4,"&lt;="&amp;HoldPeriod,$F40:$EH40)</f>
        <v>2332547.3807314755</v>
      </c>
      <c r="E40" s="311">
        <f>SUM(E38:E39)</f>
        <v>34854.55333333333</v>
      </c>
      <c r="F40" s="264">
        <v>0</v>
      </c>
      <c r="G40" s="264">
        <f t="shared" ref="G40:AL40" si="60">IF(G4&gt;HoldPeriod+12,0,SUM(G38:G39))</f>
        <v>36247.853533333328</v>
      </c>
      <c r="H40" s="264">
        <f t="shared" si="60"/>
        <v>36247.853533333328</v>
      </c>
      <c r="I40" s="264">
        <f t="shared" si="60"/>
        <v>36247.853533333328</v>
      </c>
      <c r="J40" s="264">
        <f t="shared" si="60"/>
        <v>36247.853533333328</v>
      </c>
      <c r="K40" s="264">
        <f t="shared" si="60"/>
        <v>36247.853533333328</v>
      </c>
      <c r="L40" s="264">
        <f t="shared" si="60"/>
        <v>36247.853533333328</v>
      </c>
      <c r="M40" s="264">
        <f t="shared" si="60"/>
        <v>36247.853533333328</v>
      </c>
      <c r="N40" s="264">
        <f t="shared" si="60"/>
        <v>36247.853533333328</v>
      </c>
      <c r="O40" s="264">
        <f t="shared" si="60"/>
        <v>36247.853533333328</v>
      </c>
      <c r="P40" s="264">
        <f t="shared" si="60"/>
        <v>36247.853533333328</v>
      </c>
      <c r="Q40" s="264">
        <f t="shared" si="60"/>
        <v>36247.853533333328</v>
      </c>
      <c r="R40" s="264">
        <f t="shared" si="60"/>
        <v>36247.853533333328</v>
      </c>
      <c r="S40" s="264">
        <f t="shared" si="60"/>
        <v>37595.241680666659</v>
      </c>
      <c r="T40" s="264">
        <f t="shared" si="60"/>
        <v>37595.241680666659</v>
      </c>
      <c r="U40" s="264">
        <f t="shared" si="60"/>
        <v>37595.241680666659</v>
      </c>
      <c r="V40" s="264">
        <f t="shared" si="60"/>
        <v>37595.241680666659</v>
      </c>
      <c r="W40" s="264">
        <f t="shared" si="60"/>
        <v>37595.241680666659</v>
      </c>
      <c r="X40" s="264">
        <f t="shared" si="60"/>
        <v>37595.241680666659</v>
      </c>
      <c r="Y40" s="264">
        <f t="shared" si="60"/>
        <v>37595.241680666659</v>
      </c>
      <c r="Z40" s="264">
        <f t="shared" si="60"/>
        <v>37595.241680666659</v>
      </c>
      <c r="AA40" s="264">
        <f t="shared" si="60"/>
        <v>37595.241680666659</v>
      </c>
      <c r="AB40" s="264">
        <f t="shared" si="60"/>
        <v>37595.241680666659</v>
      </c>
      <c r="AC40" s="264">
        <f t="shared" si="60"/>
        <v>37595.241680666659</v>
      </c>
      <c r="AD40" s="264">
        <f t="shared" si="60"/>
        <v>37595.241680666659</v>
      </c>
      <c r="AE40" s="264">
        <f t="shared" si="60"/>
        <v>38858.274252579991</v>
      </c>
      <c r="AF40" s="264">
        <f t="shared" si="60"/>
        <v>38858.274252579991</v>
      </c>
      <c r="AG40" s="264">
        <f t="shared" si="60"/>
        <v>38858.274252579991</v>
      </c>
      <c r="AH40" s="264">
        <f t="shared" si="60"/>
        <v>38858.274252579991</v>
      </c>
      <c r="AI40" s="264">
        <f t="shared" si="60"/>
        <v>38858.274252579991</v>
      </c>
      <c r="AJ40" s="264">
        <f t="shared" si="60"/>
        <v>38858.274252579991</v>
      </c>
      <c r="AK40" s="264">
        <f t="shared" si="60"/>
        <v>38858.274252579991</v>
      </c>
      <c r="AL40" s="264">
        <f t="shared" si="60"/>
        <v>38858.274252579991</v>
      </c>
      <c r="AM40" s="264">
        <f t="shared" ref="AM40:BR40" si="61">IF(AM4&gt;HoldPeriod+12,0,SUM(AM38:AM39))</f>
        <v>38858.274252579991</v>
      </c>
      <c r="AN40" s="264">
        <f t="shared" si="61"/>
        <v>38858.274252579991</v>
      </c>
      <c r="AO40" s="264">
        <f t="shared" si="61"/>
        <v>38858.274252579991</v>
      </c>
      <c r="AP40" s="264">
        <f t="shared" si="61"/>
        <v>38858.274252579991</v>
      </c>
      <c r="AQ40" s="264">
        <f t="shared" si="61"/>
        <v>40163.928937902987</v>
      </c>
      <c r="AR40" s="264">
        <f t="shared" si="61"/>
        <v>40163.928937902987</v>
      </c>
      <c r="AS40" s="264">
        <f t="shared" si="61"/>
        <v>40163.928937902987</v>
      </c>
      <c r="AT40" s="264">
        <f t="shared" si="61"/>
        <v>40163.928937902987</v>
      </c>
      <c r="AU40" s="264">
        <f t="shared" si="61"/>
        <v>40163.928937902987</v>
      </c>
      <c r="AV40" s="264">
        <f t="shared" si="61"/>
        <v>40163.928937902987</v>
      </c>
      <c r="AW40" s="264">
        <f t="shared" si="61"/>
        <v>40163.928937902987</v>
      </c>
      <c r="AX40" s="264">
        <f t="shared" si="61"/>
        <v>40163.928937902987</v>
      </c>
      <c r="AY40" s="264">
        <f t="shared" si="61"/>
        <v>40163.928937902987</v>
      </c>
      <c r="AZ40" s="264">
        <f t="shared" si="61"/>
        <v>40163.928937902987</v>
      </c>
      <c r="BA40" s="264">
        <f t="shared" si="61"/>
        <v>40163.928937902987</v>
      </c>
      <c r="BB40" s="264">
        <f t="shared" si="61"/>
        <v>40163.928937902987</v>
      </c>
      <c r="BC40" s="264">
        <f t="shared" si="61"/>
        <v>41513.64998980677</v>
      </c>
      <c r="BD40" s="264">
        <f t="shared" si="61"/>
        <v>41513.64998980677</v>
      </c>
      <c r="BE40" s="264">
        <f t="shared" si="61"/>
        <v>41513.64998980677</v>
      </c>
      <c r="BF40" s="264">
        <f t="shared" si="61"/>
        <v>41513.64998980677</v>
      </c>
      <c r="BG40" s="264">
        <f t="shared" si="61"/>
        <v>41513.64998980677</v>
      </c>
      <c r="BH40" s="264">
        <f t="shared" si="61"/>
        <v>41513.64998980677</v>
      </c>
      <c r="BI40" s="264">
        <f t="shared" si="61"/>
        <v>41513.64998980677</v>
      </c>
      <c r="BJ40" s="264">
        <f t="shared" si="61"/>
        <v>41513.64998980677</v>
      </c>
      <c r="BK40" s="264">
        <f t="shared" si="61"/>
        <v>41513.64998980677</v>
      </c>
      <c r="BL40" s="264">
        <f t="shared" si="61"/>
        <v>41513.64998980677</v>
      </c>
      <c r="BM40" s="264">
        <f t="shared" si="61"/>
        <v>41513.64998980677</v>
      </c>
      <c r="BN40" s="264">
        <f t="shared" si="61"/>
        <v>41513.64998980677</v>
      </c>
      <c r="BO40" s="264">
        <f t="shared" si="61"/>
        <v>42908.930784699507</v>
      </c>
      <c r="BP40" s="264">
        <f t="shared" si="61"/>
        <v>42908.930784699507</v>
      </c>
      <c r="BQ40" s="264">
        <f t="shared" si="61"/>
        <v>42908.930784699507</v>
      </c>
      <c r="BR40" s="264">
        <f t="shared" si="61"/>
        <v>42908.930784699507</v>
      </c>
      <c r="BS40" s="264">
        <f t="shared" ref="BS40:CX40" si="62">IF(BS4&gt;HoldPeriod+12,0,SUM(BS38:BS39))</f>
        <v>42908.930784699507</v>
      </c>
      <c r="BT40" s="264">
        <f t="shared" si="62"/>
        <v>42908.930784699507</v>
      </c>
      <c r="BU40" s="264">
        <f t="shared" si="62"/>
        <v>42908.930784699507</v>
      </c>
      <c r="BV40" s="264">
        <f t="shared" si="62"/>
        <v>42908.930784699507</v>
      </c>
      <c r="BW40" s="264">
        <f t="shared" si="62"/>
        <v>42908.930784699507</v>
      </c>
      <c r="BX40" s="264">
        <f t="shared" si="62"/>
        <v>42908.930784699507</v>
      </c>
      <c r="BY40" s="264">
        <f t="shared" si="62"/>
        <v>42908.930784699507</v>
      </c>
      <c r="BZ40" s="264">
        <f t="shared" si="62"/>
        <v>42908.930784699507</v>
      </c>
      <c r="CA40" s="264">
        <f t="shared" si="62"/>
        <v>0</v>
      </c>
      <c r="CB40" s="264">
        <f t="shared" si="62"/>
        <v>0</v>
      </c>
      <c r="CC40" s="264">
        <f t="shared" si="62"/>
        <v>0</v>
      </c>
      <c r="CD40" s="264">
        <f t="shared" si="62"/>
        <v>0</v>
      </c>
      <c r="CE40" s="264">
        <f t="shared" si="62"/>
        <v>0</v>
      </c>
      <c r="CF40" s="264">
        <f t="shared" si="62"/>
        <v>0</v>
      </c>
      <c r="CG40" s="264">
        <f t="shared" si="62"/>
        <v>0</v>
      </c>
      <c r="CH40" s="264">
        <f t="shared" si="62"/>
        <v>0</v>
      </c>
      <c r="CI40" s="264">
        <f t="shared" si="62"/>
        <v>0</v>
      </c>
      <c r="CJ40" s="264">
        <f t="shared" si="62"/>
        <v>0</v>
      </c>
      <c r="CK40" s="264">
        <f t="shared" si="62"/>
        <v>0</v>
      </c>
      <c r="CL40" s="264">
        <f t="shared" si="62"/>
        <v>0</v>
      </c>
      <c r="CM40" s="264">
        <f t="shared" si="62"/>
        <v>0</v>
      </c>
      <c r="CN40" s="264">
        <f t="shared" si="62"/>
        <v>0</v>
      </c>
      <c r="CO40" s="264">
        <f t="shared" si="62"/>
        <v>0</v>
      </c>
      <c r="CP40" s="264">
        <f t="shared" si="62"/>
        <v>0</v>
      </c>
      <c r="CQ40" s="264">
        <f t="shared" si="62"/>
        <v>0</v>
      </c>
      <c r="CR40" s="264">
        <f t="shared" si="62"/>
        <v>0</v>
      </c>
      <c r="CS40" s="264">
        <f t="shared" si="62"/>
        <v>0</v>
      </c>
      <c r="CT40" s="264">
        <f t="shared" si="62"/>
        <v>0</v>
      </c>
      <c r="CU40" s="264">
        <f t="shared" si="62"/>
        <v>0</v>
      </c>
      <c r="CV40" s="264">
        <f t="shared" si="62"/>
        <v>0</v>
      </c>
      <c r="CW40" s="264">
        <f t="shared" si="62"/>
        <v>0</v>
      </c>
      <c r="CX40" s="264">
        <f t="shared" si="62"/>
        <v>0</v>
      </c>
      <c r="CY40" s="264">
        <f t="shared" ref="CY40:ED40" si="63">IF(CY4&gt;HoldPeriod+12,0,SUM(CY38:CY39))</f>
        <v>0</v>
      </c>
      <c r="CZ40" s="264">
        <f t="shared" si="63"/>
        <v>0</v>
      </c>
      <c r="DA40" s="264">
        <f t="shared" si="63"/>
        <v>0</v>
      </c>
      <c r="DB40" s="264">
        <f t="shared" si="63"/>
        <v>0</v>
      </c>
      <c r="DC40" s="264">
        <f t="shared" si="63"/>
        <v>0</v>
      </c>
      <c r="DD40" s="264">
        <f t="shared" si="63"/>
        <v>0</v>
      </c>
      <c r="DE40" s="264">
        <f t="shared" si="63"/>
        <v>0</v>
      </c>
      <c r="DF40" s="264">
        <f t="shared" si="63"/>
        <v>0</v>
      </c>
      <c r="DG40" s="264">
        <f t="shared" si="63"/>
        <v>0</v>
      </c>
      <c r="DH40" s="264">
        <f t="shared" si="63"/>
        <v>0</v>
      </c>
      <c r="DI40" s="264">
        <f t="shared" si="63"/>
        <v>0</v>
      </c>
      <c r="DJ40" s="264">
        <f t="shared" si="63"/>
        <v>0</v>
      </c>
      <c r="DK40" s="264">
        <f t="shared" si="63"/>
        <v>0</v>
      </c>
      <c r="DL40" s="264">
        <f t="shared" si="63"/>
        <v>0</v>
      </c>
      <c r="DM40" s="264">
        <f t="shared" si="63"/>
        <v>0</v>
      </c>
      <c r="DN40" s="264">
        <f t="shared" si="63"/>
        <v>0</v>
      </c>
      <c r="DO40" s="264">
        <f t="shared" si="63"/>
        <v>0</v>
      </c>
      <c r="DP40" s="264">
        <f t="shared" si="63"/>
        <v>0</v>
      </c>
      <c r="DQ40" s="264">
        <f t="shared" si="63"/>
        <v>0</v>
      </c>
      <c r="DR40" s="264">
        <f t="shared" si="63"/>
        <v>0</v>
      </c>
      <c r="DS40" s="264">
        <f t="shared" si="63"/>
        <v>0</v>
      </c>
      <c r="DT40" s="264">
        <f t="shared" si="63"/>
        <v>0</v>
      </c>
      <c r="DU40" s="264">
        <f t="shared" si="63"/>
        <v>0</v>
      </c>
      <c r="DV40" s="264">
        <f t="shared" si="63"/>
        <v>0</v>
      </c>
      <c r="DW40" s="264">
        <f t="shared" si="63"/>
        <v>0</v>
      </c>
      <c r="DX40" s="264">
        <f t="shared" si="63"/>
        <v>0</v>
      </c>
      <c r="DY40" s="264">
        <f t="shared" si="63"/>
        <v>0</v>
      </c>
      <c r="DZ40" s="264">
        <f t="shared" si="63"/>
        <v>0</v>
      </c>
      <c r="EA40" s="264">
        <f t="shared" si="63"/>
        <v>0</v>
      </c>
      <c r="EB40" s="264">
        <f t="shared" si="63"/>
        <v>0</v>
      </c>
      <c r="EC40" s="264">
        <f t="shared" si="63"/>
        <v>0</v>
      </c>
      <c r="ED40" s="264">
        <f t="shared" si="63"/>
        <v>0</v>
      </c>
      <c r="EE40" s="264">
        <f t="shared" ref="EE40:EH40" si="64">IF(EE4&gt;HoldPeriod+12,0,SUM(EE38:EE39))</f>
        <v>0</v>
      </c>
      <c r="EF40" s="264">
        <f t="shared" si="64"/>
        <v>0</v>
      </c>
      <c r="EG40" s="264">
        <f t="shared" si="64"/>
        <v>0</v>
      </c>
      <c r="EH40" s="264">
        <f t="shared" si="64"/>
        <v>0</v>
      </c>
      <c r="EI40" s="158" t="s">
        <v>243</v>
      </c>
    </row>
    <row r="41" spans="1:139" s="217" customFormat="1" x14ac:dyDescent="0.2">
      <c r="B41" s="209"/>
      <c r="C41" s="209"/>
      <c r="D41" s="308"/>
      <c r="E41" s="309"/>
      <c r="EI41" s="158" t="s">
        <v>243</v>
      </c>
    </row>
    <row r="42" spans="1:139" s="282" customFormat="1" x14ac:dyDescent="0.2">
      <c r="B42" s="218" t="s">
        <v>21</v>
      </c>
      <c r="C42" s="284"/>
      <c r="D42" s="315">
        <f ca="1">SUMIF($F$4:$EH$4,"&lt;="&amp;HoldPeriod,$F42:$EH42)</f>
        <v>25583669.107724968</v>
      </c>
      <c r="E42" s="315">
        <f>E40+E35</f>
        <v>317474.77333333332</v>
      </c>
      <c r="F42" s="219">
        <v>0</v>
      </c>
      <c r="G42" s="219">
        <f t="shared" ref="G42:AL42" ca="1" si="65">IF(G4&gt;HoldPeriod+12,0,G40+G35)</f>
        <v>334694.11724324606</v>
      </c>
      <c r="H42" s="219">
        <f t="shared" ca="1" si="65"/>
        <v>336570.87507163268</v>
      </c>
      <c r="I42" s="219">
        <f t="shared" ca="1" si="65"/>
        <v>338445.15031168942</v>
      </c>
      <c r="J42" s="219">
        <f t="shared" ca="1" si="65"/>
        <v>340316.94296341616</v>
      </c>
      <c r="K42" s="219">
        <f t="shared" ca="1" si="65"/>
        <v>342186.25302681292</v>
      </c>
      <c r="L42" s="219">
        <f t="shared" ca="1" si="65"/>
        <v>344053.08050187974</v>
      </c>
      <c r="M42" s="219">
        <f t="shared" ca="1" si="65"/>
        <v>345917.42538861651</v>
      </c>
      <c r="N42" s="219">
        <f t="shared" ca="1" si="65"/>
        <v>347779.2876870234</v>
      </c>
      <c r="O42" s="219">
        <f t="shared" ca="1" si="65"/>
        <v>349638.6673971003</v>
      </c>
      <c r="P42" s="219">
        <f t="shared" ca="1" si="65"/>
        <v>351495.56451884721</v>
      </c>
      <c r="Q42" s="219">
        <f t="shared" ca="1" si="65"/>
        <v>353349.97905226419</v>
      </c>
      <c r="R42" s="219">
        <f t="shared" ca="1" si="65"/>
        <v>355201.91099735111</v>
      </c>
      <c r="S42" s="219">
        <f t="shared" ca="1" si="65"/>
        <v>381688.69570610684</v>
      </c>
      <c r="T42" s="219">
        <f t="shared" ca="1" si="65"/>
        <v>384147.50361230935</v>
      </c>
      <c r="U42" s="219">
        <f t="shared" ca="1" si="65"/>
        <v>386601.65382994968</v>
      </c>
      <c r="V42" s="219">
        <f t="shared" ca="1" si="65"/>
        <v>389051.14635902783</v>
      </c>
      <c r="W42" s="219">
        <f t="shared" ca="1" si="65"/>
        <v>391495.98119954381</v>
      </c>
      <c r="X42" s="219">
        <f t="shared" ca="1" si="65"/>
        <v>393936.15835149749</v>
      </c>
      <c r="Y42" s="219">
        <f t="shared" ca="1" si="65"/>
        <v>396371.677814889</v>
      </c>
      <c r="Z42" s="219">
        <f t="shared" ca="1" si="65"/>
        <v>398802.53958971833</v>
      </c>
      <c r="AA42" s="219">
        <f t="shared" ca="1" si="65"/>
        <v>400921.24713494244</v>
      </c>
      <c r="AB42" s="219">
        <f t="shared" ca="1" si="65"/>
        <v>403035.87920267473</v>
      </c>
      <c r="AC42" s="219">
        <f t="shared" ca="1" si="65"/>
        <v>405146.43579291494</v>
      </c>
      <c r="AD42" s="219">
        <f t="shared" ca="1" si="65"/>
        <v>407252.91690566333</v>
      </c>
      <c r="AE42" s="219">
        <f t="shared" ca="1" si="65"/>
        <v>433513.62074825476</v>
      </c>
      <c r="AF42" s="219">
        <f t="shared" ca="1" si="65"/>
        <v>435790.763848292</v>
      </c>
      <c r="AG42" s="219">
        <f t="shared" ca="1" si="65"/>
        <v>438067.9069483293</v>
      </c>
      <c r="AH42" s="219">
        <f t="shared" ca="1" si="65"/>
        <v>439694.43773407012</v>
      </c>
      <c r="AI42" s="219">
        <f t="shared" ca="1" si="65"/>
        <v>441320.96851981099</v>
      </c>
      <c r="AJ42" s="219">
        <f t="shared" ca="1" si="65"/>
        <v>442947.49930555187</v>
      </c>
      <c r="AK42" s="219">
        <f t="shared" ca="1" si="65"/>
        <v>444574.03009129269</v>
      </c>
      <c r="AL42" s="219">
        <f t="shared" ca="1" si="65"/>
        <v>446200.56087703368</v>
      </c>
      <c r="AM42" s="219">
        <f t="shared" ref="AM42:BR42" ca="1" si="66">IF(AM4&gt;HoldPeriod+12,0,AM40+AM35)</f>
        <v>447827.09166277456</v>
      </c>
      <c r="AN42" s="219">
        <f t="shared" ca="1" si="66"/>
        <v>447827.09166277456</v>
      </c>
      <c r="AO42" s="219">
        <f t="shared" ca="1" si="66"/>
        <v>447827.09166277456</v>
      </c>
      <c r="AP42" s="219">
        <f t="shared" ca="1" si="66"/>
        <v>447827.09166277456</v>
      </c>
      <c r="AQ42" s="219">
        <f t="shared" ca="1" si="66"/>
        <v>465491.4990445053</v>
      </c>
      <c r="AR42" s="219">
        <f t="shared" ca="1" si="66"/>
        <v>465491.4990445053</v>
      </c>
      <c r="AS42" s="219">
        <f t="shared" ca="1" si="66"/>
        <v>465491.4990445053</v>
      </c>
      <c r="AT42" s="219">
        <f t="shared" ca="1" si="66"/>
        <v>465491.4990445053</v>
      </c>
      <c r="AU42" s="219">
        <f t="shared" ca="1" si="66"/>
        <v>465491.4990445053</v>
      </c>
      <c r="AV42" s="219">
        <f t="shared" ca="1" si="66"/>
        <v>465491.4990445053</v>
      </c>
      <c r="AW42" s="219">
        <f t="shared" ca="1" si="66"/>
        <v>465491.4990445053</v>
      </c>
      <c r="AX42" s="219">
        <f t="shared" ca="1" si="66"/>
        <v>465491.4990445053</v>
      </c>
      <c r="AY42" s="219">
        <f t="shared" ca="1" si="66"/>
        <v>465491.4990445053</v>
      </c>
      <c r="AZ42" s="219">
        <f t="shared" ca="1" si="66"/>
        <v>465491.4990445053</v>
      </c>
      <c r="BA42" s="219">
        <f t="shared" ca="1" si="66"/>
        <v>465491.4990445053</v>
      </c>
      <c r="BB42" s="219">
        <f t="shared" ca="1" si="66"/>
        <v>465491.4990445053</v>
      </c>
      <c r="BC42" s="219">
        <f t="shared" ca="1" si="66"/>
        <v>483854.32290067332</v>
      </c>
      <c r="BD42" s="219">
        <f t="shared" ca="1" si="66"/>
        <v>483854.32290067332</v>
      </c>
      <c r="BE42" s="219">
        <f t="shared" ca="1" si="66"/>
        <v>483854.32290067332</v>
      </c>
      <c r="BF42" s="219">
        <f t="shared" ca="1" si="66"/>
        <v>483854.32290067332</v>
      </c>
      <c r="BG42" s="219">
        <f t="shared" ca="1" si="66"/>
        <v>483854.32290067332</v>
      </c>
      <c r="BH42" s="219">
        <f t="shared" ca="1" si="66"/>
        <v>483854.32290067332</v>
      </c>
      <c r="BI42" s="219">
        <f t="shared" ca="1" si="66"/>
        <v>483854.32290067332</v>
      </c>
      <c r="BJ42" s="219">
        <f t="shared" ca="1" si="66"/>
        <v>483854.32290067332</v>
      </c>
      <c r="BK42" s="219">
        <f t="shared" ca="1" si="66"/>
        <v>483854.32290067332</v>
      </c>
      <c r="BL42" s="219">
        <f t="shared" ca="1" si="66"/>
        <v>483854.32290067332</v>
      </c>
      <c r="BM42" s="219">
        <f t="shared" ca="1" si="66"/>
        <v>483854.32290067332</v>
      </c>
      <c r="BN42" s="219">
        <f t="shared" ca="1" si="66"/>
        <v>483854.32290067332</v>
      </c>
      <c r="BO42" s="219">
        <f t="shared" ca="1" si="66"/>
        <v>502943.23061200063</v>
      </c>
      <c r="BP42" s="219">
        <f t="shared" ca="1" si="66"/>
        <v>502943.23061200063</v>
      </c>
      <c r="BQ42" s="219">
        <f t="shared" ca="1" si="66"/>
        <v>502943.23061200063</v>
      </c>
      <c r="BR42" s="219">
        <f t="shared" ca="1" si="66"/>
        <v>502943.23061200063</v>
      </c>
      <c r="BS42" s="219">
        <f t="shared" ref="BS42:CX42" ca="1" si="67">IF(BS4&gt;HoldPeriod+12,0,BS40+BS35)</f>
        <v>502943.23061200063</v>
      </c>
      <c r="BT42" s="219">
        <f t="shared" ca="1" si="67"/>
        <v>502943.23061200063</v>
      </c>
      <c r="BU42" s="219">
        <f t="shared" ca="1" si="67"/>
        <v>502943.23061200063</v>
      </c>
      <c r="BV42" s="219">
        <f t="shared" ca="1" si="67"/>
        <v>502943.23061200063</v>
      </c>
      <c r="BW42" s="219">
        <f t="shared" ca="1" si="67"/>
        <v>502943.23061200063</v>
      </c>
      <c r="BX42" s="219">
        <f t="shared" ca="1" si="67"/>
        <v>502943.23061200063</v>
      </c>
      <c r="BY42" s="219">
        <f t="shared" ca="1" si="67"/>
        <v>502943.23061200063</v>
      </c>
      <c r="BZ42" s="219">
        <f t="shared" ca="1" si="67"/>
        <v>502943.23061200063</v>
      </c>
      <c r="CA42" s="219">
        <f t="shared" si="67"/>
        <v>0</v>
      </c>
      <c r="CB42" s="219">
        <f t="shared" si="67"/>
        <v>0</v>
      </c>
      <c r="CC42" s="219">
        <f t="shared" si="67"/>
        <v>0</v>
      </c>
      <c r="CD42" s="219">
        <f t="shared" si="67"/>
        <v>0</v>
      </c>
      <c r="CE42" s="219">
        <f t="shared" si="67"/>
        <v>0</v>
      </c>
      <c r="CF42" s="219">
        <f t="shared" si="67"/>
        <v>0</v>
      </c>
      <c r="CG42" s="219">
        <f t="shared" si="67"/>
        <v>0</v>
      </c>
      <c r="CH42" s="219">
        <f t="shared" si="67"/>
        <v>0</v>
      </c>
      <c r="CI42" s="219">
        <f t="shared" si="67"/>
        <v>0</v>
      </c>
      <c r="CJ42" s="219">
        <f t="shared" si="67"/>
        <v>0</v>
      </c>
      <c r="CK42" s="219">
        <f t="shared" si="67"/>
        <v>0</v>
      </c>
      <c r="CL42" s="219">
        <f t="shared" si="67"/>
        <v>0</v>
      </c>
      <c r="CM42" s="219">
        <f t="shared" si="67"/>
        <v>0</v>
      </c>
      <c r="CN42" s="219">
        <f t="shared" si="67"/>
        <v>0</v>
      </c>
      <c r="CO42" s="219">
        <f t="shared" si="67"/>
        <v>0</v>
      </c>
      <c r="CP42" s="219">
        <f t="shared" si="67"/>
        <v>0</v>
      </c>
      <c r="CQ42" s="219">
        <f t="shared" si="67"/>
        <v>0</v>
      </c>
      <c r="CR42" s="219">
        <f t="shared" si="67"/>
        <v>0</v>
      </c>
      <c r="CS42" s="219">
        <f t="shared" si="67"/>
        <v>0</v>
      </c>
      <c r="CT42" s="219">
        <f t="shared" si="67"/>
        <v>0</v>
      </c>
      <c r="CU42" s="219">
        <f t="shared" si="67"/>
        <v>0</v>
      </c>
      <c r="CV42" s="219">
        <f t="shared" si="67"/>
        <v>0</v>
      </c>
      <c r="CW42" s="219">
        <f t="shared" si="67"/>
        <v>0</v>
      </c>
      <c r="CX42" s="219">
        <f t="shared" si="67"/>
        <v>0</v>
      </c>
      <c r="CY42" s="219">
        <f t="shared" ref="CY42:EH42" si="68">IF(CY4&gt;HoldPeriod+12,0,CY40+CY35)</f>
        <v>0</v>
      </c>
      <c r="CZ42" s="219">
        <f t="shared" si="68"/>
        <v>0</v>
      </c>
      <c r="DA42" s="219">
        <f t="shared" si="68"/>
        <v>0</v>
      </c>
      <c r="DB42" s="219">
        <f t="shared" si="68"/>
        <v>0</v>
      </c>
      <c r="DC42" s="219">
        <f t="shared" si="68"/>
        <v>0</v>
      </c>
      <c r="DD42" s="219">
        <f t="shared" si="68"/>
        <v>0</v>
      </c>
      <c r="DE42" s="219">
        <f t="shared" si="68"/>
        <v>0</v>
      </c>
      <c r="DF42" s="219">
        <f t="shared" si="68"/>
        <v>0</v>
      </c>
      <c r="DG42" s="219">
        <f t="shared" si="68"/>
        <v>0</v>
      </c>
      <c r="DH42" s="219">
        <f t="shared" si="68"/>
        <v>0</v>
      </c>
      <c r="DI42" s="219">
        <f t="shared" si="68"/>
        <v>0</v>
      </c>
      <c r="DJ42" s="219">
        <f t="shared" si="68"/>
        <v>0</v>
      </c>
      <c r="DK42" s="219">
        <f t="shared" si="68"/>
        <v>0</v>
      </c>
      <c r="DL42" s="219">
        <f t="shared" si="68"/>
        <v>0</v>
      </c>
      <c r="DM42" s="219">
        <f t="shared" si="68"/>
        <v>0</v>
      </c>
      <c r="DN42" s="219">
        <f t="shared" si="68"/>
        <v>0</v>
      </c>
      <c r="DO42" s="219">
        <f t="shared" si="68"/>
        <v>0</v>
      </c>
      <c r="DP42" s="219">
        <f t="shared" si="68"/>
        <v>0</v>
      </c>
      <c r="DQ42" s="219">
        <f t="shared" si="68"/>
        <v>0</v>
      </c>
      <c r="DR42" s="219">
        <f t="shared" si="68"/>
        <v>0</v>
      </c>
      <c r="DS42" s="219">
        <f t="shared" si="68"/>
        <v>0</v>
      </c>
      <c r="DT42" s="219">
        <f t="shared" si="68"/>
        <v>0</v>
      </c>
      <c r="DU42" s="219">
        <f t="shared" si="68"/>
        <v>0</v>
      </c>
      <c r="DV42" s="219">
        <f t="shared" si="68"/>
        <v>0</v>
      </c>
      <c r="DW42" s="219">
        <f t="shared" si="68"/>
        <v>0</v>
      </c>
      <c r="DX42" s="219">
        <f t="shared" si="68"/>
        <v>0</v>
      </c>
      <c r="DY42" s="219">
        <f t="shared" si="68"/>
        <v>0</v>
      </c>
      <c r="DZ42" s="219">
        <f t="shared" si="68"/>
        <v>0</v>
      </c>
      <c r="EA42" s="219">
        <f t="shared" si="68"/>
        <v>0</v>
      </c>
      <c r="EB42" s="219">
        <f t="shared" si="68"/>
        <v>0</v>
      </c>
      <c r="EC42" s="219">
        <f t="shared" si="68"/>
        <v>0</v>
      </c>
      <c r="ED42" s="219">
        <f t="shared" si="68"/>
        <v>0</v>
      </c>
      <c r="EE42" s="219">
        <f t="shared" si="68"/>
        <v>0</v>
      </c>
      <c r="EF42" s="219">
        <f t="shared" si="68"/>
        <v>0</v>
      </c>
      <c r="EG42" s="219">
        <f t="shared" si="68"/>
        <v>0</v>
      </c>
      <c r="EH42" s="219">
        <f t="shared" si="68"/>
        <v>0</v>
      </c>
      <c r="EI42" s="316" t="s">
        <v>243</v>
      </c>
    </row>
    <row r="43" spans="1:139" s="217" customFormat="1" x14ac:dyDescent="0.2">
      <c r="B43" s="209"/>
      <c r="C43" s="209"/>
      <c r="D43" s="308"/>
      <c r="E43" s="309"/>
      <c r="EI43" s="158" t="s">
        <v>243</v>
      </c>
    </row>
    <row r="44" spans="1:139" s="217" customFormat="1" ht="15" thickBot="1" x14ac:dyDescent="0.25">
      <c r="B44" s="299" t="s">
        <v>29</v>
      </c>
      <c r="C44" s="299"/>
      <c r="D44" s="300"/>
      <c r="E44" s="307"/>
      <c r="F44" s="299"/>
      <c r="G44" s="299"/>
      <c r="H44" s="299"/>
      <c r="I44" s="299"/>
      <c r="J44" s="299"/>
      <c r="K44" s="299"/>
      <c r="L44" s="299"/>
      <c r="M44" s="299"/>
      <c r="N44" s="299"/>
      <c r="O44" s="299"/>
      <c r="P44" s="299"/>
      <c r="Q44" s="299"/>
      <c r="R44" s="299"/>
      <c r="S44" s="299"/>
      <c r="T44" s="299"/>
      <c r="U44" s="299"/>
      <c r="V44" s="299"/>
      <c r="W44" s="299"/>
      <c r="X44" s="299"/>
      <c r="Y44" s="299"/>
      <c r="Z44" s="299"/>
      <c r="AA44" s="299"/>
      <c r="AB44" s="299"/>
      <c r="AC44" s="299"/>
      <c r="AD44" s="299"/>
      <c r="AE44" s="299"/>
      <c r="AF44" s="299"/>
      <c r="AG44" s="299"/>
      <c r="AH44" s="299"/>
      <c r="AI44" s="299"/>
      <c r="AJ44" s="299"/>
      <c r="AK44" s="299"/>
      <c r="AL44" s="299"/>
      <c r="AM44" s="299"/>
      <c r="AN44" s="299"/>
      <c r="AO44" s="299"/>
      <c r="AP44" s="299"/>
      <c r="AQ44" s="299"/>
      <c r="AR44" s="299"/>
      <c r="AS44" s="299"/>
      <c r="AT44" s="299"/>
      <c r="AU44" s="299"/>
      <c r="AV44" s="299"/>
      <c r="AW44" s="299"/>
      <c r="AX44" s="299"/>
      <c r="AY44" s="299"/>
      <c r="AZ44" s="299"/>
      <c r="BA44" s="299"/>
      <c r="BB44" s="299"/>
      <c r="BC44" s="299"/>
      <c r="BD44" s="299"/>
      <c r="BE44" s="299"/>
      <c r="BF44" s="299"/>
      <c r="BG44" s="299"/>
      <c r="BH44" s="299"/>
      <c r="BI44" s="299"/>
      <c r="BJ44" s="299"/>
      <c r="BK44" s="299"/>
      <c r="BL44" s="299"/>
      <c r="BM44" s="299"/>
      <c r="BN44" s="299"/>
      <c r="BO44" s="299"/>
      <c r="BP44" s="299"/>
      <c r="BQ44" s="299"/>
      <c r="BR44" s="299"/>
      <c r="BS44" s="299"/>
      <c r="BT44" s="299"/>
      <c r="BU44" s="299"/>
      <c r="BV44" s="299"/>
      <c r="BW44" s="299"/>
      <c r="BX44" s="299"/>
      <c r="BY44" s="299"/>
      <c r="BZ44" s="299"/>
      <c r="CA44" s="299"/>
      <c r="CB44" s="299"/>
      <c r="CC44" s="299"/>
      <c r="CD44" s="299"/>
      <c r="CE44" s="299"/>
      <c r="CF44" s="299"/>
      <c r="CG44" s="299"/>
      <c r="CH44" s="299"/>
      <c r="CI44" s="299"/>
      <c r="CJ44" s="299"/>
      <c r="CK44" s="299"/>
      <c r="CL44" s="299"/>
      <c r="CM44" s="299"/>
      <c r="CN44" s="299"/>
      <c r="CO44" s="299"/>
      <c r="CP44" s="299"/>
      <c r="CQ44" s="299"/>
      <c r="CR44" s="299"/>
      <c r="CS44" s="299"/>
      <c r="CT44" s="299"/>
      <c r="CU44" s="299"/>
      <c r="CV44" s="299"/>
      <c r="CW44" s="299"/>
      <c r="CX44" s="299"/>
      <c r="CY44" s="299"/>
      <c r="CZ44" s="299"/>
      <c r="DA44" s="299"/>
      <c r="DB44" s="299"/>
      <c r="DC44" s="299"/>
      <c r="DD44" s="299"/>
      <c r="DE44" s="299"/>
      <c r="DF44" s="299"/>
      <c r="DG44" s="299"/>
      <c r="DH44" s="299"/>
      <c r="DI44" s="299"/>
      <c r="DJ44" s="299"/>
      <c r="DK44" s="299"/>
      <c r="DL44" s="299"/>
      <c r="DM44" s="299"/>
      <c r="DN44" s="299"/>
      <c r="DO44" s="299"/>
      <c r="DP44" s="299"/>
      <c r="DQ44" s="299"/>
      <c r="DR44" s="299"/>
      <c r="DS44" s="299"/>
      <c r="DT44" s="299"/>
      <c r="DU44" s="299"/>
      <c r="DV44" s="299"/>
      <c r="DW44" s="299"/>
      <c r="DX44" s="299"/>
      <c r="DY44" s="299"/>
      <c r="DZ44" s="299"/>
      <c r="EA44" s="299"/>
      <c r="EB44" s="299"/>
      <c r="EC44" s="299"/>
      <c r="ED44" s="299"/>
      <c r="EE44" s="299"/>
      <c r="EF44" s="299"/>
      <c r="EG44" s="299"/>
      <c r="EH44" s="299"/>
      <c r="EI44" s="158" t="s">
        <v>243</v>
      </c>
    </row>
    <row r="45" spans="1:139" s="217" customFormat="1" x14ac:dyDescent="0.2">
      <c r="B45" s="258" t="str">
        <f>'Ops Assumptions'!B8</f>
        <v>Payroll</v>
      </c>
      <c r="C45" s="209"/>
      <c r="D45" s="308">
        <f t="shared" ref="D45:D54" si="69">SUMIF($F$4:$EH$4,"&lt;="&amp;HoldPeriod,$F45:$EH45)</f>
        <v>-1844822.758567448</v>
      </c>
      <c r="E45" s="309">
        <f>-Financials!AL21</f>
        <v>-37316.017499999994</v>
      </c>
      <c r="F45" s="217">
        <v>0</v>
      </c>
      <c r="G45" s="217">
        <f>IF(G$4&gt;HoldPeriod+12,0,-'Ops Assumptions'!U34)</f>
        <v>-28956.733333333334</v>
      </c>
      <c r="H45" s="217">
        <f>IF(H$4&gt;HoldPeriod+12,0,-'Ops Assumptions'!V34)</f>
        <v>-28956.733333333334</v>
      </c>
      <c r="I45" s="217">
        <f>IF(I$4&gt;HoldPeriod+12,0,-'Ops Assumptions'!W34)</f>
        <v>-28956.733333333334</v>
      </c>
      <c r="J45" s="217">
        <f>IF(J$4&gt;HoldPeriod+12,0,-'Ops Assumptions'!X34)</f>
        <v>-28956.733333333334</v>
      </c>
      <c r="K45" s="217">
        <f>IF(K$4&gt;HoldPeriod+12,0,-'Ops Assumptions'!Y34)</f>
        <v>-28956.733333333334</v>
      </c>
      <c r="L45" s="217">
        <f>IF(L$4&gt;HoldPeriod+12,0,-'Ops Assumptions'!Z34)</f>
        <v>-28956.733333333334</v>
      </c>
      <c r="M45" s="217">
        <f>IF(M$4&gt;HoldPeriod+12,0,-'Ops Assumptions'!AA34)</f>
        <v>-28956.733333333334</v>
      </c>
      <c r="N45" s="217">
        <f>IF(N$4&gt;HoldPeriod+12,0,-'Ops Assumptions'!AB34)</f>
        <v>-28956.733333333334</v>
      </c>
      <c r="O45" s="217">
        <f>IF(O$4&gt;HoldPeriod+12,0,-'Ops Assumptions'!AC34)</f>
        <v>-28956.733333333334</v>
      </c>
      <c r="P45" s="217">
        <f>IF(P$4&gt;HoldPeriod+12,0,-'Ops Assumptions'!AD34)</f>
        <v>-28956.733333333334</v>
      </c>
      <c r="Q45" s="217">
        <f>IF(Q$4&gt;HoldPeriod+12,0,-'Ops Assumptions'!AE34)</f>
        <v>-28956.733333333334</v>
      </c>
      <c r="R45" s="217">
        <f>IF(R$4&gt;HoldPeriod+12,0,-'Ops Assumptions'!AF34)</f>
        <v>-28956.733333333334</v>
      </c>
      <c r="S45" s="217">
        <f>IF(S$4&gt;HoldPeriod+12,0,-'Ops Assumptions'!AG34)</f>
        <v>-29825.435333333335</v>
      </c>
      <c r="T45" s="217">
        <f>IF(T$4&gt;HoldPeriod+12,0,-'Ops Assumptions'!AH34)</f>
        <v>-29825.435333333335</v>
      </c>
      <c r="U45" s="217">
        <f>IF(U$4&gt;HoldPeriod+12,0,-'Ops Assumptions'!AI34)</f>
        <v>-29825.435333333335</v>
      </c>
      <c r="V45" s="217">
        <f>IF(V$4&gt;HoldPeriod+12,0,-'Ops Assumptions'!AJ34)</f>
        <v>-29825.435333333335</v>
      </c>
      <c r="W45" s="217">
        <f>IF(W$4&gt;HoldPeriod+12,0,-'Ops Assumptions'!AK34)</f>
        <v>-29825.435333333335</v>
      </c>
      <c r="X45" s="217">
        <f>IF(X$4&gt;HoldPeriod+12,0,-'Ops Assumptions'!AL34)</f>
        <v>-29825.435333333335</v>
      </c>
      <c r="Y45" s="217">
        <f>IF(Y$4&gt;HoldPeriod+12,0,-'Ops Assumptions'!AM34)</f>
        <v>-29825.435333333335</v>
      </c>
      <c r="Z45" s="217">
        <f>IF(Z$4&gt;HoldPeriod+12,0,-'Ops Assumptions'!AN34)</f>
        <v>-29825.435333333335</v>
      </c>
      <c r="AA45" s="217">
        <f>IF(AA$4&gt;HoldPeriod+12,0,-'Ops Assumptions'!AO34)</f>
        <v>-29825.435333333335</v>
      </c>
      <c r="AB45" s="217">
        <f>IF(AB$4&gt;HoldPeriod+12,0,-'Ops Assumptions'!AP34)</f>
        <v>-29825.435333333335</v>
      </c>
      <c r="AC45" s="217">
        <f>IF(AC$4&gt;HoldPeriod+12,0,-'Ops Assumptions'!AQ34)</f>
        <v>-29825.435333333335</v>
      </c>
      <c r="AD45" s="217">
        <f>IF(AD$4&gt;HoldPeriod+12,0,-'Ops Assumptions'!AR34)</f>
        <v>-29825.435333333335</v>
      </c>
      <c r="AE45" s="217">
        <f>IF(AE$4&gt;HoldPeriod+12,0,-'Ops Assumptions'!AS34)</f>
        <v>-30720.198393333336</v>
      </c>
      <c r="AF45" s="217">
        <f>IF(AF$4&gt;HoldPeriod+12,0,-'Ops Assumptions'!AT34)</f>
        <v>-30720.198393333336</v>
      </c>
      <c r="AG45" s="217">
        <f>IF(AG$4&gt;HoldPeriod+12,0,-'Ops Assumptions'!AU34)</f>
        <v>-30720.198393333336</v>
      </c>
      <c r="AH45" s="217">
        <f>IF(AH$4&gt;HoldPeriod+12,0,-'Ops Assumptions'!AV34)</f>
        <v>-30720.198393333336</v>
      </c>
      <c r="AI45" s="217">
        <f>IF(AI$4&gt;HoldPeriod+12,0,-'Ops Assumptions'!AW34)</f>
        <v>-30720.198393333336</v>
      </c>
      <c r="AJ45" s="217">
        <f>IF(AJ$4&gt;HoldPeriod+12,0,-'Ops Assumptions'!AX34)</f>
        <v>-30720.198393333336</v>
      </c>
      <c r="AK45" s="217">
        <f>IF(AK$4&gt;HoldPeriod+12,0,-'Ops Assumptions'!AY34)</f>
        <v>-30720.198393333336</v>
      </c>
      <c r="AL45" s="217">
        <f>IF(AL$4&gt;HoldPeriod+12,0,-'Ops Assumptions'!AZ34)</f>
        <v>-30720.198393333336</v>
      </c>
      <c r="AM45" s="217">
        <f>IF(AM$4&gt;HoldPeriod+12,0,-'Ops Assumptions'!BA34)</f>
        <v>-30720.198393333336</v>
      </c>
      <c r="AN45" s="217">
        <f>IF(AN$4&gt;HoldPeriod+12,0,-'Ops Assumptions'!BB34)</f>
        <v>-30720.198393333336</v>
      </c>
      <c r="AO45" s="217">
        <f>IF(AO$4&gt;HoldPeriod+12,0,-'Ops Assumptions'!BC34)</f>
        <v>-30720.198393333336</v>
      </c>
      <c r="AP45" s="217">
        <f>IF(AP$4&gt;HoldPeriod+12,0,-'Ops Assumptions'!BD34)</f>
        <v>-30720.198393333336</v>
      </c>
      <c r="AQ45" s="217">
        <f>IF(AQ$4&gt;HoldPeriod+12,0,-'Ops Assumptions'!BE34)</f>
        <v>-31641.804345133336</v>
      </c>
      <c r="AR45" s="217">
        <f>IF(AR$4&gt;HoldPeriod+12,0,-'Ops Assumptions'!BF34)</f>
        <v>-31641.804345133336</v>
      </c>
      <c r="AS45" s="217">
        <f>IF(AS$4&gt;HoldPeriod+12,0,-'Ops Assumptions'!BG34)</f>
        <v>-31641.804345133336</v>
      </c>
      <c r="AT45" s="217">
        <f>IF(AT$4&gt;HoldPeriod+12,0,-'Ops Assumptions'!BH34)</f>
        <v>-31641.804345133336</v>
      </c>
      <c r="AU45" s="217">
        <f>IF(AU$4&gt;HoldPeriod+12,0,-'Ops Assumptions'!BI34)</f>
        <v>-31641.804345133336</v>
      </c>
      <c r="AV45" s="217">
        <f>IF(AV$4&gt;HoldPeriod+12,0,-'Ops Assumptions'!BJ34)</f>
        <v>-31641.804345133336</v>
      </c>
      <c r="AW45" s="217">
        <f>IF(AW$4&gt;HoldPeriod+12,0,-'Ops Assumptions'!BK34)</f>
        <v>-31641.804345133336</v>
      </c>
      <c r="AX45" s="217">
        <f>IF(AX$4&gt;HoldPeriod+12,0,-'Ops Assumptions'!BL34)</f>
        <v>-31641.804345133336</v>
      </c>
      <c r="AY45" s="217">
        <f>IF(AY$4&gt;HoldPeriod+12,0,-'Ops Assumptions'!BM34)</f>
        <v>-31641.804345133336</v>
      </c>
      <c r="AZ45" s="217">
        <f>IF(AZ$4&gt;HoldPeriod+12,0,-'Ops Assumptions'!BN34)</f>
        <v>-31641.804345133336</v>
      </c>
      <c r="BA45" s="217">
        <f>IF(BA$4&gt;HoldPeriod+12,0,-'Ops Assumptions'!BO34)</f>
        <v>-31641.804345133336</v>
      </c>
      <c r="BB45" s="217">
        <f>IF(BB$4&gt;HoldPeriod+12,0,-'Ops Assumptions'!BP34)</f>
        <v>-31641.804345133336</v>
      </c>
      <c r="BC45" s="217">
        <f>IF(BC$4&gt;HoldPeriod+12,0,-'Ops Assumptions'!BQ34)</f>
        <v>-32591.058475487338</v>
      </c>
      <c r="BD45" s="217">
        <f>IF(BD$4&gt;HoldPeriod+12,0,-'Ops Assumptions'!BR34)</f>
        <v>-32591.058475487338</v>
      </c>
      <c r="BE45" s="217">
        <f>IF(BE$4&gt;HoldPeriod+12,0,-'Ops Assumptions'!BS34)</f>
        <v>-32591.058475487338</v>
      </c>
      <c r="BF45" s="217">
        <f>IF(BF$4&gt;HoldPeriod+12,0,-'Ops Assumptions'!BT34)</f>
        <v>-32591.058475487338</v>
      </c>
      <c r="BG45" s="217">
        <f>IF(BG$4&gt;HoldPeriod+12,0,-'Ops Assumptions'!BU34)</f>
        <v>-32591.058475487338</v>
      </c>
      <c r="BH45" s="217">
        <f>IF(BH$4&gt;HoldPeriod+12,0,-'Ops Assumptions'!BV34)</f>
        <v>-32591.058475487338</v>
      </c>
      <c r="BI45" s="217">
        <f>IF(BI$4&gt;HoldPeriod+12,0,-'Ops Assumptions'!BW34)</f>
        <v>-32591.058475487338</v>
      </c>
      <c r="BJ45" s="217">
        <f>IF(BJ$4&gt;HoldPeriod+12,0,-'Ops Assumptions'!BX34)</f>
        <v>-32591.058475487338</v>
      </c>
      <c r="BK45" s="217">
        <f>IF(BK$4&gt;HoldPeriod+12,0,-'Ops Assumptions'!BY34)</f>
        <v>-32591.058475487338</v>
      </c>
      <c r="BL45" s="217">
        <f>IF(BL$4&gt;HoldPeriod+12,0,-'Ops Assumptions'!BZ34)</f>
        <v>-32591.058475487338</v>
      </c>
      <c r="BM45" s="217">
        <f>IF(BM$4&gt;HoldPeriod+12,0,-'Ops Assumptions'!CA34)</f>
        <v>-32591.058475487338</v>
      </c>
      <c r="BN45" s="217">
        <f>IF(BN$4&gt;HoldPeriod+12,0,-'Ops Assumptions'!CB34)</f>
        <v>-32591.058475487338</v>
      </c>
      <c r="BO45" s="217">
        <f>IF(BO$4&gt;HoldPeriod+12,0,-'Ops Assumptions'!CC34)</f>
        <v>-33568.790229751961</v>
      </c>
      <c r="BP45" s="217">
        <f>IF(BP$4&gt;HoldPeriod+12,0,-'Ops Assumptions'!CD34)</f>
        <v>-33568.790229751961</v>
      </c>
      <c r="BQ45" s="217">
        <f>IF(BQ$4&gt;HoldPeriod+12,0,-'Ops Assumptions'!CE34)</f>
        <v>-33568.790229751961</v>
      </c>
      <c r="BR45" s="217">
        <f>IF(BR$4&gt;HoldPeriod+12,0,-'Ops Assumptions'!CF34)</f>
        <v>-33568.790229751961</v>
      </c>
      <c r="BS45" s="217">
        <f>IF(BS$4&gt;HoldPeriod+12,0,-'Ops Assumptions'!CG34)</f>
        <v>-33568.790229751961</v>
      </c>
      <c r="BT45" s="217">
        <f>IF(BT$4&gt;HoldPeriod+12,0,-'Ops Assumptions'!CH34)</f>
        <v>-33568.790229751961</v>
      </c>
      <c r="BU45" s="217">
        <f>IF(BU$4&gt;HoldPeriod+12,0,-'Ops Assumptions'!CI34)</f>
        <v>-33568.790229751961</v>
      </c>
      <c r="BV45" s="217">
        <f>IF(BV$4&gt;HoldPeriod+12,0,-'Ops Assumptions'!CJ34)</f>
        <v>-33568.790229751961</v>
      </c>
      <c r="BW45" s="217">
        <f>IF(BW$4&gt;HoldPeriod+12,0,-'Ops Assumptions'!CK34)</f>
        <v>-33568.790229751961</v>
      </c>
      <c r="BX45" s="217">
        <f>IF(BX$4&gt;HoldPeriod+12,0,-'Ops Assumptions'!CL34)</f>
        <v>-33568.790229751961</v>
      </c>
      <c r="BY45" s="217">
        <f>IF(BY$4&gt;HoldPeriod+12,0,-'Ops Assumptions'!CM34)</f>
        <v>-33568.790229751961</v>
      </c>
      <c r="BZ45" s="217">
        <f>IF(BZ$4&gt;HoldPeriod+12,0,-'Ops Assumptions'!CN34)</f>
        <v>-33568.790229751961</v>
      </c>
      <c r="CA45" s="217">
        <f>IF(CA$4&gt;HoldPeriod+12,0,-'Ops Assumptions'!CO34)</f>
        <v>0</v>
      </c>
      <c r="CB45" s="217">
        <f>IF(CB$4&gt;HoldPeriod+12,0,-'Ops Assumptions'!CP34)</f>
        <v>0</v>
      </c>
      <c r="CC45" s="217">
        <f>IF(CC$4&gt;HoldPeriod+12,0,-'Ops Assumptions'!CQ34)</f>
        <v>0</v>
      </c>
      <c r="CD45" s="217">
        <f>IF(CD$4&gt;HoldPeriod+12,0,-'Ops Assumptions'!CR34)</f>
        <v>0</v>
      </c>
      <c r="CE45" s="217">
        <f>IF(CE$4&gt;HoldPeriod+12,0,-'Ops Assumptions'!CS34)</f>
        <v>0</v>
      </c>
      <c r="CF45" s="217">
        <f>IF(CF$4&gt;HoldPeriod+12,0,-'Ops Assumptions'!CT34)</f>
        <v>0</v>
      </c>
      <c r="CG45" s="217">
        <f>IF(CG$4&gt;HoldPeriod+12,0,-'Ops Assumptions'!CU34)</f>
        <v>0</v>
      </c>
      <c r="CH45" s="217">
        <f>IF(CH$4&gt;HoldPeriod+12,0,-'Ops Assumptions'!CV34)</f>
        <v>0</v>
      </c>
      <c r="CI45" s="217">
        <f>IF(CI$4&gt;HoldPeriod+12,0,-'Ops Assumptions'!CW34)</f>
        <v>0</v>
      </c>
      <c r="CJ45" s="217">
        <f>IF(CJ$4&gt;HoldPeriod+12,0,-'Ops Assumptions'!CX34)</f>
        <v>0</v>
      </c>
      <c r="CK45" s="217">
        <f>IF(CK$4&gt;HoldPeriod+12,0,-'Ops Assumptions'!CY34)</f>
        <v>0</v>
      </c>
      <c r="CL45" s="217">
        <f>IF(CL$4&gt;HoldPeriod+12,0,-'Ops Assumptions'!CZ34)</f>
        <v>0</v>
      </c>
      <c r="CM45" s="217">
        <f>IF(CM$4&gt;HoldPeriod+12,0,-'Ops Assumptions'!DA34)</f>
        <v>0</v>
      </c>
      <c r="CN45" s="217">
        <f>IF(CN$4&gt;HoldPeriod+12,0,-'Ops Assumptions'!DB34)</f>
        <v>0</v>
      </c>
      <c r="CO45" s="217">
        <f>IF(CO$4&gt;HoldPeriod+12,0,-'Ops Assumptions'!DC34)</f>
        <v>0</v>
      </c>
      <c r="CP45" s="217">
        <f>IF(CP$4&gt;HoldPeriod+12,0,-'Ops Assumptions'!DD34)</f>
        <v>0</v>
      </c>
      <c r="CQ45" s="217">
        <f>IF(CQ$4&gt;HoldPeriod+12,0,-'Ops Assumptions'!DE34)</f>
        <v>0</v>
      </c>
      <c r="CR45" s="217">
        <f>IF(CR$4&gt;HoldPeriod+12,0,-'Ops Assumptions'!DF34)</f>
        <v>0</v>
      </c>
      <c r="CS45" s="217">
        <f>IF(CS$4&gt;HoldPeriod+12,0,-'Ops Assumptions'!DG34)</f>
        <v>0</v>
      </c>
      <c r="CT45" s="217">
        <f>IF(CT$4&gt;HoldPeriod+12,0,-'Ops Assumptions'!DH34)</f>
        <v>0</v>
      </c>
      <c r="CU45" s="217">
        <f>IF(CU$4&gt;HoldPeriod+12,0,-'Ops Assumptions'!DI34)</f>
        <v>0</v>
      </c>
      <c r="CV45" s="217">
        <f>IF(CV$4&gt;HoldPeriod+12,0,-'Ops Assumptions'!DJ34)</f>
        <v>0</v>
      </c>
      <c r="CW45" s="217">
        <f>IF(CW$4&gt;HoldPeriod+12,0,-'Ops Assumptions'!DK34)</f>
        <v>0</v>
      </c>
      <c r="CX45" s="217">
        <f>IF(CX$4&gt;HoldPeriod+12,0,-'Ops Assumptions'!DL34)</f>
        <v>0</v>
      </c>
      <c r="CY45" s="217">
        <f>IF(CY$4&gt;HoldPeriod+12,0,-'Ops Assumptions'!DM34)</f>
        <v>0</v>
      </c>
      <c r="CZ45" s="217">
        <f>IF(CZ$4&gt;HoldPeriod+12,0,-'Ops Assumptions'!DN34)</f>
        <v>0</v>
      </c>
      <c r="DA45" s="217">
        <f>IF(DA$4&gt;HoldPeriod+12,0,-'Ops Assumptions'!DO34)</f>
        <v>0</v>
      </c>
      <c r="DB45" s="217">
        <f>IF(DB$4&gt;HoldPeriod+12,0,-'Ops Assumptions'!DP34)</f>
        <v>0</v>
      </c>
      <c r="DC45" s="217">
        <f>IF(DC$4&gt;HoldPeriod+12,0,-'Ops Assumptions'!DQ34)</f>
        <v>0</v>
      </c>
      <c r="DD45" s="217">
        <f>IF(DD$4&gt;HoldPeriod+12,0,-'Ops Assumptions'!DR34)</f>
        <v>0</v>
      </c>
      <c r="DE45" s="217">
        <f>IF(DE$4&gt;HoldPeriod+12,0,-'Ops Assumptions'!DS34)</f>
        <v>0</v>
      </c>
      <c r="DF45" s="217">
        <f>IF(DF$4&gt;HoldPeriod+12,0,-'Ops Assumptions'!DT34)</f>
        <v>0</v>
      </c>
      <c r="DG45" s="217">
        <f>IF(DG$4&gt;HoldPeriod+12,0,-'Ops Assumptions'!DU34)</f>
        <v>0</v>
      </c>
      <c r="DH45" s="217">
        <f>IF(DH$4&gt;HoldPeriod+12,0,-'Ops Assumptions'!DV34)</f>
        <v>0</v>
      </c>
      <c r="DI45" s="217">
        <f>IF(DI$4&gt;HoldPeriod+12,0,-'Ops Assumptions'!DW34)</f>
        <v>0</v>
      </c>
      <c r="DJ45" s="217">
        <f>IF(DJ$4&gt;HoldPeriod+12,0,-'Ops Assumptions'!DX34)</f>
        <v>0</v>
      </c>
      <c r="DK45" s="217">
        <f>IF(DK$4&gt;HoldPeriod+12,0,-'Ops Assumptions'!DY34)</f>
        <v>0</v>
      </c>
      <c r="DL45" s="217">
        <f>IF(DL$4&gt;HoldPeriod+12,0,-'Ops Assumptions'!DZ34)</f>
        <v>0</v>
      </c>
      <c r="DM45" s="217">
        <f>IF(DM$4&gt;HoldPeriod+12,0,-'Ops Assumptions'!EA34)</f>
        <v>0</v>
      </c>
      <c r="DN45" s="217">
        <f>IF(DN$4&gt;HoldPeriod+12,0,-'Ops Assumptions'!EB34)</f>
        <v>0</v>
      </c>
      <c r="DO45" s="217">
        <f>IF(DO$4&gt;HoldPeriod+12,0,-'Ops Assumptions'!EC34)</f>
        <v>0</v>
      </c>
      <c r="DP45" s="217">
        <f>IF(DP$4&gt;HoldPeriod+12,0,-'Ops Assumptions'!ED34)</f>
        <v>0</v>
      </c>
      <c r="DQ45" s="217">
        <f>IF(DQ$4&gt;HoldPeriod+12,0,-'Ops Assumptions'!EE34)</f>
        <v>0</v>
      </c>
      <c r="DR45" s="217">
        <f>IF(DR$4&gt;HoldPeriod+12,0,-'Ops Assumptions'!EF34)</f>
        <v>0</v>
      </c>
      <c r="DS45" s="217">
        <f>IF(DS$4&gt;HoldPeriod+12,0,-'Ops Assumptions'!EG34)</f>
        <v>0</v>
      </c>
      <c r="DT45" s="217">
        <f>IF(DT$4&gt;HoldPeriod+12,0,-'Ops Assumptions'!EH34)</f>
        <v>0</v>
      </c>
      <c r="DU45" s="217">
        <f>IF(DU$4&gt;HoldPeriod+12,0,-'Ops Assumptions'!EI34)</f>
        <v>0</v>
      </c>
      <c r="DV45" s="217">
        <f>IF(DV$4&gt;HoldPeriod+12,0,-'Ops Assumptions'!EJ34)</f>
        <v>0</v>
      </c>
      <c r="DW45" s="217">
        <f>IF(DW$4&gt;HoldPeriod+12,0,-'Ops Assumptions'!EK34)</f>
        <v>0</v>
      </c>
      <c r="DX45" s="217">
        <f>IF(DX$4&gt;HoldPeriod+12,0,-'Ops Assumptions'!EL34)</f>
        <v>0</v>
      </c>
      <c r="DY45" s="217">
        <f>IF(DY$4&gt;HoldPeriod+12,0,-'Ops Assumptions'!EM34)</f>
        <v>0</v>
      </c>
      <c r="DZ45" s="217">
        <f>IF(DZ$4&gt;HoldPeriod+12,0,-'Ops Assumptions'!EN34)</f>
        <v>0</v>
      </c>
      <c r="EA45" s="217">
        <f>IF(EA$4&gt;HoldPeriod+12,0,-'Ops Assumptions'!EO34)</f>
        <v>0</v>
      </c>
      <c r="EB45" s="217">
        <f>IF(EB$4&gt;HoldPeriod+12,0,-'Ops Assumptions'!EP34)</f>
        <v>0</v>
      </c>
      <c r="EC45" s="217">
        <f>IF(EC$4&gt;HoldPeriod+12,0,-'Ops Assumptions'!EQ34)</f>
        <v>0</v>
      </c>
      <c r="ED45" s="217">
        <f>IF(ED$4&gt;HoldPeriod+12,0,-'Ops Assumptions'!ER34)</f>
        <v>0</v>
      </c>
      <c r="EE45" s="217">
        <f>IF(EE$4&gt;HoldPeriod+12,0,-'Ops Assumptions'!ES34)</f>
        <v>0</v>
      </c>
      <c r="EF45" s="217">
        <f>IF(EF$4&gt;HoldPeriod+12,0,-'Ops Assumptions'!ET34)</f>
        <v>0</v>
      </c>
      <c r="EG45" s="217">
        <f>IF(EG$4&gt;HoldPeriod+12,0,-'Ops Assumptions'!EU34)</f>
        <v>0</v>
      </c>
      <c r="EH45" s="217">
        <f>IF(EH$4&gt;HoldPeriod+12,0,-'Ops Assumptions'!EV34)</f>
        <v>0</v>
      </c>
      <c r="EI45" s="158" t="s">
        <v>243</v>
      </c>
    </row>
    <row r="46" spans="1:139" s="217" customFormat="1" x14ac:dyDescent="0.2">
      <c r="B46" s="258" t="str">
        <f>'Ops Assumptions'!B9</f>
        <v>Management Fees</v>
      </c>
      <c r="C46" s="209"/>
      <c r="D46" s="308">
        <f t="shared" ca="1" si="69"/>
        <v>-767510.07323174994</v>
      </c>
      <c r="E46" s="309">
        <f>-Financials!AL22</f>
        <v>-8045.270833333333</v>
      </c>
      <c r="F46" s="217">
        <v>0</v>
      </c>
      <c r="G46" s="217">
        <f t="shared" ref="G46:AL46" ca="1" si="70">IF(G$4&gt;HoldPeriod+12,0,-G42*PropManagementFee)</f>
        <v>-10040.823517297382</v>
      </c>
      <c r="H46" s="217">
        <f ca="1">IF(H$4&gt;HoldPeriod+12,0,-H42*PropManagementFee)</f>
        <v>-10097.126252148981</v>
      </c>
      <c r="I46" s="217">
        <f t="shared" ca="1" si="70"/>
        <v>-10153.354509350682</v>
      </c>
      <c r="J46" s="217">
        <f t="shared" ca="1" si="70"/>
        <v>-10209.508288902485</v>
      </c>
      <c r="K46" s="217">
        <f t="shared" ca="1" si="70"/>
        <v>-10265.587590804387</v>
      </c>
      <c r="L46" s="217">
        <f t="shared" ca="1" si="70"/>
        <v>-10321.592415056391</v>
      </c>
      <c r="M46" s="217">
        <f t="shared" ca="1" si="70"/>
        <v>-10377.522761658494</v>
      </c>
      <c r="N46" s="217">
        <f t="shared" ca="1" si="70"/>
        <v>-10433.378630610701</v>
      </c>
      <c r="O46" s="217">
        <f t="shared" ca="1" si="70"/>
        <v>-10489.160021913009</v>
      </c>
      <c r="P46" s="217">
        <f t="shared" ca="1" si="70"/>
        <v>-10544.866935565416</v>
      </c>
      <c r="Q46" s="217">
        <f t="shared" ca="1" si="70"/>
        <v>-10600.499371567925</v>
      </c>
      <c r="R46" s="217">
        <f t="shared" ca="1" si="70"/>
        <v>-10656.057329920533</v>
      </c>
      <c r="S46" s="217">
        <f t="shared" ca="1" si="70"/>
        <v>-11450.660871183205</v>
      </c>
      <c r="T46" s="217">
        <f t="shared" ca="1" si="70"/>
        <v>-11524.42510836928</v>
      </c>
      <c r="U46" s="217">
        <f t="shared" ca="1" si="70"/>
        <v>-11598.049614898489</v>
      </c>
      <c r="V46" s="217">
        <f t="shared" ca="1" si="70"/>
        <v>-11671.534390770834</v>
      </c>
      <c r="W46" s="217">
        <f t="shared" ca="1" si="70"/>
        <v>-11744.879435986313</v>
      </c>
      <c r="X46" s="217">
        <f t="shared" ca="1" si="70"/>
        <v>-11818.084750544924</v>
      </c>
      <c r="Y46" s="217">
        <f t="shared" ca="1" si="70"/>
        <v>-11891.150334446669</v>
      </c>
      <c r="Z46" s="217">
        <f t="shared" ca="1" si="70"/>
        <v>-11964.076187691549</v>
      </c>
      <c r="AA46" s="217">
        <f t="shared" ca="1" si="70"/>
        <v>-12027.637414048273</v>
      </c>
      <c r="AB46" s="217">
        <f t="shared" ca="1" si="70"/>
        <v>-12091.076376080242</v>
      </c>
      <c r="AC46" s="217">
        <f t="shared" ca="1" si="70"/>
        <v>-12154.393073787447</v>
      </c>
      <c r="AD46" s="217">
        <f t="shared" ca="1" si="70"/>
        <v>-12217.587507169899</v>
      </c>
      <c r="AE46" s="217">
        <f t="shared" ca="1" si="70"/>
        <v>-13005.408622447643</v>
      </c>
      <c r="AF46" s="217">
        <f t="shared" ca="1" si="70"/>
        <v>-13073.72291544876</v>
      </c>
      <c r="AG46" s="217">
        <f t="shared" ca="1" si="70"/>
        <v>-13142.037208449878</v>
      </c>
      <c r="AH46" s="217">
        <f t="shared" ca="1" si="70"/>
        <v>-13190.833132022102</v>
      </c>
      <c r="AI46" s="217">
        <f t="shared" ca="1" si="70"/>
        <v>-13239.629055594329</v>
      </c>
      <c r="AJ46" s="217">
        <f t="shared" ca="1" si="70"/>
        <v>-13288.424979166555</v>
      </c>
      <c r="AK46" s="217">
        <f t="shared" ca="1" si="70"/>
        <v>-13337.22090273878</v>
      </c>
      <c r="AL46" s="217">
        <f t="shared" ca="1" si="70"/>
        <v>-13386.01682631101</v>
      </c>
      <c r="AM46" s="217">
        <f t="shared" ref="AM46:BR46" ca="1" si="71">IF(AM$4&gt;HoldPeriod+12,0,-AM42*PropManagementFee)</f>
        <v>-13434.812749883236</v>
      </c>
      <c r="AN46" s="217">
        <f t="shared" ca="1" si="71"/>
        <v>-13434.812749883236</v>
      </c>
      <c r="AO46" s="217">
        <f t="shared" ca="1" si="71"/>
        <v>-13434.812749883236</v>
      </c>
      <c r="AP46" s="217">
        <f t="shared" ca="1" si="71"/>
        <v>-13434.812749883236</v>
      </c>
      <c r="AQ46" s="217">
        <f t="shared" ca="1" si="71"/>
        <v>-13964.744971335158</v>
      </c>
      <c r="AR46" s="217">
        <f t="shared" ca="1" si="71"/>
        <v>-13964.744971335158</v>
      </c>
      <c r="AS46" s="217">
        <f t="shared" ca="1" si="71"/>
        <v>-13964.744971335158</v>
      </c>
      <c r="AT46" s="217">
        <f t="shared" ca="1" si="71"/>
        <v>-13964.744971335158</v>
      </c>
      <c r="AU46" s="217">
        <f t="shared" ca="1" si="71"/>
        <v>-13964.744971335158</v>
      </c>
      <c r="AV46" s="217">
        <f t="shared" ca="1" si="71"/>
        <v>-13964.744971335158</v>
      </c>
      <c r="AW46" s="217">
        <f t="shared" ca="1" si="71"/>
        <v>-13964.744971335158</v>
      </c>
      <c r="AX46" s="217">
        <f t="shared" ca="1" si="71"/>
        <v>-13964.744971335158</v>
      </c>
      <c r="AY46" s="217">
        <f t="shared" ca="1" si="71"/>
        <v>-13964.744971335158</v>
      </c>
      <c r="AZ46" s="217">
        <f t="shared" ca="1" si="71"/>
        <v>-13964.744971335158</v>
      </c>
      <c r="BA46" s="217">
        <f t="shared" ca="1" si="71"/>
        <v>-13964.744971335158</v>
      </c>
      <c r="BB46" s="217">
        <f t="shared" ca="1" si="71"/>
        <v>-13964.744971335158</v>
      </c>
      <c r="BC46" s="217">
        <f t="shared" ca="1" si="71"/>
        <v>-14515.629687020199</v>
      </c>
      <c r="BD46" s="217">
        <f t="shared" ca="1" si="71"/>
        <v>-14515.629687020199</v>
      </c>
      <c r="BE46" s="217">
        <f t="shared" ca="1" si="71"/>
        <v>-14515.629687020199</v>
      </c>
      <c r="BF46" s="217">
        <f t="shared" ca="1" si="71"/>
        <v>-14515.629687020199</v>
      </c>
      <c r="BG46" s="217">
        <f t="shared" ca="1" si="71"/>
        <v>-14515.629687020199</v>
      </c>
      <c r="BH46" s="217">
        <f t="shared" ca="1" si="71"/>
        <v>-14515.629687020199</v>
      </c>
      <c r="BI46" s="217">
        <f t="shared" ca="1" si="71"/>
        <v>-14515.629687020199</v>
      </c>
      <c r="BJ46" s="217">
        <f t="shared" ca="1" si="71"/>
        <v>-14515.629687020199</v>
      </c>
      <c r="BK46" s="217">
        <f t="shared" ca="1" si="71"/>
        <v>-14515.629687020199</v>
      </c>
      <c r="BL46" s="217">
        <f t="shared" ca="1" si="71"/>
        <v>-14515.629687020199</v>
      </c>
      <c r="BM46" s="217">
        <f t="shared" ca="1" si="71"/>
        <v>-14515.629687020199</v>
      </c>
      <c r="BN46" s="217">
        <f t="shared" ca="1" si="71"/>
        <v>-14515.629687020199</v>
      </c>
      <c r="BO46" s="217">
        <f t="shared" ca="1" si="71"/>
        <v>-15088.296918360018</v>
      </c>
      <c r="BP46" s="217">
        <f t="shared" ca="1" si="71"/>
        <v>-15088.296918360018</v>
      </c>
      <c r="BQ46" s="217">
        <f t="shared" ca="1" si="71"/>
        <v>-15088.296918360018</v>
      </c>
      <c r="BR46" s="217">
        <f t="shared" ca="1" si="71"/>
        <v>-15088.296918360018</v>
      </c>
      <c r="BS46" s="217">
        <f t="shared" ref="BS46:CX46" ca="1" si="72">IF(BS$4&gt;HoldPeriod+12,0,-BS42*PropManagementFee)</f>
        <v>-15088.296918360018</v>
      </c>
      <c r="BT46" s="217">
        <f t="shared" ca="1" si="72"/>
        <v>-15088.296918360018</v>
      </c>
      <c r="BU46" s="217">
        <f t="shared" ca="1" si="72"/>
        <v>-15088.296918360018</v>
      </c>
      <c r="BV46" s="217">
        <f t="shared" ca="1" si="72"/>
        <v>-15088.296918360018</v>
      </c>
      <c r="BW46" s="217">
        <f t="shared" ca="1" si="72"/>
        <v>-15088.296918360018</v>
      </c>
      <c r="BX46" s="217">
        <f t="shared" ca="1" si="72"/>
        <v>-15088.296918360018</v>
      </c>
      <c r="BY46" s="217">
        <f t="shared" ca="1" si="72"/>
        <v>-15088.296918360018</v>
      </c>
      <c r="BZ46" s="217">
        <f t="shared" ca="1" si="72"/>
        <v>-15088.296918360018</v>
      </c>
      <c r="CA46" s="217">
        <f t="shared" si="72"/>
        <v>0</v>
      </c>
      <c r="CB46" s="217">
        <f t="shared" si="72"/>
        <v>0</v>
      </c>
      <c r="CC46" s="217">
        <f t="shared" si="72"/>
        <v>0</v>
      </c>
      <c r="CD46" s="217">
        <f t="shared" si="72"/>
        <v>0</v>
      </c>
      <c r="CE46" s="217">
        <f t="shared" si="72"/>
        <v>0</v>
      </c>
      <c r="CF46" s="217">
        <f t="shared" si="72"/>
        <v>0</v>
      </c>
      <c r="CG46" s="217">
        <f t="shared" si="72"/>
        <v>0</v>
      </c>
      <c r="CH46" s="217">
        <f t="shared" si="72"/>
        <v>0</v>
      </c>
      <c r="CI46" s="217">
        <f t="shared" si="72"/>
        <v>0</v>
      </c>
      <c r="CJ46" s="217">
        <f t="shared" si="72"/>
        <v>0</v>
      </c>
      <c r="CK46" s="217">
        <f t="shared" si="72"/>
        <v>0</v>
      </c>
      <c r="CL46" s="217">
        <f t="shared" si="72"/>
        <v>0</v>
      </c>
      <c r="CM46" s="217">
        <f t="shared" si="72"/>
        <v>0</v>
      </c>
      <c r="CN46" s="217">
        <f t="shared" si="72"/>
        <v>0</v>
      </c>
      <c r="CO46" s="217">
        <f t="shared" si="72"/>
        <v>0</v>
      </c>
      <c r="CP46" s="217">
        <f t="shared" si="72"/>
        <v>0</v>
      </c>
      <c r="CQ46" s="217">
        <f t="shared" si="72"/>
        <v>0</v>
      </c>
      <c r="CR46" s="217">
        <f t="shared" si="72"/>
        <v>0</v>
      </c>
      <c r="CS46" s="217">
        <f t="shared" si="72"/>
        <v>0</v>
      </c>
      <c r="CT46" s="217">
        <f t="shared" si="72"/>
        <v>0</v>
      </c>
      <c r="CU46" s="217">
        <f t="shared" si="72"/>
        <v>0</v>
      </c>
      <c r="CV46" s="217">
        <f t="shared" si="72"/>
        <v>0</v>
      </c>
      <c r="CW46" s="217">
        <f t="shared" si="72"/>
        <v>0</v>
      </c>
      <c r="CX46" s="217">
        <f t="shared" si="72"/>
        <v>0</v>
      </c>
      <c r="CY46" s="217">
        <f t="shared" ref="CY46:EH46" si="73">IF(CY$4&gt;HoldPeriod+12,0,-CY42*PropManagementFee)</f>
        <v>0</v>
      </c>
      <c r="CZ46" s="217">
        <f t="shared" si="73"/>
        <v>0</v>
      </c>
      <c r="DA46" s="217">
        <f t="shared" si="73"/>
        <v>0</v>
      </c>
      <c r="DB46" s="217">
        <f t="shared" si="73"/>
        <v>0</v>
      </c>
      <c r="DC46" s="217">
        <f t="shared" si="73"/>
        <v>0</v>
      </c>
      <c r="DD46" s="217">
        <f t="shared" si="73"/>
        <v>0</v>
      </c>
      <c r="DE46" s="217">
        <f t="shared" si="73"/>
        <v>0</v>
      </c>
      <c r="DF46" s="217">
        <f t="shared" si="73"/>
        <v>0</v>
      </c>
      <c r="DG46" s="217">
        <f t="shared" si="73"/>
        <v>0</v>
      </c>
      <c r="DH46" s="217">
        <f t="shared" si="73"/>
        <v>0</v>
      </c>
      <c r="DI46" s="217">
        <f t="shared" si="73"/>
        <v>0</v>
      </c>
      <c r="DJ46" s="217">
        <f t="shared" si="73"/>
        <v>0</v>
      </c>
      <c r="DK46" s="217">
        <f t="shared" si="73"/>
        <v>0</v>
      </c>
      <c r="DL46" s="217">
        <f t="shared" si="73"/>
        <v>0</v>
      </c>
      <c r="DM46" s="217">
        <f t="shared" si="73"/>
        <v>0</v>
      </c>
      <c r="DN46" s="217">
        <f t="shared" si="73"/>
        <v>0</v>
      </c>
      <c r="DO46" s="217">
        <f t="shared" si="73"/>
        <v>0</v>
      </c>
      <c r="DP46" s="217">
        <f t="shared" si="73"/>
        <v>0</v>
      </c>
      <c r="DQ46" s="217">
        <f t="shared" si="73"/>
        <v>0</v>
      </c>
      <c r="DR46" s="217">
        <f t="shared" si="73"/>
        <v>0</v>
      </c>
      <c r="DS46" s="217">
        <f t="shared" si="73"/>
        <v>0</v>
      </c>
      <c r="DT46" s="217">
        <f t="shared" si="73"/>
        <v>0</v>
      </c>
      <c r="DU46" s="217">
        <f t="shared" si="73"/>
        <v>0</v>
      </c>
      <c r="DV46" s="217">
        <f t="shared" si="73"/>
        <v>0</v>
      </c>
      <c r="DW46" s="217">
        <f t="shared" si="73"/>
        <v>0</v>
      </c>
      <c r="DX46" s="217">
        <f t="shared" si="73"/>
        <v>0</v>
      </c>
      <c r="DY46" s="217">
        <f t="shared" si="73"/>
        <v>0</v>
      </c>
      <c r="DZ46" s="217">
        <f t="shared" si="73"/>
        <v>0</v>
      </c>
      <c r="EA46" s="217">
        <f t="shared" si="73"/>
        <v>0</v>
      </c>
      <c r="EB46" s="217">
        <f t="shared" si="73"/>
        <v>0</v>
      </c>
      <c r="EC46" s="217">
        <f t="shared" si="73"/>
        <v>0</v>
      </c>
      <c r="ED46" s="217">
        <f t="shared" si="73"/>
        <v>0</v>
      </c>
      <c r="EE46" s="217">
        <f t="shared" si="73"/>
        <v>0</v>
      </c>
      <c r="EF46" s="217">
        <f t="shared" si="73"/>
        <v>0</v>
      </c>
      <c r="EG46" s="217">
        <f t="shared" si="73"/>
        <v>0</v>
      </c>
      <c r="EH46" s="217">
        <f t="shared" si="73"/>
        <v>0</v>
      </c>
      <c r="EI46" s="158" t="s">
        <v>243</v>
      </c>
    </row>
    <row r="47" spans="1:139" s="217" customFormat="1" x14ac:dyDescent="0.2">
      <c r="B47" s="258" t="str">
        <f>'Ops Assumptions'!B10</f>
        <v>Contract Services</v>
      </c>
      <c r="C47" s="209"/>
      <c r="D47" s="308">
        <f t="shared" si="69"/>
        <v>-414964.8156602215</v>
      </c>
      <c r="E47" s="309">
        <f>-Financials!AL23</f>
        <v>-6532.4683333333332</v>
      </c>
      <c r="F47" s="217">
        <v>0</v>
      </c>
      <c r="G47" s="217">
        <f>IF(G$4&gt;HoldPeriod+12,0,-'Ops Assumptions'!U35)</f>
        <v>-6513.376666666667</v>
      </c>
      <c r="H47" s="217">
        <f>IF(H$4&gt;HoldPeriod+12,0,-'Ops Assumptions'!V35)</f>
        <v>-6513.376666666667</v>
      </c>
      <c r="I47" s="217">
        <f>IF(I$4&gt;HoldPeriod+12,0,-'Ops Assumptions'!W35)</f>
        <v>-6513.376666666667</v>
      </c>
      <c r="J47" s="217">
        <f>IF(J$4&gt;HoldPeriod+12,0,-'Ops Assumptions'!X35)</f>
        <v>-6513.376666666667</v>
      </c>
      <c r="K47" s="217">
        <f>IF(K$4&gt;HoldPeriod+12,0,-'Ops Assumptions'!Y35)</f>
        <v>-6513.376666666667</v>
      </c>
      <c r="L47" s="217">
        <f>IF(L$4&gt;HoldPeriod+12,0,-'Ops Assumptions'!Z35)</f>
        <v>-6513.376666666667</v>
      </c>
      <c r="M47" s="217">
        <f>IF(M$4&gt;HoldPeriod+12,0,-'Ops Assumptions'!AA35)</f>
        <v>-6513.376666666667</v>
      </c>
      <c r="N47" s="217">
        <f>IF(N$4&gt;HoldPeriod+12,0,-'Ops Assumptions'!AB35)</f>
        <v>-6513.376666666667</v>
      </c>
      <c r="O47" s="217">
        <f>IF(O$4&gt;HoldPeriod+12,0,-'Ops Assumptions'!AC35)</f>
        <v>-6513.376666666667</v>
      </c>
      <c r="P47" s="217">
        <f>IF(P$4&gt;HoldPeriod+12,0,-'Ops Assumptions'!AD35)</f>
        <v>-6513.376666666667</v>
      </c>
      <c r="Q47" s="217">
        <f>IF(Q$4&gt;HoldPeriod+12,0,-'Ops Assumptions'!AE35)</f>
        <v>-6513.376666666667</v>
      </c>
      <c r="R47" s="217">
        <f>IF(R$4&gt;HoldPeriod+12,0,-'Ops Assumptions'!AF35)</f>
        <v>-6513.376666666667</v>
      </c>
      <c r="S47" s="217">
        <f>IF(S$4&gt;HoldPeriod+12,0,-'Ops Assumptions'!AG35)</f>
        <v>-6708.7779666666675</v>
      </c>
      <c r="T47" s="217">
        <f>IF(T$4&gt;HoldPeriod+12,0,-'Ops Assumptions'!AH35)</f>
        <v>-6708.7779666666675</v>
      </c>
      <c r="U47" s="217">
        <f>IF(U$4&gt;HoldPeriod+12,0,-'Ops Assumptions'!AI35)</f>
        <v>-6708.7779666666675</v>
      </c>
      <c r="V47" s="217">
        <f>IF(V$4&gt;HoldPeriod+12,0,-'Ops Assumptions'!AJ35)</f>
        <v>-6708.7779666666675</v>
      </c>
      <c r="W47" s="217">
        <f>IF(W$4&gt;HoldPeriod+12,0,-'Ops Assumptions'!AK35)</f>
        <v>-6708.7779666666675</v>
      </c>
      <c r="X47" s="217">
        <f>IF(X$4&gt;HoldPeriod+12,0,-'Ops Assumptions'!AL35)</f>
        <v>-6708.7779666666675</v>
      </c>
      <c r="Y47" s="217">
        <f>IF(Y$4&gt;HoldPeriod+12,0,-'Ops Assumptions'!AM35)</f>
        <v>-6708.7779666666675</v>
      </c>
      <c r="Z47" s="217">
        <f>IF(Z$4&gt;HoldPeriod+12,0,-'Ops Assumptions'!AN35)</f>
        <v>-6708.7779666666675</v>
      </c>
      <c r="AA47" s="217">
        <f>IF(AA$4&gt;HoldPeriod+12,0,-'Ops Assumptions'!AO35)</f>
        <v>-6708.7779666666675</v>
      </c>
      <c r="AB47" s="217">
        <f>IF(AB$4&gt;HoldPeriod+12,0,-'Ops Assumptions'!AP35)</f>
        <v>-6708.7779666666675</v>
      </c>
      <c r="AC47" s="217">
        <f>IF(AC$4&gt;HoldPeriod+12,0,-'Ops Assumptions'!AQ35)</f>
        <v>-6708.7779666666675</v>
      </c>
      <c r="AD47" s="217">
        <f>IF(AD$4&gt;HoldPeriod+12,0,-'Ops Assumptions'!AR35)</f>
        <v>-6708.7779666666675</v>
      </c>
      <c r="AE47" s="217">
        <f>IF(AE$4&gt;HoldPeriod+12,0,-'Ops Assumptions'!AS35)</f>
        <v>-6910.0413056666675</v>
      </c>
      <c r="AF47" s="217">
        <f>IF(AF$4&gt;HoldPeriod+12,0,-'Ops Assumptions'!AT35)</f>
        <v>-6910.0413056666675</v>
      </c>
      <c r="AG47" s="217">
        <f>IF(AG$4&gt;HoldPeriod+12,0,-'Ops Assumptions'!AU35)</f>
        <v>-6910.0413056666675</v>
      </c>
      <c r="AH47" s="217">
        <f>IF(AH$4&gt;HoldPeriod+12,0,-'Ops Assumptions'!AV35)</f>
        <v>-6910.0413056666675</v>
      </c>
      <c r="AI47" s="217">
        <f>IF(AI$4&gt;HoldPeriod+12,0,-'Ops Assumptions'!AW35)</f>
        <v>-6910.0413056666675</v>
      </c>
      <c r="AJ47" s="217">
        <f>IF(AJ$4&gt;HoldPeriod+12,0,-'Ops Assumptions'!AX35)</f>
        <v>-6910.0413056666675</v>
      </c>
      <c r="AK47" s="217">
        <f>IF(AK$4&gt;HoldPeriod+12,0,-'Ops Assumptions'!AY35)</f>
        <v>-6910.0413056666675</v>
      </c>
      <c r="AL47" s="217">
        <f>IF(AL$4&gt;HoldPeriod+12,0,-'Ops Assumptions'!AZ35)</f>
        <v>-6910.0413056666675</v>
      </c>
      <c r="AM47" s="217">
        <f>IF(AM$4&gt;HoldPeriod+12,0,-'Ops Assumptions'!BA35)</f>
        <v>-6910.0413056666675</v>
      </c>
      <c r="AN47" s="217">
        <f>IF(AN$4&gt;HoldPeriod+12,0,-'Ops Assumptions'!BB35)</f>
        <v>-6910.0413056666675</v>
      </c>
      <c r="AO47" s="217">
        <f>IF(AO$4&gt;HoldPeriod+12,0,-'Ops Assumptions'!BC35)</f>
        <v>-6910.0413056666675</v>
      </c>
      <c r="AP47" s="217">
        <f>IF(AP$4&gt;HoldPeriod+12,0,-'Ops Assumptions'!BD35)</f>
        <v>-6910.0413056666675</v>
      </c>
      <c r="AQ47" s="217">
        <f>IF(AQ$4&gt;HoldPeriod+12,0,-'Ops Assumptions'!BE35)</f>
        <v>-7117.3425448366679</v>
      </c>
      <c r="AR47" s="217">
        <f>IF(AR$4&gt;HoldPeriod+12,0,-'Ops Assumptions'!BF35)</f>
        <v>-7117.3425448366679</v>
      </c>
      <c r="AS47" s="217">
        <f>IF(AS$4&gt;HoldPeriod+12,0,-'Ops Assumptions'!BG35)</f>
        <v>-7117.3425448366679</v>
      </c>
      <c r="AT47" s="217">
        <f>IF(AT$4&gt;HoldPeriod+12,0,-'Ops Assumptions'!BH35)</f>
        <v>-7117.3425448366679</v>
      </c>
      <c r="AU47" s="217">
        <f>IF(AU$4&gt;HoldPeriod+12,0,-'Ops Assumptions'!BI35)</f>
        <v>-7117.3425448366679</v>
      </c>
      <c r="AV47" s="217">
        <f>IF(AV$4&gt;HoldPeriod+12,0,-'Ops Assumptions'!BJ35)</f>
        <v>-7117.3425448366679</v>
      </c>
      <c r="AW47" s="217">
        <f>IF(AW$4&gt;HoldPeriod+12,0,-'Ops Assumptions'!BK35)</f>
        <v>-7117.3425448366679</v>
      </c>
      <c r="AX47" s="217">
        <f>IF(AX$4&gt;HoldPeriod+12,0,-'Ops Assumptions'!BL35)</f>
        <v>-7117.3425448366679</v>
      </c>
      <c r="AY47" s="217">
        <f>IF(AY$4&gt;HoldPeriod+12,0,-'Ops Assumptions'!BM35)</f>
        <v>-7117.3425448366679</v>
      </c>
      <c r="AZ47" s="217">
        <f>IF(AZ$4&gt;HoldPeriod+12,0,-'Ops Assumptions'!BN35)</f>
        <v>-7117.3425448366679</v>
      </c>
      <c r="BA47" s="217">
        <f>IF(BA$4&gt;HoldPeriod+12,0,-'Ops Assumptions'!BO35)</f>
        <v>-7117.3425448366679</v>
      </c>
      <c r="BB47" s="217">
        <f>IF(BB$4&gt;HoldPeriod+12,0,-'Ops Assumptions'!BP35)</f>
        <v>-7117.3425448366679</v>
      </c>
      <c r="BC47" s="217">
        <f>IF(BC$4&gt;HoldPeriod+12,0,-'Ops Assumptions'!BQ35)</f>
        <v>-7330.8628211817677</v>
      </c>
      <c r="BD47" s="217">
        <f>IF(BD$4&gt;HoldPeriod+12,0,-'Ops Assumptions'!BR35)</f>
        <v>-7330.8628211817677</v>
      </c>
      <c r="BE47" s="217">
        <f>IF(BE$4&gt;HoldPeriod+12,0,-'Ops Assumptions'!BS35)</f>
        <v>-7330.8628211817677</v>
      </c>
      <c r="BF47" s="217">
        <f>IF(BF$4&gt;HoldPeriod+12,0,-'Ops Assumptions'!BT35)</f>
        <v>-7330.8628211817677</v>
      </c>
      <c r="BG47" s="217">
        <f>IF(BG$4&gt;HoldPeriod+12,0,-'Ops Assumptions'!BU35)</f>
        <v>-7330.8628211817677</v>
      </c>
      <c r="BH47" s="217">
        <f>IF(BH$4&gt;HoldPeriod+12,0,-'Ops Assumptions'!BV35)</f>
        <v>-7330.8628211817677</v>
      </c>
      <c r="BI47" s="217">
        <f>IF(BI$4&gt;HoldPeriod+12,0,-'Ops Assumptions'!BW35)</f>
        <v>-7330.8628211817677</v>
      </c>
      <c r="BJ47" s="217">
        <f>IF(BJ$4&gt;HoldPeriod+12,0,-'Ops Assumptions'!BX35)</f>
        <v>-7330.8628211817677</v>
      </c>
      <c r="BK47" s="217">
        <f>IF(BK$4&gt;HoldPeriod+12,0,-'Ops Assumptions'!BY35)</f>
        <v>-7330.8628211817677</v>
      </c>
      <c r="BL47" s="217">
        <f>IF(BL$4&gt;HoldPeriod+12,0,-'Ops Assumptions'!BZ35)</f>
        <v>-7330.8628211817677</v>
      </c>
      <c r="BM47" s="217">
        <f>IF(BM$4&gt;HoldPeriod+12,0,-'Ops Assumptions'!CA35)</f>
        <v>-7330.8628211817677</v>
      </c>
      <c r="BN47" s="217">
        <f>IF(BN$4&gt;HoldPeriod+12,0,-'Ops Assumptions'!CB35)</f>
        <v>-7330.8628211817677</v>
      </c>
      <c r="BO47" s="217">
        <f>IF(BO$4&gt;HoldPeriod+12,0,-'Ops Assumptions'!CC35)</f>
        <v>-7550.7887058172209</v>
      </c>
      <c r="BP47" s="217">
        <f>IF(BP$4&gt;HoldPeriod+12,0,-'Ops Assumptions'!CD35)</f>
        <v>-7550.7887058172209</v>
      </c>
      <c r="BQ47" s="217">
        <f>IF(BQ$4&gt;HoldPeriod+12,0,-'Ops Assumptions'!CE35)</f>
        <v>-7550.7887058172209</v>
      </c>
      <c r="BR47" s="217">
        <f>IF(BR$4&gt;HoldPeriod+12,0,-'Ops Assumptions'!CF35)</f>
        <v>-7550.7887058172209</v>
      </c>
      <c r="BS47" s="217">
        <f>IF(BS$4&gt;HoldPeriod+12,0,-'Ops Assumptions'!CG35)</f>
        <v>-7550.7887058172209</v>
      </c>
      <c r="BT47" s="217">
        <f>IF(BT$4&gt;HoldPeriod+12,0,-'Ops Assumptions'!CH35)</f>
        <v>-7550.7887058172209</v>
      </c>
      <c r="BU47" s="217">
        <f>IF(BU$4&gt;HoldPeriod+12,0,-'Ops Assumptions'!CI35)</f>
        <v>-7550.7887058172209</v>
      </c>
      <c r="BV47" s="217">
        <f>IF(BV$4&gt;HoldPeriod+12,0,-'Ops Assumptions'!CJ35)</f>
        <v>-7550.7887058172209</v>
      </c>
      <c r="BW47" s="217">
        <f>IF(BW$4&gt;HoldPeriod+12,0,-'Ops Assumptions'!CK35)</f>
        <v>-7550.7887058172209</v>
      </c>
      <c r="BX47" s="217">
        <f>IF(BX$4&gt;HoldPeriod+12,0,-'Ops Assumptions'!CL35)</f>
        <v>-7550.7887058172209</v>
      </c>
      <c r="BY47" s="217">
        <f>IF(BY$4&gt;HoldPeriod+12,0,-'Ops Assumptions'!CM35)</f>
        <v>-7550.7887058172209</v>
      </c>
      <c r="BZ47" s="217">
        <f>IF(BZ$4&gt;HoldPeriod+12,0,-'Ops Assumptions'!CN35)</f>
        <v>-7550.7887058172209</v>
      </c>
      <c r="CA47" s="217">
        <f>IF(CA$4&gt;HoldPeriod+12,0,-'Ops Assumptions'!CO35)</f>
        <v>0</v>
      </c>
      <c r="CB47" s="217">
        <f>IF(CB$4&gt;HoldPeriod+12,0,-'Ops Assumptions'!CP35)</f>
        <v>0</v>
      </c>
      <c r="CC47" s="217">
        <f>IF(CC$4&gt;HoldPeriod+12,0,-'Ops Assumptions'!CQ35)</f>
        <v>0</v>
      </c>
      <c r="CD47" s="217">
        <f>IF(CD$4&gt;HoldPeriod+12,0,-'Ops Assumptions'!CR35)</f>
        <v>0</v>
      </c>
      <c r="CE47" s="217">
        <f>IF(CE$4&gt;HoldPeriod+12,0,-'Ops Assumptions'!CS35)</f>
        <v>0</v>
      </c>
      <c r="CF47" s="217">
        <f>IF(CF$4&gt;HoldPeriod+12,0,-'Ops Assumptions'!CT35)</f>
        <v>0</v>
      </c>
      <c r="CG47" s="217">
        <f>IF(CG$4&gt;HoldPeriod+12,0,-'Ops Assumptions'!CU35)</f>
        <v>0</v>
      </c>
      <c r="CH47" s="217">
        <f>IF(CH$4&gt;HoldPeriod+12,0,-'Ops Assumptions'!CV35)</f>
        <v>0</v>
      </c>
      <c r="CI47" s="217">
        <f>IF(CI$4&gt;HoldPeriod+12,0,-'Ops Assumptions'!CW35)</f>
        <v>0</v>
      </c>
      <c r="CJ47" s="217">
        <f>IF(CJ$4&gt;HoldPeriod+12,0,-'Ops Assumptions'!CX35)</f>
        <v>0</v>
      </c>
      <c r="CK47" s="217">
        <f>IF(CK$4&gt;HoldPeriod+12,0,-'Ops Assumptions'!CY35)</f>
        <v>0</v>
      </c>
      <c r="CL47" s="217">
        <f>IF(CL$4&gt;HoldPeriod+12,0,-'Ops Assumptions'!CZ35)</f>
        <v>0</v>
      </c>
      <c r="CM47" s="217">
        <f>IF(CM$4&gt;HoldPeriod+12,0,-'Ops Assumptions'!DA35)</f>
        <v>0</v>
      </c>
      <c r="CN47" s="217">
        <f>IF(CN$4&gt;HoldPeriod+12,0,-'Ops Assumptions'!DB35)</f>
        <v>0</v>
      </c>
      <c r="CO47" s="217">
        <f>IF(CO$4&gt;HoldPeriod+12,0,-'Ops Assumptions'!DC35)</f>
        <v>0</v>
      </c>
      <c r="CP47" s="217">
        <f>IF(CP$4&gt;HoldPeriod+12,0,-'Ops Assumptions'!DD35)</f>
        <v>0</v>
      </c>
      <c r="CQ47" s="217">
        <f>IF(CQ$4&gt;HoldPeriod+12,0,-'Ops Assumptions'!DE35)</f>
        <v>0</v>
      </c>
      <c r="CR47" s="217">
        <f>IF(CR$4&gt;HoldPeriod+12,0,-'Ops Assumptions'!DF35)</f>
        <v>0</v>
      </c>
      <c r="CS47" s="217">
        <f>IF(CS$4&gt;HoldPeriod+12,0,-'Ops Assumptions'!DG35)</f>
        <v>0</v>
      </c>
      <c r="CT47" s="217">
        <f>IF(CT$4&gt;HoldPeriod+12,0,-'Ops Assumptions'!DH35)</f>
        <v>0</v>
      </c>
      <c r="CU47" s="217">
        <f>IF(CU$4&gt;HoldPeriod+12,0,-'Ops Assumptions'!DI35)</f>
        <v>0</v>
      </c>
      <c r="CV47" s="217">
        <f>IF(CV$4&gt;HoldPeriod+12,0,-'Ops Assumptions'!DJ35)</f>
        <v>0</v>
      </c>
      <c r="CW47" s="217">
        <f>IF(CW$4&gt;HoldPeriod+12,0,-'Ops Assumptions'!DK35)</f>
        <v>0</v>
      </c>
      <c r="CX47" s="217">
        <f>IF(CX$4&gt;HoldPeriod+12,0,-'Ops Assumptions'!DL35)</f>
        <v>0</v>
      </c>
      <c r="CY47" s="217">
        <f>IF(CY$4&gt;HoldPeriod+12,0,-'Ops Assumptions'!DM35)</f>
        <v>0</v>
      </c>
      <c r="CZ47" s="217">
        <f>IF(CZ$4&gt;HoldPeriod+12,0,-'Ops Assumptions'!DN35)</f>
        <v>0</v>
      </c>
      <c r="DA47" s="217">
        <f>IF(DA$4&gt;HoldPeriod+12,0,-'Ops Assumptions'!DO35)</f>
        <v>0</v>
      </c>
      <c r="DB47" s="217">
        <f>IF(DB$4&gt;HoldPeriod+12,0,-'Ops Assumptions'!DP35)</f>
        <v>0</v>
      </c>
      <c r="DC47" s="217">
        <f>IF(DC$4&gt;HoldPeriod+12,0,-'Ops Assumptions'!DQ35)</f>
        <v>0</v>
      </c>
      <c r="DD47" s="217">
        <f>IF(DD$4&gt;HoldPeriod+12,0,-'Ops Assumptions'!DR35)</f>
        <v>0</v>
      </c>
      <c r="DE47" s="217">
        <f>IF(DE$4&gt;HoldPeriod+12,0,-'Ops Assumptions'!DS35)</f>
        <v>0</v>
      </c>
      <c r="DF47" s="217">
        <f>IF(DF$4&gt;HoldPeriod+12,0,-'Ops Assumptions'!DT35)</f>
        <v>0</v>
      </c>
      <c r="DG47" s="217">
        <f>IF(DG$4&gt;HoldPeriod+12,0,-'Ops Assumptions'!DU35)</f>
        <v>0</v>
      </c>
      <c r="DH47" s="217">
        <f>IF(DH$4&gt;HoldPeriod+12,0,-'Ops Assumptions'!DV35)</f>
        <v>0</v>
      </c>
      <c r="DI47" s="217">
        <f>IF(DI$4&gt;HoldPeriod+12,0,-'Ops Assumptions'!DW35)</f>
        <v>0</v>
      </c>
      <c r="DJ47" s="217">
        <f>IF(DJ$4&gt;HoldPeriod+12,0,-'Ops Assumptions'!DX35)</f>
        <v>0</v>
      </c>
      <c r="DK47" s="217">
        <f>IF(DK$4&gt;HoldPeriod+12,0,-'Ops Assumptions'!DY35)</f>
        <v>0</v>
      </c>
      <c r="DL47" s="217">
        <f>IF(DL$4&gt;HoldPeriod+12,0,-'Ops Assumptions'!DZ35)</f>
        <v>0</v>
      </c>
      <c r="DM47" s="217">
        <f>IF(DM$4&gt;HoldPeriod+12,0,-'Ops Assumptions'!EA35)</f>
        <v>0</v>
      </c>
      <c r="DN47" s="217">
        <f>IF(DN$4&gt;HoldPeriod+12,0,-'Ops Assumptions'!EB35)</f>
        <v>0</v>
      </c>
      <c r="DO47" s="217">
        <f>IF(DO$4&gt;HoldPeriod+12,0,-'Ops Assumptions'!EC35)</f>
        <v>0</v>
      </c>
      <c r="DP47" s="217">
        <f>IF(DP$4&gt;HoldPeriod+12,0,-'Ops Assumptions'!ED35)</f>
        <v>0</v>
      </c>
      <c r="DQ47" s="217">
        <f>IF(DQ$4&gt;HoldPeriod+12,0,-'Ops Assumptions'!EE35)</f>
        <v>0</v>
      </c>
      <c r="DR47" s="217">
        <f>IF(DR$4&gt;HoldPeriod+12,0,-'Ops Assumptions'!EF35)</f>
        <v>0</v>
      </c>
      <c r="DS47" s="217">
        <f>IF(DS$4&gt;HoldPeriod+12,0,-'Ops Assumptions'!EG35)</f>
        <v>0</v>
      </c>
      <c r="DT47" s="217">
        <f>IF(DT$4&gt;HoldPeriod+12,0,-'Ops Assumptions'!EH35)</f>
        <v>0</v>
      </c>
      <c r="DU47" s="217">
        <f>IF(DU$4&gt;HoldPeriod+12,0,-'Ops Assumptions'!EI35)</f>
        <v>0</v>
      </c>
      <c r="DV47" s="217">
        <f>IF(DV$4&gt;HoldPeriod+12,0,-'Ops Assumptions'!EJ35)</f>
        <v>0</v>
      </c>
      <c r="DW47" s="217">
        <f>IF(DW$4&gt;HoldPeriod+12,0,-'Ops Assumptions'!EK35)</f>
        <v>0</v>
      </c>
      <c r="DX47" s="217">
        <f>IF(DX$4&gt;HoldPeriod+12,0,-'Ops Assumptions'!EL35)</f>
        <v>0</v>
      </c>
      <c r="DY47" s="217">
        <f>IF(DY$4&gt;HoldPeriod+12,0,-'Ops Assumptions'!EM35)</f>
        <v>0</v>
      </c>
      <c r="DZ47" s="217">
        <f>IF(DZ$4&gt;HoldPeriod+12,0,-'Ops Assumptions'!EN35)</f>
        <v>0</v>
      </c>
      <c r="EA47" s="217">
        <f>IF(EA$4&gt;HoldPeriod+12,0,-'Ops Assumptions'!EO35)</f>
        <v>0</v>
      </c>
      <c r="EB47" s="217">
        <f>IF(EB$4&gt;HoldPeriod+12,0,-'Ops Assumptions'!EP35)</f>
        <v>0</v>
      </c>
      <c r="EC47" s="217">
        <f>IF(EC$4&gt;HoldPeriod+12,0,-'Ops Assumptions'!EQ35)</f>
        <v>0</v>
      </c>
      <c r="ED47" s="217">
        <f>IF(ED$4&gt;HoldPeriod+12,0,-'Ops Assumptions'!ER35)</f>
        <v>0</v>
      </c>
      <c r="EE47" s="217">
        <f>IF(EE$4&gt;HoldPeriod+12,0,-'Ops Assumptions'!ES35)</f>
        <v>0</v>
      </c>
      <c r="EF47" s="217">
        <f>IF(EF$4&gt;HoldPeriod+12,0,-'Ops Assumptions'!ET35)</f>
        <v>0</v>
      </c>
      <c r="EG47" s="217">
        <f>IF(EG$4&gt;HoldPeriod+12,0,-'Ops Assumptions'!EU35)</f>
        <v>0</v>
      </c>
      <c r="EH47" s="217">
        <f>IF(EH$4&gt;HoldPeriod+12,0,-'Ops Assumptions'!EV35)</f>
        <v>0</v>
      </c>
      <c r="EI47" s="158" t="s">
        <v>243</v>
      </c>
    </row>
    <row r="48" spans="1:139" s="217" customFormat="1" x14ac:dyDescent="0.2">
      <c r="B48" s="258" t="str">
        <f>'Ops Assumptions'!B11</f>
        <v>Administrative</v>
      </c>
      <c r="C48" s="209"/>
      <c r="D48" s="308">
        <f t="shared" si="69"/>
        <v>-423468.6851871977</v>
      </c>
      <c r="E48" s="309">
        <f>-Financials!AL24</f>
        <v>-8959.2408333333333</v>
      </c>
      <c r="F48" s="217">
        <v>0</v>
      </c>
      <c r="G48" s="217">
        <f>IF(G$4&gt;HoldPeriod+12,0,-'Ops Assumptions'!U36)</f>
        <v>-6646.8552250000002</v>
      </c>
      <c r="H48" s="217">
        <f>IF(H$4&gt;HoldPeriod+12,0,-'Ops Assumptions'!V36)</f>
        <v>-6646.8552250000002</v>
      </c>
      <c r="I48" s="217">
        <f>IF(I$4&gt;HoldPeriod+12,0,-'Ops Assumptions'!W36)</f>
        <v>-6646.8552250000002</v>
      </c>
      <c r="J48" s="217">
        <f>IF(J$4&gt;HoldPeriod+12,0,-'Ops Assumptions'!X36)</f>
        <v>-6646.8552250000002</v>
      </c>
      <c r="K48" s="217">
        <f>IF(K$4&gt;HoldPeriod+12,0,-'Ops Assumptions'!Y36)</f>
        <v>-6646.8552250000002</v>
      </c>
      <c r="L48" s="217">
        <f>IF(L$4&gt;HoldPeriod+12,0,-'Ops Assumptions'!Z36)</f>
        <v>-6646.8552250000002</v>
      </c>
      <c r="M48" s="217">
        <f>IF(M$4&gt;HoldPeriod+12,0,-'Ops Assumptions'!AA36)</f>
        <v>-6646.8552250000002</v>
      </c>
      <c r="N48" s="217">
        <f>IF(N$4&gt;HoldPeriod+12,0,-'Ops Assumptions'!AB36)</f>
        <v>-6646.8552250000002</v>
      </c>
      <c r="O48" s="217">
        <f>IF(O$4&gt;HoldPeriod+12,0,-'Ops Assumptions'!AC36)</f>
        <v>-6646.8552250000002</v>
      </c>
      <c r="P48" s="217">
        <f>IF(P$4&gt;HoldPeriod+12,0,-'Ops Assumptions'!AD36)</f>
        <v>-6646.8552250000002</v>
      </c>
      <c r="Q48" s="217">
        <f>IF(Q$4&gt;HoldPeriod+12,0,-'Ops Assumptions'!AE36)</f>
        <v>-6646.8552250000002</v>
      </c>
      <c r="R48" s="217">
        <f>IF(R$4&gt;HoldPeriod+12,0,-'Ops Assumptions'!AF36)</f>
        <v>-6646.8552250000002</v>
      </c>
      <c r="S48" s="217">
        <f>IF(S$4&gt;HoldPeriod+12,0,-'Ops Assumptions'!AG36)</f>
        <v>-6846.2608817500004</v>
      </c>
      <c r="T48" s="217">
        <f>IF(T$4&gt;HoldPeriod+12,0,-'Ops Assumptions'!AH36)</f>
        <v>-6846.2608817500004</v>
      </c>
      <c r="U48" s="217">
        <f>IF(U$4&gt;HoldPeriod+12,0,-'Ops Assumptions'!AI36)</f>
        <v>-6846.2608817500004</v>
      </c>
      <c r="V48" s="217">
        <f>IF(V$4&gt;HoldPeriod+12,0,-'Ops Assumptions'!AJ36)</f>
        <v>-6846.2608817500004</v>
      </c>
      <c r="W48" s="217">
        <f>IF(W$4&gt;HoldPeriod+12,0,-'Ops Assumptions'!AK36)</f>
        <v>-6846.2608817500004</v>
      </c>
      <c r="X48" s="217">
        <f>IF(X$4&gt;HoldPeriod+12,0,-'Ops Assumptions'!AL36)</f>
        <v>-6846.2608817500004</v>
      </c>
      <c r="Y48" s="217">
        <f>IF(Y$4&gt;HoldPeriod+12,0,-'Ops Assumptions'!AM36)</f>
        <v>-6846.2608817500004</v>
      </c>
      <c r="Z48" s="217">
        <f>IF(Z$4&gt;HoldPeriod+12,0,-'Ops Assumptions'!AN36)</f>
        <v>-6846.2608817500004</v>
      </c>
      <c r="AA48" s="217">
        <f>IF(AA$4&gt;HoldPeriod+12,0,-'Ops Assumptions'!AO36)</f>
        <v>-6846.2608817500004</v>
      </c>
      <c r="AB48" s="217">
        <f>IF(AB$4&gt;HoldPeriod+12,0,-'Ops Assumptions'!AP36)</f>
        <v>-6846.2608817500004</v>
      </c>
      <c r="AC48" s="217">
        <f>IF(AC$4&gt;HoldPeriod+12,0,-'Ops Assumptions'!AQ36)</f>
        <v>-6846.2608817500004</v>
      </c>
      <c r="AD48" s="217">
        <f>IF(AD$4&gt;HoldPeriod+12,0,-'Ops Assumptions'!AR36)</f>
        <v>-6846.2608817500004</v>
      </c>
      <c r="AE48" s="217">
        <f>IF(AE$4&gt;HoldPeriod+12,0,-'Ops Assumptions'!AS36)</f>
        <v>-7051.6487082025005</v>
      </c>
      <c r="AF48" s="217">
        <f>IF(AF$4&gt;HoldPeriod+12,0,-'Ops Assumptions'!AT36)</f>
        <v>-7051.6487082025005</v>
      </c>
      <c r="AG48" s="217">
        <f>IF(AG$4&gt;HoldPeriod+12,0,-'Ops Assumptions'!AU36)</f>
        <v>-7051.6487082025005</v>
      </c>
      <c r="AH48" s="217">
        <f>IF(AH$4&gt;HoldPeriod+12,0,-'Ops Assumptions'!AV36)</f>
        <v>-7051.6487082025005</v>
      </c>
      <c r="AI48" s="217">
        <f>IF(AI$4&gt;HoldPeriod+12,0,-'Ops Assumptions'!AW36)</f>
        <v>-7051.6487082025005</v>
      </c>
      <c r="AJ48" s="217">
        <f>IF(AJ$4&gt;HoldPeriod+12,0,-'Ops Assumptions'!AX36)</f>
        <v>-7051.6487082025005</v>
      </c>
      <c r="AK48" s="217">
        <f>IF(AK$4&gt;HoldPeriod+12,0,-'Ops Assumptions'!AY36)</f>
        <v>-7051.6487082025005</v>
      </c>
      <c r="AL48" s="217">
        <f>IF(AL$4&gt;HoldPeriod+12,0,-'Ops Assumptions'!AZ36)</f>
        <v>-7051.6487082025005</v>
      </c>
      <c r="AM48" s="217">
        <f>IF(AM$4&gt;HoldPeriod+12,0,-'Ops Assumptions'!BA36)</f>
        <v>-7051.6487082025005</v>
      </c>
      <c r="AN48" s="217">
        <f>IF(AN$4&gt;HoldPeriod+12,0,-'Ops Assumptions'!BB36)</f>
        <v>-7051.6487082025005</v>
      </c>
      <c r="AO48" s="217">
        <f>IF(AO$4&gt;HoldPeriod+12,0,-'Ops Assumptions'!BC36)</f>
        <v>-7051.6487082025005</v>
      </c>
      <c r="AP48" s="217">
        <f>IF(AP$4&gt;HoldPeriod+12,0,-'Ops Assumptions'!BD36)</f>
        <v>-7051.6487082025005</v>
      </c>
      <c r="AQ48" s="217">
        <f>IF(AQ$4&gt;HoldPeriod+12,0,-'Ops Assumptions'!BE36)</f>
        <v>-7263.1981694485758</v>
      </c>
      <c r="AR48" s="217">
        <f>IF(AR$4&gt;HoldPeriod+12,0,-'Ops Assumptions'!BF36)</f>
        <v>-7263.1981694485758</v>
      </c>
      <c r="AS48" s="217">
        <f>IF(AS$4&gt;HoldPeriod+12,0,-'Ops Assumptions'!BG36)</f>
        <v>-7263.1981694485758</v>
      </c>
      <c r="AT48" s="217">
        <f>IF(AT$4&gt;HoldPeriod+12,0,-'Ops Assumptions'!BH36)</f>
        <v>-7263.1981694485758</v>
      </c>
      <c r="AU48" s="217">
        <f>IF(AU$4&gt;HoldPeriod+12,0,-'Ops Assumptions'!BI36)</f>
        <v>-7263.1981694485758</v>
      </c>
      <c r="AV48" s="217">
        <f>IF(AV$4&gt;HoldPeriod+12,0,-'Ops Assumptions'!BJ36)</f>
        <v>-7263.1981694485758</v>
      </c>
      <c r="AW48" s="217">
        <f>IF(AW$4&gt;HoldPeriod+12,0,-'Ops Assumptions'!BK36)</f>
        <v>-7263.1981694485758</v>
      </c>
      <c r="AX48" s="217">
        <f>IF(AX$4&gt;HoldPeriod+12,0,-'Ops Assumptions'!BL36)</f>
        <v>-7263.1981694485758</v>
      </c>
      <c r="AY48" s="217">
        <f>IF(AY$4&gt;HoldPeriod+12,0,-'Ops Assumptions'!BM36)</f>
        <v>-7263.1981694485758</v>
      </c>
      <c r="AZ48" s="217">
        <f>IF(AZ$4&gt;HoldPeriod+12,0,-'Ops Assumptions'!BN36)</f>
        <v>-7263.1981694485758</v>
      </c>
      <c r="BA48" s="217">
        <f>IF(BA$4&gt;HoldPeriod+12,0,-'Ops Assumptions'!BO36)</f>
        <v>-7263.1981694485758</v>
      </c>
      <c r="BB48" s="217">
        <f>IF(BB$4&gt;HoldPeriod+12,0,-'Ops Assumptions'!BP36)</f>
        <v>-7263.1981694485758</v>
      </c>
      <c r="BC48" s="217">
        <f>IF(BC$4&gt;HoldPeriod+12,0,-'Ops Assumptions'!BQ36)</f>
        <v>-7481.094114532033</v>
      </c>
      <c r="BD48" s="217">
        <f>IF(BD$4&gt;HoldPeriod+12,0,-'Ops Assumptions'!BR36)</f>
        <v>-7481.094114532033</v>
      </c>
      <c r="BE48" s="217">
        <f>IF(BE$4&gt;HoldPeriod+12,0,-'Ops Assumptions'!BS36)</f>
        <v>-7481.094114532033</v>
      </c>
      <c r="BF48" s="217">
        <f>IF(BF$4&gt;HoldPeriod+12,0,-'Ops Assumptions'!BT36)</f>
        <v>-7481.094114532033</v>
      </c>
      <c r="BG48" s="217">
        <f>IF(BG$4&gt;HoldPeriod+12,0,-'Ops Assumptions'!BU36)</f>
        <v>-7481.094114532033</v>
      </c>
      <c r="BH48" s="217">
        <f>IF(BH$4&gt;HoldPeriod+12,0,-'Ops Assumptions'!BV36)</f>
        <v>-7481.094114532033</v>
      </c>
      <c r="BI48" s="217">
        <f>IF(BI$4&gt;HoldPeriod+12,0,-'Ops Assumptions'!BW36)</f>
        <v>-7481.094114532033</v>
      </c>
      <c r="BJ48" s="217">
        <f>IF(BJ$4&gt;HoldPeriod+12,0,-'Ops Assumptions'!BX36)</f>
        <v>-7481.094114532033</v>
      </c>
      <c r="BK48" s="217">
        <f>IF(BK$4&gt;HoldPeriod+12,0,-'Ops Assumptions'!BY36)</f>
        <v>-7481.094114532033</v>
      </c>
      <c r="BL48" s="217">
        <f>IF(BL$4&gt;HoldPeriod+12,0,-'Ops Assumptions'!BZ36)</f>
        <v>-7481.094114532033</v>
      </c>
      <c r="BM48" s="217">
        <f>IF(BM$4&gt;HoldPeriod+12,0,-'Ops Assumptions'!CA36)</f>
        <v>-7481.094114532033</v>
      </c>
      <c r="BN48" s="217">
        <f>IF(BN$4&gt;HoldPeriod+12,0,-'Ops Assumptions'!CB36)</f>
        <v>-7481.094114532033</v>
      </c>
      <c r="BO48" s="217">
        <f>IF(BO$4&gt;HoldPeriod+12,0,-'Ops Assumptions'!CC36)</f>
        <v>-7705.5269379679939</v>
      </c>
      <c r="BP48" s="217">
        <f>IF(BP$4&gt;HoldPeriod+12,0,-'Ops Assumptions'!CD36)</f>
        <v>-7705.5269379679939</v>
      </c>
      <c r="BQ48" s="217">
        <f>IF(BQ$4&gt;HoldPeriod+12,0,-'Ops Assumptions'!CE36)</f>
        <v>-7705.5269379679939</v>
      </c>
      <c r="BR48" s="217">
        <f>IF(BR$4&gt;HoldPeriod+12,0,-'Ops Assumptions'!CF36)</f>
        <v>-7705.5269379679939</v>
      </c>
      <c r="BS48" s="217">
        <f>IF(BS$4&gt;HoldPeriod+12,0,-'Ops Assumptions'!CG36)</f>
        <v>-7705.5269379679939</v>
      </c>
      <c r="BT48" s="217">
        <f>IF(BT$4&gt;HoldPeriod+12,0,-'Ops Assumptions'!CH36)</f>
        <v>-7705.5269379679939</v>
      </c>
      <c r="BU48" s="217">
        <f>IF(BU$4&gt;HoldPeriod+12,0,-'Ops Assumptions'!CI36)</f>
        <v>-7705.5269379679939</v>
      </c>
      <c r="BV48" s="217">
        <f>IF(BV$4&gt;HoldPeriod+12,0,-'Ops Assumptions'!CJ36)</f>
        <v>-7705.5269379679939</v>
      </c>
      <c r="BW48" s="217">
        <f>IF(BW$4&gt;HoldPeriod+12,0,-'Ops Assumptions'!CK36)</f>
        <v>-7705.5269379679939</v>
      </c>
      <c r="BX48" s="217">
        <f>IF(BX$4&gt;HoldPeriod+12,0,-'Ops Assumptions'!CL36)</f>
        <v>-7705.5269379679939</v>
      </c>
      <c r="BY48" s="217">
        <f>IF(BY$4&gt;HoldPeriod+12,0,-'Ops Assumptions'!CM36)</f>
        <v>-7705.5269379679939</v>
      </c>
      <c r="BZ48" s="217">
        <f>IF(BZ$4&gt;HoldPeriod+12,0,-'Ops Assumptions'!CN36)</f>
        <v>-7705.5269379679939</v>
      </c>
      <c r="CA48" s="217">
        <f>IF(CA$4&gt;HoldPeriod+12,0,-'Ops Assumptions'!CO36)</f>
        <v>0</v>
      </c>
      <c r="CB48" s="217">
        <f>IF(CB$4&gt;HoldPeriod+12,0,-'Ops Assumptions'!CP36)</f>
        <v>0</v>
      </c>
      <c r="CC48" s="217">
        <f>IF(CC$4&gt;HoldPeriod+12,0,-'Ops Assumptions'!CQ36)</f>
        <v>0</v>
      </c>
      <c r="CD48" s="217">
        <f>IF(CD$4&gt;HoldPeriod+12,0,-'Ops Assumptions'!CR36)</f>
        <v>0</v>
      </c>
      <c r="CE48" s="217">
        <f>IF(CE$4&gt;HoldPeriod+12,0,-'Ops Assumptions'!CS36)</f>
        <v>0</v>
      </c>
      <c r="CF48" s="217">
        <f>IF(CF$4&gt;HoldPeriod+12,0,-'Ops Assumptions'!CT36)</f>
        <v>0</v>
      </c>
      <c r="CG48" s="217">
        <f>IF(CG$4&gt;HoldPeriod+12,0,-'Ops Assumptions'!CU36)</f>
        <v>0</v>
      </c>
      <c r="CH48" s="217">
        <f>IF(CH$4&gt;HoldPeriod+12,0,-'Ops Assumptions'!CV36)</f>
        <v>0</v>
      </c>
      <c r="CI48" s="217">
        <f>IF(CI$4&gt;HoldPeriod+12,0,-'Ops Assumptions'!CW36)</f>
        <v>0</v>
      </c>
      <c r="CJ48" s="217">
        <f>IF(CJ$4&gt;HoldPeriod+12,0,-'Ops Assumptions'!CX36)</f>
        <v>0</v>
      </c>
      <c r="CK48" s="217">
        <f>IF(CK$4&gt;HoldPeriod+12,0,-'Ops Assumptions'!CY36)</f>
        <v>0</v>
      </c>
      <c r="CL48" s="217">
        <f>IF(CL$4&gt;HoldPeriod+12,0,-'Ops Assumptions'!CZ36)</f>
        <v>0</v>
      </c>
      <c r="CM48" s="217">
        <f>IF(CM$4&gt;HoldPeriod+12,0,-'Ops Assumptions'!DA36)</f>
        <v>0</v>
      </c>
      <c r="CN48" s="217">
        <f>IF(CN$4&gt;HoldPeriod+12,0,-'Ops Assumptions'!DB36)</f>
        <v>0</v>
      </c>
      <c r="CO48" s="217">
        <f>IF(CO$4&gt;HoldPeriod+12,0,-'Ops Assumptions'!DC36)</f>
        <v>0</v>
      </c>
      <c r="CP48" s="217">
        <f>IF(CP$4&gt;HoldPeriod+12,0,-'Ops Assumptions'!DD36)</f>
        <v>0</v>
      </c>
      <c r="CQ48" s="217">
        <f>IF(CQ$4&gt;HoldPeriod+12,0,-'Ops Assumptions'!DE36)</f>
        <v>0</v>
      </c>
      <c r="CR48" s="217">
        <f>IF(CR$4&gt;HoldPeriod+12,0,-'Ops Assumptions'!DF36)</f>
        <v>0</v>
      </c>
      <c r="CS48" s="217">
        <f>IF(CS$4&gt;HoldPeriod+12,0,-'Ops Assumptions'!DG36)</f>
        <v>0</v>
      </c>
      <c r="CT48" s="217">
        <f>IF(CT$4&gt;HoldPeriod+12,0,-'Ops Assumptions'!DH36)</f>
        <v>0</v>
      </c>
      <c r="CU48" s="217">
        <f>IF(CU$4&gt;HoldPeriod+12,0,-'Ops Assumptions'!DI36)</f>
        <v>0</v>
      </c>
      <c r="CV48" s="217">
        <f>IF(CV$4&gt;HoldPeriod+12,0,-'Ops Assumptions'!DJ36)</f>
        <v>0</v>
      </c>
      <c r="CW48" s="217">
        <f>IF(CW$4&gt;HoldPeriod+12,0,-'Ops Assumptions'!DK36)</f>
        <v>0</v>
      </c>
      <c r="CX48" s="217">
        <f>IF(CX$4&gt;HoldPeriod+12,0,-'Ops Assumptions'!DL36)</f>
        <v>0</v>
      </c>
      <c r="CY48" s="217">
        <f>IF(CY$4&gt;HoldPeriod+12,0,-'Ops Assumptions'!DM36)</f>
        <v>0</v>
      </c>
      <c r="CZ48" s="217">
        <f>IF(CZ$4&gt;HoldPeriod+12,0,-'Ops Assumptions'!DN36)</f>
        <v>0</v>
      </c>
      <c r="DA48" s="217">
        <f>IF(DA$4&gt;HoldPeriod+12,0,-'Ops Assumptions'!DO36)</f>
        <v>0</v>
      </c>
      <c r="DB48" s="217">
        <f>IF(DB$4&gt;HoldPeriod+12,0,-'Ops Assumptions'!DP36)</f>
        <v>0</v>
      </c>
      <c r="DC48" s="217">
        <f>IF(DC$4&gt;HoldPeriod+12,0,-'Ops Assumptions'!DQ36)</f>
        <v>0</v>
      </c>
      <c r="DD48" s="217">
        <f>IF(DD$4&gt;HoldPeriod+12,0,-'Ops Assumptions'!DR36)</f>
        <v>0</v>
      </c>
      <c r="DE48" s="217">
        <f>IF(DE$4&gt;HoldPeriod+12,0,-'Ops Assumptions'!DS36)</f>
        <v>0</v>
      </c>
      <c r="DF48" s="217">
        <f>IF(DF$4&gt;HoldPeriod+12,0,-'Ops Assumptions'!DT36)</f>
        <v>0</v>
      </c>
      <c r="DG48" s="217">
        <f>IF(DG$4&gt;HoldPeriod+12,0,-'Ops Assumptions'!DU36)</f>
        <v>0</v>
      </c>
      <c r="DH48" s="217">
        <f>IF(DH$4&gt;HoldPeriod+12,0,-'Ops Assumptions'!DV36)</f>
        <v>0</v>
      </c>
      <c r="DI48" s="217">
        <f>IF(DI$4&gt;HoldPeriod+12,0,-'Ops Assumptions'!DW36)</f>
        <v>0</v>
      </c>
      <c r="DJ48" s="217">
        <f>IF(DJ$4&gt;HoldPeriod+12,0,-'Ops Assumptions'!DX36)</f>
        <v>0</v>
      </c>
      <c r="DK48" s="217">
        <f>IF(DK$4&gt;HoldPeriod+12,0,-'Ops Assumptions'!DY36)</f>
        <v>0</v>
      </c>
      <c r="DL48" s="217">
        <f>IF(DL$4&gt;HoldPeriod+12,0,-'Ops Assumptions'!DZ36)</f>
        <v>0</v>
      </c>
      <c r="DM48" s="217">
        <f>IF(DM$4&gt;HoldPeriod+12,0,-'Ops Assumptions'!EA36)</f>
        <v>0</v>
      </c>
      <c r="DN48" s="217">
        <f>IF(DN$4&gt;HoldPeriod+12,0,-'Ops Assumptions'!EB36)</f>
        <v>0</v>
      </c>
      <c r="DO48" s="217">
        <f>IF(DO$4&gt;HoldPeriod+12,0,-'Ops Assumptions'!EC36)</f>
        <v>0</v>
      </c>
      <c r="DP48" s="217">
        <f>IF(DP$4&gt;HoldPeriod+12,0,-'Ops Assumptions'!ED36)</f>
        <v>0</v>
      </c>
      <c r="DQ48" s="217">
        <f>IF(DQ$4&gt;HoldPeriod+12,0,-'Ops Assumptions'!EE36)</f>
        <v>0</v>
      </c>
      <c r="DR48" s="217">
        <f>IF(DR$4&gt;HoldPeriod+12,0,-'Ops Assumptions'!EF36)</f>
        <v>0</v>
      </c>
      <c r="DS48" s="217">
        <f>IF(DS$4&gt;HoldPeriod+12,0,-'Ops Assumptions'!EG36)</f>
        <v>0</v>
      </c>
      <c r="DT48" s="217">
        <f>IF(DT$4&gt;HoldPeriod+12,0,-'Ops Assumptions'!EH36)</f>
        <v>0</v>
      </c>
      <c r="DU48" s="217">
        <f>IF(DU$4&gt;HoldPeriod+12,0,-'Ops Assumptions'!EI36)</f>
        <v>0</v>
      </c>
      <c r="DV48" s="217">
        <f>IF(DV$4&gt;HoldPeriod+12,0,-'Ops Assumptions'!EJ36)</f>
        <v>0</v>
      </c>
      <c r="DW48" s="217">
        <f>IF(DW$4&gt;HoldPeriod+12,0,-'Ops Assumptions'!EK36)</f>
        <v>0</v>
      </c>
      <c r="DX48" s="217">
        <f>IF(DX$4&gt;HoldPeriod+12,0,-'Ops Assumptions'!EL36)</f>
        <v>0</v>
      </c>
      <c r="DY48" s="217">
        <f>IF(DY$4&gt;HoldPeriod+12,0,-'Ops Assumptions'!EM36)</f>
        <v>0</v>
      </c>
      <c r="DZ48" s="217">
        <f>IF(DZ$4&gt;HoldPeriod+12,0,-'Ops Assumptions'!EN36)</f>
        <v>0</v>
      </c>
      <c r="EA48" s="217">
        <f>IF(EA$4&gt;HoldPeriod+12,0,-'Ops Assumptions'!EO36)</f>
        <v>0</v>
      </c>
      <c r="EB48" s="217">
        <f>IF(EB$4&gt;HoldPeriod+12,0,-'Ops Assumptions'!EP36)</f>
        <v>0</v>
      </c>
      <c r="EC48" s="217">
        <f>IF(EC$4&gt;HoldPeriod+12,0,-'Ops Assumptions'!EQ36)</f>
        <v>0</v>
      </c>
      <c r="ED48" s="217">
        <f>IF(ED$4&gt;HoldPeriod+12,0,-'Ops Assumptions'!ER36)</f>
        <v>0</v>
      </c>
      <c r="EE48" s="217">
        <f>IF(EE$4&gt;HoldPeriod+12,0,-'Ops Assumptions'!ES36)</f>
        <v>0</v>
      </c>
      <c r="EF48" s="217">
        <f>IF(EF$4&gt;HoldPeriod+12,0,-'Ops Assumptions'!ET36)</f>
        <v>0</v>
      </c>
      <c r="EG48" s="217">
        <f>IF(EG$4&gt;HoldPeriod+12,0,-'Ops Assumptions'!EU36)</f>
        <v>0</v>
      </c>
      <c r="EH48" s="217">
        <f>IF(EH$4&gt;HoldPeriod+12,0,-'Ops Assumptions'!EV36)</f>
        <v>0</v>
      </c>
      <c r="EI48" s="158" t="s">
        <v>243</v>
      </c>
    </row>
    <row r="49" spans="1:139" s="217" customFormat="1" x14ac:dyDescent="0.2">
      <c r="B49" s="258" t="str">
        <f>'Ops Assumptions'!B12</f>
        <v>Marketing</v>
      </c>
      <c r="C49" s="209"/>
      <c r="D49" s="308">
        <f t="shared" si="69"/>
        <v>-282869.90649507032</v>
      </c>
      <c r="E49" s="309">
        <f>-Financials!AL25</f>
        <v>-2898.7341666666666</v>
      </c>
      <c r="F49" s="217">
        <v>0</v>
      </c>
      <c r="G49" s="217">
        <f>IF(G$4&gt;HoldPeriod+12,0,-'Ops Assumptions'!U37)</f>
        <v>-4439.9866666666667</v>
      </c>
      <c r="H49" s="217">
        <f>IF(H$4&gt;HoldPeriod+12,0,-'Ops Assumptions'!V37)</f>
        <v>-4439.9866666666667</v>
      </c>
      <c r="I49" s="217">
        <f>IF(I$4&gt;HoldPeriod+12,0,-'Ops Assumptions'!W37)</f>
        <v>-4439.9866666666667</v>
      </c>
      <c r="J49" s="217">
        <f>IF(J$4&gt;HoldPeriod+12,0,-'Ops Assumptions'!X37)</f>
        <v>-4439.9866666666667</v>
      </c>
      <c r="K49" s="217">
        <f>IF(K$4&gt;HoldPeriod+12,0,-'Ops Assumptions'!Y37)</f>
        <v>-4439.9866666666667</v>
      </c>
      <c r="L49" s="217">
        <f>IF(L$4&gt;HoldPeriod+12,0,-'Ops Assumptions'!Z37)</f>
        <v>-4439.9866666666667</v>
      </c>
      <c r="M49" s="217">
        <f>IF(M$4&gt;HoldPeriod+12,0,-'Ops Assumptions'!AA37)</f>
        <v>-4439.9866666666667</v>
      </c>
      <c r="N49" s="217">
        <f>IF(N$4&gt;HoldPeriod+12,0,-'Ops Assumptions'!AB37)</f>
        <v>-4439.9866666666667</v>
      </c>
      <c r="O49" s="217">
        <f>IF(O$4&gt;HoldPeriod+12,0,-'Ops Assumptions'!AC37)</f>
        <v>-4439.9866666666667</v>
      </c>
      <c r="P49" s="217">
        <f>IF(P$4&gt;HoldPeriod+12,0,-'Ops Assumptions'!AD37)</f>
        <v>-4439.9866666666667</v>
      </c>
      <c r="Q49" s="217">
        <f>IF(Q$4&gt;HoldPeriod+12,0,-'Ops Assumptions'!AE37)</f>
        <v>-4439.9866666666667</v>
      </c>
      <c r="R49" s="217">
        <f>IF(R$4&gt;HoldPeriod+12,0,-'Ops Assumptions'!AF37)</f>
        <v>-4439.9866666666667</v>
      </c>
      <c r="S49" s="217">
        <f>IF(S$4&gt;HoldPeriod+12,0,-'Ops Assumptions'!AG37)</f>
        <v>-4573.1862666666666</v>
      </c>
      <c r="T49" s="217">
        <f>IF(T$4&gt;HoldPeriod+12,0,-'Ops Assumptions'!AH37)</f>
        <v>-4573.1862666666666</v>
      </c>
      <c r="U49" s="217">
        <f>IF(U$4&gt;HoldPeriod+12,0,-'Ops Assumptions'!AI37)</f>
        <v>-4573.1862666666666</v>
      </c>
      <c r="V49" s="217">
        <f>IF(V$4&gt;HoldPeriod+12,0,-'Ops Assumptions'!AJ37)</f>
        <v>-4573.1862666666666</v>
      </c>
      <c r="W49" s="217">
        <f>IF(W$4&gt;HoldPeriod+12,0,-'Ops Assumptions'!AK37)</f>
        <v>-4573.1862666666666</v>
      </c>
      <c r="X49" s="217">
        <f>IF(X$4&gt;HoldPeriod+12,0,-'Ops Assumptions'!AL37)</f>
        <v>-4573.1862666666666</v>
      </c>
      <c r="Y49" s="217">
        <f>IF(Y$4&gt;HoldPeriod+12,0,-'Ops Assumptions'!AM37)</f>
        <v>-4573.1862666666666</v>
      </c>
      <c r="Z49" s="217">
        <f>IF(Z$4&gt;HoldPeriod+12,0,-'Ops Assumptions'!AN37)</f>
        <v>-4573.1862666666666</v>
      </c>
      <c r="AA49" s="217">
        <f>IF(AA$4&gt;HoldPeriod+12,0,-'Ops Assumptions'!AO37)</f>
        <v>-4573.1862666666666</v>
      </c>
      <c r="AB49" s="217">
        <f>IF(AB$4&gt;HoldPeriod+12,0,-'Ops Assumptions'!AP37)</f>
        <v>-4573.1862666666666</v>
      </c>
      <c r="AC49" s="217">
        <f>IF(AC$4&gt;HoldPeriod+12,0,-'Ops Assumptions'!AQ37)</f>
        <v>-4573.1862666666666</v>
      </c>
      <c r="AD49" s="217">
        <f>IF(AD$4&gt;HoldPeriod+12,0,-'Ops Assumptions'!AR37)</f>
        <v>-4573.1862666666666</v>
      </c>
      <c r="AE49" s="217">
        <f>IF(AE$4&gt;HoldPeriod+12,0,-'Ops Assumptions'!AS37)</f>
        <v>-4710.3818546666671</v>
      </c>
      <c r="AF49" s="217">
        <f>IF(AF$4&gt;HoldPeriod+12,0,-'Ops Assumptions'!AT37)</f>
        <v>-4710.3818546666671</v>
      </c>
      <c r="AG49" s="217">
        <f>IF(AG$4&gt;HoldPeriod+12,0,-'Ops Assumptions'!AU37)</f>
        <v>-4710.3818546666671</v>
      </c>
      <c r="AH49" s="217">
        <f>IF(AH$4&gt;HoldPeriod+12,0,-'Ops Assumptions'!AV37)</f>
        <v>-4710.3818546666671</v>
      </c>
      <c r="AI49" s="217">
        <f>IF(AI$4&gt;HoldPeriod+12,0,-'Ops Assumptions'!AW37)</f>
        <v>-4710.3818546666671</v>
      </c>
      <c r="AJ49" s="217">
        <f>IF(AJ$4&gt;HoldPeriod+12,0,-'Ops Assumptions'!AX37)</f>
        <v>-4710.3818546666671</v>
      </c>
      <c r="AK49" s="217">
        <f>IF(AK$4&gt;HoldPeriod+12,0,-'Ops Assumptions'!AY37)</f>
        <v>-4710.3818546666671</v>
      </c>
      <c r="AL49" s="217">
        <f>IF(AL$4&gt;HoldPeriod+12,0,-'Ops Assumptions'!AZ37)</f>
        <v>-4710.3818546666671</v>
      </c>
      <c r="AM49" s="217">
        <f>IF(AM$4&gt;HoldPeriod+12,0,-'Ops Assumptions'!BA37)</f>
        <v>-4710.3818546666671</v>
      </c>
      <c r="AN49" s="217">
        <f>IF(AN$4&gt;HoldPeriod+12,0,-'Ops Assumptions'!BB37)</f>
        <v>-4710.3818546666671</v>
      </c>
      <c r="AO49" s="217">
        <f>IF(AO$4&gt;HoldPeriod+12,0,-'Ops Assumptions'!BC37)</f>
        <v>-4710.3818546666671</v>
      </c>
      <c r="AP49" s="217">
        <f>IF(AP$4&gt;HoldPeriod+12,0,-'Ops Assumptions'!BD37)</f>
        <v>-4710.3818546666671</v>
      </c>
      <c r="AQ49" s="217">
        <f>IF(AQ$4&gt;HoldPeriod+12,0,-'Ops Assumptions'!BE37)</f>
        <v>-4851.6933103066676</v>
      </c>
      <c r="AR49" s="217">
        <f>IF(AR$4&gt;HoldPeriod+12,0,-'Ops Assumptions'!BF37)</f>
        <v>-4851.6933103066676</v>
      </c>
      <c r="AS49" s="217">
        <f>IF(AS$4&gt;HoldPeriod+12,0,-'Ops Assumptions'!BG37)</f>
        <v>-4851.6933103066676</v>
      </c>
      <c r="AT49" s="217">
        <f>IF(AT$4&gt;HoldPeriod+12,0,-'Ops Assumptions'!BH37)</f>
        <v>-4851.6933103066676</v>
      </c>
      <c r="AU49" s="217">
        <f>IF(AU$4&gt;HoldPeriod+12,0,-'Ops Assumptions'!BI37)</f>
        <v>-4851.6933103066676</v>
      </c>
      <c r="AV49" s="217">
        <f>IF(AV$4&gt;HoldPeriod+12,0,-'Ops Assumptions'!BJ37)</f>
        <v>-4851.6933103066676</v>
      </c>
      <c r="AW49" s="217">
        <f>IF(AW$4&gt;HoldPeriod+12,0,-'Ops Assumptions'!BK37)</f>
        <v>-4851.6933103066676</v>
      </c>
      <c r="AX49" s="217">
        <f>IF(AX$4&gt;HoldPeriod+12,0,-'Ops Assumptions'!BL37)</f>
        <v>-4851.6933103066676</v>
      </c>
      <c r="AY49" s="217">
        <f>IF(AY$4&gt;HoldPeriod+12,0,-'Ops Assumptions'!BM37)</f>
        <v>-4851.6933103066676</v>
      </c>
      <c r="AZ49" s="217">
        <f>IF(AZ$4&gt;HoldPeriod+12,0,-'Ops Assumptions'!BN37)</f>
        <v>-4851.6933103066676</v>
      </c>
      <c r="BA49" s="217">
        <f>IF(BA$4&gt;HoldPeriod+12,0,-'Ops Assumptions'!BO37)</f>
        <v>-4851.6933103066676</v>
      </c>
      <c r="BB49" s="217">
        <f>IF(BB$4&gt;HoldPeriod+12,0,-'Ops Assumptions'!BP37)</f>
        <v>-4851.6933103066676</v>
      </c>
      <c r="BC49" s="217">
        <f>IF(BC$4&gt;HoldPeriod+12,0,-'Ops Assumptions'!BQ37)</f>
        <v>-4997.2441096158682</v>
      </c>
      <c r="BD49" s="217">
        <f>IF(BD$4&gt;HoldPeriod+12,0,-'Ops Assumptions'!BR37)</f>
        <v>-4997.2441096158682</v>
      </c>
      <c r="BE49" s="217">
        <f>IF(BE$4&gt;HoldPeriod+12,0,-'Ops Assumptions'!BS37)</f>
        <v>-4997.2441096158682</v>
      </c>
      <c r="BF49" s="217">
        <f>IF(BF$4&gt;HoldPeriod+12,0,-'Ops Assumptions'!BT37)</f>
        <v>-4997.2441096158682</v>
      </c>
      <c r="BG49" s="217">
        <f>IF(BG$4&gt;HoldPeriod+12,0,-'Ops Assumptions'!BU37)</f>
        <v>-4997.2441096158682</v>
      </c>
      <c r="BH49" s="217">
        <f>IF(BH$4&gt;HoldPeriod+12,0,-'Ops Assumptions'!BV37)</f>
        <v>-4997.2441096158682</v>
      </c>
      <c r="BI49" s="217">
        <f>IF(BI$4&gt;HoldPeriod+12,0,-'Ops Assumptions'!BW37)</f>
        <v>-4997.2441096158682</v>
      </c>
      <c r="BJ49" s="217">
        <f>IF(BJ$4&gt;HoldPeriod+12,0,-'Ops Assumptions'!BX37)</f>
        <v>-4997.2441096158682</v>
      </c>
      <c r="BK49" s="217">
        <f>IF(BK$4&gt;HoldPeriod+12,0,-'Ops Assumptions'!BY37)</f>
        <v>-4997.2441096158682</v>
      </c>
      <c r="BL49" s="217">
        <f>IF(BL$4&gt;HoldPeriod+12,0,-'Ops Assumptions'!BZ37)</f>
        <v>-4997.2441096158682</v>
      </c>
      <c r="BM49" s="217">
        <f>IF(BM$4&gt;HoldPeriod+12,0,-'Ops Assumptions'!CA37)</f>
        <v>-4997.2441096158682</v>
      </c>
      <c r="BN49" s="217">
        <f>IF(BN$4&gt;HoldPeriod+12,0,-'Ops Assumptions'!CB37)</f>
        <v>-4997.2441096158682</v>
      </c>
      <c r="BO49" s="217">
        <f>IF(BO$4&gt;HoldPeriod+12,0,-'Ops Assumptions'!CC37)</f>
        <v>-5147.1614329043441</v>
      </c>
      <c r="BP49" s="217">
        <f>IF(BP$4&gt;HoldPeriod+12,0,-'Ops Assumptions'!CD37)</f>
        <v>-5147.1614329043441</v>
      </c>
      <c r="BQ49" s="217">
        <f>IF(BQ$4&gt;HoldPeriod+12,0,-'Ops Assumptions'!CE37)</f>
        <v>-5147.1614329043441</v>
      </c>
      <c r="BR49" s="217">
        <f>IF(BR$4&gt;HoldPeriod+12,0,-'Ops Assumptions'!CF37)</f>
        <v>-5147.1614329043441</v>
      </c>
      <c r="BS49" s="217">
        <f>IF(BS$4&gt;HoldPeriod+12,0,-'Ops Assumptions'!CG37)</f>
        <v>-5147.1614329043441</v>
      </c>
      <c r="BT49" s="217">
        <f>IF(BT$4&gt;HoldPeriod+12,0,-'Ops Assumptions'!CH37)</f>
        <v>-5147.1614329043441</v>
      </c>
      <c r="BU49" s="217">
        <f>IF(BU$4&gt;HoldPeriod+12,0,-'Ops Assumptions'!CI37)</f>
        <v>-5147.1614329043441</v>
      </c>
      <c r="BV49" s="217">
        <f>IF(BV$4&gt;HoldPeriod+12,0,-'Ops Assumptions'!CJ37)</f>
        <v>-5147.1614329043441</v>
      </c>
      <c r="BW49" s="217">
        <f>IF(BW$4&gt;HoldPeriod+12,0,-'Ops Assumptions'!CK37)</f>
        <v>-5147.1614329043441</v>
      </c>
      <c r="BX49" s="217">
        <f>IF(BX$4&gt;HoldPeriod+12,0,-'Ops Assumptions'!CL37)</f>
        <v>-5147.1614329043441</v>
      </c>
      <c r="BY49" s="217">
        <f>IF(BY$4&gt;HoldPeriod+12,0,-'Ops Assumptions'!CM37)</f>
        <v>-5147.1614329043441</v>
      </c>
      <c r="BZ49" s="217">
        <f>IF(BZ$4&gt;HoldPeriod+12,0,-'Ops Assumptions'!CN37)</f>
        <v>-5147.1614329043441</v>
      </c>
      <c r="CA49" s="217">
        <f>IF(CA$4&gt;HoldPeriod+12,0,-'Ops Assumptions'!CO37)</f>
        <v>0</v>
      </c>
      <c r="CB49" s="217">
        <f>IF(CB$4&gt;HoldPeriod+12,0,-'Ops Assumptions'!CP37)</f>
        <v>0</v>
      </c>
      <c r="CC49" s="217">
        <f>IF(CC$4&gt;HoldPeriod+12,0,-'Ops Assumptions'!CQ37)</f>
        <v>0</v>
      </c>
      <c r="CD49" s="217">
        <f>IF(CD$4&gt;HoldPeriod+12,0,-'Ops Assumptions'!CR37)</f>
        <v>0</v>
      </c>
      <c r="CE49" s="217">
        <f>IF(CE$4&gt;HoldPeriod+12,0,-'Ops Assumptions'!CS37)</f>
        <v>0</v>
      </c>
      <c r="CF49" s="217">
        <f>IF(CF$4&gt;HoldPeriod+12,0,-'Ops Assumptions'!CT37)</f>
        <v>0</v>
      </c>
      <c r="CG49" s="217">
        <f>IF(CG$4&gt;HoldPeriod+12,0,-'Ops Assumptions'!CU37)</f>
        <v>0</v>
      </c>
      <c r="CH49" s="217">
        <f>IF(CH$4&gt;HoldPeriod+12,0,-'Ops Assumptions'!CV37)</f>
        <v>0</v>
      </c>
      <c r="CI49" s="217">
        <f>IF(CI$4&gt;HoldPeriod+12,0,-'Ops Assumptions'!CW37)</f>
        <v>0</v>
      </c>
      <c r="CJ49" s="217">
        <f>IF(CJ$4&gt;HoldPeriod+12,0,-'Ops Assumptions'!CX37)</f>
        <v>0</v>
      </c>
      <c r="CK49" s="217">
        <f>IF(CK$4&gt;HoldPeriod+12,0,-'Ops Assumptions'!CY37)</f>
        <v>0</v>
      </c>
      <c r="CL49" s="217">
        <f>IF(CL$4&gt;HoldPeriod+12,0,-'Ops Assumptions'!CZ37)</f>
        <v>0</v>
      </c>
      <c r="CM49" s="217">
        <f>IF(CM$4&gt;HoldPeriod+12,0,-'Ops Assumptions'!DA37)</f>
        <v>0</v>
      </c>
      <c r="CN49" s="217">
        <f>IF(CN$4&gt;HoldPeriod+12,0,-'Ops Assumptions'!DB37)</f>
        <v>0</v>
      </c>
      <c r="CO49" s="217">
        <f>IF(CO$4&gt;HoldPeriod+12,0,-'Ops Assumptions'!DC37)</f>
        <v>0</v>
      </c>
      <c r="CP49" s="217">
        <f>IF(CP$4&gt;HoldPeriod+12,0,-'Ops Assumptions'!DD37)</f>
        <v>0</v>
      </c>
      <c r="CQ49" s="217">
        <f>IF(CQ$4&gt;HoldPeriod+12,0,-'Ops Assumptions'!DE37)</f>
        <v>0</v>
      </c>
      <c r="CR49" s="217">
        <f>IF(CR$4&gt;HoldPeriod+12,0,-'Ops Assumptions'!DF37)</f>
        <v>0</v>
      </c>
      <c r="CS49" s="217">
        <f>IF(CS$4&gt;HoldPeriod+12,0,-'Ops Assumptions'!DG37)</f>
        <v>0</v>
      </c>
      <c r="CT49" s="217">
        <f>IF(CT$4&gt;HoldPeriod+12,0,-'Ops Assumptions'!DH37)</f>
        <v>0</v>
      </c>
      <c r="CU49" s="217">
        <f>IF(CU$4&gt;HoldPeriod+12,0,-'Ops Assumptions'!DI37)</f>
        <v>0</v>
      </c>
      <c r="CV49" s="217">
        <f>IF(CV$4&gt;HoldPeriod+12,0,-'Ops Assumptions'!DJ37)</f>
        <v>0</v>
      </c>
      <c r="CW49" s="217">
        <f>IF(CW$4&gt;HoldPeriod+12,0,-'Ops Assumptions'!DK37)</f>
        <v>0</v>
      </c>
      <c r="CX49" s="217">
        <f>IF(CX$4&gt;HoldPeriod+12,0,-'Ops Assumptions'!DL37)</f>
        <v>0</v>
      </c>
      <c r="CY49" s="217">
        <f>IF(CY$4&gt;HoldPeriod+12,0,-'Ops Assumptions'!DM37)</f>
        <v>0</v>
      </c>
      <c r="CZ49" s="217">
        <f>IF(CZ$4&gt;HoldPeriod+12,0,-'Ops Assumptions'!DN37)</f>
        <v>0</v>
      </c>
      <c r="DA49" s="217">
        <f>IF(DA$4&gt;HoldPeriod+12,0,-'Ops Assumptions'!DO37)</f>
        <v>0</v>
      </c>
      <c r="DB49" s="217">
        <f>IF(DB$4&gt;HoldPeriod+12,0,-'Ops Assumptions'!DP37)</f>
        <v>0</v>
      </c>
      <c r="DC49" s="217">
        <f>IF(DC$4&gt;HoldPeriod+12,0,-'Ops Assumptions'!DQ37)</f>
        <v>0</v>
      </c>
      <c r="DD49" s="217">
        <f>IF(DD$4&gt;HoldPeriod+12,0,-'Ops Assumptions'!DR37)</f>
        <v>0</v>
      </c>
      <c r="DE49" s="217">
        <f>IF(DE$4&gt;HoldPeriod+12,0,-'Ops Assumptions'!DS37)</f>
        <v>0</v>
      </c>
      <c r="DF49" s="217">
        <f>IF(DF$4&gt;HoldPeriod+12,0,-'Ops Assumptions'!DT37)</f>
        <v>0</v>
      </c>
      <c r="DG49" s="217">
        <f>IF(DG$4&gt;HoldPeriod+12,0,-'Ops Assumptions'!DU37)</f>
        <v>0</v>
      </c>
      <c r="DH49" s="217">
        <f>IF(DH$4&gt;HoldPeriod+12,0,-'Ops Assumptions'!DV37)</f>
        <v>0</v>
      </c>
      <c r="DI49" s="217">
        <f>IF(DI$4&gt;HoldPeriod+12,0,-'Ops Assumptions'!DW37)</f>
        <v>0</v>
      </c>
      <c r="DJ49" s="217">
        <f>IF(DJ$4&gt;HoldPeriod+12,0,-'Ops Assumptions'!DX37)</f>
        <v>0</v>
      </c>
      <c r="DK49" s="217">
        <f>IF(DK$4&gt;HoldPeriod+12,0,-'Ops Assumptions'!DY37)</f>
        <v>0</v>
      </c>
      <c r="DL49" s="217">
        <f>IF(DL$4&gt;HoldPeriod+12,0,-'Ops Assumptions'!DZ37)</f>
        <v>0</v>
      </c>
      <c r="DM49" s="217">
        <f>IF(DM$4&gt;HoldPeriod+12,0,-'Ops Assumptions'!EA37)</f>
        <v>0</v>
      </c>
      <c r="DN49" s="217">
        <f>IF(DN$4&gt;HoldPeriod+12,0,-'Ops Assumptions'!EB37)</f>
        <v>0</v>
      </c>
      <c r="DO49" s="217">
        <f>IF(DO$4&gt;HoldPeriod+12,0,-'Ops Assumptions'!EC37)</f>
        <v>0</v>
      </c>
      <c r="DP49" s="217">
        <f>IF(DP$4&gt;HoldPeriod+12,0,-'Ops Assumptions'!ED37)</f>
        <v>0</v>
      </c>
      <c r="DQ49" s="217">
        <f>IF(DQ$4&gt;HoldPeriod+12,0,-'Ops Assumptions'!EE37)</f>
        <v>0</v>
      </c>
      <c r="DR49" s="217">
        <f>IF(DR$4&gt;HoldPeriod+12,0,-'Ops Assumptions'!EF37)</f>
        <v>0</v>
      </c>
      <c r="DS49" s="217">
        <f>IF(DS$4&gt;HoldPeriod+12,0,-'Ops Assumptions'!EG37)</f>
        <v>0</v>
      </c>
      <c r="DT49" s="217">
        <f>IF(DT$4&gt;HoldPeriod+12,0,-'Ops Assumptions'!EH37)</f>
        <v>0</v>
      </c>
      <c r="DU49" s="217">
        <f>IF(DU$4&gt;HoldPeriod+12,0,-'Ops Assumptions'!EI37)</f>
        <v>0</v>
      </c>
      <c r="DV49" s="217">
        <f>IF(DV$4&gt;HoldPeriod+12,0,-'Ops Assumptions'!EJ37)</f>
        <v>0</v>
      </c>
      <c r="DW49" s="217">
        <f>IF(DW$4&gt;HoldPeriod+12,0,-'Ops Assumptions'!EK37)</f>
        <v>0</v>
      </c>
      <c r="DX49" s="217">
        <f>IF(DX$4&gt;HoldPeriod+12,0,-'Ops Assumptions'!EL37)</f>
        <v>0</v>
      </c>
      <c r="DY49" s="217">
        <f>IF(DY$4&gt;HoldPeriod+12,0,-'Ops Assumptions'!EM37)</f>
        <v>0</v>
      </c>
      <c r="DZ49" s="217">
        <f>IF(DZ$4&gt;HoldPeriod+12,0,-'Ops Assumptions'!EN37)</f>
        <v>0</v>
      </c>
      <c r="EA49" s="217">
        <f>IF(EA$4&gt;HoldPeriod+12,0,-'Ops Assumptions'!EO37)</f>
        <v>0</v>
      </c>
      <c r="EB49" s="217">
        <f>IF(EB$4&gt;HoldPeriod+12,0,-'Ops Assumptions'!EP37)</f>
        <v>0</v>
      </c>
      <c r="EC49" s="217">
        <f>IF(EC$4&gt;HoldPeriod+12,0,-'Ops Assumptions'!EQ37)</f>
        <v>0</v>
      </c>
      <c r="ED49" s="217">
        <f>IF(ED$4&gt;HoldPeriod+12,0,-'Ops Assumptions'!ER37)</f>
        <v>0</v>
      </c>
      <c r="EE49" s="217">
        <f>IF(EE$4&gt;HoldPeriod+12,0,-'Ops Assumptions'!ES37)</f>
        <v>0</v>
      </c>
      <c r="EF49" s="217">
        <f>IF(EF$4&gt;HoldPeriod+12,0,-'Ops Assumptions'!ET37)</f>
        <v>0</v>
      </c>
      <c r="EG49" s="217">
        <f>IF(EG$4&gt;HoldPeriod+12,0,-'Ops Assumptions'!EU37)</f>
        <v>0</v>
      </c>
      <c r="EH49" s="217">
        <f>IF(EH$4&gt;HoldPeriod+12,0,-'Ops Assumptions'!EV37)</f>
        <v>0</v>
      </c>
      <c r="EI49" s="158" t="s">
        <v>243</v>
      </c>
    </row>
    <row r="50" spans="1:139" s="217" customFormat="1" x14ac:dyDescent="0.2">
      <c r="B50" s="258" t="str">
        <f>'Ops Assumptions'!B13</f>
        <v>Utilities</v>
      </c>
      <c r="C50" s="209"/>
      <c r="D50" s="308">
        <f t="shared" si="69"/>
        <v>-796572.33102621208</v>
      </c>
      <c r="E50" s="309">
        <f>-Financials!AL26</f>
        <v>-12148.179166666667</v>
      </c>
      <c r="F50" s="217">
        <v>0</v>
      </c>
      <c r="G50" s="217">
        <f>IF(G$4&gt;HoldPeriod+12,0,-'Ops Assumptions'!U38)</f>
        <v>-12503.17</v>
      </c>
      <c r="H50" s="217">
        <f>IF(H$4&gt;HoldPeriod+12,0,-'Ops Assumptions'!V38)</f>
        <v>-12503.17</v>
      </c>
      <c r="I50" s="217">
        <f>IF(I$4&gt;HoldPeriod+12,0,-'Ops Assumptions'!W38)</f>
        <v>-12503.17</v>
      </c>
      <c r="J50" s="217">
        <f>IF(J$4&gt;HoldPeriod+12,0,-'Ops Assumptions'!X38)</f>
        <v>-12503.17</v>
      </c>
      <c r="K50" s="217">
        <f>IF(K$4&gt;HoldPeriod+12,0,-'Ops Assumptions'!Y38)</f>
        <v>-12503.17</v>
      </c>
      <c r="L50" s="217">
        <f>IF(L$4&gt;HoldPeriod+12,0,-'Ops Assumptions'!Z38)</f>
        <v>-12503.17</v>
      </c>
      <c r="M50" s="217">
        <f>IF(M$4&gt;HoldPeriod+12,0,-'Ops Assumptions'!AA38)</f>
        <v>-12503.17</v>
      </c>
      <c r="N50" s="217">
        <f>IF(N$4&gt;HoldPeriod+12,0,-'Ops Assumptions'!AB38)</f>
        <v>-12503.17</v>
      </c>
      <c r="O50" s="217">
        <f>IF(O$4&gt;HoldPeriod+12,0,-'Ops Assumptions'!AC38)</f>
        <v>-12503.17</v>
      </c>
      <c r="P50" s="217">
        <f>IF(P$4&gt;HoldPeriod+12,0,-'Ops Assumptions'!AD38)</f>
        <v>-12503.17</v>
      </c>
      <c r="Q50" s="217">
        <f>IF(Q$4&gt;HoldPeriod+12,0,-'Ops Assumptions'!AE38)</f>
        <v>-12503.17</v>
      </c>
      <c r="R50" s="217">
        <f>IF(R$4&gt;HoldPeriod+12,0,-'Ops Assumptions'!AF38)</f>
        <v>-12503.17</v>
      </c>
      <c r="S50" s="217">
        <f>IF(S$4&gt;HoldPeriod+12,0,-'Ops Assumptions'!AG38)</f>
        <v>-12878.265100000001</v>
      </c>
      <c r="T50" s="217">
        <f>IF(T$4&gt;HoldPeriod+12,0,-'Ops Assumptions'!AH38)</f>
        <v>-12878.265100000001</v>
      </c>
      <c r="U50" s="217">
        <f>IF(U$4&gt;HoldPeriod+12,0,-'Ops Assumptions'!AI38)</f>
        <v>-12878.265100000001</v>
      </c>
      <c r="V50" s="217">
        <f>IF(V$4&gt;HoldPeriod+12,0,-'Ops Assumptions'!AJ38)</f>
        <v>-12878.265100000001</v>
      </c>
      <c r="W50" s="217">
        <f>IF(W$4&gt;HoldPeriod+12,0,-'Ops Assumptions'!AK38)</f>
        <v>-12878.265100000001</v>
      </c>
      <c r="X50" s="217">
        <f>IF(X$4&gt;HoldPeriod+12,0,-'Ops Assumptions'!AL38)</f>
        <v>-12878.265100000001</v>
      </c>
      <c r="Y50" s="217">
        <f>IF(Y$4&gt;HoldPeriod+12,0,-'Ops Assumptions'!AM38)</f>
        <v>-12878.265100000001</v>
      </c>
      <c r="Z50" s="217">
        <f>IF(Z$4&gt;HoldPeriod+12,0,-'Ops Assumptions'!AN38)</f>
        <v>-12878.265100000001</v>
      </c>
      <c r="AA50" s="217">
        <f>IF(AA$4&gt;HoldPeriod+12,0,-'Ops Assumptions'!AO38)</f>
        <v>-12878.265100000001</v>
      </c>
      <c r="AB50" s="217">
        <f>IF(AB$4&gt;HoldPeriod+12,0,-'Ops Assumptions'!AP38)</f>
        <v>-12878.265100000001</v>
      </c>
      <c r="AC50" s="217">
        <f>IF(AC$4&gt;HoldPeriod+12,0,-'Ops Assumptions'!AQ38)</f>
        <v>-12878.265100000001</v>
      </c>
      <c r="AD50" s="217">
        <f>IF(AD$4&gt;HoldPeriod+12,0,-'Ops Assumptions'!AR38)</f>
        <v>-12878.265100000001</v>
      </c>
      <c r="AE50" s="217">
        <f>IF(AE$4&gt;HoldPeriod+12,0,-'Ops Assumptions'!AS38)</f>
        <v>-13264.613053000001</v>
      </c>
      <c r="AF50" s="217">
        <f>IF(AF$4&gt;HoldPeriod+12,0,-'Ops Assumptions'!AT38)</f>
        <v>-13264.613053000001</v>
      </c>
      <c r="AG50" s="217">
        <f>IF(AG$4&gt;HoldPeriod+12,0,-'Ops Assumptions'!AU38)</f>
        <v>-13264.613053000001</v>
      </c>
      <c r="AH50" s="217">
        <f>IF(AH$4&gt;HoldPeriod+12,0,-'Ops Assumptions'!AV38)</f>
        <v>-13264.613053000001</v>
      </c>
      <c r="AI50" s="217">
        <f>IF(AI$4&gt;HoldPeriod+12,0,-'Ops Assumptions'!AW38)</f>
        <v>-13264.613053000001</v>
      </c>
      <c r="AJ50" s="217">
        <f>IF(AJ$4&gt;HoldPeriod+12,0,-'Ops Assumptions'!AX38)</f>
        <v>-13264.613053000001</v>
      </c>
      <c r="AK50" s="217">
        <f>IF(AK$4&gt;HoldPeriod+12,0,-'Ops Assumptions'!AY38)</f>
        <v>-13264.613053000001</v>
      </c>
      <c r="AL50" s="217">
        <f>IF(AL$4&gt;HoldPeriod+12,0,-'Ops Assumptions'!AZ38)</f>
        <v>-13264.613053000001</v>
      </c>
      <c r="AM50" s="217">
        <f>IF(AM$4&gt;HoldPeriod+12,0,-'Ops Assumptions'!BA38)</f>
        <v>-13264.613053000001</v>
      </c>
      <c r="AN50" s="217">
        <f>IF(AN$4&gt;HoldPeriod+12,0,-'Ops Assumptions'!BB38)</f>
        <v>-13264.613053000001</v>
      </c>
      <c r="AO50" s="217">
        <f>IF(AO$4&gt;HoldPeriod+12,0,-'Ops Assumptions'!BC38)</f>
        <v>-13264.613053000001</v>
      </c>
      <c r="AP50" s="217">
        <f>IF(AP$4&gt;HoldPeriod+12,0,-'Ops Assumptions'!BD38)</f>
        <v>-13264.613053000001</v>
      </c>
      <c r="AQ50" s="217">
        <f>IF(AQ$4&gt;HoldPeriod+12,0,-'Ops Assumptions'!BE38)</f>
        <v>-13662.551444590001</v>
      </c>
      <c r="AR50" s="217">
        <f>IF(AR$4&gt;HoldPeriod+12,0,-'Ops Assumptions'!BF38)</f>
        <v>-13662.551444590001</v>
      </c>
      <c r="AS50" s="217">
        <f>IF(AS$4&gt;HoldPeriod+12,0,-'Ops Assumptions'!BG38)</f>
        <v>-13662.551444590001</v>
      </c>
      <c r="AT50" s="217">
        <f>IF(AT$4&gt;HoldPeriod+12,0,-'Ops Assumptions'!BH38)</f>
        <v>-13662.551444590001</v>
      </c>
      <c r="AU50" s="217">
        <f>IF(AU$4&gt;HoldPeriod+12,0,-'Ops Assumptions'!BI38)</f>
        <v>-13662.551444590001</v>
      </c>
      <c r="AV50" s="217">
        <f>IF(AV$4&gt;HoldPeriod+12,0,-'Ops Assumptions'!BJ38)</f>
        <v>-13662.551444590001</v>
      </c>
      <c r="AW50" s="217">
        <f>IF(AW$4&gt;HoldPeriod+12,0,-'Ops Assumptions'!BK38)</f>
        <v>-13662.551444590001</v>
      </c>
      <c r="AX50" s="217">
        <f>IF(AX$4&gt;HoldPeriod+12,0,-'Ops Assumptions'!BL38)</f>
        <v>-13662.551444590001</v>
      </c>
      <c r="AY50" s="217">
        <f>IF(AY$4&gt;HoldPeriod+12,0,-'Ops Assumptions'!BM38)</f>
        <v>-13662.551444590001</v>
      </c>
      <c r="AZ50" s="217">
        <f>IF(AZ$4&gt;HoldPeriod+12,0,-'Ops Assumptions'!BN38)</f>
        <v>-13662.551444590001</v>
      </c>
      <c r="BA50" s="217">
        <f>IF(BA$4&gt;HoldPeriod+12,0,-'Ops Assumptions'!BO38)</f>
        <v>-13662.551444590001</v>
      </c>
      <c r="BB50" s="217">
        <f>IF(BB$4&gt;HoldPeriod+12,0,-'Ops Assumptions'!BP38)</f>
        <v>-13662.551444590001</v>
      </c>
      <c r="BC50" s="217">
        <f>IF(BC$4&gt;HoldPeriod+12,0,-'Ops Assumptions'!BQ38)</f>
        <v>-14072.427987927702</v>
      </c>
      <c r="BD50" s="217">
        <f>IF(BD$4&gt;HoldPeriod+12,0,-'Ops Assumptions'!BR38)</f>
        <v>-14072.427987927702</v>
      </c>
      <c r="BE50" s="217">
        <f>IF(BE$4&gt;HoldPeriod+12,0,-'Ops Assumptions'!BS38)</f>
        <v>-14072.427987927702</v>
      </c>
      <c r="BF50" s="217">
        <f>IF(BF$4&gt;HoldPeriod+12,0,-'Ops Assumptions'!BT38)</f>
        <v>-14072.427987927702</v>
      </c>
      <c r="BG50" s="217">
        <f>IF(BG$4&gt;HoldPeriod+12,0,-'Ops Assumptions'!BU38)</f>
        <v>-14072.427987927702</v>
      </c>
      <c r="BH50" s="217">
        <f>IF(BH$4&gt;HoldPeriod+12,0,-'Ops Assumptions'!BV38)</f>
        <v>-14072.427987927702</v>
      </c>
      <c r="BI50" s="217">
        <f>IF(BI$4&gt;HoldPeriod+12,0,-'Ops Assumptions'!BW38)</f>
        <v>-14072.427987927702</v>
      </c>
      <c r="BJ50" s="217">
        <f>IF(BJ$4&gt;HoldPeriod+12,0,-'Ops Assumptions'!BX38)</f>
        <v>-14072.427987927702</v>
      </c>
      <c r="BK50" s="217">
        <f>IF(BK$4&gt;HoldPeriod+12,0,-'Ops Assumptions'!BY38)</f>
        <v>-14072.427987927702</v>
      </c>
      <c r="BL50" s="217">
        <f>IF(BL$4&gt;HoldPeriod+12,0,-'Ops Assumptions'!BZ38)</f>
        <v>-14072.427987927702</v>
      </c>
      <c r="BM50" s="217">
        <f>IF(BM$4&gt;HoldPeriod+12,0,-'Ops Assumptions'!CA38)</f>
        <v>-14072.427987927702</v>
      </c>
      <c r="BN50" s="217">
        <f>IF(BN$4&gt;HoldPeriod+12,0,-'Ops Assumptions'!CB38)</f>
        <v>-14072.427987927702</v>
      </c>
      <c r="BO50" s="217">
        <f>IF(BO$4&gt;HoldPeriod+12,0,-'Ops Assumptions'!CC38)</f>
        <v>-14494.600827565533</v>
      </c>
      <c r="BP50" s="217">
        <f>IF(BP$4&gt;HoldPeriod+12,0,-'Ops Assumptions'!CD38)</f>
        <v>-14494.600827565533</v>
      </c>
      <c r="BQ50" s="217">
        <f>IF(BQ$4&gt;HoldPeriod+12,0,-'Ops Assumptions'!CE38)</f>
        <v>-14494.600827565533</v>
      </c>
      <c r="BR50" s="217">
        <f>IF(BR$4&gt;HoldPeriod+12,0,-'Ops Assumptions'!CF38)</f>
        <v>-14494.600827565533</v>
      </c>
      <c r="BS50" s="217">
        <f>IF(BS$4&gt;HoldPeriod+12,0,-'Ops Assumptions'!CG38)</f>
        <v>-14494.600827565533</v>
      </c>
      <c r="BT50" s="217">
        <f>IF(BT$4&gt;HoldPeriod+12,0,-'Ops Assumptions'!CH38)</f>
        <v>-14494.600827565533</v>
      </c>
      <c r="BU50" s="217">
        <f>IF(BU$4&gt;HoldPeriod+12,0,-'Ops Assumptions'!CI38)</f>
        <v>-14494.600827565533</v>
      </c>
      <c r="BV50" s="217">
        <f>IF(BV$4&gt;HoldPeriod+12,0,-'Ops Assumptions'!CJ38)</f>
        <v>-14494.600827565533</v>
      </c>
      <c r="BW50" s="217">
        <f>IF(BW$4&gt;HoldPeriod+12,0,-'Ops Assumptions'!CK38)</f>
        <v>-14494.600827565533</v>
      </c>
      <c r="BX50" s="217">
        <f>IF(BX$4&gt;HoldPeriod+12,0,-'Ops Assumptions'!CL38)</f>
        <v>-14494.600827565533</v>
      </c>
      <c r="BY50" s="217">
        <f>IF(BY$4&gt;HoldPeriod+12,0,-'Ops Assumptions'!CM38)</f>
        <v>-14494.600827565533</v>
      </c>
      <c r="BZ50" s="217">
        <f>IF(BZ$4&gt;HoldPeriod+12,0,-'Ops Assumptions'!CN38)</f>
        <v>-14494.600827565533</v>
      </c>
      <c r="CA50" s="217">
        <f>IF(CA$4&gt;HoldPeriod+12,0,-'Ops Assumptions'!CO38)</f>
        <v>0</v>
      </c>
      <c r="CB50" s="217">
        <f>IF(CB$4&gt;HoldPeriod+12,0,-'Ops Assumptions'!CP38)</f>
        <v>0</v>
      </c>
      <c r="CC50" s="217">
        <f>IF(CC$4&gt;HoldPeriod+12,0,-'Ops Assumptions'!CQ38)</f>
        <v>0</v>
      </c>
      <c r="CD50" s="217">
        <f>IF(CD$4&gt;HoldPeriod+12,0,-'Ops Assumptions'!CR38)</f>
        <v>0</v>
      </c>
      <c r="CE50" s="217">
        <f>IF(CE$4&gt;HoldPeriod+12,0,-'Ops Assumptions'!CS38)</f>
        <v>0</v>
      </c>
      <c r="CF50" s="217">
        <f>IF(CF$4&gt;HoldPeriod+12,0,-'Ops Assumptions'!CT38)</f>
        <v>0</v>
      </c>
      <c r="CG50" s="217">
        <f>IF(CG$4&gt;HoldPeriod+12,0,-'Ops Assumptions'!CU38)</f>
        <v>0</v>
      </c>
      <c r="CH50" s="217">
        <f>IF(CH$4&gt;HoldPeriod+12,0,-'Ops Assumptions'!CV38)</f>
        <v>0</v>
      </c>
      <c r="CI50" s="217">
        <f>IF(CI$4&gt;HoldPeriod+12,0,-'Ops Assumptions'!CW38)</f>
        <v>0</v>
      </c>
      <c r="CJ50" s="217">
        <f>IF(CJ$4&gt;HoldPeriod+12,0,-'Ops Assumptions'!CX38)</f>
        <v>0</v>
      </c>
      <c r="CK50" s="217">
        <f>IF(CK$4&gt;HoldPeriod+12,0,-'Ops Assumptions'!CY38)</f>
        <v>0</v>
      </c>
      <c r="CL50" s="217">
        <f>IF(CL$4&gt;HoldPeriod+12,0,-'Ops Assumptions'!CZ38)</f>
        <v>0</v>
      </c>
      <c r="CM50" s="217">
        <f>IF(CM$4&gt;HoldPeriod+12,0,-'Ops Assumptions'!DA38)</f>
        <v>0</v>
      </c>
      <c r="CN50" s="217">
        <f>IF(CN$4&gt;HoldPeriod+12,0,-'Ops Assumptions'!DB38)</f>
        <v>0</v>
      </c>
      <c r="CO50" s="217">
        <f>IF(CO$4&gt;HoldPeriod+12,0,-'Ops Assumptions'!DC38)</f>
        <v>0</v>
      </c>
      <c r="CP50" s="217">
        <f>IF(CP$4&gt;HoldPeriod+12,0,-'Ops Assumptions'!DD38)</f>
        <v>0</v>
      </c>
      <c r="CQ50" s="217">
        <f>IF(CQ$4&gt;HoldPeriod+12,0,-'Ops Assumptions'!DE38)</f>
        <v>0</v>
      </c>
      <c r="CR50" s="217">
        <f>IF(CR$4&gt;HoldPeriod+12,0,-'Ops Assumptions'!DF38)</f>
        <v>0</v>
      </c>
      <c r="CS50" s="217">
        <f>IF(CS$4&gt;HoldPeriod+12,0,-'Ops Assumptions'!DG38)</f>
        <v>0</v>
      </c>
      <c r="CT50" s="217">
        <f>IF(CT$4&gt;HoldPeriod+12,0,-'Ops Assumptions'!DH38)</f>
        <v>0</v>
      </c>
      <c r="CU50" s="217">
        <f>IF(CU$4&gt;HoldPeriod+12,0,-'Ops Assumptions'!DI38)</f>
        <v>0</v>
      </c>
      <c r="CV50" s="217">
        <f>IF(CV$4&gt;HoldPeriod+12,0,-'Ops Assumptions'!DJ38)</f>
        <v>0</v>
      </c>
      <c r="CW50" s="217">
        <f>IF(CW$4&gt;HoldPeriod+12,0,-'Ops Assumptions'!DK38)</f>
        <v>0</v>
      </c>
      <c r="CX50" s="217">
        <f>IF(CX$4&gt;HoldPeriod+12,0,-'Ops Assumptions'!DL38)</f>
        <v>0</v>
      </c>
      <c r="CY50" s="217">
        <f>IF(CY$4&gt;HoldPeriod+12,0,-'Ops Assumptions'!DM38)</f>
        <v>0</v>
      </c>
      <c r="CZ50" s="217">
        <f>IF(CZ$4&gt;HoldPeriod+12,0,-'Ops Assumptions'!DN38)</f>
        <v>0</v>
      </c>
      <c r="DA50" s="217">
        <f>IF(DA$4&gt;HoldPeriod+12,0,-'Ops Assumptions'!DO38)</f>
        <v>0</v>
      </c>
      <c r="DB50" s="217">
        <f>IF(DB$4&gt;HoldPeriod+12,0,-'Ops Assumptions'!DP38)</f>
        <v>0</v>
      </c>
      <c r="DC50" s="217">
        <f>IF(DC$4&gt;HoldPeriod+12,0,-'Ops Assumptions'!DQ38)</f>
        <v>0</v>
      </c>
      <c r="DD50" s="217">
        <f>IF(DD$4&gt;HoldPeriod+12,0,-'Ops Assumptions'!DR38)</f>
        <v>0</v>
      </c>
      <c r="DE50" s="217">
        <f>IF(DE$4&gt;HoldPeriod+12,0,-'Ops Assumptions'!DS38)</f>
        <v>0</v>
      </c>
      <c r="DF50" s="217">
        <f>IF(DF$4&gt;HoldPeriod+12,0,-'Ops Assumptions'!DT38)</f>
        <v>0</v>
      </c>
      <c r="DG50" s="217">
        <f>IF(DG$4&gt;HoldPeriod+12,0,-'Ops Assumptions'!DU38)</f>
        <v>0</v>
      </c>
      <c r="DH50" s="217">
        <f>IF(DH$4&gt;HoldPeriod+12,0,-'Ops Assumptions'!DV38)</f>
        <v>0</v>
      </c>
      <c r="DI50" s="217">
        <f>IF(DI$4&gt;HoldPeriod+12,0,-'Ops Assumptions'!DW38)</f>
        <v>0</v>
      </c>
      <c r="DJ50" s="217">
        <f>IF(DJ$4&gt;HoldPeriod+12,0,-'Ops Assumptions'!DX38)</f>
        <v>0</v>
      </c>
      <c r="DK50" s="217">
        <f>IF(DK$4&gt;HoldPeriod+12,0,-'Ops Assumptions'!DY38)</f>
        <v>0</v>
      </c>
      <c r="DL50" s="217">
        <f>IF(DL$4&gt;HoldPeriod+12,0,-'Ops Assumptions'!DZ38)</f>
        <v>0</v>
      </c>
      <c r="DM50" s="217">
        <f>IF(DM$4&gt;HoldPeriod+12,0,-'Ops Assumptions'!EA38)</f>
        <v>0</v>
      </c>
      <c r="DN50" s="217">
        <f>IF(DN$4&gt;HoldPeriod+12,0,-'Ops Assumptions'!EB38)</f>
        <v>0</v>
      </c>
      <c r="DO50" s="217">
        <f>IF(DO$4&gt;HoldPeriod+12,0,-'Ops Assumptions'!EC38)</f>
        <v>0</v>
      </c>
      <c r="DP50" s="217">
        <f>IF(DP$4&gt;HoldPeriod+12,0,-'Ops Assumptions'!ED38)</f>
        <v>0</v>
      </c>
      <c r="DQ50" s="217">
        <f>IF(DQ$4&gt;HoldPeriod+12,0,-'Ops Assumptions'!EE38)</f>
        <v>0</v>
      </c>
      <c r="DR50" s="217">
        <f>IF(DR$4&gt;HoldPeriod+12,0,-'Ops Assumptions'!EF38)</f>
        <v>0</v>
      </c>
      <c r="DS50" s="217">
        <f>IF(DS$4&gt;HoldPeriod+12,0,-'Ops Assumptions'!EG38)</f>
        <v>0</v>
      </c>
      <c r="DT50" s="217">
        <f>IF(DT$4&gt;HoldPeriod+12,0,-'Ops Assumptions'!EH38)</f>
        <v>0</v>
      </c>
      <c r="DU50" s="217">
        <f>IF(DU$4&gt;HoldPeriod+12,0,-'Ops Assumptions'!EI38)</f>
        <v>0</v>
      </c>
      <c r="DV50" s="217">
        <f>IF(DV$4&gt;HoldPeriod+12,0,-'Ops Assumptions'!EJ38)</f>
        <v>0</v>
      </c>
      <c r="DW50" s="217">
        <f>IF(DW$4&gt;HoldPeriod+12,0,-'Ops Assumptions'!EK38)</f>
        <v>0</v>
      </c>
      <c r="DX50" s="217">
        <f>IF(DX$4&gt;HoldPeriod+12,0,-'Ops Assumptions'!EL38)</f>
        <v>0</v>
      </c>
      <c r="DY50" s="217">
        <f>IF(DY$4&gt;HoldPeriod+12,0,-'Ops Assumptions'!EM38)</f>
        <v>0</v>
      </c>
      <c r="DZ50" s="217">
        <f>IF(DZ$4&gt;HoldPeriod+12,0,-'Ops Assumptions'!EN38)</f>
        <v>0</v>
      </c>
      <c r="EA50" s="217">
        <f>IF(EA$4&gt;HoldPeriod+12,0,-'Ops Assumptions'!EO38)</f>
        <v>0</v>
      </c>
      <c r="EB50" s="217">
        <f>IF(EB$4&gt;HoldPeriod+12,0,-'Ops Assumptions'!EP38)</f>
        <v>0</v>
      </c>
      <c r="EC50" s="217">
        <f>IF(EC$4&gt;HoldPeriod+12,0,-'Ops Assumptions'!EQ38)</f>
        <v>0</v>
      </c>
      <c r="ED50" s="217">
        <f>IF(ED$4&gt;HoldPeriod+12,0,-'Ops Assumptions'!ER38)</f>
        <v>0</v>
      </c>
      <c r="EE50" s="217">
        <f>IF(EE$4&gt;HoldPeriod+12,0,-'Ops Assumptions'!ES38)</f>
        <v>0</v>
      </c>
      <c r="EF50" s="217">
        <f>IF(EF$4&gt;HoldPeriod+12,0,-'Ops Assumptions'!ET38)</f>
        <v>0</v>
      </c>
      <c r="EG50" s="217">
        <f>IF(EG$4&gt;HoldPeriod+12,0,-'Ops Assumptions'!EU38)</f>
        <v>0</v>
      </c>
      <c r="EH50" s="217">
        <f>IF(EH$4&gt;HoldPeriod+12,0,-'Ops Assumptions'!EV38)</f>
        <v>0</v>
      </c>
      <c r="EI50" s="158" t="s">
        <v>243</v>
      </c>
    </row>
    <row r="51" spans="1:139" s="217" customFormat="1" x14ac:dyDescent="0.2">
      <c r="B51" s="258" t="str">
        <f>'Ops Assumptions'!B14</f>
        <v>Maintenance &amp; Repair</v>
      </c>
      <c r="C51" s="209"/>
      <c r="D51" s="308">
        <f t="shared" si="69"/>
        <v>-911321.44403836422</v>
      </c>
      <c r="E51" s="309">
        <f>-Financials!AL27</f>
        <v>-16661.868333333332</v>
      </c>
      <c r="F51" s="217">
        <v>0</v>
      </c>
      <c r="G51" s="217">
        <f>IF(G$4&gt;HoldPeriod+12,0,-'Ops Assumptions'!U39)</f>
        <v>-14304.296666666667</v>
      </c>
      <c r="H51" s="217">
        <f>IF(H$4&gt;HoldPeriod+12,0,-'Ops Assumptions'!V39)</f>
        <v>-14304.296666666667</v>
      </c>
      <c r="I51" s="217">
        <f>IF(I$4&gt;HoldPeriod+12,0,-'Ops Assumptions'!W39)</f>
        <v>-14304.296666666667</v>
      </c>
      <c r="J51" s="217">
        <f>IF(J$4&gt;HoldPeriod+12,0,-'Ops Assumptions'!X39)</f>
        <v>-14304.296666666667</v>
      </c>
      <c r="K51" s="217">
        <f>IF(K$4&gt;HoldPeriod+12,0,-'Ops Assumptions'!Y39)</f>
        <v>-14304.296666666667</v>
      </c>
      <c r="L51" s="217">
        <f>IF(L$4&gt;HoldPeriod+12,0,-'Ops Assumptions'!Z39)</f>
        <v>-14304.296666666667</v>
      </c>
      <c r="M51" s="217">
        <f>IF(M$4&gt;HoldPeriod+12,0,-'Ops Assumptions'!AA39)</f>
        <v>-14304.296666666667</v>
      </c>
      <c r="N51" s="217">
        <f>IF(N$4&gt;HoldPeriod+12,0,-'Ops Assumptions'!AB39)</f>
        <v>-14304.296666666667</v>
      </c>
      <c r="O51" s="217">
        <f>IF(O$4&gt;HoldPeriod+12,0,-'Ops Assumptions'!AC39)</f>
        <v>-14304.296666666667</v>
      </c>
      <c r="P51" s="217">
        <f>IF(P$4&gt;HoldPeriod+12,0,-'Ops Assumptions'!AD39)</f>
        <v>-14304.296666666667</v>
      </c>
      <c r="Q51" s="217">
        <f>IF(Q$4&gt;HoldPeriod+12,0,-'Ops Assumptions'!AE39)</f>
        <v>-14304.296666666667</v>
      </c>
      <c r="R51" s="217">
        <f>IF(R$4&gt;HoldPeriod+12,0,-'Ops Assumptions'!AF39)</f>
        <v>-14304.296666666667</v>
      </c>
      <c r="S51" s="217">
        <f>IF(S$4&gt;HoldPeriod+12,0,-'Ops Assumptions'!AG39)</f>
        <v>-14733.425566666667</v>
      </c>
      <c r="T51" s="217">
        <f>IF(T$4&gt;HoldPeriod+12,0,-'Ops Assumptions'!AH39)</f>
        <v>-14733.425566666667</v>
      </c>
      <c r="U51" s="217">
        <f>IF(U$4&gt;HoldPeriod+12,0,-'Ops Assumptions'!AI39)</f>
        <v>-14733.425566666667</v>
      </c>
      <c r="V51" s="217">
        <f>IF(V$4&gt;HoldPeriod+12,0,-'Ops Assumptions'!AJ39)</f>
        <v>-14733.425566666667</v>
      </c>
      <c r="W51" s="217">
        <f>IF(W$4&gt;HoldPeriod+12,0,-'Ops Assumptions'!AK39)</f>
        <v>-14733.425566666667</v>
      </c>
      <c r="X51" s="217">
        <f>IF(X$4&gt;HoldPeriod+12,0,-'Ops Assumptions'!AL39)</f>
        <v>-14733.425566666667</v>
      </c>
      <c r="Y51" s="217">
        <f>IF(Y$4&gt;HoldPeriod+12,0,-'Ops Assumptions'!AM39)</f>
        <v>-14733.425566666667</v>
      </c>
      <c r="Z51" s="217">
        <f>IF(Z$4&gt;HoldPeriod+12,0,-'Ops Assumptions'!AN39)</f>
        <v>-14733.425566666667</v>
      </c>
      <c r="AA51" s="217">
        <f>IF(AA$4&gt;HoldPeriod+12,0,-'Ops Assumptions'!AO39)</f>
        <v>-14733.425566666667</v>
      </c>
      <c r="AB51" s="217">
        <f>IF(AB$4&gt;HoldPeriod+12,0,-'Ops Assumptions'!AP39)</f>
        <v>-14733.425566666667</v>
      </c>
      <c r="AC51" s="217">
        <f>IF(AC$4&gt;HoldPeriod+12,0,-'Ops Assumptions'!AQ39)</f>
        <v>-14733.425566666667</v>
      </c>
      <c r="AD51" s="217">
        <f>IF(AD$4&gt;HoldPeriod+12,0,-'Ops Assumptions'!AR39)</f>
        <v>-14733.425566666667</v>
      </c>
      <c r="AE51" s="217">
        <f>IF(AE$4&gt;HoldPeriod+12,0,-'Ops Assumptions'!AS39)</f>
        <v>-15175.428333666667</v>
      </c>
      <c r="AF51" s="217">
        <f>IF(AF$4&gt;HoldPeriod+12,0,-'Ops Assumptions'!AT39)</f>
        <v>-15175.428333666667</v>
      </c>
      <c r="AG51" s="217">
        <f>IF(AG$4&gt;HoldPeriod+12,0,-'Ops Assumptions'!AU39)</f>
        <v>-15175.428333666667</v>
      </c>
      <c r="AH51" s="217">
        <f>IF(AH$4&gt;HoldPeriod+12,0,-'Ops Assumptions'!AV39)</f>
        <v>-15175.428333666667</v>
      </c>
      <c r="AI51" s="217">
        <f>IF(AI$4&gt;HoldPeriod+12,0,-'Ops Assumptions'!AW39)</f>
        <v>-15175.428333666667</v>
      </c>
      <c r="AJ51" s="217">
        <f>IF(AJ$4&gt;HoldPeriod+12,0,-'Ops Assumptions'!AX39)</f>
        <v>-15175.428333666667</v>
      </c>
      <c r="AK51" s="217">
        <f>IF(AK$4&gt;HoldPeriod+12,0,-'Ops Assumptions'!AY39)</f>
        <v>-15175.428333666667</v>
      </c>
      <c r="AL51" s="217">
        <f>IF(AL$4&gt;HoldPeriod+12,0,-'Ops Assumptions'!AZ39)</f>
        <v>-15175.428333666667</v>
      </c>
      <c r="AM51" s="217">
        <f>IF(AM$4&gt;HoldPeriod+12,0,-'Ops Assumptions'!BA39)</f>
        <v>-15175.428333666667</v>
      </c>
      <c r="AN51" s="217">
        <f>IF(AN$4&gt;HoldPeriod+12,0,-'Ops Assumptions'!BB39)</f>
        <v>-15175.428333666667</v>
      </c>
      <c r="AO51" s="217">
        <f>IF(AO$4&gt;HoldPeriod+12,0,-'Ops Assumptions'!BC39)</f>
        <v>-15175.428333666667</v>
      </c>
      <c r="AP51" s="217">
        <f>IF(AP$4&gt;HoldPeriod+12,0,-'Ops Assumptions'!BD39)</f>
        <v>-15175.428333666667</v>
      </c>
      <c r="AQ51" s="217">
        <f>IF(AQ$4&gt;HoldPeriod+12,0,-'Ops Assumptions'!BE39)</f>
        <v>-15630.691183676667</v>
      </c>
      <c r="AR51" s="217">
        <f>IF(AR$4&gt;HoldPeriod+12,0,-'Ops Assumptions'!BF39)</f>
        <v>-15630.691183676667</v>
      </c>
      <c r="AS51" s="217">
        <f>IF(AS$4&gt;HoldPeriod+12,0,-'Ops Assumptions'!BG39)</f>
        <v>-15630.691183676667</v>
      </c>
      <c r="AT51" s="217">
        <f>IF(AT$4&gt;HoldPeriod+12,0,-'Ops Assumptions'!BH39)</f>
        <v>-15630.691183676667</v>
      </c>
      <c r="AU51" s="217">
        <f>IF(AU$4&gt;HoldPeriod+12,0,-'Ops Assumptions'!BI39)</f>
        <v>-15630.691183676667</v>
      </c>
      <c r="AV51" s="217">
        <f>IF(AV$4&gt;HoldPeriod+12,0,-'Ops Assumptions'!BJ39)</f>
        <v>-15630.691183676667</v>
      </c>
      <c r="AW51" s="217">
        <f>IF(AW$4&gt;HoldPeriod+12,0,-'Ops Assumptions'!BK39)</f>
        <v>-15630.691183676667</v>
      </c>
      <c r="AX51" s="217">
        <f>IF(AX$4&gt;HoldPeriod+12,0,-'Ops Assumptions'!BL39)</f>
        <v>-15630.691183676667</v>
      </c>
      <c r="AY51" s="217">
        <f>IF(AY$4&gt;HoldPeriod+12,0,-'Ops Assumptions'!BM39)</f>
        <v>-15630.691183676667</v>
      </c>
      <c r="AZ51" s="217">
        <f>IF(AZ$4&gt;HoldPeriod+12,0,-'Ops Assumptions'!BN39)</f>
        <v>-15630.691183676667</v>
      </c>
      <c r="BA51" s="217">
        <f>IF(BA$4&gt;HoldPeriod+12,0,-'Ops Assumptions'!BO39)</f>
        <v>-15630.691183676667</v>
      </c>
      <c r="BB51" s="217">
        <f>IF(BB$4&gt;HoldPeriod+12,0,-'Ops Assumptions'!BP39)</f>
        <v>-15630.691183676667</v>
      </c>
      <c r="BC51" s="217">
        <f>IF(BC$4&gt;HoldPeriod+12,0,-'Ops Assumptions'!BQ39)</f>
        <v>-16099.611919186967</v>
      </c>
      <c r="BD51" s="217">
        <f>IF(BD$4&gt;HoldPeriod+12,0,-'Ops Assumptions'!BR39)</f>
        <v>-16099.611919186967</v>
      </c>
      <c r="BE51" s="217">
        <f>IF(BE$4&gt;HoldPeriod+12,0,-'Ops Assumptions'!BS39)</f>
        <v>-16099.611919186967</v>
      </c>
      <c r="BF51" s="217">
        <f>IF(BF$4&gt;HoldPeriod+12,0,-'Ops Assumptions'!BT39)</f>
        <v>-16099.611919186967</v>
      </c>
      <c r="BG51" s="217">
        <f>IF(BG$4&gt;HoldPeriod+12,0,-'Ops Assumptions'!BU39)</f>
        <v>-16099.611919186967</v>
      </c>
      <c r="BH51" s="217">
        <f>IF(BH$4&gt;HoldPeriod+12,0,-'Ops Assumptions'!BV39)</f>
        <v>-16099.611919186967</v>
      </c>
      <c r="BI51" s="217">
        <f>IF(BI$4&gt;HoldPeriod+12,0,-'Ops Assumptions'!BW39)</f>
        <v>-16099.611919186967</v>
      </c>
      <c r="BJ51" s="217">
        <f>IF(BJ$4&gt;HoldPeriod+12,0,-'Ops Assumptions'!BX39)</f>
        <v>-16099.611919186967</v>
      </c>
      <c r="BK51" s="217">
        <f>IF(BK$4&gt;HoldPeriod+12,0,-'Ops Assumptions'!BY39)</f>
        <v>-16099.611919186967</v>
      </c>
      <c r="BL51" s="217">
        <f>IF(BL$4&gt;HoldPeriod+12,0,-'Ops Assumptions'!BZ39)</f>
        <v>-16099.611919186967</v>
      </c>
      <c r="BM51" s="217">
        <f>IF(BM$4&gt;HoldPeriod+12,0,-'Ops Assumptions'!CA39)</f>
        <v>-16099.611919186967</v>
      </c>
      <c r="BN51" s="217">
        <f>IF(BN$4&gt;HoldPeriod+12,0,-'Ops Assumptions'!CB39)</f>
        <v>-16099.611919186967</v>
      </c>
      <c r="BO51" s="217">
        <f>IF(BO$4&gt;HoldPeriod+12,0,-'Ops Assumptions'!CC39)</f>
        <v>-16582.600276762576</v>
      </c>
      <c r="BP51" s="217">
        <f>IF(BP$4&gt;HoldPeriod+12,0,-'Ops Assumptions'!CD39)</f>
        <v>-16582.600276762576</v>
      </c>
      <c r="BQ51" s="217">
        <f>IF(BQ$4&gt;HoldPeriod+12,0,-'Ops Assumptions'!CE39)</f>
        <v>-16582.600276762576</v>
      </c>
      <c r="BR51" s="217">
        <f>IF(BR$4&gt;HoldPeriod+12,0,-'Ops Assumptions'!CF39)</f>
        <v>-16582.600276762576</v>
      </c>
      <c r="BS51" s="217">
        <f>IF(BS$4&gt;HoldPeriod+12,0,-'Ops Assumptions'!CG39)</f>
        <v>-16582.600276762576</v>
      </c>
      <c r="BT51" s="217">
        <f>IF(BT$4&gt;HoldPeriod+12,0,-'Ops Assumptions'!CH39)</f>
        <v>-16582.600276762576</v>
      </c>
      <c r="BU51" s="217">
        <f>IF(BU$4&gt;HoldPeriod+12,0,-'Ops Assumptions'!CI39)</f>
        <v>-16582.600276762576</v>
      </c>
      <c r="BV51" s="217">
        <f>IF(BV$4&gt;HoldPeriod+12,0,-'Ops Assumptions'!CJ39)</f>
        <v>-16582.600276762576</v>
      </c>
      <c r="BW51" s="217">
        <f>IF(BW$4&gt;HoldPeriod+12,0,-'Ops Assumptions'!CK39)</f>
        <v>-16582.600276762576</v>
      </c>
      <c r="BX51" s="217">
        <f>IF(BX$4&gt;HoldPeriod+12,0,-'Ops Assumptions'!CL39)</f>
        <v>-16582.600276762576</v>
      </c>
      <c r="BY51" s="217">
        <f>IF(BY$4&gt;HoldPeriod+12,0,-'Ops Assumptions'!CM39)</f>
        <v>-16582.600276762576</v>
      </c>
      <c r="BZ51" s="217">
        <f>IF(BZ$4&gt;HoldPeriod+12,0,-'Ops Assumptions'!CN39)</f>
        <v>-16582.600276762576</v>
      </c>
      <c r="CA51" s="217">
        <f>IF(CA$4&gt;HoldPeriod+12,0,-'Ops Assumptions'!CO39)</f>
        <v>0</v>
      </c>
      <c r="CB51" s="217">
        <f>IF(CB$4&gt;HoldPeriod+12,0,-'Ops Assumptions'!CP39)</f>
        <v>0</v>
      </c>
      <c r="CC51" s="217">
        <f>IF(CC$4&gt;HoldPeriod+12,0,-'Ops Assumptions'!CQ39)</f>
        <v>0</v>
      </c>
      <c r="CD51" s="217">
        <f>IF(CD$4&gt;HoldPeriod+12,0,-'Ops Assumptions'!CR39)</f>
        <v>0</v>
      </c>
      <c r="CE51" s="217">
        <f>IF(CE$4&gt;HoldPeriod+12,0,-'Ops Assumptions'!CS39)</f>
        <v>0</v>
      </c>
      <c r="CF51" s="217">
        <f>IF(CF$4&gt;HoldPeriod+12,0,-'Ops Assumptions'!CT39)</f>
        <v>0</v>
      </c>
      <c r="CG51" s="217">
        <f>IF(CG$4&gt;HoldPeriod+12,0,-'Ops Assumptions'!CU39)</f>
        <v>0</v>
      </c>
      <c r="CH51" s="217">
        <f>IF(CH$4&gt;HoldPeriod+12,0,-'Ops Assumptions'!CV39)</f>
        <v>0</v>
      </c>
      <c r="CI51" s="217">
        <f>IF(CI$4&gt;HoldPeriod+12,0,-'Ops Assumptions'!CW39)</f>
        <v>0</v>
      </c>
      <c r="CJ51" s="217">
        <f>IF(CJ$4&gt;HoldPeriod+12,0,-'Ops Assumptions'!CX39)</f>
        <v>0</v>
      </c>
      <c r="CK51" s="217">
        <f>IF(CK$4&gt;HoldPeriod+12,0,-'Ops Assumptions'!CY39)</f>
        <v>0</v>
      </c>
      <c r="CL51" s="217">
        <f>IF(CL$4&gt;HoldPeriod+12,0,-'Ops Assumptions'!CZ39)</f>
        <v>0</v>
      </c>
      <c r="CM51" s="217">
        <f>IF(CM$4&gt;HoldPeriod+12,0,-'Ops Assumptions'!DA39)</f>
        <v>0</v>
      </c>
      <c r="CN51" s="217">
        <f>IF(CN$4&gt;HoldPeriod+12,0,-'Ops Assumptions'!DB39)</f>
        <v>0</v>
      </c>
      <c r="CO51" s="217">
        <f>IF(CO$4&gt;HoldPeriod+12,0,-'Ops Assumptions'!DC39)</f>
        <v>0</v>
      </c>
      <c r="CP51" s="217">
        <f>IF(CP$4&gt;HoldPeriod+12,0,-'Ops Assumptions'!DD39)</f>
        <v>0</v>
      </c>
      <c r="CQ51" s="217">
        <f>IF(CQ$4&gt;HoldPeriod+12,0,-'Ops Assumptions'!DE39)</f>
        <v>0</v>
      </c>
      <c r="CR51" s="217">
        <f>IF(CR$4&gt;HoldPeriod+12,0,-'Ops Assumptions'!DF39)</f>
        <v>0</v>
      </c>
      <c r="CS51" s="217">
        <f>IF(CS$4&gt;HoldPeriod+12,0,-'Ops Assumptions'!DG39)</f>
        <v>0</v>
      </c>
      <c r="CT51" s="217">
        <f>IF(CT$4&gt;HoldPeriod+12,0,-'Ops Assumptions'!DH39)</f>
        <v>0</v>
      </c>
      <c r="CU51" s="217">
        <f>IF(CU$4&gt;HoldPeriod+12,0,-'Ops Assumptions'!DI39)</f>
        <v>0</v>
      </c>
      <c r="CV51" s="217">
        <f>IF(CV$4&gt;HoldPeriod+12,0,-'Ops Assumptions'!DJ39)</f>
        <v>0</v>
      </c>
      <c r="CW51" s="217">
        <f>IF(CW$4&gt;HoldPeriod+12,0,-'Ops Assumptions'!DK39)</f>
        <v>0</v>
      </c>
      <c r="CX51" s="217">
        <f>IF(CX$4&gt;HoldPeriod+12,0,-'Ops Assumptions'!DL39)</f>
        <v>0</v>
      </c>
      <c r="CY51" s="217">
        <f>IF(CY$4&gt;HoldPeriod+12,0,-'Ops Assumptions'!DM39)</f>
        <v>0</v>
      </c>
      <c r="CZ51" s="217">
        <f>IF(CZ$4&gt;HoldPeriod+12,0,-'Ops Assumptions'!DN39)</f>
        <v>0</v>
      </c>
      <c r="DA51" s="217">
        <f>IF(DA$4&gt;HoldPeriod+12,0,-'Ops Assumptions'!DO39)</f>
        <v>0</v>
      </c>
      <c r="DB51" s="217">
        <f>IF(DB$4&gt;HoldPeriod+12,0,-'Ops Assumptions'!DP39)</f>
        <v>0</v>
      </c>
      <c r="DC51" s="217">
        <f>IF(DC$4&gt;HoldPeriod+12,0,-'Ops Assumptions'!DQ39)</f>
        <v>0</v>
      </c>
      <c r="DD51" s="217">
        <f>IF(DD$4&gt;HoldPeriod+12,0,-'Ops Assumptions'!DR39)</f>
        <v>0</v>
      </c>
      <c r="DE51" s="217">
        <f>IF(DE$4&gt;HoldPeriod+12,0,-'Ops Assumptions'!DS39)</f>
        <v>0</v>
      </c>
      <c r="DF51" s="217">
        <f>IF(DF$4&gt;HoldPeriod+12,0,-'Ops Assumptions'!DT39)</f>
        <v>0</v>
      </c>
      <c r="DG51" s="217">
        <f>IF(DG$4&gt;HoldPeriod+12,0,-'Ops Assumptions'!DU39)</f>
        <v>0</v>
      </c>
      <c r="DH51" s="217">
        <f>IF(DH$4&gt;HoldPeriod+12,0,-'Ops Assumptions'!DV39)</f>
        <v>0</v>
      </c>
      <c r="DI51" s="217">
        <f>IF(DI$4&gt;HoldPeriod+12,0,-'Ops Assumptions'!DW39)</f>
        <v>0</v>
      </c>
      <c r="DJ51" s="217">
        <f>IF(DJ$4&gt;HoldPeriod+12,0,-'Ops Assumptions'!DX39)</f>
        <v>0</v>
      </c>
      <c r="DK51" s="217">
        <f>IF(DK$4&gt;HoldPeriod+12,0,-'Ops Assumptions'!DY39)</f>
        <v>0</v>
      </c>
      <c r="DL51" s="217">
        <f>IF(DL$4&gt;HoldPeriod+12,0,-'Ops Assumptions'!DZ39)</f>
        <v>0</v>
      </c>
      <c r="DM51" s="217">
        <f>IF(DM$4&gt;HoldPeriod+12,0,-'Ops Assumptions'!EA39)</f>
        <v>0</v>
      </c>
      <c r="DN51" s="217">
        <f>IF(DN$4&gt;HoldPeriod+12,0,-'Ops Assumptions'!EB39)</f>
        <v>0</v>
      </c>
      <c r="DO51" s="217">
        <f>IF(DO$4&gt;HoldPeriod+12,0,-'Ops Assumptions'!EC39)</f>
        <v>0</v>
      </c>
      <c r="DP51" s="217">
        <f>IF(DP$4&gt;HoldPeriod+12,0,-'Ops Assumptions'!ED39)</f>
        <v>0</v>
      </c>
      <c r="DQ51" s="217">
        <f>IF(DQ$4&gt;HoldPeriod+12,0,-'Ops Assumptions'!EE39)</f>
        <v>0</v>
      </c>
      <c r="DR51" s="217">
        <f>IF(DR$4&gt;HoldPeriod+12,0,-'Ops Assumptions'!EF39)</f>
        <v>0</v>
      </c>
      <c r="DS51" s="217">
        <f>IF(DS$4&gt;HoldPeriod+12,0,-'Ops Assumptions'!EG39)</f>
        <v>0</v>
      </c>
      <c r="DT51" s="217">
        <f>IF(DT$4&gt;HoldPeriod+12,0,-'Ops Assumptions'!EH39)</f>
        <v>0</v>
      </c>
      <c r="DU51" s="217">
        <f>IF(DU$4&gt;HoldPeriod+12,0,-'Ops Assumptions'!EI39)</f>
        <v>0</v>
      </c>
      <c r="DV51" s="217">
        <f>IF(DV$4&gt;HoldPeriod+12,0,-'Ops Assumptions'!EJ39)</f>
        <v>0</v>
      </c>
      <c r="DW51" s="217">
        <f>IF(DW$4&gt;HoldPeriod+12,0,-'Ops Assumptions'!EK39)</f>
        <v>0</v>
      </c>
      <c r="DX51" s="217">
        <f>IF(DX$4&gt;HoldPeriod+12,0,-'Ops Assumptions'!EL39)</f>
        <v>0</v>
      </c>
      <c r="DY51" s="217">
        <f>IF(DY$4&gt;HoldPeriod+12,0,-'Ops Assumptions'!EM39)</f>
        <v>0</v>
      </c>
      <c r="DZ51" s="217">
        <f>IF(DZ$4&gt;HoldPeriod+12,0,-'Ops Assumptions'!EN39)</f>
        <v>0</v>
      </c>
      <c r="EA51" s="217">
        <f>IF(EA$4&gt;HoldPeriod+12,0,-'Ops Assumptions'!EO39)</f>
        <v>0</v>
      </c>
      <c r="EB51" s="217">
        <f>IF(EB$4&gt;HoldPeriod+12,0,-'Ops Assumptions'!EP39)</f>
        <v>0</v>
      </c>
      <c r="EC51" s="217">
        <f>IF(EC$4&gt;HoldPeriod+12,0,-'Ops Assumptions'!EQ39)</f>
        <v>0</v>
      </c>
      <c r="ED51" s="217">
        <f>IF(ED$4&gt;HoldPeriod+12,0,-'Ops Assumptions'!ER39)</f>
        <v>0</v>
      </c>
      <c r="EE51" s="217">
        <f>IF(EE$4&gt;HoldPeriod+12,0,-'Ops Assumptions'!ES39)</f>
        <v>0</v>
      </c>
      <c r="EF51" s="217">
        <f>IF(EF$4&gt;HoldPeriod+12,0,-'Ops Assumptions'!ET39)</f>
        <v>0</v>
      </c>
      <c r="EG51" s="217">
        <f>IF(EG$4&gt;HoldPeriod+12,0,-'Ops Assumptions'!EU39)</f>
        <v>0</v>
      </c>
      <c r="EH51" s="217">
        <f>IF(EH$4&gt;HoldPeriod+12,0,-'Ops Assumptions'!EV39)</f>
        <v>0</v>
      </c>
      <c r="EI51" s="158" t="s">
        <v>243</v>
      </c>
    </row>
    <row r="52" spans="1:139" s="217" customFormat="1" x14ac:dyDescent="0.2">
      <c r="B52" s="258" t="str">
        <f>'Ops Assumptions'!B15</f>
        <v xml:space="preserve">Insurance </v>
      </c>
      <c r="C52" s="209"/>
      <c r="D52" s="308">
        <f t="shared" si="69"/>
        <v>-562967.32917880092</v>
      </c>
      <c r="E52" s="309">
        <f>-Financials!AL28</f>
        <v>-5142.1941666666671</v>
      </c>
      <c r="F52" s="217">
        <v>0</v>
      </c>
      <c r="G52" s="217">
        <f>IF(G$4&gt;HoldPeriod+12,0,-'Ops Assumptions'!U40)</f>
        <v>-8836.4558333333334</v>
      </c>
      <c r="H52" s="217">
        <f>IF(H$4&gt;HoldPeriod+12,0,-'Ops Assumptions'!V40)</f>
        <v>-8836.4558333333334</v>
      </c>
      <c r="I52" s="217">
        <f>IF(I$4&gt;HoldPeriod+12,0,-'Ops Assumptions'!W40)</f>
        <v>-8836.4558333333334</v>
      </c>
      <c r="J52" s="217">
        <f>IF(J$4&gt;HoldPeriod+12,0,-'Ops Assumptions'!X40)</f>
        <v>-8836.4558333333334</v>
      </c>
      <c r="K52" s="217">
        <f>IF(K$4&gt;HoldPeriod+12,0,-'Ops Assumptions'!Y40)</f>
        <v>-8836.4558333333334</v>
      </c>
      <c r="L52" s="217">
        <f>IF(L$4&gt;HoldPeriod+12,0,-'Ops Assumptions'!Z40)</f>
        <v>-8836.4558333333334</v>
      </c>
      <c r="M52" s="217">
        <f>IF(M$4&gt;HoldPeriod+12,0,-'Ops Assumptions'!AA40)</f>
        <v>-8836.4558333333334</v>
      </c>
      <c r="N52" s="217">
        <f>IF(N$4&gt;HoldPeriod+12,0,-'Ops Assumptions'!AB40)</f>
        <v>-8836.4558333333334</v>
      </c>
      <c r="O52" s="217">
        <f>IF(O$4&gt;HoldPeriod+12,0,-'Ops Assumptions'!AC40)</f>
        <v>-8836.4558333333334</v>
      </c>
      <c r="P52" s="217">
        <f>IF(P$4&gt;HoldPeriod+12,0,-'Ops Assumptions'!AD40)</f>
        <v>-8836.4558333333334</v>
      </c>
      <c r="Q52" s="217">
        <f>IF(Q$4&gt;HoldPeriod+12,0,-'Ops Assumptions'!AE40)</f>
        <v>-8836.4558333333334</v>
      </c>
      <c r="R52" s="217">
        <f>IF(R$4&gt;HoldPeriod+12,0,-'Ops Assumptions'!AF40)</f>
        <v>-8836.4558333333334</v>
      </c>
      <c r="S52" s="217">
        <f>IF(S$4&gt;HoldPeriod+12,0,-'Ops Assumptions'!AG40)</f>
        <v>-9101.5495083333335</v>
      </c>
      <c r="T52" s="217">
        <f>IF(T$4&gt;HoldPeriod+12,0,-'Ops Assumptions'!AH40)</f>
        <v>-9101.5495083333335</v>
      </c>
      <c r="U52" s="217">
        <f>IF(U$4&gt;HoldPeriod+12,0,-'Ops Assumptions'!AI40)</f>
        <v>-9101.5495083333335</v>
      </c>
      <c r="V52" s="217">
        <f>IF(V$4&gt;HoldPeriod+12,0,-'Ops Assumptions'!AJ40)</f>
        <v>-9101.5495083333335</v>
      </c>
      <c r="W52" s="217">
        <f>IF(W$4&gt;HoldPeriod+12,0,-'Ops Assumptions'!AK40)</f>
        <v>-9101.5495083333335</v>
      </c>
      <c r="X52" s="217">
        <f>IF(X$4&gt;HoldPeriod+12,0,-'Ops Assumptions'!AL40)</f>
        <v>-9101.5495083333335</v>
      </c>
      <c r="Y52" s="217">
        <f>IF(Y$4&gt;HoldPeriod+12,0,-'Ops Assumptions'!AM40)</f>
        <v>-9101.5495083333335</v>
      </c>
      <c r="Z52" s="217">
        <f>IF(Z$4&gt;HoldPeriod+12,0,-'Ops Assumptions'!AN40)</f>
        <v>-9101.5495083333335</v>
      </c>
      <c r="AA52" s="217">
        <f>IF(AA$4&gt;HoldPeriod+12,0,-'Ops Assumptions'!AO40)</f>
        <v>-9101.5495083333335</v>
      </c>
      <c r="AB52" s="217">
        <f>IF(AB$4&gt;HoldPeriod+12,0,-'Ops Assumptions'!AP40)</f>
        <v>-9101.5495083333335</v>
      </c>
      <c r="AC52" s="217">
        <f>IF(AC$4&gt;HoldPeriod+12,0,-'Ops Assumptions'!AQ40)</f>
        <v>-9101.5495083333335</v>
      </c>
      <c r="AD52" s="217">
        <f>IF(AD$4&gt;HoldPeriod+12,0,-'Ops Assumptions'!AR40)</f>
        <v>-9101.5495083333335</v>
      </c>
      <c r="AE52" s="217">
        <f>IF(AE$4&gt;HoldPeriod+12,0,-'Ops Assumptions'!AS40)</f>
        <v>-9374.5959935833343</v>
      </c>
      <c r="AF52" s="217">
        <f>IF(AF$4&gt;HoldPeriod+12,0,-'Ops Assumptions'!AT40)</f>
        <v>-9374.5959935833343</v>
      </c>
      <c r="AG52" s="217">
        <f>IF(AG$4&gt;HoldPeriod+12,0,-'Ops Assumptions'!AU40)</f>
        <v>-9374.5959935833343</v>
      </c>
      <c r="AH52" s="217">
        <f>IF(AH$4&gt;HoldPeriod+12,0,-'Ops Assumptions'!AV40)</f>
        <v>-9374.5959935833343</v>
      </c>
      <c r="AI52" s="217">
        <f>IF(AI$4&gt;HoldPeriod+12,0,-'Ops Assumptions'!AW40)</f>
        <v>-9374.5959935833343</v>
      </c>
      <c r="AJ52" s="217">
        <f>IF(AJ$4&gt;HoldPeriod+12,0,-'Ops Assumptions'!AX40)</f>
        <v>-9374.5959935833343</v>
      </c>
      <c r="AK52" s="217">
        <f>IF(AK$4&gt;HoldPeriod+12,0,-'Ops Assumptions'!AY40)</f>
        <v>-9374.5959935833343</v>
      </c>
      <c r="AL52" s="217">
        <f>IF(AL$4&gt;HoldPeriod+12,0,-'Ops Assumptions'!AZ40)</f>
        <v>-9374.5959935833343</v>
      </c>
      <c r="AM52" s="217">
        <f>IF(AM$4&gt;HoldPeriod+12,0,-'Ops Assumptions'!BA40)</f>
        <v>-9374.5959935833343</v>
      </c>
      <c r="AN52" s="217">
        <f>IF(AN$4&gt;HoldPeriod+12,0,-'Ops Assumptions'!BB40)</f>
        <v>-9374.5959935833343</v>
      </c>
      <c r="AO52" s="217">
        <f>IF(AO$4&gt;HoldPeriod+12,0,-'Ops Assumptions'!BC40)</f>
        <v>-9374.5959935833343</v>
      </c>
      <c r="AP52" s="217">
        <f>IF(AP$4&gt;HoldPeriod+12,0,-'Ops Assumptions'!BD40)</f>
        <v>-9374.5959935833343</v>
      </c>
      <c r="AQ52" s="217">
        <f>IF(AQ$4&gt;HoldPeriod+12,0,-'Ops Assumptions'!BE40)</f>
        <v>-9655.8338733908349</v>
      </c>
      <c r="AR52" s="217">
        <f>IF(AR$4&gt;HoldPeriod+12,0,-'Ops Assumptions'!BF40)</f>
        <v>-9655.8338733908349</v>
      </c>
      <c r="AS52" s="217">
        <f>IF(AS$4&gt;HoldPeriod+12,0,-'Ops Assumptions'!BG40)</f>
        <v>-9655.8338733908349</v>
      </c>
      <c r="AT52" s="217">
        <f>IF(AT$4&gt;HoldPeriod+12,0,-'Ops Assumptions'!BH40)</f>
        <v>-9655.8338733908349</v>
      </c>
      <c r="AU52" s="217">
        <f>IF(AU$4&gt;HoldPeriod+12,0,-'Ops Assumptions'!BI40)</f>
        <v>-9655.8338733908349</v>
      </c>
      <c r="AV52" s="217">
        <f>IF(AV$4&gt;HoldPeriod+12,0,-'Ops Assumptions'!BJ40)</f>
        <v>-9655.8338733908349</v>
      </c>
      <c r="AW52" s="217">
        <f>IF(AW$4&gt;HoldPeriod+12,0,-'Ops Assumptions'!BK40)</f>
        <v>-9655.8338733908349</v>
      </c>
      <c r="AX52" s="217">
        <f>IF(AX$4&gt;HoldPeriod+12,0,-'Ops Assumptions'!BL40)</f>
        <v>-9655.8338733908349</v>
      </c>
      <c r="AY52" s="217">
        <f>IF(AY$4&gt;HoldPeriod+12,0,-'Ops Assumptions'!BM40)</f>
        <v>-9655.8338733908349</v>
      </c>
      <c r="AZ52" s="217">
        <f>IF(AZ$4&gt;HoldPeriod+12,0,-'Ops Assumptions'!BN40)</f>
        <v>-9655.8338733908349</v>
      </c>
      <c r="BA52" s="217">
        <f>IF(BA$4&gt;HoldPeriod+12,0,-'Ops Assumptions'!BO40)</f>
        <v>-9655.8338733908349</v>
      </c>
      <c r="BB52" s="217">
        <f>IF(BB$4&gt;HoldPeriod+12,0,-'Ops Assumptions'!BP40)</f>
        <v>-9655.8338733908349</v>
      </c>
      <c r="BC52" s="217">
        <f>IF(BC$4&gt;HoldPeriod+12,0,-'Ops Assumptions'!BQ40)</f>
        <v>-9945.5088895925601</v>
      </c>
      <c r="BD52" s="217">
        <f>IF(BD$4&gt;HoldPeriod+12,0,-'Ops Assumptions'!BR40)</f>
        <v>-9945.5088895925601</v>
      </c>
      <c r="BE52" s="217">
        <f>IF(BE$4&gt;HoldPeriod+12,0,-'Ops Assumptions'!BS40)</f>
        <v>-9945.5088895925601</v>
      </c>
      <c r="BF52" s="217">
        <f>IF(BF$4&gt;HoldPeriod+12,0,-'Ops Assumptions'!BT40)</f>
        <v>-9945.5088895925601</v>
      </c>
      <c r="BG52" s="217">
        <f>IF(BG$4&gt;HoldPeriod+12,0,-'Ops Assumptions'!BU40)</f>
        <v>-9945.5088895925601</v>
      </c>
      <c r="BH52" s="217">
        <f>IF(BH$4&gt;HoldPeriod+12,0,-'Ops Assumptions'!BV40)</f>
        <v>-9945.5088895925601</v>
      </c>
      <c r="BI52" s="217">
        <f>IF(BI$4&gt;HoldPeriod+12,0,-'Ops Assumptions'!BW40)</f>
        <v>-9945.5088895925601</v>
      </c>
      <c r="BJ52" s="217">
        <f>IF(BJ$4&gt;HoldPeriod+12,0,-'Ops Assumptions'!BX40)</f>
        <v>-9945.5088895925601</v>
      </c>
      <c r="BK52" s="217">
        <f>IF(BK$4&gt;HoldPeriod+12,0,-'Ops Assumptions'!BY40)</f>
        <v>-9945.5088895925601</v>
      </c>
      <c r="BL52" s="217">
        <f>IF(BL$4&gt;HoldPeriod+12,0,-'Ops Assumptions'!BZ40)</f>
        <v>-9945.5088895925601</v>
      </c>
      <c r="BM52" s="217">
        <f>IF(BM$4&gt;HoldPeriod+12,0,-'Ops Assumptions'!CA40)</f>
        <v>-9945.5088895925601</v>
      </c>
      <c r="BN52" s="217">
        <f>IF(BN$4&gt;HoldPeriod+12,0,-'Ops Assumptions'!CB40)</f>
        <v>-9945.5088895925601</v>
      </c>
      <c r="BO52" s="217">
        <f>IF(BO$4&gt;HoldPeriod+12,0,-'Ops Assumptions'!CC40)</f>
        <v>-10243.874156280337</v>
      </c>
      <c r="BP52" s="217">
        <f>IF(BP$4&gt;HoldPeriod+12,0,-'Ops Assumptions'!CD40)</f>
        <v>-10243.874156280337</v>
      </c>
      <c r="BQ52" s="217">
        <f>IF(BQ$4&gt;HoldPeriod+12,0,-'Ops Assumptions'!CE40)</f>
        <v>-10243.874156280337</v>
      </c>
      <c r="BR52" s="217">
        <f>IF(BR$4&gt;HoldPeriod+12,0,-'Ops Assumptions'!CF40)</f>
        <v>-10243.874156280337</v>
      </c>
      <c r="BS52" s="217">
        <f>IF(BS$4&gt;HoldPeriod+12,0,-'Ops Assumptions'!CG40)</f>
        <v>-10243.874156280337</v>
      </c>
      <c r="BT52" s="217">
        <f>IF(BT$4&gt;HoldPeriod+12,0,-'Ops Assumptions'!CH40)</f>
        <v>-10243.874156280337</v>
      </c>
      <c r="BU52" s="217">
        <f>IF(BU$4&gt;HoldPeriod+12,0,-'Ops Assumptions'!CI40)</f>
        <v>-10243.874156280337</v>
      </c>
      <c r="BV52" s="217">
        <f>IF(BV$4&gt;HoldPeriod+12,0,-'Ops Assumptions'!CJ40)</f>
        <v>-10243.874156280337</v>
      </c>
      <c r="BW52" s="217">
        <f>IF(BW$4&gt;HoldPeriod+12,0,-'Ops Assumptions'!CK40)</f>
        <v>-10243.874156280337</v>
      </c>
      <c r="BX52" s="217">
        <f>IF(BX$4&gt;HoldPeriod+12,0,-'Ops Assumptions'!CL40)</f>
        <v>-10243.874156280337</v>
      </c>
      <c r="BY52" s="217">
        <f>IF(BY$4&gt;HoldPeriod+12,0,-'Ops Assumptions'!CM40)</f>
        <v>-10243.874156280337</v>
      </c>
      <c r="BZ52" s="217">
        <f>IF(BZ$4&gt;HoldPeriod+12,0,-'Ops Assumptions'!CN40)</f>
        <v>-10243.874156280337</v>
      </c>
      <c r="CA52" s="217">
        <f>IF(CA$4&gt;HoldPeriod+12,0,-'Ops Assumptions'!CO40)</f>
        <v>0</v>
      </c>
      <c r="CB52" s="217">
        <f>IF(CB$4&gt;HoldPeriod+12,0,-'Ops Assumptions'!CP40)</f>
        <v>0</v>
      </c>
      <c r="CC52" s="217">
        <f>IF(CC$4&gt;HoldPeriod+12,0,-'Ops Assumptions'!CQ40)</f>
        <v>0</v>
      </c>
      <c r="CD52" s="217">
        <f>IF(CD$4&gt;HoldPeriod+12,0,-'Ops Assumptions'!CR40)</f>
        <v>0</v>
      </c>
      <c r="CE52" s="217">
        <f>IF(CE$4&gt;HoldPeriod+12,0,-'Ops Assumptions'!CS40)</f>
        <v>0</v>
      </c>
      <c r="CF52" s="217">
        <f>IF(CF$4&gt;HoldPeriod+12,0,-'Ops Assumptions'!CT40)</f>
        <v>0</v>
      </c>
      <c r="CG52" s="217">
        <f>IF(CG$4&gt;HoldPeriod+12,0,-'Ops Assumptions'!CU40)</f>
        <v>0</v>
      </c>
      <c r="CH52" s="217">
        <f>IF(CH$4&gt;HoldPeriod+12,0,-'Ops Assumptions'!CV40)</f>
        <v>0</v>
      </c>
      <c r="CI52" s="217">
        <f>IF(CI$4&gt;HoldPeriod+12,0,-'Ops Assumptions'!CW40)</f>
        <v>0</v>
      </c>
      <c r="CJ52" s="217">
        <f>IF(CJ$4&gt;HoldPeriod+12,0,-'Ops Assumptions'!CX40)</f>
        <v>0</v>
      </c>
      <c r="CK52" s="217">
        <f>IF(CK$4&gt;HoldPeriod+12,0,-'Ops Assumptions'!CY40)</f>
        <v>0</v>
      </c>
      <c r="CL52" s="217">
        <f>IF(CL$4&gt;HoldPeriod+12,0,-'Ops Assumptions'!CZ40)</f>
        <v>0</v>
      </c>
      <c r="CM52" s="217">
        <f>IF(CM$4&gt;HoldPeriod+12,0,-'Ops Assumptions'!DA40)</f>
        <v>0</v>
      </c>
      <c r="CN52" s="217">
        <f>IF(CN$4&gt;HoldPeriod+12,0,-'Ops Assumptions'!DB40)</f>
        <v>0</v>
      </c>
      <c r="CO52" s="217">
        <f>IF(CO$4&gt;HoldPeriod+12,0,-'Ops Assumptions'!DC40)</f>
        <v>0</v>
      </c>
      <c r="CP52" s="217">
        <f>IF(CP$4&gt;HoldPeriod+12,0,-'Ops Assumptions'!DD40)</f>
        <v>0</v>
      </c>
      <c r="CQ52" s="217">
        <f>IF(CQ$4&gt;HoldPeriod+12,0,-'Ops Assumptions'!DE40)</f>
        <v>0</v>
      </c>
      <c r="CR52" s="217">
        <f>IF(CR$4&gt;HoldPeriod+12,0,-'Ops Assumptions'!DF40)</f>
        <v>0</v>
      </c>
      <c r="CS52" s="217">
        <f>IF(CS$4&gt;HoldPeriod+12,0,-'Ops Assumptions'!DG40)</f>
        <v>0</v>
      </c>
      <c r="CT52" s="217">
        <f>IF(CT$4&gt;HoldPeriod+12,0,-'Ops Assumptions'!DH40)</f>
        <v>0</v>
      </c>
      <c r="CU52" s="217">
        <f>IF(CU$4&gt;HoldPeriod+12,0,-'Ops Assumptions'!DI40)</f>
        <v>0</v>
      </c>
      <c r="CV52" s="217">
        <f>IF(CV$4&gt;HoldPeriod+12,0,-'Ops Assumptions'!DJ40)</f>
        <v>0</v>
      </c>
      <c r="CW52" s="217">
        <f>IF(CW$4&gt;HoldPeriod+12,0,-'Ops Assumptions'!DK40)</f>
        <v>0</v>
      </c>
      <c r="CX52" s="217">
        <f>IF(CX$4&gt;HoldPeriod+12,0,-'Ops Assumptions'!DL40)</f>
        <v>0</v>
      </c>
      <c r="CY52" s="217">
        <f>IF(CY$4&gt;HoldPeriod+12,0,-'Ops Assumptions'!DM40)</f>
        <v>0</v>
      </c>
      <c r="CZ52" s="217">
        <f>IF(CZ$4&gt;HoldPeriod+12,0,-'Ops Assumptions'!DN40)</f>
        <v>0</v>
      </c>
      <c r="DA52" s="217">
        <f>IF(DA$4&gt;HoldPeriod+12,0,-'Ops Assumptions'!DO40)</f>
        <v>0</v>
      </c>
      <c r="DB52" s="217">
        <f>IF(DB$4&gt;HoldPeriod+12,0,-'Ops Assumptions'!DP40)</f>
        <v>0</v>
      </c>
      <c r="DC52" s="217">
        <f>IF(DC$4&gt;HoldPeriod+12,0,-'Ops Assumptions'!DQ40)</f>
        <v>0</v>
      </c>
      <c r="DD52" s="217">
        <f>IF(DD$4&gt;HoldPeriod+12,0,-'Ops Assumptions'!DR40)</f>
        <v>0</v>
      </c>
      <c r="DE52" s="217">
        <f>IF(DE$4&gt;HoldPeriod+12,0,-'Ops Assumptions'!DS40)</f>
        <v>0</v>
      </c>
      <c r="DF52" s="217">
        <f>IF(DF$4&gt;HoldPeriod+12,0,-'Ops Assumptions'!DT40)</f>
        <v>0</v>
      </c>
      <c r="DG52" s="217">
        <f>IF(DG$4&gt;HoldPeriod+12,0,-'Ops Assumptions'!DU40)</f>
        <v>0</v>
      </c>
      <c r="DH52" s="217">
        <f>IF(DH$4&gt;HoldPeriod+12,0,-'Ops Assumptions'!DV40)</f>
        <v>0</v>
      </c>
      <c r="DI52" s="217">
        <f>IF(DI$4&gt;HoldPeriod+12,0,-'Ops Assumptions'!DW40)</f>
        <v>0</v>
      </c>
      <c r="DJ52" s="217">
        <f>IF(DJ$4&gt;HoldPeriod+12,0,-'Ops Assumptions'!DX40)</f>
        <v>0</v>
      </c>
      <c r="DK52" s="217">
        <f>IF(DK$4&gt;HoldPeriod+12,0,-'Ops Assumptions'!DY40)</f>
        <v>0</v>
      </c>
      <c r="DL52" s="217">
        <f>IF(DL$4&gt;HoldPeriod+12,0,-'Ops Assumptions'!DZ40)</f>
        <v>0</v>
      </c>
      <c r="DM52" s="217">
        <f>IF(DM$4&gt;HoldPeriod+12,0,-'Ops Assumptions'!EA40)</f>
        <v>0</v>
      </c>
      <c r="DN52" s="217">
        <f>IF(DN$4&gt;HoldPeriod+12,0,-'Ops Assumptions'!EB40)</f>
        <v>0</v>
      </c>
      <c r="DO52" s="217">
        <f>IF(DO$4&gt;HoldPeriod+12,0,-'Ops Assumptions'!EC40)</f>
        <v>0</v>
      </c>
      <c r="DP52" s="217">
        <f>IF(DP$4&gt;HoldPeriod+12,0,-'Ops Assumptions'!ED40)</f>
        <v>0</v>
      </c>
      <c r="DQ52" s="217">
        <f>IF(DQ$4&gt;HoldPeriod+12,0,-'Ops Assumptions'!EE40)</f>
        <v>0</v>
      </c>
      <c r="DR52" s="217">
        <f>IF(DR$4&gt;HoldPeriod+12,0,-'Ops Assumptions'!EF40)</f>
        <v>0</v>
      </c>
      <c r="DS52" s="217">
        <f>IF(DS$4&gt;HoldPeriod+12,0,-'Ops Assumptions'!EG40)</f>
        <v>0</v>
      </c>
      <c r="DT52" s="217">
        <f>IF(DT$4&gt;HoldPeriod+12,0,-'Ops Assumptions'!EH40)</f>
        <v>0</v>
      </c>
      <c r="DU52" s="217">
        <f>IF(DU$4&gt;HoldPeriod+12,0,-'Ops Assumptions'!EI40)</f>
        <v>0</v>
      </c>
      <c r="DV52" s="217">
        <f>IF(DV$4&gt;HoldPeriod+12,0,-'Ops Assumptions'!EJ40)</f>
        <v>0</v>
      </c>
      <c r="DW52" s="217">
        <f>IF(DW$4&gt;HoldPeriod+12,0,-'Ops Assumptions'!EK40)</f>
        <v>0</v>
      </c>
      <c r="DX52" s="217">
        <f>IF(DX$4&gt;HoldPeriod+12,0,-'Ops Assumptions'!EL40)</f>
        <v>0</v>
      </c>
      <c r="DY52" s="217">
        <f>IF(DY$4&gt;HoldPeriod+12,0,-'Ops Assumptions'!EM40)</f>
        <v>0</v>
      </c>
      <c r="DZ52" s="217">
        <f>IF(DZ$4&gt;HoldPeriod+12,0,-'Ops Assumptions'!EN40)</f>
        <v>0</v>
      </c>
      <c r="EA52" s="217">
        <f>IF(EA$4&gt;HoldPeriod+12,0,-'Ops Assumptions'!EO40)</f>
        <v>0</v>
      </c>
      <c r="EB52" s="217">
        <f>IF(EB$4&gt;HoldPeriod+12,0,-'Ops Assumptions'!EP40)</f>
        <v>0</v>
      </c>
      <c r="EC52" s="217">
        <f>IF(EC$4&gt;HoldPeriod+12,0,-'Ops Assumptions'!EQ40)</f>
        <v>0</v>
      </c>
      <c r="ED52" s="217">
        <f>IF(ED$4&gt;HoldPeriod+12,0,-'Ops Assumptions'!ER40)</f>
        <v>0</v>
      </c>
      <c r="EE52" s="217">
        <f>IF(EE$4&gt;HoldPeriod+12,0,-'Ops Assumptions'!ES40)</f>
        <v>0</v>
      </c>
      <c r="EF52" s="217">
        <f>IF(EF$4&gt;HoldPeriod+12,0,-'Ops Assumptions'!ET40)</f>
        <v>0</v>
      </c>
      <c r="EG52" s="217">
        <f>IF(EG$4&gt;HoldPeriod+12,0,-'Ops Assumptions'!EU40)</f>
        <v>0</v>
      </c>
      <c r="EH52" s="217">
        <f>IF(EH$4&gt;HoldPeriod+12,0,-'Ops Assumptions'!EV40)</f>
        <v>0</v>
      </c>
      <c r="EI52" s="158" t="s">
        <v>243</v>
      </c>
    </row>
    <row r="53" spans="1:139" s="217" customFormat="1" x14ac:dyDescent="0.2">
      <c r="B53" s="258" t="str">
        <f>'Ops Assumptions'!B16</f>
        <v>Property Taxes</v>
      </c>
      <c r="C53" s="209"/>
      <c r="D53" s="308">
        <f t="shared" si="69"/>
        <v>-2002072.0940000024</v>
      </c>
      <c r="E53" s="309">
        <f>-Financials!AL29</f>
        <v>-23993.25</v>
      </c>
      <c r="F53" s="217">
        <v>0</v>
      </c>
      <c r="G53" s="217">
        <f>IF(G$4&gt;HoldPeriod+12,0,-'Ops Assumptions'!U41)</f>
        <v>-25416.666666666668</v>
      </c>
      <c r="H53" s="217">
        <f>IF(H$4&gt;HoldPeriod+12,0,-'Ops Assumptions'!V41)</f>
        <v>-25416.666666666668</v>
      </c>
      <c r="I53" s="217">
        <f>IF(I$4&gt;HoldPeriod+12,0,-'Ops Assumptions'!W41)</f>
        <v>-25416.666666666668</v>
      </c>
      <c r="J53" s="217">
        <f>IF(J$4&gt;HoldPeriod+12,0,-'Ops Assumptions'!X41)</f>
        <v>-25416.666666666668</v>
      </c>
      <c r="K53" s="217">
        <f>IF(K$4&gt;HoldPeriod+12,0,-'Ops Assumptions'!Y41)</f>
        <v>-25416.666666666668</v>
      </c>
      <c r="L53" s="217">
        <f>IF(L$4&gt;HoldPeriod+12,0,-'Ops Assumptions'!Z41)</f>
        <v>-25416.666666666668</v>
      </c>
      <c r="M53" s="217">
        <f>IF(M$4&gt;HoldPeriod+12,0,-'Ops Assumptions'!AA41)</f>
        <v>-25416.666666666668</v>
      </c>
      <c r="N53" s="217">
        <f>IF(N$4&gt;HoldPeriod+12,0,-'Ops Assumptions'!AB41)</f>
        <v>-25416.666666666668</v>
      </c>
      <c r="O53" s="217">
        <f>IF(O$4&gt;HoldPeriod+12,0,-'Ops Assumptions'!AC41)</f>
        <v>-25416.666666666668</v>
      </c>
      <c r="P53" s="217">
        <f>IF(P$4&gt;HoldPeriod+12,0,-'Ops Assumptions'!AD41)</f>
        <v>-25416.666666666668</v>
      </c>
      <c r="Q53" s="217">
        <f>IF(Q$4&gt;HoldPeriod+12,0,-'Ops Assumptions'!AE41)</f>
        <v>-25416.666666666668</v>
      </c>
      <c r="R53" s="217">
        <f>IF(R$4&gt;HoldPeriod+12,0,-'Ops Assumptions'!AF41)</f>
        <v>-25416.666666666668</v>
      </c>
      <c r="S53" s="217">
        <f>IF(S$4&gt;HoldPeriod+12,0,-'Ops Assumptions'!AG41)</f>
        <v>-34312.5</v>
      </c>
      <c r="T53" s="217">
        <f>IF(T$4&gt;HoldPeriod+12,0,-'Ops Assumptions'!AH41)</f>
        <v>-34312.5</v>
      </c>
      <c r="U53" s="217">
        <f>IF(U$4&gt;HoldPeriod+12,0,-'Ops Assumptions'!AI41)</f>
        <v>-34312.5</v>
      </c>
      <c r="V53" s="217">
        <f>IF(V$4&gt;HoldPeriod+12,0,-'Ops Assumptions'!AJ41)</f>
        <v>-34312.5</v>
      </c>
      <c r="W53" s="217">
        <f>IF(W$4&gt;HoldPeriod+12,0,-'Ops Assumptions'!AK41)</f>
        <v>-34312.5</v>
      </c>
      <c r="X53" s="217">
        <f>IF(X$4&gt;HoldPeriod+12,0,-'Ops Assumptions'!AL41)</f>
        <v>-34312.5</v>
      </c>
      <c r="Y53" s="217">
        <f>IF(Y$4&gt;HoldPeriod+12,0,-'Ops Assumptions'!AM41)</f>
        <v>-34312.5</v>
      </c>
      <c r="Z53" s="217">
        <f>IF(Z$4&gt;HoldPeriod+12,0,-'Ops Assumptions'!AN41)</f>
        <v>-34312.5</v>
      </c>
      <c r="AA53" s="217">
        <f>IF(AA$4&gt;HoldPeriod+12,0,-'Ops Assumptions'!AO41)</f>
        <v>-34312.5</v>
      </c>
      <c r="AB53" s="217">
        <f>IF(AB$4&gt;HoldPeriod+12,0,-'Ops Assumptions'!AP41)</f>
        <v>-34312.5</v>
      </c>
      <c r="AC53" s="217">
        <f>IF(AC$4&gt;HoldPeriod+12,0,-'Ops Assumptions'!AQ41)</f>
        <v>-34312.5</v>
      </c>
      <c r="AD53" s="217">
        <f>IF(AD$4&gt;HoldPeriod+12,0,-'Ops Assumptions'!AR41)</f>
        <v>-34312.5</v>
      </c>
      <c r="AE53" s="217">
        <f>IF(AE$4&gt;HoldPeriod+12,0,-'Ops Assumptions'!AS41)</f>
        <v>-34998.75</v>
      </c>
      <c r="AF53" s="217">
        <f>IF(AF$4&gt;HoldPeriod+12,0,-'Ops Assumptions'!AT41)</f>
        <v>-34998.75</v>
      </c>
      <c r="AG53" s="217">
        <f>IF(AG$4&gt;HoldPeriod+12,0,-'Ops Assumptions'!AU41)</f>
        <v>-34998.75</v>
      </c>
      <c r="AH53" s="217">
        <f>IF(AH$4&gt;HoldPeriod+12,0,-'Ops Assumptions'!AV41)</f>
        <v>-34998.75</v>
      </c>
      <c r="AI53" s="217">
        <f>IF(AI$4&gt;HoldPeriod+12,0,-'Ops Assumptions'!AW41)</f>
        <v>-34998.75</v>
      </c>
      <c r="AJ53" s="217">
        <f>IF(AJ$4&gt;HoldPeriod+12,0,-'Ops Assumptions'!AX41)</f>
        <v>-34998.75</v>
      </c>
      <c r="AK53" s="217">
        <f>IF(AK$4&gt;HoldPeriod+12,0,-'Ops Assumptions'!AY41)</f>
        <v>-34998.75</v>
      </c>
      <c r="AL53" s="217">
        <f>IF(AL$4&gt;HoldPeriod+12,0,-'Ops Assumptions'!AZ41)</f>
        <v>-34998.75</v>
      </c>
      <c r="AM53" s="217">
        <f>IF(AM$4&gt;HoldPeriod+12,0,-'Ops Assumptions'!BA41)</f>
        <v>-34998.75</v>
      </c>
      <c r="AN53" s="217">
        <f>IF(AN$4&gt;HoldPeriod+12,0,-'Ops Assumptions'!BB41)</f>
        <v>-34998.75</v>
      </c>
      <c r="AO53" s="217">
        <f>IF(AO$4&gt;HoldPeriod+12,0,-'Ops Assumptions'!BC41)</f>
        <v>-34998.75</v>
      </c>
      <c r="AP53" s="217">
        <f>IF(AP$4&gt;HoldPeriod+12,0,-'Ops Assumptions'!BD41)</f>
        <v>-34998.75</v>
      </c>
      <c r="AQ53" s="217">
        <f>IF(AQ$4&gt;HoldPeriod+12,0,-'Ops Assumptions'!BE41)</f>
        <v>-35698.724999999999</v>
      </c>
      <c r="AR53" s="217">
        <f>IF(AR$4&gt;HoldPeriod+12,0,-'Ops Assumptions'!BF41)</f>
        <v>-35698.724999999999</v>
      </c>
      <c r="AS53" s="217">
        <f>IF(AS$4&gt;HoldPeriod+12,0,-'Ops Assumptions'!BG41)</f>
        <v>-35698.724999999999</v>
      </c>
      <c r="AT53" s="217">
        <f>IF(AT$4&gt;HoldPeriod+12,0,-'Ops Assumptions'!BH41)</f>
        <v>-35698.724999999999</v>
      </c>
      <c r="AU53" s="217">
        <f>IF(AU$4&gt;HoldPeriod+12,0,-'Ops Assumptions'!BI41)</f>
        <v>-35698.724999999999</v>
      </c>
      <c r="AV53" s="217">
        <f>IF(AV$4&gt;HoldPeriod+12,0,-'Ops Assumptions'!BJ41)</f>
        <v>-35698.724999999999</v>
      </c>
      <c r="AW53" s="217">
        <f>IF(AW$4&gt;HoldPeriod+12,0,-'Ops Assumptions'!BK41)</f>
        <v>-35698.724999999999</v>
      </c>
      <c r="AX53" s="217">
        <f>IF(AX$4&gt;HoldPeriod+12,0,-'Ops Assumptions'!BL41)</f>
        <v>-35698.724999999999</v>
      </c>
      <c r="AY53" s="217">
        <f>IF(AY$4&gt;HoldPeriod+12,0,-'Ops Assumptions'!BM41)</f>
        <v>-35698.724999999999</v>
      </c>
      <c r="AZ53" s="217">
        <f>IF(AZ$4&gt;HoldPeriod+12,0,-'Ops Assumptions'!BN41)</f>
        <v>-35698.724999999999</v>
      </c>
      <c r="BA53" s="217">
        <f>IF(BA$4&gt;HoldPeriod+12,0,-'Ops Assumptions'!BO41)</f>
        <v>-35698.724999999999</v>
      </c>
      <c r="BB53" s="217">
        <f>IF(BB$4&gt;HoldPeriod+12,0,-'Ops Assumptions'!BP41)</f>
        <v>-35698.724999999999</v>
      </c>
      <c r="BC53" s="217">
        <f>IF(BC$4&gt;HoldPeriod+12,0,-'Ops Assumptions'!BQ41)</f>
        <v>-36412.699500000002</v>
      </c>
      <c r="BD53" s="217">
        <f>IF(BD$4&gt;HoldPeriod+12,0,-'Ops Assumptions'!BR41)</f>
        <v>-36412.699500000002</v>
      </c>
      <c r="BE53" s="217">
        <f>IF(BE$4&gt;HoldPeriod+12,0,-'Ops Assumptions'!BS41)</f>
        <v>-36412.699500000002</v>
      </c>
      <c r="BF53" s="217">
        <f>IF(BF$4&gt;HoldPeriod+12,0,-'Ops Assumptions'!BT41)</f>
        <v>-36412.699500000002</v>
      </c>
      <c r="BG53" s="217">
        <f>IF(BG$4&gt;HoldPeriod+12,0,-'Ops Assumptions'!BU41)</f>
        <v>-36412.699500000002</v>
      </c>
      <c r="BH53" s="217">
        <f>IF(BH$4&gt;HoldPeriod+12,0,-'Ops Assumptions'!BV41)</f>
        <v>-36412.699500000002</v>
      </c>
      <c r="BI53" s="217">
        <f>IF(BI$4&gt;HoldPeriod+12,0,-'Ops Assumptions'!BW41)</f>
        <v>-36412.699500000002</v>
      </c>
      <c r="BJ53" s="217">
        <f>IF(BJ$4&gt;HoldPeriod+12,0,-'Ops Assumptions'!BX41)</f>
        <v>-36412.699500000002</v>
      </c>
      <c r="BK53" s="217">
        <f>IF(BK$4&gt;HoldPeriod+12,0,-'Ops Assumptions'!BY41)</f>
        <v>-36412.699500000002</v>
      </c>
      <c r="BL53" s="217">
        <f>IF(BL$4&gt;HoldPeriod+12,0,-'Ops Assumptions'!BZ41)</f>
        <v>-36412.699500000002</v>
      </c>
      <c r="BM53" s="217">
        <f>IF(BM$4&gt;HoldPeriod+12,0,-'Ops Assumptions'!CA41)</f>
        <v>-36412.699500000002</v>
      </c>
      <c r="BN53" s="217">
        <f>IF(BN$4&gt;HoldPeriod+12,0,-'Ops Assumptions'!CB41)</f>
        <v>-36412.699500000002</v>
      </c>
      <c r="BO53" s="217">
        <f>IF(BO$4&gt;HoldPeriod+12,0,-'Ops Assumptions'!CC41)</f>
        <v>-37140.953490000007</v>
      </c>
      <c r="BP53" s="217">
        <f>IF(BP$4&gt;HoldPeriod+12,0,-'Ops Assumptions'!CD41)</f>
        <v>-37140.953490000007</v>
      </c>
      <c r="BQ53" s="217">
        <f>IF(BQ$4&gt;HoldPeriod+12,0,-'Ops Assumptions'!CE41)</f>
        <v>-37140.953490000007</v>
      </c>
      <c r="BR53" s="217">
        <f>IF(BR$4&gt;HoldPeriod+12,0,-'Ops Assumptions'!CF41)</f>
        <v>-37140.953490000007</v>
      </c>
      <c r="BS53" s="217">
        <f>IF(BS$4&gt;HoldPeriod+12,0,-'Ops Assumptions'!CG41)</f>
        <v>-37140.953490000007</v>
      </c>
      <c r="BT53" s="217">
        <f>IF(BT$4&gt;HoldPeriod+12,0,-'Ops Assumptions'!CH41)</f>
        <v>-37140.953490000007</v>
      </c>
      <c r="BU53" s="217">
        <f>IF(BU$4&gt;HoldPeriod+12,0,-'Ops Assumptions'!CI41)</f>
        <v>-37140.953490000007</v>
      </c>
      <c r="BV53" s="217">
        <f>IF(BV$4&gt;HoldPeriod+12,0,-'Ops Assumptions'!CJ41)</f>
        <v>-37140.953490000007</v>
      </c>
      <c r="BW53" s="217">
        <f>IF(BW$4&gt;HoldPeriod+12,0,-'Ops Assumptions'!CK41)</f>
        <v>-37140.953490000007</v>
      </c>
      <c r="BX53" s="217">
        <f>IF(BX$4&gt;HoldPeriod+12,0,-'Ops Assumptions'!CL41)</f>
        <v>-37140.953490000007</v>
      </c>
      <c r="BY53" s="217">
        <f>IF(BY$4&gt;HoldPeriod+12,0,-'Ops Assumptions'!CM41)</f>
        <v>-37140.953490000007</v>
      </c>
      <c r="BZ53" s="217">
        <f>IF(BZ$4&gt;HoldPeriod+12,0,-'Ops Assumptions'!CN41)</f>
        <v>-37140.953490000007</v>
      </c>
      <c r="CA53" s="217">
        <f>IF(CA$4&gt;HoldPeriod+12,0,-'Ops Assumptions'!CO41)</f>
        <v>0</v>
      </c>
      <c r="CB53" s="217">
        <f>IF(CB$4&gt;HoldPeriod+12,0,-'Ops Assumptions'!CP41)</f>
        <v>0</v>
      </c>
      <c r="CC53" s="217">
        <f>IF(CC$4&gt;HoldPeriod+12,0,-'Ops Assumptions'!CQ41)</f>
        <v>0</v>
      </c>
      <c r="CD53" s="217">
        <f>IF(CD$4&gt;HoldPeriod+12,0,-'Ops Assumptions'!CR41)</f>
        <v>0</v>
      </c>
      <c r="CE53" s="217">
        <f>IF(CE$4&gt;HoldPeriod+12,0,-'Ops Assumptions'!CS41)</f>
        <v>0</v>
      </c>
      <c r="CF53" s="217">
        <f>IF(CF$4&gt;HoldPeriod+12,0,-'Ops Assumptions'!CT41)</f>
        <v>0</v>
      </c>
      <c r="CG53" s="217">
        <f>IF(CG$4&gt;HoldPeriod+12,0,-'Ops Assumptions'!CU41)</f>
        <v>0</v>
      </c>
      <c r="CH53" s="217">
        <f>IF(CH$4&gt;HoldPeriod+12,0,-'Ops Assumptions'!CV41)</f>
        <v>0</v>
      </c>
      <c r="CI53" s="217">
        <f>IF(CI$4&gt;HoldPeriod+12,0,-'Ops Assumptions'!CW41)</f>
        <v>0</v>
      </c>
      <c r="CJ53" s="217">
        <f>IF(CJ$4&gt;HoldPeriod+12,0,-'Ops Assumptions'!CX41)</f>
        <v>0</v>
      </c>
      <c r="CK53" s="217">
        <f>IF(CK$4&gt;HoldPeriod+12,0,-'Ops Assumptions'!CY41)</f>
        <v>0</v>
      </c>
      <c r="CL53" s="217">
        <f>IF(CL$4&gt;HoldPeriod+12,0,-'Ops Assumptions'!CZ41)</f>
        <v>0</v>
      </c>
      <c r="CM53" s="217">
        <f>IF(CM$4&gt;HoldPeriod+12,0,-'Ops Assumptions'!DA41)</f>
        <v>0</v>
      </c>
      <c r="CN53" s="217">
        <f>IF(CN$4&gt;HoldPeriod+12,0,-'Ops Assumptions'!DB41)</f>
        <v>0</v>
      </c>
      <c r="CO53" s="217">
        <f>IF(CO$4&gt;HoldPeriod+12,0,-'Ops Assumptions'!DC41)</f>
        <v>0</v>
      </c>
      <c r="CP53" s="217">
        <f>IF(CP$4&gt;HoldPeriod+12,0,-'Ops Assumptions'!DD41)</f>
        <v>0</v>
      </c>
      <c r="CQ53" s="217">
        <f>IF(CQ$4&gt;HoldPeriod+12,0,-'Ops Assumptions'!DE41)</f>
        <v>0</v>
      </c>
      <c r="CR53" s="217">
        <f>IF(CR$4&gt;HoldPeriod+12,0,-'Ops Assumptions'!DF41)</f>
        <v>0</v>
      </c>
      <c r="CS53" s="217">
        <f>IF(CS$4&gt;HoldPeriod+12,0,-'Ops Assumptions'!DG41)</f>
        <v>0</v>
      </c>
      <c r="CT53" s="217">
        <f>IF(CT$4&gt;HoldPeriod+12,0,-'Ops Assumptions'!DH41)</f>
        <v>0</v>
      </c>
      <c r="CU53" s="217">
        <f>IF(CU$4&gt;HoldPeriod+12,0,-'Ops Assumptions'!DI41)</f>
        <v>0</v>
      </c>
      <c r="CV53" s="217">
        <f>IF(CV$4&gt;HoldPeriod+12,0,-'Ops Assumptions'!DJ41)</f>
        <v>0</v>
      </c>
      <c r="CW53" s="217">
        <f>IF(CW$4&gt;HoldPeriod+12,0,-'Ops Assumptions'!DK41)</f>
        <v>0</v>
      </c>
      <c r="CX53" s="217">
        <f>IF(CX$4&gt;HoldPeriod+12,0,-'Ops Assumptions'!DL41)</f>
        <v>0</v>
      </c>
      <c r="CY53" s="217">
        <f>IF(CY$4&gt;HoldPeriod+12,0,-'Ops Assumptions'!DM41)</f>
        <v>0</v>
      </c>
      <c r="CZ53" s="217">
        <f>IF(CZ$4&gt;HoldPeriod+12,0,-'Ops Assumptions'!DN41)</f>
        <v>0</v>
      </c>
      <c r="DA53" s="217">
        <f>IF(DA$4&gt;HoldPeriod+12,0,-'Ops Assumptions'!DO41)</f>
        <v>0</v>
      </c>
      <c r="DB53" s="217">
        <f>IF(DB$4&gt;HoldPeriod+12,0,-'Ops Assumptions'!DP41)</f>
        <v>0</v>
      </c>
      <c r="DC53" s="217">
        <f>IF(DC$4&gt;HoldPeriod+12,0,-'Ops Assumptions'!DQ41)</f>
        <v>0</v>
      </c>
      <c r="DD53" s="217">
        <f>IF(DD$4&gt;HoldPeriod+12,0,-'Ops Assumptions'!DR41)</f>
        <v>0</v>
      </c>
      <c r="DE53" s="217">
        <f>IF(DE$4&gt;HoldPeriod+12,0,-'Ops Assumptions'!DS41)</f>
        <v>0</v>
      </c>
      <c r="DF53" s="217">
        <f>IF(DF$4&gt;HoldPeriod+12,0,-'Ops Assumptions'!DT41)</f>
        <v>0</v>
      </c>
      <c r="DG53" s="217">
        <f>IF(DG$4&gt;HoldPeriod+12,0,-'Ops Assumptions'!DU41)</f>
        <v>0</v>
      </c>
      <c r="DH53" s="217">
        <f>IF(DH$4&gt;HoldPeriod+12,0,-'Ops Assumptions'!DV41)</f>
        <v>0</v>
      </c>
      <c r="DI53" s="217">
        <f>IF(DI$4&gt;HoldPeriod+12,0,-'Ops Assumptions'!DW41)</f>
        <v>0</v>
      </c>
      <c r="DJ53" s="217">
        <f>IF(DJ$4&gt;HoldPeriod+12,0,-'Ops Assumptions'!DX41)</f>
        <v>0</v>
      </c>
      <c r="DK53" s="217">
        <f>IF(DK$4&gt;HoldPeriod+12,0,-'Ops Assumptions'!DY41)</f>
        <v>0</v>
      </c>
      <c r="DL53" s="217">
        <f>IF(DL$4&gt;HoldPeriod+12,0,-'Ops Assumptions'!DZ41)</f>
        <v>0</v>
      </c>
      <c r="DM53" s="217">
        <f>IF(DM$4&gt;HoldPeriod+12,0,-'Ops Assumptions'!EA41)</f>
        <v>0</v>
      </c>
      <c r="DN53" s="217">
        <f>IF(DN$4&gt;HoldPeriod+12,0,-'Ops Assumptions'!EB41)</f>
        <v>0</v>
      </c>
      <c r="DO53" s="217">
        <f>IF(DO$4&gt;HoldPeriod+12,0,-'Ops Assumptions'!EC41)</f>
        <v>0</v>
      </c>
      <c r="DP53" s="217">
        <f>IF(DP$4&gt;HoldPeriod+12,0,-'Ops Assumptions'!ED41)</f>
        <v>0</v>
      </c>
      <c r="DQ53" s="217">
        <f>IF(DQ$4&gt;HoldPeriod+12,0,-'Ops Assumptions'!EE41)</f>
        <v>0</v>
      </c>
      <c r="DR53" s="217">
        <f>IF(DR$4&gt;HoldPeriod+12,0,-'Ops Assumptions'!EF41)</f>
        <v>0</v>
      </c>
      <c r="DS53" s="217">
        <f>IF(DS$4&gt;HoldPeriod+12,0,-'Ops Assumptions'!EG41)</f>
        <v>0</v>
      </c>
      <c r="DT53" s="217">
        <f>IF(DT$4&gt;HoldPeriod+12,0,-'Ops Assumptions'!EH41)</f>
        <v>0</v>
      </c>
      <c r="DU53" s="217">
        <f>IF(DU$4&gt;HoldPeriod+12,0,-'Ops Assumptions'!EI41)</f>
        <v>0</v>
      </c>
      <c r="DV53" s="217">
        <f>IF(DV$4&gt;HoldPeriod+12,0,-'Ops Assumptions'!EJ41)</f>
        <v>0</v>
      </c>
      <c r="DW53" s="217">
        <f>IF(DW$4&gt;HoldPeriod+12,0,-'Ops Assumptions'!EK41)</f>
        <v>0</v>
      </c>
      <c r="DX53" s="217">
        <f>IF(DX$4&gt;HoldPeriod+12,0,-'Ops Assumptions'!EL41)</f>
        <v>0</v>
      </c>
      <c r="DY53" s="217">
        <f>IF(DY$4&gt;HoldPeriod+12,0,-'Ops Assumptions'!EM41)</f>
        <v>0</v>
      </c>
      <c r="DZ53" s="217">
        <f>IF(DZ$4&gt;HoldPeriod+12,0,-'Ops Assumptions'!EN41)</f>
        <v>0</v>
      </c>
      <c r="EA53" s="217">
        <f>IF(EA$4&gt;HoldPeriod+12,0,-'Ops Assumptions'!EO41)</f>
        <v>0</v>
      </c>
      <c r="EB53" s="217">
        <f>IF(EB$4&gt;HoldPeriod+12,0,-'Ops Assumptions'!EP41)</f>
        <v>0</v>
      </c>
      <c r="EC53" s="217">
        <f>IF(EC$4&gt;HoldPeriod+12,0,-'Ops Assumptions'!EQ41)</f>
        <v>0</v>
      </c>
      <c r="ED53" s="217">
        <f>IF(ED$4&gt;HoldPeriod+12,0,-'Ops Assumptions'!ER41)</f>
        <v>0</v>
      </c>
      <c r="EE53" s="217">
        <f>IF(EE$4&gt;HoldPeriod+12,0,-'Ops Assumptions'!ES41)</f>
        <v>0</v>
      </c>
      <c r="EF53" s="217">
        <f>IF(EF$4&gt;HoldPeriod+12,0,-'Ops Assumptions'!ET41)</f>
        <v>0</v>
      </c>
      <c r="EG53" s="217">
        <f>IF(EG$4&gt;HoldPeriod+12,0,-'Ops Assumptions'!EU41)</f>
        <v>0</v>
      </c>
      <c r="EH53" s="217">
        <f>IF(EH$4&gt;HoldPeriod+12,0,-'Ops Assumptions'!EV41)</f>
        <v>0</v>
      </c>
      <c r="EI53" s="158" t="s">
        <v>243</v>
      </c>
    </row>
    <row r="54" spans="1:139" s="312" customFormat="1" x14ac:dyDescent="0.2">
      <c r="A54" s="282"/>
      <c r="B54" s="261" t="s">
        <v>22</v>
      </c>
      <c r="C54" s="283"/>
      <c r="D54" s="310">
        <f t="shared" ca="1" si="69"/>
        <v>-8006569.4373850645</v>
      </c>
      <c r="E54" s="311">
        <f>SUM(E45:E53)</f>
        <v>-121697.22333333333</v>
      </c>
      <c r="F54" s="264">
        <v>0</v>
      </c>
      <c r="G54" s="264">
        <f t="shared" ref="G54:AL54" ca="1" si="74">IF(G$4&gt;HoldPeriod+12,0,SUM(G45:G53))</f>
        <v>-117658.36457563071</v>
      </c>
      <c r="H54" s="264">
        <f t="shared" ca="1" si="74"/>
        <v>-117714.66731048231</v>
      </c>
      <c r="I54" s="264">
        <f t="shared" ca="1" si="74"/>
        <v>-117770.89556768401</v>
      </c>
      <c r="J54" s="264">
        <f t="shared" ca="1" si="74"/>
        <v>-117827.04934723581</v>
      </c>
      <c r="K54" s="264">
        <f t="shared" ca="1" si="74"/>
        <v>-117883.12864913773</v>
      </c>
      <c r="L54" s="264">
        <f t="shared" ca="1" si="74"/>
        <v>-117939.13347338974</v>
      </c>
      <c r="M54" s="264">
        <f t="shared" ca="1" si="74"/>
        <v>-117995.06381999182</v>
      </c>
      <c r="N54" s="264">
        <f t="shared" ca="1" si="74"/>
        <v>-118050.91968894405</v>
      </c>
      <c r="O54" s="264">
        <f t="shared" ca="1" si="74"/>
        <v>-118106.70108024635</v>
      </c>
      <c r="P54" s="264">
        <f t="shared" ca="1" si="74"/>
        <v>-118162.40799389874</v>
      </c>
      <c r="Q54" s="264">
        <f t="shared" ca="1" si="74"/>
        <v>-118218.04042990126</v>
      </c>
      <c r="R54" s="264">
        <f t="shared" ca="1" si="74"/>
        <v>-118273.59838825387</v>
      </c>
      <c r="S54" s="264">
        <f t="shared" ca="1" si="74"/>
        <v>-130430.06149459988</v>
      </c>
      <c r="T54" s="264">
        <f t="shared" ca="1" si="74"/>
        <v>-130503.82573178595</v>
      </c>
      <c r="U54" s="264">
        <f t="shared" ca="1" si="74"/>
        <v>-130577.45023831517</v>
      </c>
      <c r="V54" s="264">
        <f t="shared" ca="1" si="74"/>
        <v>-130650.93501418752</v>
      </c>
      <c r="W54" s="264">
        <f t="shared" ca="1" si="74"/>
        <v>-130724.280059403</v>
      </c>
      <c r="X54" s="264">
        <f t="shared" ca="1" si="74"/>
        <v>-130797.48537396161</v>
      </c>
      <c r="Y54" s="264">
        <f t="shared" ca="1" si="74"/>
        <v>-130870.55095786335</v>
      </c>
      <c r="Z54" s="264">
        <f t="shared" ca="1" si="74"/>
        <v>-130943.47681110822</v>
      </c>
      <c r="AA54" s="264">
        <f t="shared" ca="1" si="74"/>
        <v>-131007.03803746495</v>
      </c>
      <c r="AB54" s="264">
        <f t="shared" ca="1" si="74"/>
        <v>-131070.47699949692</v>
      </c>
      <c r="AC54" s="264">
        <f t="shared" ca="1" si="74"/>
        <v>-131133.79369720412</v>
      </c>
      <c r="AD54" s="264">
        <f t="shared" ca="1" si="74"/>
        <v>-131196.98813058657</v>
      </c>
      <c r="AE54" s="264">
        <f t="shared" ca="1" si="74"/>
        <v>-135211.06626456682</v>
      </c>
      <c r="AF54" s="264">
        <f t="shared" ca="1" si="74"/>
        <v>-135279.38055756793</v>
      </c>
      <c r="AG54" s="264">
        <f t="shared" ca="1" si="74"/>
        <v>-135347.69485056907</v>
      </c>
      <c r="AH54" s="264">
        <f t="shared" ca="1" si="74"/>
        <v>-135396.49077414128</v>
      </c>
      <c r="AI54" s="264">
        <f t="shared" ca="1" si="74"/>
        <v>-135445.28669771348</v>
      </c>
      <c r="AJ54" s="264">
        <f t="shared" ca="1" si="74"/>
        <v>-135494.08262128575</v>
      </c>
      <c r="AK54" s="264">
        <f t="shared" ca="1" si="74"/>
        <v>-135542.87854485796</v>
      </c>
      <c r="AL54" s="264">
        <f t="shared" ca="1" si="74"/>
        <v>-135591.67446843017</v>
      </c>
      <c r="AM54" s="264">
        <f t="shared" ref="AM54:BR54" ca="1" si="75">IF(AM$4&gt;HoldPeriod+12,0,SUM(AM45:AM53))</f>
        <v>-135640.47039200243</v>
      </c>
      <c r="AN54" s="264">
        <f t="shared" ca="1" si="75"/>
        <v>-135640.47039200243</v>
      </c>
      <c r="AO54" s="264">
        <f t="shared" ca="1" si="75"/>
        <v>-135640.47039200243</v>
      </c>
      <c r="AP54" s="264">
        <f t="shared" ca="1" si="75"/>
        <v>-135640.47039200243</v>
      </c>
      <c r="AQ54" s="264">
        <f t="shared" ca="1" si="75"/>
        <v>-139486.58484271792</v>
      </c>
      <c r="AR54" s="264">
        <f t="shared" ca="1" si="75"/>
        <v>-139486.58484271792</v>
      </c>
      <c r="AS54" s="264">
        <f t="shared" ca="1" si="75"/>
        <v>-139486.58484271792</v>
      </c>
      <c r="AT54" s="264">
        <f t="shared" ca="1" si="75"/>
        <v>-139486.58484271792</v>
      </c>
      <c r="AU54" s="264">
        <f t="shared" ca="1" si="75"/>
        <v>-139486.58484271792</v>
      </c>
      <c r="AV54" s="264">
        <f t="shared" ca="1" si="75"/>
        <v>-139486.58484271792</v>
      </c>
      <c r="AW54" s="264">
        <f t="shared" ca="1" si="75"/>
        <v>-139486.58484271792</v>
      </c>
      <c r="AX54" s="264">
        <f t="shared" ca="1" si="75"/>
        <v>-139486.58484271792</v>
      </c>
      <c r="AY54" s="264">
        <f t="shared" ca="1" si="75"/>
        <v>-139486.58484271792</v>
      </c>
      <c r="AZ54" s="264">
        <f t="shared" ca="1" si="75"/>
        <v>-139486.58484271792</v>
      </c>
      <c r="BA54" s="264">
        <f t="shared" ca="1" si="75"/>
        <v>-139486.58484271792</v>
      </c>
      <c r="BB54" s="264">
        <f t="shared" ca="1" si="75"/>
        <v>-139486.58484271792</v>
      </c>
      <c r="BC54" s="264">
        <f t="shared" ca="1" si="75"/>
        <v>-143446.13750454443</v>
      </c>
      <c r="BD54" s="264">
        <f t="shared" ca="1" si="75"/>
        <v>-143446.13750454443</v>
      </c>
      <c r="BE54" s="264">
        <f t="shared" ca="1" si="75"/>
        <v>-143446.13750454443</v>
      </c>
      <c r="BF54" s="264">
        <f t="shared" ca="1" si="75"/>
        <v>-143446.13750454443</v>
      </c>
      <c r="BG54" s="264">
        <f t="shared" ca="1" si="75"/>
        <v>-143446.13750454443</v>
      </c>
      <c r="BH54" s="264">
        <f t="shared" ca="1" si="75"/>
        <v>-143446.13750454443</v>
      </c>
      <c r="BI54" s="264">
        <f t="shared" ca="1" si="75"/>
        <v>-143446.13750454443</v>
      </c>
      <c r="BJ54" s="264">
        <f t="shared" ca="1" si="75"/>
        <v>-143446.13750454443</v>
      </c>
      <c r="BK54" s="264">
        <f t="shared" ca="1" si="75"/>
        <v>-143446.13750454443</v>
      </c>
      <c r="BL54" s="264">
        <f t="shared" ca="1" si="75"/>
        <v>-143446.13750454443</v>
      </c>
      <c r="BM54" s="264">
        <f t="shared" ca="1" si="75"/>
        <v>-143446.13750454443</v>
      </c>
      <c r="BN54" s="264">
        <f t="shared" ca="1" si="75"/>
        <v>-143446.13750454443</v>
      </c>
      <c r="BO54" s="264">
        <f t="shared" ca="1" si="75"/>
        <v>-147522.59297540999</v>
      </c>
      <c r="BP54" s="264">
        <f t="shared" ca="1" si="75"/>
        <v>-147522.59297540999</v>
      </c>
      <c r="BQ54" s="264">
        <f t="shared" ca="1" si="75"/>
        <v>-147522.59297540999</v>
      </c>
      <c r="BR54" s="264">
        <f t="shared" ca="1" si="75"/>
        <v>-147522.59297540999</v>
      </c>
      <c r="BS54" s="264">
        <f t="shared" ref="BS54:CX54" ca="1" si="76">IF(BS$4&gt;HoldPeriod+12,0,SUM(BS45:BS53))</f>
        <v>-147522.59297540999</v>
      </c>
      <c r="BT54" s="264">
        <f t="shared" ca="1" si="76"/>
        <v>-147522.59297540999</v>
      </c>
      <c r="BU54" s="264">
        <f t="shared" ca="1" si="76"/>
        <v>-147522.59297540999</v>
      </c>
      <c r="BV54" s="264">
        <f t="shared" ca="1" si="76"/>
        <v>-147522.59297540999</v>
      </c>
      <c r="BW54" s="264">
        <f t="shared" ca="1" si="76"/>
        <v>-147522.59297540999</v>
      </c>
      <c r="BX54" s="264">
        <f t="shared" ca="1" si="76"/>
        <v>-147522.59297540999</v>
      </c>
      <c r="BY54" s="264">
        <f t="shared" ca="1" si="76"/>
        <v>-147522.59297540999</v>
      </c>
      <c r="BZ54" s="264">
        <f t="shared" ca="1" si="76"/>
        <v>-147522.59297540999</v>
      </c>
      <c r="CA54" s="264">
        <f t="shared" si="76"/>
        <v>0</v>
      </c>
      <c r="CB54" s="264">
        <f t="shared" si="76"/>
        <v>0</v>
      </c>
      <c r="CC54" s="264">
        <f t="shared" si="76"/>
        <v>0</v>
      </c>
      <c r="CD54" s="264">
        <f t="shared" si="76"/>
        <v>0</v>
      </c>
      <c r="CE54" s="264">
        <f t="shared" si="76"/>
        <v>0</v>
      </c>
      <c r="CF54" s="264">
        <f t="shared" si="76"/>
        <v>0</v>
      </c>
      <c r="CG54" s="264">
        <f t="shared" si="76"/>
        <v>0</v>
      </c>
      <c r="CH54" s="264">
        <f t="shared" si="76"/>
        <v>0</v>
      </c>
      <c r="CI54" s="264">
        <f t="shared" si="76"/>
        <v>0</v>
      </c>
      <c r="CJ54" s="264">
        <f t="shared" si="76"/>
        <v>0</v>
      </c>
      <c r="CK54" s="264">
        <f t="shared" si="76"/>
        <v>0</v>
      </c>
      <c r="CL54" s="264">
        <f t="shared" si="76"/>
        <v>0</v>
      </c>
      <c r="CM54" s="264">
        <f t="shared" si="76"/>
        <v>0</v>
      </c>
      <c r="CN54" s="264">
        <f t="shared" si="76"/>
        <v>0</v>
      </c>
      <c r="CO54" s="264">
        <f t="shared" si="76"/>
        <v>0</v>
      </c>
      <c r="CP54" s="264">
        <f t="shared" si="76"/>
        <v>0</v>
      </c>
      <c r="CQ54" s="264">
        <f t="shared" si="76"/>
        <v>0</v>
      </c>
      <c r="CR54" s="264">
        <f t="shared" si="76"/>
        <v>0</v>
      </c>
      <c r="CS54" s="264">
        <f t="shared" si="76"/>
        <v>0</v>
      </c>
      <c r="CT54" s="264">
        <f t="shared" si="76"/>
        <v>0</v>
      </c>
      <c r="CU54" s="264">
        <f t="shared" si="76"/>
        <v>0</v>
      </c>
      <c r="CV54" s="264">
        <f t="shared" si="76"/>
        <v>0</v>
      </c>
      <c r="CW54" s="264">
        <f t="shared" si="76"/>
        <v>0</v>
      </c>
      <c r="CX54" s="264">
        <f t="shared" si="76"/>
        <v>0</v>
      </c>
      <c r="CY54" s="264">
        <f t="shared" ref="CY54:ED54" si="77">IF(CY$4&gt;HoldPeriod+12,0,SUM(CY45:CY53))</f>
        <v>0</v>
      </c>
      <c r="CZ54" s="264">
        <f t="shared" si="77"/>
        <v>0</v>
      </c>
      <c r="DA54" s="264">
        <f t="shared" si="77"/>
        <v>0</v>
      </c>
      <c r="DB54" s="264">
        <f t="shared" si="77"/>
        <v>0</v>
      </c>
      <c r="DC54" s="264">
        <f t="shared" si="77"/>
        <v>0</v>
      </c>
      <c r="DD54" s="264">
        <f t="shared" si="77"/>
        <v>0</v>
      </c>
      <c r="DE54" s="264">
        <f t="shared" si="77"/>
        <v>0</v>
      </c>
      <c r="DF54" s="264">
        <f t="shared" si="77"/>
        <v>0</v>
      </c>
      <c r="DG54" s="264">
        <f t="shared" si="77"/>
        <v>0</v>
      </c>
      <c r="DH54" s="264">
        <f t="shared" si="77"/>
        <v>0</v>
      </c>
      <c r="DI54" s="264">
        <f t="shared" si="77"/>
        <v>0</v>
      </c>
      <c r="DJ54" s="264">
        <f t="shared" si="77"/>
        <v>0</v>
      </c>
      <c r="DK54" s="264">
        <f t="shared" si="77"/>
        <v>0</v>
      </c>
      <c r="DL54" s="264">
        <f t="shared" si="77"/>
        <v>0</v>
      </c>
      <c r="DM54" s="264">
        <f t="shared" si="77"/>
        <v>0</v>
      </c>
      <c r="DN54" s="264">
        <f t="shared" si="77"/>
        <v>0</v>
      </c>
      <c r="DO54" s="264">
        <f t="shared" si="77"/>
        <v>0</v>
      </c>
      <c r="DP54" s="264">
        <f t="shared" si="77"/>
        <v>0</v>
      </c>
      <c r="DQ54" s="264">
        <f t="shared" si="77"/>
        <v>0</v>
      </c>
      <c r="DR54" s="264">
        <f t="shared" si="77"/>
        <v>0</v>
      </c>
      <c r="DS54" s="264">
        <f t="shared" si="77"/>
        <v>0</v>
      </c>
      <c r="DT54" s="264">
        <f t="shared" si="77"/>
        <v>0</v>
      </c>
      <c r="DU54" s="264">
        <f t="shared" si="77"/>
        <v>0</v>
      </c>
      <c r="DV54" s="264">
        <f t="shared" si="77"/>
        <v>0</v>
      </c>
      <c r="DW54" s="264">
        <f t="shared" si="77"/>
        <v>0</v>
      </c>
      <c r="DX54" s="264">
        <f t="shared" si="77"/>
        <v>0</v>
      </c>
      <c r="DY54" s="264">
        <f t="shared" si="77"/>
        <v>0</v>
      </c>
      <c r="DZ54" s="264">
        <f t="shared" si="77"/>
        <v>0</v>
      </c>
      <c r="EA54" s="264">
        <f t="shared" si="77"/>
        <v>0</v>
      </c>
      <c r="EB54" s="264">
        <f t="shared" si="77"/>
        <v>0</v>
      </c>
      <c r="EC54" s="264">
        <f t="shared" si="77"/>
        <v>0</v>
      </c>
      <c r="ED54" s="264">
        <f t="shared" si="77"/>
        <v>0</v>
      </c>
      <c r="EE54" s="264">
        <f t="shared" ref="EE54:EH54" si="78">IF(EE$4&gt;HoldPeriod+12,0,SUM(EE45:EE53))</f>
        <v>0</v>
      </c>
      <c r="EF54" s="264">
        <f t="shared" si="78"/>
        <v>0</v>
      </c>
      <c r="EG54" s="264">
        <f t="shared" si="78"/>
        <v>0</v>
      </c>
      <c r="EH54" s="264">
        <f t="shared" si="78"/>
        <v>0</v>
      </c>
      <c r="EI54" s="158" t="s">
        <v>243</v>
      </c>
    </row>
    <row r="55" spans="1:139" s="217" customFormat="1" x14ac:dyDescent="0.2">
      <c r="B55" s="209"/>
      <c r="C55" s="209"/>
      <c r="D55" s="308"/>
      <c r="E55" s="309"/>
      <c r="EI55" s="158" t="s">
        <v>243</v>
      </c>
    </row>
    <row r="56" spans="1:139" s="282" customFormat="1" x14ac:dyDescent="0.2">
      <c r="B56" s="218" t="s">
        <v>23</v>
      </c>
      <c r="C56" s="284"/>
      <c r="D56" s="315">
        <f ca="1">SUMIF($F$4:$EH$4,"&lt;="&amp;HoldPeriod,$F56:$EH56)</f>
        <v>17577099.670339923</v>
      </c>
      <c r="E56" s="315">
        <f>E42+E54</f>
        <v>195777.55</v>
      </c>
      <c r="F56" s="219">
        <v>0</v>
      </c>
      <c r="G56" s="219">
        <f t="shared" ref="G56:AL56" ca="1" si="79">G54+G42</f>
        <v>217035.75266761536</v>
      </c>
      <c r="H56" s="219">
        <f t="shared" ca="1" si="79"/>
        <v>218856.20776115038</v>
      </c>
      <c r="I56" s="219">
        <f ca="1">I54+I42</f>
        <v>220674.25474400539</v>
      </c>
      <c r="J56" s="219">
        <f t="shared" ca="1" si="79"/>
        <v>222489.89361618034</v>
      </c>
      <c r="K56" s="219">
        <f t="shared" ca="1" si="79"/>
        <v>224303.12437767518</v>
      </c>
      <c r="L56" s="219">
        <f t="shared" ca="1" si="79"/>
        <v>226113.94702849002</v>
      </c>
      <c r="M56" s="219">
        <f t="shared" ca="1" si="79"/>
        <v>227922.36156862468</v>
      </c>
      <c r="N56" s="219">
        <f t="shared" ca="1" si="79"/>
        <v>229728.36799807934</v>
      </c>
      <c r="O56" s="219">
        <f t="shared" ca="1" si="79"/>
        <v>231531.96631685394</v>
      </c>
      <c r="P56" s="219">
        <f t="shared" ca="1" si="79"/>
        <v>233333.15652494848</v>
      </c>
      <c r="Q56" s="219">
        <f t="shared" ca="1" si="79"/>
        <v>235131.93862236291</v>
      </c>
      <c r="R56" s="219">
        <f t="shared" ca="1" si="79"/>
        <v>236928.31260909722</v>
      </c>
      <c r="S56" s="219">
        <f t="shared" ca="1" si="79"/>
        <v>251258.63421150696</v>
      </c>
      <c r="T56" s="219">
        <f t="shared" ca="1" si="79"/>
        <v>253643.67788052338</v>
      </c>
      <c r="U56" s="219">
        <f t="shared" ca="1" si="79"/>
        <v>256024.20359163452</v>
      </c>
      <c r="V56" s="219">
        <f t="shared" ca="1" si="79"/>
        <v>258400.2113448403</v>
      </c>
      <c r="W56" s="219">
        <f t="shared" ca="1" si="79"/>
        <v>260771.70114014082</v>
      </c>
      <c r="X56" s="219">
        <f t="shared" ca="1" si="79"/>
        <v>263138.67297753587</v>
      </c>
      <c r="Y56" s="219">
        <f t="shared" ca="1" si="79"/>
        <v>265501.12685702567</v>
      </c>
      <c r="Z56" s="219">
        <f t="shared" ca="1" si="79"/>
        <v>267859.0627786101</v>
      </c>
      <c r="AA56" s="219">
        <f t="shared" ca="1" si="79"/>
        <v>269914.20909747749</v>
      </c>
      <c r="AB56" s="219">
        <f t="shared" ca="1" si="79"/>
        <v>271965.4022031778</v>
      </c>
      <c r="AC56" s="219">
        <f t="shared" ca="1" si="79"/>
        <v>274012.64209571085</v>
      </c>
      <c r="AD56" s="219">
        <f t="shared" ca="1" si="79"/>
        <v>276055.92877507675</v>
      </c>
      <c r="AE56" s="219">
        <f t="shared" ca="1" si="79"/>
        <v>298302.55448368797</v>
      </c>
      <c r="AF56" s="219">
        <f t="shared" ca="1" si="79"/>
        <v>300511.38329072407</v>
      </c>
      <c r="AG56" s="219">
        <f t="shared" ca="1" si="79"/>
        <v>302720.21209776023</v>
      </c>
      <c r="AH56" s="219">
        <f t="shared" ca="1" si="79"/>
        <v>304297.94695992884</v>
      </c>
      <c r="AI56" s="219">
        <f t="shared" ca="1" si="79"/>
        <v>305875.68182209751</v>
      </c>
      <c r="AJ56" s="219">
        <f t="shared" ca="1" si="79"/>
        <v>307453.41668426612</v>
      </c>
      <c r="AK56" s="219">
        <f t="shared" ca="1" si="79"/>
        <v>309031.15154643473</v>
      </c>
      <c r="AL56" s="219">
        <f t="shared" ca="1" si="79"/>
        <v>310608.88640860352</v>
      </c>
      <c r="AM56" s="219">
        <f t="shared" ref="AM56:BR56" ca="1" si="80">AM54+AM42</f>
        <v>312186.62127077213</v>
      </c>
      <c r="AN56" s="219">
        <f t="shared" ca="1" si="80"/>
        <v>312186.62127077213</v>
      </c>
      <c r="AO56" s="219">
        <f t="shared" ca="1" si="80"/>
        <v>312186.62127077213</v>
      </c>
      <c r="AP56" s="219">
        <f t="shared" ca="1" si="80"/>
        <v>312186.62127077213</v>
      </c>
      <c r="AQ56" s="219">
        <f t="shared" ca="1" si="80"/>
        <v>326004.91420178738</v>
      </c>
      <c r="AR56" s="219">
        <f t="shared" ca="1" si="80"/>
        <v>326004.91420178738</v>
      </c>
      <c r="AS56" s="219">
        <f t="shared" ca="1" si="80"/>
        <v>326004.91420178738</v>
      </c>
      <c r="AT56" s="219">
        <f t="shared" ca="1" si="80"/>
        <v>326004.91420178738</v>
      </c>
      <c r="AU56" s="219">
        <f t="shared" ca="1" si="80"/>
        <v>326004.91420178738</v>
      </c>
      <c r="AV56" s="219">
        <f t="shared" ca="1" si="80"/>
        <v>326004.91420178738</v>
      </c>
      <c r="AW56" s="219">
        <f t="shared" ca="1" si="80"/>
        <v>326004.91420178738</v>
      </c>
      <c r="AX56" s="219">
        <f t="shared" ca="1" si="80"/>
        <v>326004.91420178738</v>
      </c>
      <c r="AY56" s="219">
        <f t="shared" ca="1" si="80"/>
        <v>326004.91420178738</v>
      </c>
      <c r="AZ56" s="219">
        <f t="shared" ca="1" si="80"/>
        <v>326004.91420178738</v>
      </c>
      <c r="BA56" s="219">
        <f t="shared" ca="1" si="80"/>
        <v>326004.91420178738</v>
      </c>
      <c r="BB56" s="219">
        <f t="shared" ca="1" si="80"/>
        <v>326004.91420178738</v>
      </c>
      <c r="BC56" s="219">
        <f t="shared" ca="1" si="80"/>
        <v>340408.18539612892</v>
      </c>
      <c r="BD56" s="219">
        <f t="shared" ca="1" si="80"/>
        <v>340408.18539612892</v>
      </c>
      <c r="BE56" s="219">
        <f t="shared" ca="1" si="80"/>
        <v>340408.18539612892</v>
      </c>
      <c r="BF56" s="219">
        <f t="shared" ca="1" si="80"/>
        <v>340408.18539612892</v>
      </c>
      <c r="BG56" s="219">
        <f t="shared" ca="1" si="80"/>
        <v>340408.18539612892</v>
      </c>
      <c r="BH56" s="219">
        <f t="shared" ca="1" si="80"/>
        <v>340408.18539612892</v>
      </c>
      <c r="BI56" s="219">
        <f t="shared" ca="1" si="80"/>
        <v>340408.18539612892</v>
      </c>
      <c r="BJ56" s="219">
        <f t="shared" ca="1" si="80"/>
        <v>340408.18539612892</v>
      </c>
      <c r="BK56" s="219">
        <f t="shared" ca="1" si="80"/>
        <v>340408.18539612892</v>
      </c>
      <c r="BL56" s="219">
        <f t="shared" ca="1" si="80"/>
        <v>340408.18539612892</v>
      </c>
      <c r="BM56" s="219">
        <f t="shared" ca="1" si="80"/>
        <v>340408.18539612892</v>
      </c>
      <c r="BN56" s="219">
        <f t="shared" ca="1" si="80"/>
        <v>340408.18539612892</v>
      </c>
      <c r="BO56" s="219">
        <f t="shared" ca="1" si="80"/>
        <v>355420.63763659063</v>
      </c>
      <c r="BP56" s="219">
        <f t="shared" ca="1" si="80"/>
        <v>355420.63763659063</v>
      </c>
      <c r="BQ56" s="219">
        <f t="shared" ca="1" si="80"/>
        <v>355420.63763659063</v>
      </c>
      <c r="BR56" s="219">
        <f t="shared" ca="1" si="80"/>
        <v>355420.63763659063</v>
      </c>
      <c r="BS56" s="219">
        <f t="shared" ref="BS56:CX56" ca="1" si="81">BS54+BS42</f>
        <v>355420.63763659063</v>
      </c>
      <c r="BT56" s="219">
        <f t="shared" ca="1" si="81"/>
        <v>355420.63763659063</v>
      </c>
      <c r="BU56" s="219">
        <f t="shared" ca="1" si="81"/>
        <v>355420.63763659063</v>
      </c>
      <c r="BV56" s="219">
        <f t="shared" ca="1" si="81"/>
        <v>355420.63763659063</v>
      </c>
      <c r="BW56" s="219">
        <f t="shared" ca="1" si="81"/>
        <v>355420.63763659063</v>
      </c>
      <c r="BX56" s="219">
        <f t="shared" ca="1" si="81"/>
        <v>355420.63763659063</v>
      </c>
      <c r="BY56" s="219">
        <f t="shared" ca="1" si="81"/>
        <v>355420.63763659063</v>
      </c>
      <c r="BZ56" s="219">
        <f t="shared" ca="1" si="81"/>
        <v>355420.63763659063</v>
      </c>
      <c r="CA56" s="219">
        <f t="shared" si="81"/>
        <v>0</v>
      </c>
      <c r="CB56" s="219">
        <f t="shared" si="81"/>
        <v>0</v>
      </c>
      <c r="CC56" s="219">
        <f t="shared" si="81"/>
        <v>0</v>
      </c>
      <c r="CD56" s="219">
        <f t="shared" si="81"/>
        <v>0</v>
      </c>
      <c r="CE56" s="219">
        <f t="shared" si="81"/>
        <v>0</v>
      </c>
      <c r="CF56" s="219">
        <f t="shared" si="81"/>
        <v>0</v>
      </c>
      <c r="CG56" s="219">
        <f t="shared" si="81"/>
        <v>0</v>
      </c>
      <c r="CH56" s="219">
        <f t="shared" si="81"/>
        <v>0</v>
      </c>
      <c r="CI56" s="219">
        <f t="shared" si="81"/>
        <v>0</v>
      </c>
      <c r="CJ56" s="219">
        <f t="shared" si="81"/>
        <v>0</v>
      </c>
      <c r="CK56" s="219">
        <f t="shared" si="81"/>
        <v>0</v>
      </c>
      <c r="CL56" s="219">
        <f t="shared" si="81"/>
        <v>0</v>
      </c>
      <c r="CM56" s="219">
        <f t="shared" si="81"/>
        <v>0</v>
      </c>
      <c r="CN56" s="219">
        <f t="shared" si="81"/>
        <v>0</v>
      </c>
      <c r="CO56" s="219">
        <f t="shared" si="81"/>
        <v>0</v>
      </c>
      <c r="CP56" s="219">
        <f t="shared" si="81"/>
        <v>0</v>
      </c>
      <c r="CQ56" s="219">
        <f t="shared" si="81"/>
        <v>0</v>
      </c>
      <c r="CR56" s="219">
        <f t="shared" si="81"/>
        <v>0</v>
      </c>
      <c r="CS56" s="219">
        <f t="shared" si="81"/>
        <v>0</v>
      </c>
      <c r="CT56" s="219">
        <f t="shared" si="81"/>
        <v>0</v>
      </c>
      <c r="CU56" s="219">
        <f t="shared" si="81"/>
        <v>0</v>
      </c>
      <c r="CV56" s="219">
        <f t="shared" si="81"/>
        <v>0</v>
      </c>
      <c r="CW56" s="219">
        <f t="shared" si="81"/>
        <v>0</v>
      </c>
      <c r="CX56" s="219">
        <f t="shared" si="81"/>
        <v>0</v>
      </c>
      <c r="CY56" s="219">
        <f t="shared" ref="CY56:EH56" si="82">CY54+CY42</f>
        <v>0</v>
      </c>
      <c r="CZ56" s="219">
        <f t="shared" si="82"/>
        <v>0</v>
      </c>
      <c r="DA56" s="219">
        <f t="shared" si="82"/>
        <v>0</v>
      </c>
      <c r="DB56" s="219">
        <f t="shared" si="82"/>
        <v>0</v>
      </c>
      <c r="DC56" s="219">
        <f t="shared" si="82"/>
        <v>0</v>
      </c>
      <c r="DD56" s="219">
        <f t="shared" si="82"/>
        <v>0</v>
      </c>
      <c r="DE56" s="219">
        <f t="shared" si="82"/>
        <v>0</v>
      </c>
      <c r="DF56" s="219">
        <f t="shared" si="82"/>
        <v>0</v>
      </c>
      <c r="DG56" s="219">
        <f t="shared" si="82"/>
        <v>0</v>
      </c>
      <c r="DH56" s="219">
        <f t="shared" si="82"/>
        <v>0</v>
      </c>
      <c r="DI56" s="219">
        <f t="shared" si="82"/>
        <v>0</v>
      </c>
      <c r="DJ56" s="219">
        <f t="shared" si="82"/>
        <v>0</v>
      </c>
      <c r="DK56" s="219">
        <f t="shared" si="82"/>
        <v>0</v>
      </c>
      <c r="DL56" s="219">
        <f t="shared" si="82"/>
        <v>0</v>
      </c>
      <c r="DM56" s="219">
        <f t="shared" si="82"/>
        <v>0</v>
      </c>
      <c r="DN56" s="219">
        <f t="shared" si="82"/>
        <v>0</v>
      </c>
      <c r="DO56" s="219">
        <f t="shared" si="82"/>
        <v>0</v>
      </c>
      <c r="DP56" s="219">
        <f t="shared" si="82"/>
        <v>0</v>
      </c>
      <c r="DQ56" s="219">
        <f t="shared" si="82"/>
        <v>0</v>
      </c>
      <c r="DR56" s="219">
        <f t="shared" si="82"/>
        <v>0</v>
      </c>
      <c r="DS56" s="219">
        <f t="shared" si="82"/>
        <v>0</v>
      </c>
      <c r="DT56" s="219">
        <f t="shared" si="82"/>
        <v>0</v>
      </c>
      <c r="DU56" s="219">
        <f t="shared" si="82"/>
        <v>0</v>
      </c>
      <c r="DV56" s="219">
        <f t="shared" si="82"/>
        <v>0</v>
      </c>
      <c r="DW56" s="219">
        <f t="shared" si="82"/>
        <v>0</v>
      </c>
      <c r="DX56" s="219">
        <f t="shared" si="82"/>
        <v>0</v>
      </c>
      <c r="DY56" s="219">
        <f t="shared" si="82"/>
        <v>0</v>
      </c>
      <c r="DZ56" s="219">
        <f t="shared" si="82"/>
        <v>0</v>
      </c>
      <c r="EA56" s="219">
        <f t="shared" si="82"/>
        <v>0</v>
      </c>
      <c r="EB56" s="219">
        <f t="shared" si="82"/>
        <v>0</v>
      </c>
      <c r="EC56" s="219">
        <f t="shared" si="82"/>
        <v>0</v>
      </c>
      <c r="ED56" s="219">
        <f t="shared" si="82"/>
        <v>0</v>
      </c>
      <c r="EE56" s="219">
        <f t="shared" si="82"/>
        <v>0</v>
      </c>
      <c r="EF56" s="219">
        <f t="shared" si="82"/>
        <v>0</v>
      </c>
      <c r="EG56" s="219">
        <f t="shared" si="82"/>
        <v>0</v>
      </c>
      <c r="EH56" s="219">
        <f t="shared" si="82"/>
        <v>0</v>
      </c>
      <c r="EI56" s="316" t="s">
        <v>243</v>
      </c>
    </row>
    <row r="57" spans="1:139" s="217" customFormat="1" ht="18.399999999999999" customHeight="1" x14ac:dyDescent="0.2">
      <c r="A57" s="262"/>
      <c r="B57" s="269"/>
      <c r="C57" s="317" t="s">
        <v>790</v>
      </c>
      <c r="E57" s="318">
        <f>E56*12</f>
        <v>2349330.5999999996</v>
      </c>
      <c r="G57" s="259">
        <f ca="1">IF(G4&gt;HoldPeriod,"",SUM(H56:S56))</f>
        <v>2758272.1653789752</v>
      </c>
      <c r="H57" s="259">
        <f t="shared" ref="H57:AL57" ca="1" si="83">IF(H4&gt;HoldPeriod,"",SUM(I56:T56))</f>
        <v>2793059.6354983477</v>
      </c>
      <c r="I57" s="259">
        <f t="shared" ca="1" si="83"/>
        <v>2828409.5843459768</v>
      </c>
      <c r="J57" s="259">
        <f t="shared" ca="1" si="83"/>
        <v>2864319.9020746369</v>
      </c>
      <c r="K57" s="259">
        <f t="shared" ca="1" si="83"/>
        <v>2900788.4788371027</v>
      </c>
      <c r="L57" s="259">
        <f t="shared" ca="1" si="83"/>
        <v>2937813.2047861484</v>
      </c>
      <c r="M57" s="259">
        <f t="shared" ca="1" si="83"/>
        <v>2975391.9700745493</v>
      </c>
      <c r="N57" s="259">
        <f t="shared" ca="1" si="83"/>
        <v>3013522.6648550802</v>
      </c>
      <c r="O57" s="259">
        <f t="shared" ca="1" si="83"/>
        <v>3051904.9076357041</v>
      </c>
      <c r="P57" s="259">
        <f t="shared" ca="1" si="83"/>
        <v>3090537.1533139329</v>
      </c>
      <c r="Q57" s="259">
        <f t="shared" ca="1" si="83"/>
        <v>3129417.8567872811</v>
      </c>
      <c r="R57" s="259">
        <f t="shared" ca="1" si="83"/>
        <v>3168545.4729532609</v>
      </c>
      <c r="S57" s="259">
        <f t="shared" ca="1" si="83"/>
        <v>3215589.3932254412</v>
      </c>
      <c r="T57" s="259">
        <f t="shared" ca="1" si="83"/>
        <v>3262457.0986356423</v>
      </c>
      <c r="U57" s="259">
        <f t="shared" ca="1" si="83"/>
        <v>3309153.1071417676</v>
      </c>
      <c r="V57" s="259">
        <f t="shared" ca="1" si="83"/>
        <v>3355050.8427568562</v>
      </c>
      <c r="W57" s="259">
        <f t="shared" ca="1" si="83"/>
        <v>3400154.8234388125</v>
      </c>
      <c r="X57" s="259">
        <f t="shared" ca="1" si="83"/>
        <v>3444469.5671455436</v>
      </c>
      <c r="Y57" s="259">
        <f t="shared" ca="1" si="83"/>
        <v>3487999.5918349531</v>
      </c>
      <c r="Z57" s="259">
        <f t="shared" ca="1" si="83"/>
        <v>3530749.4154649461</v>
      </c>
      <c r="AA57" s="259">
        <f t="shared" ca="1" si="83"/>
        <v>3573021.8276382405</v>
      </c>
      <c r="AB57" s="259">
        <f t="shared" ca="1" si="83"/>
        <v>3613243.0467058355</v>
      </c>
      <c r="AC57" s="259">
        <f t="shared" ca="1" si="83"/>
        <v>3651417.0258808965</v>
      </c>
      <c r="AD57" s="259">
        <f t="shared" ca="1" si="83"/>
        <v>3687547.7183765918</v>
      </c>
      <c r="AE57" s="259">
        <f t="shared" ca="1" si="83"/>
        <v>3715250.0780946906</v>
      </c>
      <c r="AF57" s="259">
        <f t="shared" ca="1" si="83"/>
        <v>3740743.6090057539</v>
      </c>
      <c r="AG57" s="259">
        <f t="shared" ca="1" si="83"/>
        <v>3764028.3111097808</v>
      </c>
      <c r="AH57" s="259">
        <f t="shared" ca="1" si="83"/>
        <v>3785735.2783516389</v>
      </c>
      <c r="AI57" s="259">
        <f t="shared" ca="1" si="83"/>
        <v>3805864.5107313287</v>
      </c>
      <c r="AJ57" s="259">
        <f t="shared" ca="1" si="83"/>
        <v>3824416.0082488498</v>
      </c>
      <c r="AK57" s="259">
        <f t="shared" ca="1" si="83"/>
        <v>3841389.7709042025</v>
      </c>
      <c r="AL57" s="259">
        <f t="shared" ca="1" si="83"/>
        <v>3856785.7986973869</v>
      </c>
      <c r="AM57" s="259">
        <f t="shared" ref="AM57:BR57" ca="1" si="84">IF(AM4&gt;HoldPeriod,"",SUM(AN56:AY56))</f>
        <v>3870604.091628402</v>
      </c>
      <c r="AN57" s="259">
        <f t="shared" ca="1" si="84"/>
        <v>3884422.3845594171</v>
      </c>
      <c r="AO57" s="259">
        <f t="shared" ca="1" si="84"/>
        <v>3898240.6774904327</v>
      </c>
      <c r="AP57" s="259">
        <f t="shared" ca="1" si="84"/>
        <v>3912058.9704214479</v>
      </c>
      <c r="AQ57" s="259">
        <f t="shared" ca="1" si="84"/>
        <v>3926462.2416157895</v>
      </c>
      <c r="AR57" s="259">
        <f t="shared" ca="1" si="84"/>
        <v>3940865.5128101311</v>
      </c>
      <c r="AS57" s="259">
        <f t="shared" ca="1" si="84"/>
        <v>3955268.7840044727</v>
      </c>
      <c r="AT57" s="259">
        <f t="shared" ca="1" si="84"/>
        <v>3969672.0551988143</v>
      </c>
      <c r="AU57" s="259">
        <f t="shared" ca="1" si="84"/>
        <v>3984075.3263931558</v>
      </c>
      <c r="AV57" s="259">
        <f t="shared" ca="1" si="84"/>
        <v>3998478.5975874974</v>
      </c>
      <c r="AW57" s="259">
        <f t="shared" ca="1" si="84"/>
        <v>4012881.8687818386</v>
      </c>
      <c r="AX57" s="259">
        <f t="shared" ca="1" si="84"/>
        <v>4027285.1399761802</v>
      </c>
      <c r="AY57" s="259">
        <f t="shared" ca="1" si="84"/>
        <v>4041688.4111705213</v>
      </c>
      <c r="AZ57" s="259">
        <f t="shared" ca="1" si="84"/>
        <v>4056091.6823648629</v>
      </c>
      <c r="BA57" s="259">
        <f t="shared" ca="1" si="84"/>
        <v>4070494.9535592045</v>
      </c>
      <c r="BB57" s="259">
        <f t="shared" ca="1" si="84"/>
        <v>4084898.2247535461</v>
      </c>
      <c r="BC57" s="259">
        <f t="shared" ca="1" si="84"/>
        <v>4099910.676994008</v>
      </c>
      <c r="BD57" s="259">
        <f t="shared" ca="1" si="84"/>
        <v>4114923.12923447</v>
      </c>
      <c r="BE57" s="259">
        <f t="shared" ca="1" si="84"/>
        <v>4129935.5814749319</v>
      </c>
      <c r="BF57" s="259">
        <f t="shared" ca="1" si="84"/>
        <v>4144948.0337153939</v>
      </c>
      <c r="BG57" s="259">
        <f t="shared" ca="1" si="84"/>
        <v>4159960.4859558558</v>
      </c>
      <c r="BH57" s="259">
        <f t="shared" ca="1" si="84"/>
        <v>4174972.9381963178</v>
      </c>
      <c r="BI57" s="259">
        <f t="shared" ca="1" si="84"/>
        <v>4189985.3904367797</v>
      </c>
      <c r="BJ57" s="259">
        <f t="shared" ca="1" si="84"/>
        <v>4204997.8426772412</v>
      </c>
      <c r="BK57" s="259">
        <f t="shared" ca="1" si="84"/>
        <v>4220010.2949177027</v>
      </c>
      <c r="BL57" s="259">
        <f t="shared" ca="1" si="84"/>
        <v>4235022.7471581651</v>
      </c>
      <c r="BM57" s="259">
        <f t="shared" ca="1" si="84"/>
        <v>4250035.1993986266</v>
      </c>
      <c r="BN57" s="259">
        <f t="shared" ca="1" si="84"/>
        <v>4265047.6516390881</v>
      </c>
      <c r="BO57" s="259" t="str">
        <f t="shared" si="84"/>
        <v/>
      </c>
      <c r="BP57" s="259" t="str">
        <f t="shared" si="84"/>
        <v/>
      </c>
      <c r="BQ57" s="259" t="str">
        <f t="shared" si="84"/>
        <v/>
      </c>
      <c r="BR57" s="259" t="str">
        <f t="shared" si="84"/>
        <v/>
      </c>
      <c r="BS57" s="259" t="str">
        <f t="shared" ref="BS57:CX57" si="85">IF(BS4&gt;HoldPeriod,"",SUM(BT56:CE56))</f>
        <v/>
      </c>
      <c r="BT57" s="259" t="str">
        <f t="shared" si="85"/>
        <v/>
      </c>
      <c r="BU57" s="259" t="str">
        <f t="shared" si="85"/>
        <v/>
      </c>
      <c r="BV57" s="259" t="str">
        <f t="shared" si="85"/>
        <v/>
      </c>
      <c r="BW57" s="259" t="str">
        <f t="shared" si="85"/>
        <v/>
      </c>
      <c r="BX57" s="259" t="str">
        <f t="shared" si="85"/>
        <v/>
      </c>
      <c r="BY57" s="259" t="str">
        <f t="shared" si="85"/>
        <v/>
      </c>
      <c r="BZ57" s="259" t="str">
        <f t="shared" si="85"/>
        <v/>
      </c>
      <c r="CA57" s="259" t="str">
        <f t="shared" si="85"/>
        <v/>
      </c>
      <c r="CB57" s="259" t="str">
        <f t="shared" si="85"/>
        <v/>
      </c>
      <c r="CC57" s="259" t="str">
        <f t="shared" si="85"/>
        <v/>
      </c>
      <c r="CD57" s="259" t="str">
        <f t="shared" si="85"/>
        <v/>
      </c>
      <c r="CE57" s="259" t="str">
        <f t="shared" si="85"/>
        <v/>
      </c>
      <c r="CF57" s="259" t="str">
        <f t="shared" si="85"/>
        <v/>
      </c>
      <c r="CG57" s="259" t="str">
        <f t="shared" si="85"/>
        <v/>
      </c>
      <c r="CH57" s="259" t="str">
        <f t="shared" si="85"/>
        <v/>
      </c>
      <c r="CI57" s="259" t="str">
        <f t="shared" si="85"/>
        <v/>
      </c>
      <c r="CJ57" s="259" t="str">
        <f t="shared" si="85"/>
        <v/>
      </c>
      <c r="CK57" s="259" t="str">
        <f t="shared" si="85"/>
        <v/>
      </c>
      <c r="CL57" s="259" t="str">
        <f t="shared" si="85"/>
        <v/>
      </c>
      <c r="CM57" s="259" t="str">
        <f t="shared" si="85"/>
        <v/>
      </c>
      <c r="CN57" s="259" t="str">
        <f t="shared" si="85"/>
        <v/>
      </c>
      <c r="CO57" s="259" t="str">
        <f t="shared" si="85"/>
        <v/>
      </c>
      <c r="CP57" s="259" t="str">
        <f t="shared" si="85"/>
        <v/>
      </c>
      <c r="CQ57" s="259" t="str">
        <f t="shared" si="85"/>
        <v/>
      </c>
      <c r="CR57" s="259" t="str">
        <f t="shared" si="85"/>
        <v/>
      </c>
      <c r="CS57" s="259" t="str">
        <f t="shared" si="85"/>
        <v/>
      </c>
      <c r="CT57" s="259" t="str">
        <f t="shared" si="85"/>
        <v/>
      </c>
      <c r="CU57" s="259" t="str">
        <f t="shared" si="85"/>
        <v/>
      </c>
      <c r="CV57" s="259" t="str">
        <f t="shared" si="85"/>
        <v/>
      </c>
      <c r="CW57" s="259" t="str">
        <f t="shared" si="85"/>
        <v/>
      </c>
      <c r="CX57" s="259" t="str">
        <f t="shared" si="85"/>
        <v/>
      </c>
      <c r="CY57" s="259" t="str">
        <f t="shared" ref="CY57:ED57" si="86">IF(CY4&gt;HoldPeriod,"",SUM(CZ56:DK56))</f>
        <v/>
      </c>
      <c r="CZ57" s="259" t="str">
        <f t="shared" si="86"/>
        <v/>
      </c>
      <c r="DA57" s="259" t="str">
        <f t="shared" si="86"/>
        <v/>
      </c>
      <c r="DB57" s="259" t="str">
        <f t="shared" si="86"/>
        <v/>
      </c>
      <c r="DC57" s="259" t="str">
        <f t="shared" si="86"/>
        <v/>
      </c>
      <c r="DD57" s="259" t="str">
        <f t="shared" si="86"/>
        <v/>
      </c>
      <c r="DE57" s="259" t="str">
        <f t="shared" si="86"/>
        <v/>
      </c>
      <c r="DF57" s="259" t="str">
        <f t="shared" si="86"/>
        <v/>
      </c>
      <c r="DG57" s="259" t="str">
        <f t="shared" si="86"/>
        <v/>
      </c>
      <c r="DH57" s="259" t="str">
        <f t="shared" si="86"/>
        <v/>
      </c>
      <c r="DI57" s="259" t="str">
        <f t="shared" si="86"/>
        <v/>
      </c>
      <c r="DJ57" s="259" t="str">
        <f t="shared" si="86"/>
        <v/>
      </c>
      <c r="DK57" s="259" t="str">
        <f t="shared" si="86"/>
        <v/>
      </c>
      <c r="DL57" s="259" t="str">
        <f t="shared" si="86"/>
        <v/>
      </c>
      <c r="DM57" s="259" t="str">
        <f t="shared" si="86"/>
        <v/>
      </c>
      <c r="DN57" s="259" t="str">
        <f t="shared" si="86"/>
        <v/>
      </c>
      <c r="DO57" s="259" t="str">
        <f t="shared" si="86"/>
        <v/>
      </c>
      <c r="DP57" s="259" t="str">
        <f t="shared" si="86"/>
        <v/>
      </c>
      <c r="DQ57" s="259" t="str">
        <f t="shared" si="86"/>
        <v/>
      </c>
      <c r="DR57" s="259" t="str">
        <f t="shared" si="86"/>
        <v/>
      </c>
      <c r="DS57" s="259" t="str">
        <f t="shared" si="86"/>
        <v/>
      </c>
      <c r="DT57" s="259" t="str">
        <f t="shared" si="86"/>
        <v/>
      </c>
      <c r="DU57" s="259" t="str">
        <f t="shared" si="86"/>
        <v/>
      </c>
      <c r="DV57" s="259" t="str">
        <f t="shared" si="86"/>
        <v/>
      </c>
      <c r="DW57" s="259" t="str">
        <f t="shared" si="86"/>
        <v/>
      </c>
      <c r="DX57" s="259" t="str">
        <f t="shared" si="86"/>
        <v/>
      </c>
      <c r="DY57" s="259" t="str">
        <f t="shared" si="86"/>
        <v/>
      </c>
      <c r="DZ57" s="259" t="str">
        <f t="shared" si="86"/>
        <v/>
      </c>
      <c r="EA57" s="259" t="str">
        <f t="shared" si="86"/>
        <v/>
      </c>
      <c r="EB57" s="259" t="str">
        <f t="shared" si="86"/>
        <v/>
      </c>
      <c r="EC57" s="259" t="str">
        <f t="shared" si="86"/>
        <v/>
      </c>
      <c r="ED57" s="259" t="str">
        <f t="shared" si="86"/>
        <v/>
      </c>
      <c r="EE57" s="259" t="str">
        <f t="shared" ref="EE57:EH57" si="87">IF(EE4&gt;HoldPeriod,"",SUM(EF56:EQ56))</f>
        <v/>
      </c>
      <c r="EF57" s="259" t="str">
        <f t="shared" si="87"/>
        <v/>
      </c>
      <c r="EG57" s="259" t="str">
        <f t="shared" si="87"/>
        <v/>
      </c>
      <c r="EH57" s="259" t="str">
        <f t="shared" si="87"/>
        <v/>
      </c>
      <c r="EI57" s="158" t="s">
        <v>243</v>
      </c>
    </row>
    <row r="58" spans="1:139" s="217" customFormat="1" ht="15" thickBot="1" x14ac:dyDescent="0.25">
      <c r="B58" s="299" t="s">
        <v>853</v>
      </c>
      <c r="C58" s="299"/>
      <c r="D58" s="300"/>
      <c r="E58" s="300"/>
      <c r="F58" s="299"/>
      <c r="G58" s="299"/>
      <c r="H58" s="299"/>
      <c r="I58" s="299"/>
      <c r="J58" s="299"/>
      <c r="K58" s="299"/>
      <c r="L58" s="299"/>
      <c r="M58" s="299"/>
      <c r="N58" s="299"/>
      <c r="O58" s="299"/>
      <c r="P58" s="299"/>
      <c r="Q58" s="299"/>
      <c r="R58" s="299"/>
      <c r="S58" s="299"/>
      <c r="T58" s="299"/>
      <c r="U58" s="299"/>
      <c r="V58" s="299"/>
      <c r="W58" s="299"/>
      <c r="X58" s="299"/>
      <c r="Y58" s="299"/>
      <c r="Z58" s="299"/>
      <c r="AA58" s="299"/>
      <c r="AB58" s="299"/>
      <c r="AC58" s="299"/>
      <c r="AD58" s="299"/>
      <c r="AE58" s="299"/>
      <c r="AF58" s="299"/>
      <c r="AG58" s="299"/>
      <c r="AH58" s="299"/>
      <c r="AI58" s="299"/>
      <c r="AJ58" s="299"/>
      <c r="AK58" s="299"/>
      <c r="AL58" s="299"/>
      <c r="AM58" s="299"/>
      <c r="AN58" s="299"/>
      <c r="AO58" s="299"/>
      <c r="AP58" s="299"/>
      <c r="AQ58" s="299"/>
      <c r="AR58" s="299"/>
      <c r="AS58" s="299"/>
      <c r="AT58" s="299"/>
      <c r="AU58" s="299"/>
      <c r="AV58" s="299"/>
      <c r="AW58" s="299"/>
      <c r="AX58" s="299"/>
      <c r="AY58" s="299"/>
      <c r="AZ58" s="299"/>
      <c r="BA58" s="299"/>
      <c r="BB58" s="299"/>
      <c r="BC58" s="299"/>
      <c r="BD58" s="299"/>
      <c r="BE58" s="299"/>
      <c r="BF58" s="299"/>
      <c r="BG58" s="299"/>
      <c r="BH58" s="299"/>
      <c r="BI58" s="299"/>
      <c r="BJ58" s="299"/>
      <c r="BK58" s="299"/>
      <c r="BL58" s="299"/>
      <c r="BM58" s="299"/>
      <c r="BN58" s="299"/>
      <c r="BO58" s="299"/>
      <c r="BP58" s="299"/>
      <c r="BQ58" s="299"/>
      <c r="BR58" s="299"/>
      <c r="BS58" s="299"/>
      <c r="BT58" s="299"/>
      <c r="BU58" s="299"/>
      <c r="BV58" s="299"/>
      <c r="BW58" s="299"/>
      <c r="BX58" s="299"/>
      <c r="BY58" s="299"/>
      <c r="BZ58" s="299"/>
      <c r="CA58" s="299"/>
      <c r="CB58" s="299"/>
      <c r="CC58" s="299"/>
      <c r="CD58" s="299"/>
      <c r="CE58" s="299"/>
      <c r="CF58" s="299"/>
      <c r="CG58" s="299"/>
      <c r="CH58" s="299"/>
      <c r="CI58" s="299"/>
      <c r="CJ58" s="299"/>
      <c r="CK58" s="299"/>
      <c r="CL58" s="299"/>
      <c r="CM58" s="299"/>
      <c r="CN58" s="299"/>
      <c r="CO58" s="299"/>
      <c r="CP58" s="299"/>
      <c r="CQ58" s="299"/>
      <c r="CR58" s="299"/>
      <c r="CS58" s="299"/>
      <c r="CT58" s="299"/>
      <c r="CU58" s="299"/>
      <c r="CV58" s="299"/>
      <c r="CW58" s="299"/>
      <c r="CX58" s="299"/>
      <c r="CY58" s="299"/>
      <c r="CZ58" s="299"/>
      <c r="DA58" s="299"/>
      <c r="DB58" s="299"/>
      <c r="DC58" s="299"/>
      <c r="DD58" s="299"/>
      <c r="DE58" s="299"/>
      <c r="DF58" s="299"/>
      <c r="DG58" s="299"/>
      <c r="DH58" s="299"/>
      <c r="DI58" s="299"/>
      <c r="DJ58" s="299"/>
      <c r="DK58" s="299"/>
      <c r="DL58" s="299"/>
      <c r="DM58" s="299"/>
      <c r="DN58" s="299"/>
      <c r="DO58" s="299"/>
      <c r="DP58" s="299"/>
      <c r="DQ58" s="299"/>
      <c r="DR58" s="299"/>
      <c r="DS58" s="299"/>
      <c r="DT58" s="299"/>
      <c r="DU58" s="299"/>
      <c r="DV58" s="299"/>
      <c r="DW58" s="299"/>
      <c r="DX58" s="299"/>
      <c r="DY58" s="299"/>
      <c r="DZ58" s="299"/>
      <c r="EA58" s="299"/>
      <c r="EB58" s="299"/>
      <c r="EC58" s="299"/>
      <c r="ED58" s="299"/>
      <c r="EE58" s="299"/>
      <c r="EF58" s="299"/>
      <c r="EG58" s="299"/>
      <c r="EH58" s="299"/>
      <c r="EI58" s="158" t="s">
        <v>243</v>
      </c>
    </row>
    <row r="59" spans="1:139" s="217" customFormat="1" x14ac:dyDescent="0.2">
      <c r="B59" s="258" t="s">
        <v>453</v>
      </c>
      <c r="C59" s="209"/>
      <c r="D59" s="308">
        <f>SUMIF($F$4:$EH$4,"&lt;="&amp;HoldPeriod,$F59:$EH59)</f>
        <v>-243999.9999999998</v>
      </c>
      <c r="E59" s="308"/>
      <c r="F59" s="217">
        <v>0</v>
      </c>
      <c r="G59" s="217">
        <f>IF(G4&gt;HoldPeriod,0,-'Ops Assumptions'!$P$37/12*units)</f>
        <v>-4066.666666666667</v>
      </c>
      <c r="H59" s="217">
        <f>IF(H4&gt;HoldPeriod,0,-'Ops Assumptions'!$P$37/12*units)</f>
        <v>-4066.666666666667</v>
      </c>
      <c r="I59" s="217">
        <f>IF(I4&gt;HoldPeriod,0,-'Ops Assumptions'!$P$37/12*units)</f>
        <v>-4066.666666666667</v>
      </c>
      <c r="J59" s="217">
        <f>IF(J4&gt;HoldPeriod,0,-'Ops Assumptions'!$P$37/12*units)</f>
        <v>-4066.666666666667</v>
      </c>
      <c r="K59" s="217">
        <f>IF(K4&gt;HoldPeriod,0,-'Ops Assumptions'!$P$37/12*units)</f>
        <v>-4066.666666666667</v>
      </c>
      <c r="L59" s="217">
        <f>IF(L4&gt;HoldPeriod,0,-'Ops Assumptions'!$P$37/12*units)</f>
        <v>-4066.666666666667</v>
      </c>
      <c r="M59" s="217">
        <f>IF(M4&gt;HoldPeriod,0,-'Ops Assumptions'!$P$37/12*units)</f>
        <v>-4066.666666666667</v>
      </c>
      <c r="N59" s="217">
        <f>IF(N4&gt;HoldPeriod,0,-'Ops Assumptions'!$P$37/12*units)</f>
        <v>-4066.666666666667</v>
      </c>
      <c r="O59" s="217">
        <f>IF(O4&gt;HoldPeriod,0,-'Ops Assumptions'!$P$37/12*units)</f>
        <v>-4066.666666666667</v>
      </c>
      <c r="P59" s="217">
        <f>IF(P4&gt;HoldPeriod,0,-'Ops Assumptions'!$P$37/12*units)</f>
        <v>-4066.666666666667</v>
      </c>
      <c r="Q59" s="217">
        <f>IF(Q4&gt;HoldPeriod,0,-'Ops Assumptions'!$P$37/12*units)</f>
        <v>-4066.666666666667</v>
      </c>
      <c r="R59" s="217">
        <f>IF(R4&gt;HoldPeriod,0,-'Ops Assumptions'!$P$37/12*units)</f>
        <v>-4066.666666666667</v>
      </c>
      <c r="S59" s="217">
        <f>IF(S4&gt;HoldPeriod,0,-'Ops Assumptions'!$P$37/12*units)</f>
        <v>-4066.666666666667</v>
      </c>
      <c r="T59" s="217">
        <f>IF(T4&gt;HoldPeriod,0,-'Ops Assumptions'!$P$37/12*units)</f>
        <v>-4066.666666666667</v>
      </c>
      <c r="U59" s="217">
        <f>IF(U4&gt;HoldPeriod,0,-'Ops Assumptions'!$P$37/12*units)</f>
        <v>-4066.666666666667</v>
      </c>
      <c r="V59" s="217">
        <f>IF(V4&gt;HoldPeriod,0,-'Ops Assumptions'!$P$37/12*units)</f>
        <v>-4066.666666666667</v>
      </c>
      <c r="W59" s="217">
        <f>IF(W4&gt;HoldPeriod,0,-'Ops Assumptions'!$P$37/12*units)</f>
        <v>-4066.666666666667</v>
      </c>
      <c r="X59" s="217">
        <f>IF(X4&gt;HoldPeriod,0,-'Ops Assumptions'!$P$37/12*units)</f>
        <v>-4066.666666666667</v>
      </c>
      <c r="Y59" s="217">
        <f>IF(Y4&gt;HoldPeriod,0,-'Ops Assumptions'!$P$37/12*units)</f>
        <v>-4066.666666666667</v>
      </c>
      <c r="Z59" s="217">
        <f>IF(Z4&gt;HoldPeriod,0,-'Ops Assumptions'!$P$37/12*units)</f>
        <v>-4066.666666666667</v>
      </c>
      <c r="AA59" s="217">
        <f>IF(AA4&gt;HoldPeriod,0,-'Ops Assumptions'!$P$37/12*units)</f>
        <v>-4066.666666666667</v>
      </c>
      <c r="AB59" s="217">
        <f>IF(AB4&gt;HoldPeriod,0,-'Ops Assumptions'!$P$37/12*units)</f>
        <v>-4066.666666666667</v>
      </c>
      <c r="AC59" s="217">
        <f>IF(AC4&gt;HoldPeriod,0,-'Ops Assumptions'!$P$37/12*units)</f>
        <v>-4066.666666666667</v>
      </c>
      <c r="AD59" s="217">
        <f>IF(AD4&gt;HoldPeriod,0,-'Ops Assumptions'!$P$37/12*units)</f>
        <v>-4066.666666666667</v>
      </c>
      <c r="AE59" s="217">
        <f>IF(AE4&gt;HoldPeriod,0,-'Ops Assumptions'!$P$37/12*units)</f>
        <v>-4066.666666666667</v>
      </c>
      <c r="AF59" s="217">
        <f>IF(AF4&gt;HoldPeriod,0,-'Ops Assumptions'!$P$37/12*units)</f>
        <v>-4066.666666666667</v>
      </c>
      <c r="AG59" s="217">
        <f>IF(AG4&gt;HoldPeriod,0,-'Ops Assumptions'!$P$37/12*units)</f>
        <v>-4066.666666666667</v>
      </c>
      <c r="AH59" s="217">
        <f>IF(AH4&gt;HoldPeriod,0,-'Ops Assumptions'!$P$37/12*units)</f>
        <v>-4066.666666666667</v>
      </c>
      <c r="AI59" s="217">
        <f>IF(AI4&gt;HoldPeriod,0,-'Ops Assumptions'!$P$37/12*units)</f>
        <v>-4066.666666666667</v>
      </c>
      <c r="AJ59" s="217">
        <f>IF(AJ4&gt;HoldPeriod,0,-'Ops Assumptions'!$P$37/12*units)</f>
        <v>-4066.666666666667</v>
      </c>
      <c r="AK59" s="217">
        <f>IF(AK4&gt;HoldPeriod,0,-'Ops Assumptions'!$P$37/12*units)</f>
        <v>-4066.666666666667</v>
      </c>
      <c r="AL59" s="217">
        <f>IF(AL4&gt;HoldPeriod,0,-'Ops Assumptions'!$P$37/12*units)</f>
        <v>-4066.666666666667</v>
      </c>
      <c r="AM59" s="217">
        <f>IF(AM4&gt;HoldPeriod,0,-'Ops Assumptions'!$P$37/12*units)</f>
        <v>-4066.666666666667</v>
      </c>
      <c r="AN59" s="217">
        <f>IF(AN4&gt;HoldPeriod,0,-'Ops Assumptions'!$P$37/12*units)</f>
        <v>-4066.666666666667</v>
      </c>
      <c r="AO59" s="217">
        <f>IF(AO4&gt;HoldPeriod,0,-'Ops Assumptions'!$P$37/12*units)</f>
        <v>-4066.666666666667</v>
      </c>
      <c r="AP59" s="217">
        <f>IF(AP4&gt;HoldPeriod,0,-'Ops Assumptions'!$P$37/12*units)</f>
        <v>-4066.666666666667</v>
      </c>
      <c r="AQ59" s="217">
        <f>IF(AQ4&gt;HoldPeriod,0,-'Ops Assumptions'!$P$37/12*units)</f>
        <v>-4066.666666666667</v>
      </c>
      <c r="AR59" s="217">
        <f>IF(AR4&gt;HoldPeriod,0,-'Ops Assumptions'!$P$37/12*units)</f>
        <v>-4066.666666666667</v>
      </c>
      <c r="AS59" s="217">
        <f>IF(AS4&gt;HoldPeriod,0,-'Ops Assumptions'!$P$37/12*units)</f>
        <v>-4066.666666666667</v>
      </c>
      <c r="AT59" s="217">
        <f>IF(AT4&gt;HoldPeriod,0,-'Ops Assumptions'!$P$37/12*units)</f>
        <v>-4066.666666666667</v>
      </c>
      <c r="AU59" s="217">
        <f>IF(AU4&gt;HoldPeriod,0,-'Ops Assumptions'!$P$37/12*units)</f>
        <v>-4066.666666666667</v>
      </c>
      <c r="AV59" s="217">
        <f>IF(AV4&gt;HoldPeriod,0,-'Ops Assumptions'!$P$37/12*units)</f>
        <v>-4066.666666666667</v>
      </c>
      <c r="AW59" s="217">
        <f>IF(AW4&gt;HoldPeriod,0,-'Ops Assumptions'!$P$37/12*units)</f>
        <v>-4066.666666666667</v>
      </c>
      <c r="AX59" s="217">
        <f>IF(AX4&gt;HoldPeriod,0,-'Ops Assumptions'!$P$37/12*units)</f>
        <v>-4066.666666666667</v>
      </c>
      <c r="AY59" s="217">
        <f>IF(AY4&gt;HoldPeriod,0,-'Ops Assumptions'!$P$37/12*units)</f>
        <v>-4066.666666666667</v>
      </c>
      <c r="AZ59" s="217">
        <f>IF(AZ4&gt;HoldPeriod,0,-'Ops Assumptions'!$P$37/12*units)</f>
        <v>-4066.666666666667</v>
      </c>
      <c r="BA59" s="217">
        <f>IF(BA4&gt;HoldPeriod,0,-'Ops Assumptions'!$P$37/12*units)</f>
        <v>-4066.666666666667</v>
      </c>
      <c r="BB59" s="217">
        <f>IF(BB4&gt;HoldPeriod,0,-'Ops Assumptions'!$P$37/12*units)</f>
        <v>-4066.666666666667</v>
      </c>
      <c r="BC59" s="217">
        <f>IF(BC4&gt;HoldPeriod,0,-'Ops Assumptions'!$P$37/12*units)</f>
        <v>-4066.666666666667</v>
      </c>
      <c r="BD59" s="217">
        <f>IF(BD4&gt;HoldPeriod,0,-'Ops Assumptions'!$P$37/12*units)</f>
        <v>-4066.666666666667</v>
      </c>
      <c r="BE59" s="217">
        <f>IF(BE4&gt;HoldPeriod,0,-'Ops Assumptions'!$P$37/12*units)</f>
        <v>-4066.666666666667</v>
      </c>
      <c r="BF59" s="217">
        <f>IF(BF4&gt;HoldPeriod,0,-'Ops Assumptions'!$P$37/12*units)</f>
        <v>-4066.666666666667</v>
      </c>
      <c r="BG59" s="217">
        <f>IF(BG4&gt;HoldPeriod,0,-'Ops Assumptions'!$P$37/12*units)</f>
        <v>-4066.666666666667</v>
      </c>
      <c r="BH59" s="217">
        <f>IF(BH4&gt;HoldPeriod,0,-'Ops Assumptions'!$P$37/12*units)</f>
        <v>-4066.666666666667</v>
      </c>
      <c r="BI59" s="217">
        <f>IF(BI4&gt;HoldPeriod,0,-'Ops Assumptions'!$P$37/12*units)</f>
        <v>-4066.666666666667</v>
      </c>
      <c r="BJ59" s="217">
        <f>IF(BJ4&gt;HoldPeriod,0,-'Ops Assumptions'!$P$37/12*units)</f>
        <v>-4066.666666666667</v>
      </c>
      <c r="BK59" s="217">
        <f>IF(BK4&gt;HoldPeriod,0,-'Ops Assumptions'!$P$37/12*units)</f>
        <v>-4066.666666666667</v>
      </c>
      <c r="BL59" s="217">
        <f>IF(BL4&gt;HoldPeriod,0,-'Ops Assumptions'!$P$37/12*units)</f>
        <v>-4066.666666666667</v>
      </c>
      <c r="BM59" s="217">
        <f>IF(BM4&gt;HoldPeriod,0,-'Ops Assumptions'!$P$37/12*units)</f>
        <v>-4066.666666666667</v>
      </c>
      <c r="BN59" s="217">
        <f>IF(BN4&gt;HoldPeriod,0,-'Ops Assumptions'!$P$37/12*units)</f>
        <v>-4066.666666666667</v>
      </c>
      <c r="BO59" s="217">
        <f>IF(BO4&gt;HoldPeriod,0,-'Ops Assumptions'!$P$37/12*units)</f>
        <v>0</v>
      </c>
      <c r="BP59" s="217">
        <f>IF(BP4&gt;HoldPeriod,0,-'Ops Assumptions'!$P$37/12*units)</f>
        <v>0</v>
      </c>
      <c r="BQ59" s="217">
        <f>IF(BQ4&gt;HoldPeriod,0,-'Ops Assumptions'!$P$37/12*units)</f>
        <v>0</v>
      </c>
      <c r="BR59" s="217">
        <f>IF(BR4&gt;HoldPeriod,0,-'Ops Assumptions'!$P$37/12*units)</f>
        <v>0</v>
      </c>
      <c r="BS59" s="217">
        <f>IF(BS4&gt;HoldPeriod,0,-'Ops Assumptions'!$P$37/12*units)</f>
        <v>0</v>
      </c>
      <c r="BT59" s="217">
        <f>IF(BT4&gt;HoldPeriod,0,-'Ops Assumptions'!$P$37/12*units)</f>
        <v>0</v>
      </c>
      <c r="BU59" s="217">
        <f>IF(BU4&gt;HoldPeriod,0,-'Ops Assumptions'!$P$37/12*units)</f>
        <v>0</v>
      </c>
      <c r="BV59" s="217">
        <f>IF(BV4&gt;HoldPeriod,0,-'Ops Assumptions'!$P$37/12*units)</f>
        <v>0</v>
      </c>
      <c r="BW59" s="217">
        <f>IF(BW4&gt;HoldPeriod,0,-'Ops Assumptions'!$P$37/12*units)</f>
        <v>0</v>
      </c>
      <c r="BX59" s="217">
        <f>IF(BX4&gt;HoldPeriod,0,-'Ops Assumptions'!$P$37/12*units)</f>
        <v>0</v>
      </c>
      <c r="BY59" s="217">
        <f>IF(BY4&gt;HoldPeriod,0,-'Ops Assumptions'!$P$37/12*units)</f>
        <v>0</v>
      </c>
      <c r="BZ59" s="217">
        <f>IF(BZ4&gt;HoldPeriod,0,-'Ops Assumptions'!$P$37/12*units)</f>
        <v>0</v>
      </c>
      <c r="CA59" s="217">
        <f>IF(CA4&gt;HoldPeriod,0,-'Ops Assumptions'!$P$37/12*units)</f>
        <v>0</v>
      </c>
      <c r="CB59" s="217">
        <f>IF(CB4&gt;HoldPeriod,0,-'Ops Assumptions'!$P$37/12*units)</f>
        <v>0</v>
      </c>
      <c r="CC59" s="217">
        <f>IF(CC4&gt;HoldPeriod,0,-'Ops Assumptions'!$P$37/12*units)</f>
        <v>0</v>
      </c>
      <c r="CD59" s="217">
        <f>IF(CD4&gt;HoldPeriod,0,-'Ops Assumptions'!$P$37/12*units)</f>
        <v>0</v>
      </c>
      <c r="CE59" s="217">
        <f>IF(CE4&gt;HoldPeriod,0,-'Ops Assumptions'!$P$37/12*units)</f>
        <v>0</v>
      </c>
      <c r="CF59" s="217">
        <f>IF(CF4&gt;HoldPeriod,0,-'Ops Assumptions'!$P$37/12*units)</f>
        <v>0</v>
      </c>
      <c r="CG59" s="217">
        <f>IF(CG4&gt;HoldPeriod,0,-'Ops Assumptions'!$P$37/12*units)</f>
        <v>0</v>
      </c>
      <c r="CH59" s="217">
        <f>IF(CH4&gt;HoldPeriod,0,-'Ops Assumptions'!$P$37/12*units)</f>
        <v>0</v>
      </c>
      <c r="CI59" s="217">
        <f>IF(CI4&gt;HoldPeriod,0,-'Ops Assumptions'!$P$37/12*units)</f>
        <v>0</v>
      </c>
      <c r="CJ59" s="217">
        <f>IF(CJ4&gt;HoldPeriod,0,-'Ops Assumptions'!$P$37/12*units)</f>
        <v>0</v>
      </c>
      <c r="CK59" s="217">
        <f>IF(CK4&gt;HoldPeriod,0,-'Ops Assumptions'!$P$37/12*units)</f>
        <v>0</v>
      </c>
      <c r="CL59" s="217">
        <f>IF(CL4&gt;HoldPeriod,0,-'Ops Assumptions'!$P$37/12*units)</f>
        <v>0</v>
      </c>
      <c r="CM59" s="217">
        <f>IF(CM4&gt;HoldPeriod,0,-'Ops Assumptions'!$P$37/12*units)</f>
        <v>0</v>
      </c>
      <c r="CN59" s="217">
        <f>IF(CN4&gt;HoldPeriod,0,-'Ops Assumptions'!$P$37/12*units)</f>
        <v>0</v>
      </c>
      <c r="CO59" s="217">
        <f>IF(CO4&gt;HoldPeriod,0,-'Ops Assumptions'!$P$37/12*units)</f>
        <v>0</v>
      </c>
      <c r="CP59" s="217">
        <f>IF(CP4&gt;HoldPeriod,0,-'Ops Assumptions'!$P$37/12*units)</f>
        <v>0</v>
      </c>
      <c r="CQ59" s="217">
        <f>IF(CQ4&gt;HoldPeriod,0,-'Ops Assumptions'!$P$37/12*units)</f>
        <v>0</v>
      </c>
      <c r="CR59" s="217">
        <f>IF(CR4&gt;HoldPeriod,0,-'Ops Assumptions'!$P$37/12*units)</f>
        <v>0</v>
      </c>
      <c r="CS59" s="217">
        <f>IF(CS4&gt;HoldPeriod,0,-'Ops Assumptions'!$P$37/12*units)</f>
        <v>0</v>
      </c>
      <c r="CT59" s="217">
        <f>IF(CT4&gt;HoldPeriod,0,-'Ops Assumptions'!$P$37/12*units)</f>
        <v>0</v>
      </c>
      <c r="CU59" s="217">
        <f>IF(CU4&gt;HoldPeriod,0,-'Ops Assumptions'!$P$37/12*units)</f>
        <v>0</v>
      </c>
      <c r="CV59" s="217">
        <f>IF(CV4&gt;HoldPeriod,0,-'Ops Assumptions'!$P$37/12*units)</f>
        <v>0</v>
      </c>
      <c r="CW59" s="217">
        <f>IF(CW4&gt;HoldPeriod,0,-'Ops Assumptions'!$P$37/12*units)</f>
        <v>0</v>
      </c>
      <c r="CX59" s="217">
        <f>IF(CX4&gt;HoldPeriod,0,-'Ops Assumptions'!$P$37/12*units)</f>
        <v>0</v>
      </c>
      <c r="CY59" s="217">
        <f>IF(CY4&gt;HoldPeriod,0,-'Ops Assumptions'!$P$37/12*units)</f>
        <v>0</v>
      </c>
      <c r="CZ59" s="217">
        <f>IF(CZ4&gt;HoldPeriod,0,-'Ops Assumptions'!$P$37/12*units)</f>
        <v>0</v>
      </c>
      <c r="DA59" s="217">
        <f>IF(DA4&gt;HoldPeriod,0,-'Ops Assumptions'!$P$37/12*units)</f>
        <v>0</v>
      </c>
      <c r="DB59" s="217">
        <f>IF(DB4&gt;HoldPeriod,0,-'Ops Assumptions'!$P$37/12*units)</f>
        <v>0</v>
      </c>
      <c r="DC59" s="217">
        <f>IF(DC4&gt;HoldPeriod,0,-'Ops Assumptions'!$P$37/12*units)</f>
        <v>0</v>
      </c>
      <c r="DD59" s="217">
        <f>IF(DD4&gt;HoldPeriod,0,-'Ops Assumptions'!$P$37/12*units)</f>
        <v>0</v>
      </c>
      <c r="DE59" s="217">
        <f>IF(DE4&gt;HoldPeriod,0,-'Ops Assumptions'!$P$37/12*units)</f>
        <v>0</v>
      </c>
      <c r="DF59" s="217">
        <f>IF(DF4&gt;HoldPeriod,0,-'Ops Assumptions'!$P$37/12*units)</f>
        <v>0</v>
      </c>
      <c r="DG59" s="217">
        <f>IF(DG4&gt;HoldPeriod,0,-'Ops Assumptions'!$P$37/12*units)</f>
        <v>0</v>
      </c>
      <c r="DH59" s="217">
        <f>IF(DH4&gt;HoldPeriod,0,-'Ops Assumptions'!$P$37/12*units)</f>
        <v>0</v>
      </c>
      <c r="DI59" s="217">
        <f>IF(DI4&gt;HoldPeriod,0,-'Ops Assumptions'!$P$37/12*units)</f>
        <v>0</v>
      </c>
      <c r="DJ59" s="217">
        <f>IF(DJ4&gt;HoldPeriod,0,-'Ops Assumptions'!$P$37/12*units)</f>
        <v>0</v>
      </c>
      <c r="DK59" s="217">
        <f>IF(DK4&gt;HoldPeriod,0,-'Ops Assumptions'!$P$37/12*units)</f>
        <v>0</v>
      </c>
      <c r="DL59" s="217">
        <f>IF(DL4&gt;HoldPeriod,0,-'Ops Assumptions'!$P$37/12*units)</f>
        <v>0</v>
      </c>
      <c r="DM59" s="217">
        <f>IF(DM4&gt;HoldPeriod,0,-'Ops Assumptions'!$P$37/12*units)</f>
        <v>0</v>
      </c>
      <c r="DN59" s="217">
        <f>IF(DN4&gt;HoldPeriod,0,-'Ops Assumptions'!$P$37/12*units)</f>
        <v>0</v>
      </c>
      <c r="DO59" s="217">
        <f>IF(DO4&gt;HoldPeriod,0,-'Ops Assumptions'!$P$37/12*units)</f>
        <v>0</v>
      </c>
      <c r="DP59" s="217">
        <f>IF(DP4&gt;HoldPeriod,0,-'Ops Assumptions'!$P$37/12*units)</f>
        <v>0</v>
      </c>
      <c r="DQ59" s="217">
        <f>IF(DQ4&gt;HoldPeriod,0,-'Ops Assumptions'!$P$37/12*units)</f>
        <v>0</v>
      </c>
      <c r="DR59" s="217">
        <f>IF(DR4&gt;HoldPeriod,0,-'Ops Assumptions'!$P$37/12*units)</f>
        <v>0</v>
      </c>
      <c r="DS59" s="217">
        <f>IF(DS4&gt;HoldPeriod,0,-'Ops Assumptions'!$P$37/12*units)</f>
        <v>0</v>
      </c>
      <c r="DT59" s="217">
        <f>IF(DT4&gt;HoldPeriod,0,-'Ops Assumptions'!$P$37/12*units)</f>
        <v>0</v>
      </c>
      <c r="DU59" s="217">
        <f>IF(DU4&gt;HoldPeriod,0,-'Ops Assumptions'!$P$37/12*units)</f>
        <v>0</v>
      </c>
      <c r="DV59" s="217">
        <f>IF(DV4&gt;HoldPeriod,0,-'Ops Assumptions'!$P$37/12*units)</f>
        <v>0</v>
      </c>
      <c r="DW59" s="217">
        <f>IF(DW4&gt;HoldPeriod,0,-'Ops Assumptions'!$P$37/12*units)</f>
        <v>0</v>
      </c>
      <c r="DX59" s="217">
        <f>IF(DX4&gt;HoldPeriod,0,-'Ops Assumptions'!$P$37/12*units)</f>
        <v>0</v>
      </c>
      <c r="DY59" s="217">
        <f>IF(DY4&gt;HoldPeriod,0,-'Ops Assumptions'!$P$37/12*units)</f>
        <v>0</v>
      </c>
      <c r="DZ59" s="217">
        <f>IF(DZ4&gt;HoldPeriod,0,-'Ops Assumptions'!$P$37/12*units)</f>
        <v>0</v>
      </c>
      <c r="EA59" s="217">
        <f>IF(EA4&gt;HoldPeriod,0,-'Ops Assumptions'!$P$37/12*units)</f>
        <v>0</v>
      </c>
      <c r="EB59" s="217">
        <f>IF(EB4&gt;HoldPeriod,0,-'Ops Assumptions'!$P$37/12*units)</f>
        <v>0</v>
      </c>
      <c r="EC59" s="217">
        <f>IF(EC4&gt;HoldPeriod,0,-'Ops Assumptions'!$P$37/12*units)</f>
        <v>0</v>
      </c>
      <c r="ED59" s="217">
        <f>IF(ED4&gt;HoldPeriod,0,-'Ops Assumptions'!$P$37/12*units)</f>
        <v>0</v>
      </c>
      <c r="EE59" s="217">
        <f>IF(EE4&gt;HoldPeriod,0,-'Ops Assumptions'!$P$37/12*units)</f>
        <v>0</v>
      </c>
      <c r="EF59" s="217">
        <f>IF(EF4&gt;HoldPeriod,0,-'Ops Assumptions'!$P$37/12*units)</f>
        <v>0</v>
      </c>
      <c r="EG59" s="217">
        <f>IF(EG4&gt;HoldPeriod,0,-'Ops Assumptions'!$P$37/12*units)</f>
        <v>0</v>
      </c>
      <c r="EH59" s="217">
        <f>IF(EH4&gt;HoldPeriod,0,-'Ops Assumptions'!$P$37/12*units)</f>
        <v>0</v>
      </c>
      <c r="EI59" s="158" t="s">
        <v>243</v>
      </c>
    </row>
    <row r="60" spans="1:139" s="217" customFormat="1" x14ac:dyDescent="0.2">
      <c r="B60" s="258" t="s">
        <v>696</v>
      </c>
      <c r="C60" s="209"/>
      <c r="D60" s="308">
        <f>SUMIF($F$4:$EH$4,"&lt;="&amp;HoldPeriod,$F60:$EH60)</f>
        <v>-199999.99999993044</v>
      </c>
      <c r="E60" s="308"/>
      <c r="F60" s="217">
        <f>-('Renovation Budget'!X95-'Renovation Budget'!X62+'Renovation Budget'!X104)</f>
        <v>0</v>
      </c>
      <c r="G60" s="217">
        <f>-('Renovation Budget'!Y95-'Renovation Budget'!Y62+'Renovation Budget'!Y104)</f>
        <v>0</v>
      </c>
      <c r="H60" s="217">
        <f>-('Renovation Budget'!Z95-'Renovation Budget'!Z62+'Renovation Budget'!Z104)</f>
        <v>-49999.999749945171</v>
      </c>
      <c r="I60" s="217">
        <f>-('Renovation Budget'!AA95-'Renovation Budget'!AA62+'Renovation Budget'!AA104)</f>
        <v>-50000.000250054829</v>
      </c>
      <c r="J60" s="217">
        <f>-('Renovation Budget'!AB95-'Renovation Budget'!AB62+'Renovation Budget'!AB104)</f>
        <v>-50000.000249985256</v>
      </c>
      <c r="K60" s="217">
        <f>-('Renovation Budget'!AC95-'Renovation Budget'!AC62+'Renovation Budget'!AC104)</f>
        <v>-49999.999749945171</v>
      </c>
      <c r="L60" s="217">
        <f>-('Renovation Budget'!AD95-'Renovation Budget'!AD62+'Renovation Budget'!AD104)</f>
        <v>0</v>
      </c>
      <c r="M60" s="217">
        <f>-('Renovation Budget'!AE95-'Renovation Budget'!AE62+'Renovation Budget'!AE104)</f>
        <v>0</v>
      </c>
      <c r="N60" s="217">
        <f>-('Renovation Budget'!AF95-'Renovation Budget'!AF62+'Renovation Budget'!AF104)</f>
        <v>0</v>
      </c>
      <c r="O60" s="217">
        <f>-('Renovation Budget'!AG95-'Renovation Budget'!AG62+'Renovation Budget'!AG104)</f>
        <v>0</v>
      </c>
      <c r="P60" s="217">
        <f>-('Renovation Budget'!AH95-'Renovation Budget'!AH62+'Renovation Budget'!AH104)</f>
        <v>0</v>
      </c>
      <c r="Q60" s="217">
        <f>-('Renovation Budget'!AI95-'Renovation Budget'!AI62+'Renovation Budget'!AI104)</f>
        <v>0</v>
      </c>
      <c r="R60" s="217">
        <f>-('Renovation Budget'!AJ95-'Renovation Budget'!AJ62+'Renovation Budget'!AJ104)</f>
        <v>0</v>
      </c>
      <c r="S60" s="217">
        <f>-('Renovation Budget'!AK95-'Renovation Budget'!AK62+'Renovation Budget'!AK104)</f>
        <v>0</v>
      </c>
      <c r="T60" s="217">
        <f>-('Renovation Budget'!AL95-'Renovation Budget'!AL62+'Renovation Budget'!AL104)</f>
        <v>0</v>
      </c>
      <c r="U60" s="217">
        <f>-('Renovation Budget'!AM95-'Renovation Budget'!AM62+'Renovation Budget'!AM104)</f>
        <v>0</v>
      </c>
      <c r="V60" s="217">
        <f>-('Renovation Budget'!AN95-'Renovation Budget'!AN62+'Renovation Budget'!AN104)</f>
        <v>0</v>
      </c>
      <c r="W60" s="217">
        <f>-('Renovation Budget'!AO95-'Renovation Budget'!AO62+'Renovation Budget'!AO104)</f>
        <v>0</v>
      </c>
      <c r="X60" s="217">
        <f>-('Renovation Budget'!AP95-'Renovation Budget'!AP62+'Renovation Budget'!AP104)</f>
        <v>0</v>
      </c>
      <c r="Y60" s="217">
        <f>-('Renovation Budget'!AQ95-'Renovation Budget'!AQ62+'Renovation Budget'!AQ104)</f>
        <v>0</v>
      </c>
      <c r="Z60" s="217">
        <f>-('Renovation Budget'!AR95-'Renovation Budget'!AR62+'Renovation Budget'!AR104)</f>
        <v>0</v>
      </c>
      <c r="AA60" s="217">
        <f>-('Renovation Budget'!AS95-'Renovation Budget'!AS62+'Renovation Budget'!AS104)</f>
        <v>0</v>
      </c>
      <c r="AB60" s="217">
        <f>-('Renovation Budget'!AT95-'Renovation Budget'!AT62+'Renovation Budget'!AT104)</f>
        <v>0</v>
      </c>
      <c r="AC60" s="217">
        <f>-('Renovation Budget'!AU95-'Renovation Budget'!AU62+'Renovation Budget'!AU104)</f>
        <v>0</v>
      </c>
      <c r="AD60" s="217">
        <f>-('Renovation Budget'!AV95-'Renovation Budget'!AV62+'Renovation Budget'!AV104)</f>
        <v>0</v>
      </c>
      <c r="AE60" s="217">
        <f>-('Renovation Budget'!AW95-'Renovation Budget'!AW62+'Renovation Budget'!AW104)</f>
        <v>0</v>
      </c>
      <c r="AF60" s="217">
        <f>-('Renovation Budget'!AX95-'Renovation Budget'!AX62+'Renovation Budget'!AX104)</f>
        <v>0</v>
      </c>
      <c r="AG60" s="217">
        <f>-('Renovation Budget'!AY95-'Renovation Budget'!AY62+'Renovation Budget'!AY104)</f>
        <v>0</v>
      </c>
      <c r="AH60" s="217">
        <f>-('Renovation Budget'!AZ95-'Renovation Budget'!AZ62+'Renovation Budget'!AZ104)</f>
        <v>0</v>
      </c>
      <c r="AI60" s="217">
        <f>-('Renovation Budget'!BA95-'Renovation Budget'!BA62+'Renovation Budget'!BA104)</f>
        <v>0</v>
      </c>
      <c r="AJ60" s="217">
        <f>-('Renovation Budget'!BB95-'Renovation Budget'!BB62+'Renovation Budget'!BB104)</f>
        <v>0</v>
      </c>
      <c r="AK60" s="217">
        <f>-('Renovation Budget'!BC95-'Renovation Budget'!BC62+'Renovation Budget'!BC104)</f>
        <v>0</v>
      </c>
      <c r="AL60" s="217">
        <f>-('Renovation Budget'!BD95-'Renovation Budget'!BD62+'Renovation Budget'!BD104)</f>
        <v>0</v>
      </c>
      <c r="AM60" s="217">
        <f>-('Renovation Budget'!BE95-'Renovation Budget'!BE62+'Renovation Budget'!BE104)</f>
        <v>0</v>
      </c>
      <c r="AN60" s="217">
        <f>-('Renovation Budget'!BF95-'Renovation Budget'!BF62+'Renovation Budget'!BF104)</f>
        <v>0</v>
      </c>
      <c r="AO60" s="217">
        <f>-('Renovation Budget'!BG95-'Renovation Budget'!BG62+'Renovation Budget'!BG104)</f>
        <v>0</v>
      </c>
      <c r="AP60" s="217">
        <f>-('Renovation Budget'!BH95-'Renovation Budget'!BH62+'Renovation Budget'!BH104)</f>
        <v>0</v>
      </c>
      <c r="AQ60" s="217">
        <f>-('Renovation Budget'!BI95-'Renovation Budget'!BI62+'Renovation Budget'!BI104)</f>
        <v>0</v>
      </c>
      <c r="AR60" s="217">
        <f>-('Renovation Budget'!BJ95-'Renovation Budget'!BJ62+'Renovation Budget'!BJ104)</f>
        <v>0</v>
      </c>
      <c r="AS60" s="217">
        <f>-('Renovation Budget'!BK95-'Renovation Budget'!BK62+'Renovation Budget'!BK104)</f>
        <v>0</v>
      </c>
      <c r="AT60" s="217">
        <f>-('Renovation Budget'!BL95-'Renovation Budget'!BL62+'Renovation Budget'!BL104)</f>
        <v>0</v>
      </c>
      <c r="AU60" s="217">
        <f>-('Renovation Budget'!BM95-'Renovation Budget'!BM62+'Renovation Budget'!BM104)</f>
        <v>0</v>
      </c>
      <c r="AV60" s="217">
        <f>-('Renovation Budget'!BN95-'Renovation Budget'!BN62+'Renovation Budget'!BN104)</f>
        <v>0</v>
      </c>
      <c r="AW60" s="217">
        <f>-('Renovation Budget'!BO95-'Renovation Budget'!BO62+'Renovation Budget'!BO104)</f>
        <v>0</v>
      </c>
      <c r="AX60" s="217">
        <f>-('Renovation Budget'!BP95-'Renovation Budget'!BP62+'Renovation Budget'!BP104)</f>
        <v>0</v>
      </c>
      <c r="AY60" s="217">
        <f>-('Renovation Budget'!BQ95-'Renovation Budget'!BQ62+'Renovation Budget'!BQ104)</f>
        <v>0</v>
      </c>
      <c r="AZ60" s="217">
        <f>-('Renovation Budget'!BR95-'Renovation Budget'!BR62+'Renovation Budget'!BR104)</f>
        <v>0</v>
      </c>
      <c r="BA60" s="217">
        <f>-('Renovation Budget'!BS95-'Renovation Budget'!BS62+'Renovation Budget'!BS104)</f>
        <v>0</v>
      </c>
      <c r="BB60" s="217">
        <f>-('Renovation Budget'!BT95-'Renovation Budget'!BT62+'Renovation Budget'!BT104)</f>
        <v>0</v>
      </c>
      <c r="BC60" s="217">
        <f>-('Renovation Budget'!BU95-'Renovation Budget'!BU62+'Renovation Budget'!BU104)</f>
        <v>0</v>
      </c>
      <c r="BD60" s="217">
        <f>-('Renovation Budget'!BV95-'Renovation Budget'!BV62+'Renovation Budget'!BV104)</f>
        <v>0</v>
      </c>
      <c r="BE60" s="217">
        <f>-('Renovation Budget'!BW95-'Renovation Budget'!BW62+'Renovation Budget'!BW104)</f>
        <v>0</v>
      </c>
      <c r="BF60" s="217">
        <f>-('Renovation Budget'!BX95-'Renovation Budget'!BX62+'Renovation Budget'!BX104)</f>
        <v>0</v>
      </c>
      <c r="BG60" s="217">
        <f>-('Renovation Budget'!BY95-'Renovation Budget'!BY62+'Renovation Budget'!BY104)</f>
        <v>0</v>
      </c>
      <c r="BH60" s="217">
        <f>-('Renovation Budget'!BZ95-'Renovation Budget'!BZ62+'Renovation Budget'!BZ104)</f>
        <v>0</v>
      </c>
      <c r="BI60" s="217">
        <f>-('Renovation Budget'!CA95-'Renovation Budget'!CA62+'Renovation Budget'!CA104)</f>
        <v>0</v>
      </c>
      <c r="BJ60" s="217">
        <f>-('Renovation Budget'!CB95-'Renovation Budget'!CB62+'Renovation Budget'!CB104)</f>
        <v>0</v>
      </c>
      <c r="BK60" s="217">
        <f>-('Renovation Budget'!CC95-'Renovation Budget'!CC62+'Renovation Budget'!CC104)</f>
        <v>0</v>
      </c>
      <c r="BL60" s="217">
        <f>-('Renovation Budget'!CD95-'Renovation Budget'!CD62+'Renovation Budget'!CD104)</f>
        <v>0</v>
      </c>
      <c r="BM60" s="217">
        <f>-('Renovation Budget'!CE95-'Renovation Budget'!CE62+'Renovation Budget'!CE104)</f>
        <v>0</v>
      </c>
      <c r="BN60" s="217">
        <f>-('Renovation Budget'!CF95-'Renovation Budget'!CF62+'Renovation Budget'!CF104)</f>
        <v>0</v>
      </c>
      <c r="BO60" s="217">
        <f>-('Renovation Budget'!CG95-'Renovation Budget'!CG62+'Renovation Budget'!CG104)</f>
        <v>0</v>
      </c>
      <c r="BP60" s="217">
        <f>-('Renovation Budget'!CH95-'Renovation Budget'!CH62+'Renovation Budget'!CH104)</f>
        <v>0</v>
      </c>
      <c r="BQ60" s="217">
        <f>-('Renovation Budget'!CI95-'Renovation Budget'!CI62+'Renovation Budget'!CI104)</f>
        <v>0</v>
      </c>
      <c r="BR60" s="217">
        <f>-('Renovation Budget'!CJ95-'Renovation Budget'!CJ62+'Renovation Budget'!CJ104)</f>
        <v>0</v>
      </c>
      <c r="BS60" s="217">
        <f>-('Renovation Budget'!CK95-'Renovation Budget'!CK62+'Renovation Budget'!CK104)</f>
        <v>0</v>
      </c>
      <c r="BT60" s="217">
        <f>-('Renovation Budget'!CL95-'Renovation Budget'!CL62+'Renovation Budget'!CL104)</f>
        <v>0</v>
      </c>
      <c r="BU60" s="217">
        <f>-('Renovation Budget'!CM95-'Renovation Budget'!CM62+'Renovation Budget'!CM104)</f>
        <v>0</v>
      </c>
      <c r="BV60" s="217">
        <f>-('Renovation Budget'!CN95-'Renovation Budget'!CN62+'Renovation Budget'!CN104)</f>
        <v>0</v>
      </c>
      <c r="BW60" s="217">
        <f>-('Renovation Budget'!CO95-'Renovation Budget'!CO62+'Renovation Budget'!CO104)</f>
        <v>0</v>
      </c>
      <c r="BX60" s="217">
        <f>-('Renovation Budget'!CP95-'Renovation Budget'!CP62+'Renovation Budget'!CP104)</f>
        <v>0</v>
      </c>
      <c r="BY60" s="217">
        <f>-('Renovation Budget'!CQ95-'Renovation Budget'!CQ62+'Renovation Budget'!CQ104)</f>
        <v>0</v>
      </c>
      <c r="BZ60" s="217">
        <f>-('Renovation Budget'!CR95-'Renovation Budget'!CR62+'Renovation Budget'!CR104)</f>
        <v>0</v>
      </c>
      <c r="CA60" s="217">
        <f>-('Renovation Budget'!CS95-'Renovation Budget'!CS62+'Renovation Budget'!CS104)</f>
        <v>0</v>
      </c>
      <c r="CB60" s="217">
        <f>-('Renovation Budget'!CT95-'Renovation Budget'!CT62+'Renovation Budget'!CT104)</f>
        <v>0</v>
      </c>
      <c r="CC60" s="217">
        <f>-('Renovation Budget'!CU95-'Renovation Budget'!CU62+'Renovation Budget'!CU104)</f>
        <v>0</v>
      </c>
      <c r="CD60" s="217">
        <f>-('Renovation Budget'!CV95-'Renovation Budget'!CV62+'Renovation Budget'!CV104)</f>
        <v>0</v>
      </c>
      <c r="CE60" s="217">
        <f>-('Renovation Budget'!CW95-'Renovation Budget'!CW62+'Renovation Budget'!CW104)</f>
        <v>0</v>
      </c>
      <c r="CF60" s="217">
        <f>-('Renovation Budget'!CX95-'Renovation Budget'!CX62+'Renovation Budget'!CX104)</f>
        <v>0</v>
      </c>
      <c r="CG60" s="217">
        <f>-('Renovation Budget'!CY95-'Renovation Budget'!CY62+'Renovation Budget'!CY104)</f>
        <v>0</v>
      </c>
      <c r="CH60" s="217">
        <f>-('Renovation Budget'!CZ95-'Renovation Budget'!CZ62+'Renovation Budget'!CZ104)</f>
        <v>0</v>
      </c>
      <c r="CI60" s="217">
        <f>-('Renovation Budget'!DA95-'Renovation Budget'!DA62+'Renovation Budget'!DA104)</f>
        <v>0</v>
      </c>
      <c r="CJ60" s="217">
        <f>-('Renovation Budget'!DB95-'Renovation Budget'!DB62+'Renovation Budget'!DB104)</f>
        <v>0</v>
      </c>
      <c r="CK60" s="217">
        <f>-('Renovation Budget'!DC95-'Renovation Budget'!DC62+'Renovation Budget'!DC104)</f>
        <v>0</v>
      </c>
      <c r="CL60" s="217">
        <f>-('Renovation Budget'!DD95-'Renovation Budget'!DD62+'Renovation Budget'!DD104)</f>
        <v>0</v>
      </c>
      <c r="CM60" s="217">
        <f>-('Renovation Budget'!DE95-'Renovation Budget'!DE62+'Renovation Budget'!DE104)</f>
        <v>0</v>
      </c>
      <c r="CN60" s="217">
        <f>-('Renovation Budget'!DF95-'Renovation Budget'!DF62+'Renovation Budget'!DF104)</f>
        <v>0</v>
      </c>
      <c r="CO60" s="217">
        <f>-('Renovation Budget'!DG95-'Renovation Budget'!DG62+'Renovation Budget'!DG104)</f>
        <v>0</v>
      </c>
      <c r="CP60" s="217">
        <f>-('Renovation Budget'!DH95-'Renovation Budget'!DH62+'Renovation Budget'!DH104)</f>
        <v>0</v>
      </c>
      <c r="CQ60" s="217">
        <f>-('Renovation Budget'!DI95-'Renovation Budget'!DI62+'Renovation Budget'!DI104)</f>
        <v>0</v>
      </c>
      <c r="CR60" s="217">
        <f>-('Renovation Budget'!DJ95-'Renovation Budget'!DJ62+'Renovation Budget'!DJ104)</f>
        <v>0</v>
      </c>
      <c r="CS60" s="217">
        <f>-('Renovation Budget'!DK95-'Renovation Budget'!DK62+'Renovation Budget'!DK104)</f>
        <v>0</v>
      </c>
      <c r="CT60" s="217">
        <f>-('Renovation Budget'!DL95-'Renovation Budget'!DL62+'Renovation Budget'!DL104)</f>
        <v>0</v>
      </c>
      <c r="CU60" s="217">
        <f>-('Renovation Budget'!DM95-'Renovation Budget'!DM62+'Renovation Budget'!DM104)</f>
        <v>0</v>
      </c>
      <c r="CV60" s="217">
        <f>-('Renovation Budget'!DN95-'Renovation Budget'!DN62+'Renovation Budget'!DN104)</f>
        <v>0</v>
      </c>
      <c r="CW60" s="217">
        <f>-('Renovation Budget'!DO95-'Renovation Budget'!DO62+'Renovation Budget'!DO104)</f>
        <v>0</v>
      </c>
      <c r="CX60" s="217">
        <f>-('Renovation Budget'!DP95-'Renovation Budget'!DP62+'Renovation Budget'!DP104)</f>
        <v>0</v>
      </c>
      <c r="CY60" s="217">
        <f>-('Renovation Budget'!DQ95-'Renovation Budget'!DQ62+'Renovation Budget'!DQ104)</f>
        <v>0</v>
      </c>
      <c r="CZ60" s="217">
        <f>-('Renovation Budget'!DR95-'Renovation Budget'!DR62+'Renovation Budget'!DR104)</f>
        <v>0</v>
      </c>
      <c r="DA60" s="217">
        <f>-('Renovation Budget'!DS95-'Renovation Budget'!DS62+'Renovation Budget'!DS104)</f>
        <v>0</v>
      </c>
      <c r="DB60" s="217">
        <f>-('Renovation Budget'!DT95-'Renovation Budget'!DT62+'Renovation Budget'!DT104)</f>
        <v>0</v>
      </c>
      <c r="DC60" s="217">
        <f>-('Renovation Budget'!DU95-'Renovation Budget'!DU62+'Renovation Budget'!DU104)</f>
        <v>0</v>
      </c>
      <c r="DD60" s="217">
        <f>-('Renovation Budget'!DV95-'Renovation Budget'!DV62+'Renovation Budget'!DV104)</f>
        <v>0</v>
      </c>
      <c r="DE60" s="217">
        <f>-('Renovation Budget'!DW95-'Renovation Budget'!DW62+'Renovation Budget'!DW104)</f>
        <v>0</v>
      </c>
      <c r="DF60" s="217">
        <f>-('Renovation Budget'!DX95-'Renovation Budget'!DX62+'Renovation Budget'!DX104)</f>
        <v>0</v>
      </c>
      <c r="DG60" s="217">
        <f>-('Renovation Budget'!DY95-'Renovation Budget'!DY62+'Renovation Budget'!DY104)</f>
        <v>0</v>
      </c>
      <c r="DH60" s="217">
        <f>-('Renovation Budget'!DZ95-'Renovation Budget'!DZ62+'Renovation Budget'!DZ104)</f>
        <v>0</v>
      </c>
      <c r="DI60" s="217">
        <f>-('Renovation Budget'!EA95-'Renovation Budget'!EA62+'Renovation Budget'!EA104)</f>
        <v>0</v>
      </c>
      <c r="DJ60" s="217">
        <f>-('Renovation Budget'!EB95-'Renovation Budget'!EB62+'Renovation Budget'!EB104)</f>
        <v>0</v>
      </c>
      <c r="DK60" s="217">
        <f>-('Renovation Budget'!EC95-'Renovation Budget'!EC62+'Renovation Budget'!EC104)</f>
        <v>0</v>
      </c>
      <c r="DL60" s="217">
        <f>-('Renovation Budget'!ED95-'Renovation Budget'!ED62+'Renovation Budget'!ED104)</f>
        <v>0</v>
      </c>
      <c r="DM60" s="217">
        <f>-('Renovation Budget'!EE95-'Renovation Budget'!EE62+'Renovation Budget'!EE104)</f>
        <v>0</v>
      </c>
      <c r="DN60" s="217">
        <f>-('Renovation Budget'!EF95-'Renovation Budget'!EF62+'Renovation Budget'!EF104)</f>
        <v>0</v>
      </c>
      <c r="DO60" s="217">
        <f>-('Renovation Budget'!EG95-'Renovation Budget'!EG62+'Renovation Budget'!EG104)</f>
        <v>0</v>
      </c>
      <c r="DP60" s="217">
        <f>-('Renovation Budget'!EH95-'Renovation Budget'!EH62+'Renovation Budget'!EH104)</f>
        <v>0</v>
      </c>
      <c r="DQ60" s="217">
        <f>-('Renovation Budget'!EI95-'Renovation Budget'!EI62+'Renovation Budget'!EI104)</f>
        <v>0</v>
      </c>
      <c r="DR60" s="217">
        <f>-('Renovation Budget'!EJ95-'Renovation Budget'!EJ62+'Renovation Budget'!EJ104)</f>
        <v>0</v>
      </c>
      <c r="DS60" s="217">
        <f>-('Renovation Budget'!EK95-'Renovation Budget'!EK62+'Renovation Budget'!EK104)</f>
        <v>0</v>
      </c>
      <c r="DT60" s="217">
        <f>-('Renovation Budget'!EL95-'Renovation Budget'!EL62+'Renovation Budget'!EL104)</f>
        <v>0</v>
      </c>
      <c r="DU60" s="217">
        <f>-('Renovation Budget'!EM95-'Renovation Budget'!EM62+'Renovation Budget'!EM104)</f>
        <v>0</v>
      </c>
      <c r="DV60" s="217">
        <f>-('Renovation Budget'!EN95-'Renovation Budget'!EN62+'Renovation Budget'!EN104)</f>
        <v>0</v>
      </c>
      <c r="DW60" s="217">
        <f>-('Renovation Budget'!EO95-'Renovation Budget'!EO62+'Renovation Budget'!EO104)</f>
        <v>0</v>
      </c>
      <c r="DX60" s="217">
        <f>-('Renovation Budget'!EP95-'Renovation Budget'!EP62+'Renovation Budget'!EP104)</f>
        <v>0</v>
      </c>
      <c r="DY60" s="217">
        <f>-('Renovation Budget'!EQ95-'Renovation Budget'!EQ62+'Renovation Budget'!EQ104)</f>
        <v>0</v>
      </c>
      <c r="DZ60" s="217">
        <f>-('Renovation Budget'!ER95-'Renovation Budget'!ER62+'Renovation Budget'!ER104)</f>
        <v>0</v>
      </c>
      <c r="EA60" s="217">
        <f>-('Renovation Budget'!ES95-'Renovation Budget'!ES62+'Renovation Budget'!ES104)</f>
        <v>0</v>
      </c>
      <c r="EB60" s="217">
        <f>-('Renovation Budget'!ET95-'Renovation Budget'!ET62+'Renovation Budget'!ET104)</f>
        <v>0</v>
      </c>
      <c r="EC60" s="217">
        <f>-('Renovation Budget'!EU95-'Renovation Budget'!EU62+'Renovation Budget'!EU104)</f>
        <v>0</v>
      </c>
      <c r="ED60" s="217">
        <f>-('Renovation Budget'!EV95-'Renovation Budget'!EV62+'Renovation Budget'!EV104)</f>
        <v>0</v>
      </c>
      <c r="EE60" s="217">
        <f>-('Renovation Budget'!EW95-'Renovation Budget'!EW62+'Renovation Budget'!EW104)</f>
        <v>0</v>
      </c>
      <c r="EF60" s="217">
        <f>-('Renovation Budget'!EX95-'Renovation Budget'!EX62+'Renovation Budget'!EX104)</f>
        <v>0</v>
      </c>
      <c r="EG60" s="217">
        <f>-('Renovation Budget'!EY95-'Renovation Budget'!EY62+'Renovation Budget'!EY104)</f>
        <v>0</v>
      </c>
      <c r="EH60" s="217">
        <f>-('Renovation Budget'!EZ95-'Renovation Budget'!EZ62+'Renovation Budget'!EZ104)</f>
        <v>0</v>
      </c>
      <c r="EI60" s="158" t="s">
        <v>243</v>
      </c>
    </row>
    <row r="61" spans="1:139" s="217" customFormat="1" x14ac:dyDescent="0.2">
      <c r="B61" s="258" t="s">
        <v>648</v>
      </c>
      <c r="C61" s="209"/>
      <c r="D61" s="308">
        <f>SUMIF($F$4:$EH$4,"&lt;="&amp;HoldPeriod,$F61:$EH61)</f>
        <v>-1100000.0000000002</v>
      </c>
      <c r="E61" s="308"/>
      <c r="F61" s="217">
        <f>-'Renovation Budget'!X62</f>
        <v>0</v>
      </c>
      <c r="G61" s="217">
        <f>-'Renovation Budget'!Y62</f>
        <v>0</v>
      </c>
      <c r="H61" s="217">
        <f>-'Renovation Budget'!Z62</f>
        <v>-28205.128205128203</v>
      </c>
      <c r="I61" s="217">
        <f>-'Renovation Budget'!AA62</f>
        <v>-28205.128205128203</v>
      </c>
      <c r="J61" s="217">
        <f>-'Renovation Budget'!AB62</f>
        <v>-28205.128205128203</v>
      </c>
      <c r="K61" s="217">
        <f>-'Renovation Budget'!AC62</f>
        <v>-28205.128205128203</v>
      </c>
      <c r="L61" s="217">
        <f>-'Renovation Budget'!AD62</f>
        <v>-28205.128205128203</v>
      </c>
      <c r="M61" s="217">
        <f>-'Renovation Budget'!AE62</f>
        <v>-28205.128205128203</v>
      </c>
      <c r="N61" s="217">
        <f>-'Renovation Budget'!AF62</f>
        <v>-28205.128205128203</v>
      </c>
      <c r="O61" s="217">
        <f>-'Renovation Budget'!AG62</f>
        <v>-28205.128205128203</v>
      </c>
      <c r="P61" s="217">
        <f>-'Renovation Budget'!AH62</f>
        <v>-28205.128205128203</v>
      </c>
      <c r="Q61" s="217">
        <f>-'Renovation Budget'!AI62</f>
        <v>-28205.128205128203</v>
      </c>
      <c r="R61" s="217">
        <f>-'Renovation Budget'!AJ62</f>
        <v>-28205.128205128203</v>
      </c>
      <c r="S61" s="217">
        <f>-'Renovation Budget'!AK62</f>
        <v>-28205.128205128203</v>
      </c>
      <c r="T61" s="217">
        <f>-'Renovation Budget'!AL62</f>
        <v>-45128.205128205125</v>
      </c>
      <c r="U61" s="217">
        <f>-'Renovation Budget'!AM62</f>
        <v>-45128.205128205125</v>
      </c>
      <c r="V61" s="217">
        <f>-'Renovation Budget'!AN62</f>
        <v>-45128.205128205125</v>
      </c>
      <c r="W61" s="217">
        <f>-'Renovation Budget'!AO62</f>
        <v>-45128.205128205125</v>
      </c>
      <c r="X61" s="217">
        <f>-'Renovation Budget'!AP62</f>
        <v>-45128.205128205125</v>
      </c>
      <c r="Y61" s="217">
        <f>-'Renovation Budget'!AQ62</f>
        <v>-45128.205128205125</v>
      </c>
      <c r="Z61" s="217">
        <f>-'Renovation Budget'!AR62</f>
        <v>-45128.205128205125</v>
      </c>
      <c r="AA61" s="217">
        <f>-'Renovation Budget'!AS62</f>
        <v>-39487.179487179485</v>
      </c>
      <c r="AB61" s="217">
        <f>-'Renovation Budget'!AT62</f>
        <v>-39487.179487179485</v>
      </c>
      <c r="AC61" s="217">
        <f>-'Renovation Budget'!AU62</f>
        <v>-39487.179487179485</v>
      </c>
      <c r="AD61" s="217">
        <f>-'Renovation Budget'!AV62</f>
        <v>-39487.179487179485</v>
      </c>
      <c r="AE61" s="217">
        <f>-'Renovation Budget'!AW62</f>
        <v>-39487.179487179485</v>
      </c>
      <c r="AF61" s="217">
        <f>-'Renovation Budget'!AX62</f>
        <v>-39487.179487179485</v>
      </c>
      <c r="AG61" s="217">
        <f>-'Renovation Budget'!AY62</f>
        <v>-39487.179487179485</v>
      </c>
      <c r="AH61" s="217">
        <f>-'Renovation Budget'!AZ62</f>
        <v>-28205.128205128203</v>
      </c>
      <c r="AI61" s="217">
        <f>-'Renovation Budget'!BA62</f>
        <v>-28205.128205128203</v>
      </c>
      <c r="AJ61" s="217">
        <f>-'Renovation Budget'!BB62</f>
        <v>-28205.128205128203</v>
      </c>
      <c r="AK61" s="217">
        <f>-'Renovation Budget'!BC62</f>
        <v>-28205.128205128203</v>
      </c>
      <c r="AL61" s="217">
        <f>-'Renovation Budget'!BD62</f>
        <v>-28205.128205128203</v>
      </c>
      <c r="AM61" s="217">
        <f>-'Renovation Budget'!BE62</f>
        <v>-28205.128205128203</v>
      </c>
      <c r="AN61" s="217">
        <f>-'Renovation Budget'!BF62</f>
        <v>0</v>
      </c>
      <c r="AO61" s="217">
        <f>-'Renovation Budget'!BG62</f>
        <v>0</v>
      </c>
      <c r="AP61" s="217">
        <f>-'Renovation Budget'!BH62</f>
        <v>0</v>
      </c>
      <c r="AQ61" s="217">
        <f>-'Renovation Budget'!BI62</f>
        <v>0</v>
      </c>
      <c r="AR61" s="217">
        <f>-'Renovation Budget'!BJ62</f>
        <v>0</v>
      </c>
      <c r="AS61" s="217">
        <f>-'Renovation Budget'!BK62</f>
        <v>0</v>
      </c>
      <c r="AT61" s="217">
        <f>-'Renovation Budget'!BL62</f>
        <v>0</v>
      </c>
      <c r="AU61" s="217">
        <f>-'Renovation Budget'!BM62</f>
        <v>0</v>
      </c>
      <c r="AV61" s="217">
        <f>-'Renovation Budget'!BN62</f>
        <v>0</v>
      </c>
      <c r="AW61" s="217">
        <f>-'Renovation Budget'!BO62</f>
        <v>0</v>
      </c>
      <c r="AX61" s="217">
        <f>-'Renovation Budget'!BP62</f>
        <v>0</v>
      </c>
      <c r="AY61" s="217">
        <f>-'Renovation Budget'!BQ62</f>
        <v>0</v>
      </c>
      <c r="AZ61" s="217">
        <f>-'Renovation Budget'!BR62</f>
        <v>0</v>
      </c>
      <c r="BA61" s="217">
        <f>-'Renovation Budget'!BS62</f>
        <v>0</v>
      </c>
      <c r="BB61" s="217">
        <f>-'Renovation Budget'!BT62</f>
        <v>0</v>
      </c>
      <c r="BC61" s="217">
        <f>-'Renovation Budget'!BU62</f>
        <v>0</v>
      </c>
      <c r="BD61" s="217">
        <f>-'Renovation Budget'!BV62</f>
        <v>0</v>
      </c>
      <c r="BE61" s="217">
        <f>-'Renovation Budget'!BW62</f>
        <v>0</v>
      </c>
      <c r="BF61" s="217">
        <f>-'Renovation Budget'!BX62</f>
        <v>0</v>
      </c>
      <c r="BG61" s="217">
        <f>-'Renovation Budget'!BY62</f>
        <v>0</v>
      </c>
      <c r="BH61" s="217">
        <f>-'Renovation Budget'!BZ62</f>
        <v>0</v>
      </c>
      <c r="BI61" s="217">
        <f>-'Renovation Budget'!CA62</f>
        <v>0</v>
      </c>
      <c r="BJ61" s="217">
        <f>-'Renovation Budget'!CB62</f>
        <v>0</v>
      </c>
      <c r="BK61" s="217">
        <f>-'Renovation Budget'!CC62</f>
        <v>0</v>
      </c>
      <c r="BL61" s="217">
        <f>-'Renovation Budget'!CD62</f>
        <v>0</v>
      </c>
      <c r="BM61" s="217">
        <f>-'Renovation Budget'!CE62</f>
        <v>0</v>
      </c>
      <c r="BN61" s="217">
        <f>-'Renovation Budget'!CF62</f>
        <v>0</v>
      </c>
      <c r="BO61" s="217">
        <f>-'Renovation Budget'!CG62</f>
        <v>0</v>
      </c>
      <c r="BP61" s="217">
        <f>-'Renovation Budget'!CH62</f>
        <v>0</v>
      </c>
      <c r="BQ61" s="217">
        <f>-'Renovation Budget'!CI62</f>
        <v>0</v>
      </c>
      <c r="BR61" s="217">
        <f>-'Renovation Budget'!CJ62</f>
        <v>0</v>
      </c>
      <c r="BS61" s="217">
        <f>-'Renovation Budget'!CK62</f>
        <v>0</v>
      </c>
      <c r="BT61" s="217">
        <f>-'Renovation Budget'!CL62</f>
        <v>0</v>
      </c>
      <c r="BU61" s="217">
        <f>-'Renovation Budget'!CM62</f>
        <v>0</v>
      </c>
      <c r="BV61" s="217">
        <f>-'Renovation Budget'!CN62</f>
        <v>0</v>
      </c>
      <c r="BW61" s="217">
        <f>-'Renovation Budget'!CO62</f>
        <v>0</v>
      </c>
      <c r="BX61" s="217">
        <f>-'Renovation Budget'!CP62</f>
        <v>0</v>
      </c>
      <c r="BY61" s="217">
        <f>-'Renovation Budget'!CQ62</f>
        <v>0</v>
      </c>
      <c r="BZ61" s="217">
        <f>-'Renovation Budget'!CR62</f>
        <v>0</v>
      </c>
      <c r="CA61" s="217">
        <f>-'Renovation Budget'!CS62</f>
        <v>0</v>
      </c>
      <c r="CB61" s="217">
        <f>-'Renovation Budget'!CT62</f>
        <v>0</v>
      </c>
      <c r="CC61" s="217">
        <f>-'Renovation Budget'!CU62</f>
        <v>0</v>
      </c>
      <c r="CD61" s="217">
        <f>-'Renovation Budget'!CV62</f>
        <v>0</v>
      </c>
      <c r="CE61" s="217">
        <f>-'Renovation Budget'!CW62</f>
        <v>0</v>
      </c>
      <c r="CF61" s="217">
        <f>-'Renovation Budget'!CX62</f>
        <v>0</v>
      </c>
      <c r="CG61" s="217">
        <f>-'Renovation Budget'!CY62</f>
        <v>0</v>
      </c>
      <c r="CH61" s="217">
        <f>-'Renovation Budget'!CZ62</f>
        <v>0</v>
      </c>
      <c r="CI61" s="217">
        <f>-'Renovation Budget'!DA62</f>
        <v>0</v>
      </c>
      <c r="CJ61" s="217">
        <f>-'Renovation Budget'!DB62</f>
        <v>0</v>
      </c>
      <c r="CK61" s="217">
        <f>-'Renovation Budget'!DC62</f>
        <v>0</v>
      </c>
      <c r="CL61" s="217">
        <f>-'Renovation Budget'!DD62</f>
        <v>0</v>
      </c>
      <c r="CM61" s="217">
        <f>-'Renovation Budget'!DE62</f>
        <v>0</v>
      </c>
      <c r="CN61" s="217">
        <f>-'Renovation Budget'!DF62</f>
        <v>0</v>
      </c>
      <c r="CO61" s="217">
        <f>-'Renovation Budget'!DG62</f>
        <v>0</v>
      </c>
      <c r="CP61" s="217">
        <f>-'Renovation Budget'!DH62</f>
        <v>0</v>
      </c>
      <c r="CQ61" s="217">
        <f>-'Renovation Budget'!DI62</f>
        <v>0</v>
      </c>
      <c r="CR61" s="217">
        <f>-'Renovation Budget'!DJ62</f>
        <v>0</v>
      </c>
      <c r="CS61" s="217">
        <f>-'Renovation Budget'!DK62</f>
        <v>0</v>
      </c>
      <c r="CT61" s="217">
        <f>-'Renovation Budget'!DL62</f>
        <v>0</v>
      </c>
      <c r="CU61" s="217">
        <f>-'Renovation Budget'!DM62</f>
        <v>0</v>
      </c>
      <c r="CV61" s="217">
        <f>-'Renovation Budget'!DN62</f>
        <v>0</v>
      </c>
      <c r="CW61" s="217">
        <f>-'Renovation Budget'!DO62</f>
        <v>0</v>
      </c>
      <c r="CX61" s="217">
        <f>-'Renovation Budget'!DP62</f>
        <v>0</v>
      </c>
      <c r="CY61" s="217">
        <f>-'Renovation Budget'!DQ62</f>
        <v>0</v>
      </c>
      <c r="CZ61" s="217">
        <f>-'Renovation Budget'!DR62</f>
        <v>0</v>
      </c>
      <c r="DA61" s="217">
        <f>-'Renovation Budget'!DS62</f>
        <v>0</v>
      </c>
      <c r="DB61" s="217">
        <f>-'Renovation Budget'!DT62</f>
        <v>0</v>
      </c>
      <c r="DC61" s="217">
        <f>-'Renovation Budget'!DU62</f>
        <v>0</v>
      </c>
      <c r="DD61" s="217">
        <f>-'Renovation Budget'!DV62</f>
        <v>0</v>
      </c>
      <c r="DE61" s="217">
        <f>-'Renovation Budget'!DW62</f>
        <v>0</v>
      </c>
      <c r="DF61" s="217">
        <f>-'Renovation Budget'!DX62</f>
        <v>0</v>
      </c>
      <c r="DG61" s="217">
        <f>-'Renovation Budget'!DY62</f>
        <v>0</v>
      </c>
      <c r="DH61" s="217">
        <f>-'Renovation Budget'!DZ62</f>
        <v>0</v>
      </c>
      <c r="DI61" s="217">
        <f>-'Renovation Budget'!EA62</f>
        <v>0</v>
      </c>
      <c r="DJ61" s="217">
        <f>-'Renovation Budget'!EB62</f>
        <v>0</v>
      </c>
      <c r="DK61" s="217">
        <f>-'Renovation Budget'!EC62</f>
        <v>0</v>
      </c>
      <c r="DL61" s="217">
        <f>-'Renovation Budget'!ED62</f>
        <v>0</v>
      </c>
      <c r="DM61" s="217">
        <f>-'Renovation Budget'!EE62</f>
        <v>0</v>
      </c>
      <c r="DN61" s="217">
        <f>-'Renovation Budget'!EF62</f>
        <v>0</v>
      </c>
      <c r="DO61" s="217">
        <f>-'Renovation Budget'!EG62</f>
        <v>0</v>
      </c>
      <c r="DP61" s="217">
        <f>-'Renovation Budget'!EH62</f>
        <v>0</v>
      </c>
      <c r="DQ61" s="217">
        <f>-'Renovation Budget'!EI62</f>
        <v>0</v>
      </c>
      <c r="DR61" s="217">
        <f>-'Renovation Budget'!EJ62</f>
        <v>0</v>
      </c>
      <c r="DS61" s="217">
        <f>-'Renovation Budget'!EK62</f>
        <v>0</v>
      </c>
      <c r="DT61" s="217">
        <f>-'Renovation Budget'!EL62</f>
        <v>0</v>
      </c>
      <c r="DU61" s="217">
        <f>-'Renovation Budget'!EM62</f>
        <v>0</v>
      </c>
      <c r="DV61" s="217">
        <f>-'Renovation Budget'!EN62</f>
        <v>0</v>
      </c>
      <c r="DW61" s="217">
        <f>-'Renovation Budget'!EO62</f>
        <v>0</v>
      </c>
      <c r="DX61" s="217">
        <f>-'Renovation Budget'!EP62</f>
        <v>0</v>
      </c>
      <c r="DY61" s="217">
        <f>-'Renovation Budget'!EQ62</f>
        <v>0</v>
      </c>
      <c r="DZ61" s="217">
        <f>-'Renovation Budget'!ER62</f>
        <v>0</v>
      </c>
      <c r="EA61" s="217">
        <f>-'Renovation Budget'!ES62</f>
        <v>0</v>
      </c>
      <c r="EB61" s="217">
        <f>-'Renovation Budget'!ET62</f>
        <v>0</v>
      </c>
      <c r="EC61" s="217">
        <f>-'Renovation Budget'!EU62</f>
        <v>0</v>
      </c>
      <c r="ED61" s="217">
        <f>-'Renovation Budget'!EV62</f>
        <v>0</v>
      </c>
      <c r="EE61" s="217">
        <f>-'Renovation Budget'!EW62</f>
        <v>0</v>
      </c>
      <c r="EF61" s="217">
        <f>-'Renovation Budget'!EX62</f>
        <v>0</v>
      </c>
      <c r="EG61" s="217">
        <f>-'Renovation Budget'!EY62</f>
        <v>0</v>
      </c>
      <c r="EH61" s="217">
        <f>-'Renovation Budget'!EZ62</f>
        <v>0</v>
      </c>
      <c r="EI61" s="158" t="s">
        <v>243</v>
      </c>
    </row>
    <row r="62" spans="1:139" s="217" customFormat="1" x14ac:dyDescent="0.2">
      <c r="B62" s="258" t="s">
        <v>148</v>
      </c>
      <c r="C62" s="209"/>
      <c r="D62" s="308">
        <f ca="1">SUMIF($F$4:$EH$4,"&lt;="&amp;HoldPeriod,$F62:$EH62)</f>
        <v>0</v>
      </c>
      <c r="E62" s="308"/>
      <c r="F62" s="217">
        <v>0</v>
      </c>
      <c r="G62" s="217">
        <f t="shared" ref="G62:AL62" ca="1" si="88">IF(G$4&gt;HoldPeriod,0,-G42*AMFee)</f>
        <v>0</v>
      </c>
      <c r="H62" s="217">
        <f t="shared" ca="1" si="88"/>
        <v>0</v>
      </c>
      <c r="I62" s="217">
        <f t="shared" ca="1" si="88"/>
        <v>0</v>
      </c>
      <c r="J62" s="217">
        <f t="shared" ca="1" si="88"/>
        <v>0</v>
      </c>
      <c r="K62" s="217">
        <f t="shared" ca="1" si="88"/>
        <v>0</v>
      </c>
      <c r="L62" s="217">
        <f t="shared" ca="1" si="88"/>
        <v>0</v>
      </c>
      <c r="M62" s="217">
        <f t="shared" ca="1" si="88"/>
        <v>0</v>
      </c>
      <c r="N62" s="217">
        <f t="shared" ca="1" si="88"/>
        <v>0</v>
      </c>
      <c r="O62" s="217">
        <f t="shared" ca="1" si="88"/>
        <v>0</v>
      </c>
      <c r="P62" s="217">
        <f t="shared" ca="1" si="88"/>
        <v>0</v>
      </c>
      <c r="Q62" s="217">
        <f t="shared" ca="1" si="88"/>
        <v>0</v>
      </c>
      <c r="R62" s="217">
        <f t="shared" ca="1" si="88"/>
        <v>0</v>
      </c>
      <c r="S62" s="217">
        <f t="shared" ca="1" si="88"/>
        <v>0</v>
      </c>
      <c r="T62" s="217">
        <f t="shared" ca="1" si="88"/>
        <v>0</v>
      </c>
      <c r="U62" s="217">
        <f t="shared" ca="1" si="88"/>
        <v>0</v>
      </c>
      <c r="V62" s="217">
        <f t="shared" ca="1" si="88"/>
        <v>0</v>
      </c>
      <c r="W62" s="217">
        <f t="shared" ca="1" si="88"/>
        <v>0</v>
      </c>
      <c r="X62" s="217">
        <f t="shared" ca="1" si="88"/>
        <v>0</v>
      </c>
      <c r="Y62" s="217">
        <f t="shared" ca="1" si="88"/>
        <v>0</v>
      </c>
      <c r="Z62" s="217">
        <f t="shared" ca="1" si="88"/>
        <v>0</v>
      </c>
      <c r="AA62" s="217">
        <f t="shared" ca="1" si="88"/>
        <v>0</v>
      </c>
      <c r="AB62" s="217">
        <f t="shared" ca="1" si="88"/>
        <v>0</v>
      </c>
      <c r="AC62" s="217">
        <f t="shared" ca="1" si="88"/>
        <v>0</v>
      </c>
      <c r="AD62" s="217">
        <f t="shared" ca="1" si="88"/>
        <v>0</v>
      </c>
      <c r="AE62" s="217">
        <f t="shared" ca="1" si="88"/>
        <v>0</v>
      </c>
      <c r="AF62" s="217">
        <f t="shared" ca="1" si="88"/>
        <v>0</v>
      </c>
      <c r="AG62" s="217">
        <f t="shared" ca="1" si="88"/>
        <v>0</v>
      </c>
      <c r="AH62" s="217">
        <f t="shared" ca="1" si="88"/>
        <v>0</v>
      </c>
      <c r="AI62" s="217">
        <f t="shared" ca="1" si="88"/>
        <v>0</v>
      </c>
      <c r="AJ62" s="217">
        <f t="shared" ca="1" si="88"/>
        <v>0</v>
      </c>
      <c r="AK62" s="217">
        <f t="shared" ca="1" si="88"/>
        <v>0</v>
      </c>
      <c r="AL62" s="217">
        <f t="shared" ca="1" si="88"/>
        <v>0</v>
      </c>
      <c r="AM62" s="217">
        <f t="shared" ref="AM62:BR62" ca="1" si="89">IF(AM$4&gt;HoldPeriod,0,-AM42*AMFee)</f>
        <v>0</v>
      </c>
      <c r="AN62" s="217">
        <f t="shared" ca="1" si="89"/>
        <v>0</v>
      </c>
      <c r="AO62" s="217">
        <f t="shared" ca="1" si="89"/>
        <v>0</v>
      </c>
      <c r="AP62" s="217">
        <f t="shared" ca="1" si="89"/>
        <v>0</v>
      </c>
      <c r="AQ62" s="217">
        <f t="shared" ca="1" si="89"/>
        <v>0</v>
      </c>
      <c r="AR62" s="217">
        <f t="shared" ca="1" si="89"/>
        <v>0</v>
      </c>
      <c r="AS62" s="217">
        <f t="shared" ca="1" si="89"/>
        <v>0</v>
      </c>
      <c r="AT62" s="217">
        <f t="shared" ca="1" si="89"/>
        <v>0</v>
      </c>
      <c r="AU62" s="217">
        <f t="shared" ca="1" si="89"/>
        <v>0</v>
      </c>
      <c r="AV62" s="217">
        <f t="shared" ca="1" si="89"/>
        <v>0</v>
      </c>
      <c r="AW62" s="217">
        <f t="shared" ca="1" si="89"/>
        <v>0</v>
      </c>
      <c r="AX62" s="217">
        <f t="shared" ca="1" si="89"/>
        <v>0</v>
      </c>
      <c r="AY62" s="217">
        <f t="shared" ca="1" si="89"/>
        <v>0</v>
      </c>
      <c r="AZ62" s="217">
        <f t="shared" ca="1" si="89"/>
        <v>0</v>
      </c>
      <c r="BA62" s="217">
        <f t="shared" ca="1" si="89"/>
        <v>0</v>
      </c>
      <c r="BB62" s="217">
        <f t="shared" ca="1" si="89"/>
        <v>0</v>
      </c>
      <c r="BC62" s="217">
        <f t="shared" ca="1" si="89"/>
        <v>0</v>
      </c>
      <c r="BD62" s="217">
        <f t="shared" ca="1" si="89"/>
        <v>0</v>
      </c>
      <c r="BE62" s="217">
        <f t="shared" ca="1" si="89"/>
        <v>0</v>
      </c>
      <c r="BF62" s="217">
        <f t="shared" ca="1" si="89"/>
        <v>0</v>
      </c>
      <c r="BG62" s="217">
        <f t="shared" ca="1" si="89"/>
        <v>0</v>
      </c>
      <c r="BH62" s="217">
        <f t="shared" ca="1" si="89"/>
        <v>0</v>
      </c>
      <c r="BI62" s="217">
        <f t="shared" ca="1" si="89"/>
        <v>0</v>
      </c>
      <c r="BJ62" s="217">
        <f t="shared" ca="1" si="89"/>
        <v>0</v>
      </c>
      <c r="BK62" s="217">
        <f t="shared" ca="1" si="89"/>
        <v>0</v>
      </c>
      <c r="BL62" s="217">
        <f t="shared" ca="1" si="89"/>
        <v>0</v>
      </c>
      <c r="BM62" s="217">
        <f t="shared" ca="1" si="89"/>
        <v>0</v>
      </c>
      <c r="BN62" s="217">
        <f t="shared" ca="1" si="89"/>
        <v>0</v>
      </c>
      <c r="BO62" s="217">
        <f t="shared" si="89"/>
        <v>0</v>
      </c>
      <c r="BP62" s="217">
        <f t="shared" si="89"/>
        <v>0</v>
      </c>
      <c r="BQ62" s="217">
        <f t="shared" si="89"/>
        <v>0</v>
      </c>
      <c r="BR62" s="217">
        <f t="shared" si="89"/>
        <v>0</v>
      </c>
      <c r="BS62" s="217">
        <f t="shared" ref="BS62:CX62" si="90">IF(BS$4&gt;HoldPeriod,0,-BS42*AMFee)</f>
        <v>0</v>
      </c>
      <c r="BT62" s="217">
        <f t="shared" si="90"/>
        <v>0</v>
      </c>
      <c r="BU62" s="217">
        <f t="shared" si="90"/>
        <v>0</v>
      </c>
      <c r="BV62" s="217">
        <f t="shared" si="90"/>
        <v>0</v>
      </c>
      <c r="BW62" s="217">
        <f t="shared" si="90"/>
        <v>0</v>
      </c>
      <c r="BX62" s="217">
        <f t="shared" si="90"/>
        <v>0</v>
      </c>
      <c r="BY62" s="217">
        <f t="shared" si="90"/>
        <v>0</v>
      </c>
      <c r="BZ62" s="217">
        <f t="shared" si="90"/>
        <v>0</v>
      </c>
      <c r="CA62" s="217">
        <f t="shared" si="90"/>
        <v>0</v>
      </c>
      <c r="CB62" s="217">
        <f t="shared" si="90"/>
        <v>0</v>
      </c>
      <c r="CC62" s="217">
        <f t="shared" si="90"/>
        <v>0</v>
      </c>
      <c r="CD62" s="217">
        <f t="shared" si="90"/>
        <v>0</v>
      </c>
      <c r="CE62" s="217">
        <f t="shared" si="90"/>
        <v>0</v>
      </c>
      <c r="CF62" s="217">
        <f t="shared" si="90"/>
        <v>0</v>
      </c>
      <c r="CG62" s="217">
        <f t="shared" si="90"/>
        <v>0</v>
      </c>
      <c r="CH62" s="217">
        <f t="shared" si="90"/>
        <v>0</v>
      </c>
      <c r="CI62" s="217">
        <f t="shared" si="90"/>
        <v>0</v>
      </c>
      <c r="CJ62" s="217">
        <f t="shared" si="90"/>
        <v>0</v>
      </c>
      <c r="CK62" s="217">
        <f t="shared" si="90"/>
        <v>0</v>
      </c>
      <c r="CL62" s="217">
        <f t="shared" si="90"/>
        <v>0</v>
      </c>
      <c r="CM62" s="217">
        <f t="shared" si="90"/>
        <v>0</v>
      </c>
      <c r="CN62" s="217">
        <f t="shared" si="90"/>
        <v>0</v>
      </c>
      <c r="CO62" s="217">
        <f t="shared" si="90"/>
        <v>0</v>
      </c>
      <c r="CP62" s="217">
        <f t="shared" si="90"/>
        <v>0</v>
      </c>
      <c r="CQ62" s="217">
        <f t="shared" si="90"/>
        <v>0</v>
      </c>
      <c r="CR62" s="217">
        <f t="shared" si="90"/>
        <v>0</v>
      </c>
      <c r="CS62" s="217">
        <f t="shared" si="90"/>
        <v>0</v>
      </c>
      <c r="CT62" s="217">
        <f t="shared" si="90"/>
        <v>0</v>
      </c>
      <c r="CU62" s="217">
        <f t="shared" si="90"/>
        <v>0</v>
      </c>
      <c r="CV62" s="217">
        <f t="shared" si="90"/>
        <v>0</v>
      </c>
      <c r="CW62" s="217">
        <f t="shared" si="90"/>
        <v>0</v>
      </c>
      <c r="CX62" s="217">
        <f t="shared" si="90"/>
        <v>0</v>
      </c>
      <c r="CY62" s="217">
        <f t="shared" ref="CY62:EH62" si="91">IF(CY$4&gt;HoldPeriod,0,-CY42*AMFee)</f>
        <v>0</v>
      </c>
      <c r="CZ62" s="217">
        <f t="shared" si="91"/>
        <v>0</v>
      </c>
      <c r="DA62" s="217">
        <f t="shared" si="91"/>
        <v>0</v>
      </c>
      <c r="DB62" s="217">
        <f t="shared" si="91"/>
        <v>0</v>
      </c>
      <c r="DC62" s="217">
        <f t="shared" si="91"/>
        <v>0</v>
      </c>
      <c r="DD62" s="217">
        <f t="shared" si="91"/>
        <v>0</v>
      </c>
      <c r="DE62" s="217">
        <f t="shared" si="91"/>
        <v>0</v>
      </c>
      <c r="DF62" s="217">
        <f t="shared" si="91"/>
        <v>0</v>
      </c>
      <c r="DG62" s="217">
        <f t="shared" si="91"/>
        <v>0</v>
      </c>
      <c r="DH62" s="217">
        <f t="shared" si="91"/>
        <v>0</v>
      </c>
      <c r="DI62" s="217">
        <f t="shared" si="91"/>
        <v>0</v>
      </c>
      <c r="DJ62" s="217">
        <f t="shared" si="91"/>
        <v>0</v>
      </c>
      <c r="DK62" s="217">
        <f t="shared" si="91"/>
        <v>0</v>
      </c>
      <c r="DL62" s="217">
        <f t="shared" si="91"/>
        <v>0</v>
      </c>
      <c r="DM62" s="217">
        <f t="shared" si="91"/>
        <v>0</v>
      </c>
      <c r="DN62" s="217">
        <f t="shared" si="91"/>
        <v>0</v>
      </c>
      <c r="DO62" s="217">
        <f t="shared" si="91"/>
        <v>0</v>
      </c>
      <c r="DP62" s="217">
        <f t="shared" si="91"/>
        <v>0</v>
      </c>
      <c r="DQ62" s="217">
        <f t="shared" si="91"/>
        <v>0</v>
      </c>
      <c r="DR62" s="217">
        <f t="shared" si="91"/>
        <v>0</v>
      </c>
      <c r="DS62" s="217">
        <f t="shared" si="91"/>
        <v>0</v>
      </c>
      <c r="DT62" s="217">
        <f t="shared" si="91"/>
        <v>0</v>
      </c>
      <c r="DU62" s="217">
        <f t="shared" si="91"/>
        <v>0</v>
      </c>
      <c r="DV62" s="217">
        <f t="shared" si="91"/>
        <v>0</v>
      </c>
      <c r="DW62" s="217">
        <f t="shared" si="91"/>
        <v>0</v>
      </c>
      <c r="DX62" s="217">
        <f t="shared" si="91"/>
        <v>0</v>
      </c>
      <c r="DY62" s="217">
        <f t="shared" si="91"/>
        <v>0</v>
      </c>
      <c r="DZ62" s="217">
        <f t="shared" si="91"/>
        <v>0</v>
      </c>
      <c r="EA62" s="217">
        <f t="shared" si="91"/>
        <v>0</v>
      </c>
      <c r="EB62" s="217">
        <f t="shared" si="91"/>
        <v>0</v>
      </c>
      <c r="EC62" s="217">
        <f t="shared" si="91"/>
        <v>0</v>
      </c>
      <c r="ED62" s="217">
        <f t="shared" si="91"/>
        <v>0</v>
      </c>
      <c r="EE62" s="217">
        <f t="shared" si="91"/>
        <v>0</v>
      </c>
      <c r="EF62" s="217">
        <f t="shared" si="91"/>
        <v>0</v>
      </c>
      <c r="EG62" s="217">
        <f t="shared" si="91"/>
        <v>0</v>
      </c>
      <c r="EH62" s="217">
        <f t="shared" si="91"/>
        <v>0</v>
      </c>
      <c r="EI62" s="158" t="s">
        <v>243</v>
      </c>
    </row>
    <row r="63" spans="1:139" s="312" customFormat="1" x14ac:dyDescent="0.2">
      <c r="A63" s="282"/>
      <c r="B63" s="261" t="s">
        <v>851</v>
      </c>
      <c r="C63" s="283"/>
      <c r="D63" s="310">
        <f ca="1">SUMIF($F$4:$EH$4,"&lt;="&amp;HoldPeriod,$F63:$EH63)</f>
        <v>-1543999.9999999318</v>
      </c>
      <c r="E63" s="310"/>
      <c r="F63" s="264">
        <f t="shared" ref="F63:AK63" si="92">SUM(F59:F62)</f>
        <v>0</v>
      </c>
      <c r="G63" s="264">
        <f t="shared" ca="1" si="92"/>
        <v>-4066.666666666667</v>
      </c>
      <c r="H63" s="264">
        <f t="shared" ca="1" si="92"/>
        <v>-82271.794621740031</v>
      </c>
      <c r="I63" s="264">
        <f t="shared" ca="1" si="92"/>
        <v>-82271.795121849689</v>
      </c>
      <c r="J63" s="264">
        <f t="shared" ca="1" si="92"/>
        <v>-82271.795121780131</v>
      </c>
      <c r="K63" s="264">
        <f t="shared" ca="1" si="92"/>
        <v>-82271.794621740031</v>
      </c>
      <c r="L63" s="264">
        <f t="shared" ca="1" si="92"/>
        <v>-32271.794871794871</v>
      </c>
      <c r="M63" s="264">
        <f t="shared" ca="1" si="92"/>
        <v>-32271.794871794871</v>
      </c>
      <c r="N63" s="264">
        <f t="shared" ca="1" si="92"/>
        <v>-32271.794871794871</v>
      </c>
      <c r="O63" s="264">
        <f t="shared" ca="1" si="92"/>
        <v>-32271.794871794871</v>
      </c>
      <c r="P63" s="264">
        <f t="shared" ca="1" si="92"/>
        <v>-32271.794871794871</v>
      </c>
      <c r="Q63" s="264">
        <f t="shared" ca="1" si="92"/>
        <v>-32271.794871794871</v>
      </c>
      <c r="R63" s="264">
        <f t="shared" ca="1" si="92"/>
        <v>-32271.794871794871</v>
      </c>
      <c r="S63" s="264">
        <f t="shared" ca="1" si="92"/>
        <v>-32271.794871794871</v>
      </c>
      <c r="T63" s="264">
        <f t="shared" ca="1" si="92"/>
        <v>-49194.871794871789</v>
      </c>
      <c r="U63" s="264">
        <f t="shared" ca="1" si="92"/>
        <v>-49194.871794871789</v>
      </c>
      <c r="V63" s="264">
        <f t="shared" ca="1" si="92"/>
        <v>-49194.871794871789</v>
      </c>
      <c r="W63" s="264">
        <f t="shared" ca="1" si="92"/>
        <v>-49194.871794871789</v>
      </c>
      <c r="X63" s="264">
        <f t="shared" ca="1" si="92"/>
        <v>-49194.871794871789</v>
      </c>
      <c r="Y63" s="264">
        <f t="shared" ca="1" si="92"/>
        <v>-49194.871794871789</v>
      </c>
      <c r="Z63" s="264">
        <f t="shared" ca="1" si="92"/>
        <v>-49194.871794871789</v>
      </c>
      <c r="AA63" s="264">
        <f t="shared" ca="1" si="92"/>
        <v>-43553.846153846149</v>
      </c>
      <c r="AB63" s="264">
        <f t="shared" ca="1" si="92"/>
        <v>-43553.846153846149</v>
      </c>
      <c r="AC63" s="264">
        <f t="shared" ca="1" si="92"/>
        <v>-43553.846153846149</v>
      </c>
      <c r="AD63" s="264">
        <f t="shared" ca="1" si="92"/>
        <v>-43553.846153846149</v>
      </c>
      <c r="AE63" s="264">
        <f t="shared" ca="1" si="92"/>
        <v>-43553.846153846149</v>
      </c>
      <c r="AF63" s="264">
        <f t="shared" ca="1" si="92"/>
        <v>-43553.846153846149</v>
      </c>
      <c r="AG63" s="264">
        <f t="shared" ca="1" si="92"/>
        <v>-43553.846153846149</v>
      </c>
      <c r="AH63" s="264">
        <f t="shared" ca="1" si="92"/>
        <v>-32271.794871794871</v>
      </c>
      <c r="AI63" s="264">
        <f t="shared" ca="1" si="92"/>
        <v>-32271.794871794871</v>
      </c>
      <c r="AJ63" s="264">
        <f t="shared" ca="1" si="92"/>
        <v>-32271.794871794871</v>
      </c>
      <c r="AK63" s="264">
        <f t="shared" ca="1" si="92"/>
        <v>-32271.794871794871</v>
      </c>
      <c r="AL63" s="264">
        <f t="shared" ref="AL63:BQ63" ca="1" si="93">SUM(AL59:AL62)</f>
        <v>-32271.794871794871</v>
      </c>
      <c r="AM63" s="264">
        <f t="shared" ca="1" si="93"/>
        <v>-32271.794871794871</v>
      </c>
      <c r="AN63" s="264">
        <f t="shared" ca="1" si="93"/>
        <v>-4066.666666666667</v>
      </c>
      <c r="AO63" s="264">
        <f t="shared" ca="1" si="93"/>
        <v>-4066.666666666667</v>
      </c>
      <c r="AP63" s="264">
        <f t="shared" ca="1" si="93"/>
        <v>-4066.666666666667</v>
      </c>
      <c r="AQ63" s="264">
        <f t="shared" ca="1" si="93"/>
        <v>-4066.666666666667</v>
      </c>
      <c r="AR63" s="264">
        <f t="shared" ca="1" si="93"/>
        <v>-4066.666666666667</v>
      </c>
      <c r="AS63" s="264">
        <f t="shared" ca="1" si="93"/>
        <v>-4066.666666666667</v>
      </c>
      <c r="AT63" s="264">
        <f t="shared" ca="1" si="93"/>
        <v>-4066.666666666667</v>
      </c>
      <c r="AU63" s="264">
        <f t="shared" ca="1" si="93"/>
        <v>-4066.666666666667</v>
      </c>
      <c r="AV63" s="264">
        <f t="shared" ca="1" si="93"/>
        <v>-4066.666666666667</v>
      </c>
      <c r="AW63" s="264">
        <f t="shared" ca="1" si="93"/>
        <v>-4066.666666666667</v>
      </c>
      <c r="AX63" s="264">
        <f t="shared" ca="1" si="93"/>
        <v>-4066.666666666667</v>
      </c>
      <c r="AY63" s="264">
        <f t="shared" ca="1" si="93"/>
        <v>-4066.666666666667</v>
      </c>
      <c r="AZ63" s="264">
        <f t="shared" ca="1" si="93"/>
        <v>-4066.666666666667</v>
      </c>
      <c r="BA63" s="264">
        <f t="shared" ca="1" si="93"/>
        <v>-4066.666666666667</v>
      </c>
      <c r="BB63" s="264">
        <f t="shared" ca="1" si="93"/>
        <v>-4066.666666666667</v>
      </c>
      <c r="BC63" s="264">
        <f t="shared" ca="1" si="93"/>
        <v>-4066.666666666667</v>
      </c>
      <c r="BD63" s="264">
        <f t="shared" ca="1" si="93"/>
        <v>-4066.666666666667</v>
      </c>
      <c r="BE63" s="264">
        <f t="shared" ca="1" si="93"/>
        <v>-4066.666666666667</v>
      </c>
      <c r="BF63" s="264">
        <f t="shared" ca="1" si="93"/>
        <v>-4066.666666666667</v>
      </c>
      <c r="BG63" s="264">
        <f t="shared" ca="1" si="93"/>
        <v>-4066.666666666667</v>
      </c>
      <c r="BH63" s="264">
        <f t="shared" ca="1" si="93"/>
        <v>-4066.666666666667</v>
      </c>
      <c r="BI63" s="264">
        <f t="shared" ca="1" si="93"/>
        <v>-4066.666666666667</v>
      </c>
      <c r="BJ63" s="264">
        <f t="shared" ca="1" si="93"/>
        <v>-4066.666666666667</v>
      </c>
      <c r="BK63" s="264">
        <f t="shared" ca="1" si="93"/>
        <v>-4066.666666666667</v>
      </c>
      <c r="BL63" s="264">
        <f t="shared" ca="1" si="93"/>
        <v>-4066.666666666667</v>
      </c>
      <c r="BM63" s="264">
        <f t="shared" ca="1" si="93"/>
        <v>-4066.666666666667</v>
      </c>
      <c r="BN63" s="264">
        <f t="shared" ca="1" si="93"/>
        <v>-4066.666666666667</v>
      </c>
      <c r="BO63" s="264">
        <f t="shared" si="93"/>
        <v>0</v>
      </c>
      <c r="BP63" s="264">
        <f t="shared" si="93"/>
        <v>0</v>
      </c>
      <c r="BQ63" s="264">
        <f t="shared" si="93"/>
        <v>0</v>
      </c>
      <c r="BR63" s="264">
        <f t="shared" ref="BR63:CW63" si="94">SUM(BR59:BR62)</f>
        <v>0</v>
      </c>
      <c r="BS63" s="264">
        <f t="shared" si="94"/>
        <v>0</v>
      </c>
      <c r="BT63" s="264">
        <f t="shared" si="94"/>
        <v>0</v>
      </c>
      <c r="BU63" s="264">
        <f t="shared" si="94"/>
        <v>0</v>
      </c>
      <c r="BV63" s="264">
        <f t="shared" si="94"/>
        <v>0</v>
      </c>
      <c r="BW63" s="264">
        <f t="shared" si="94"/>
        <v>0</v>
      </c>
      <c r="BX63" s="264">
        <f t="shared" si="94"/>
        <v>0</v>
      </c>
      <c r="BY63" s="264">
        <f t="shared" si="94"/>
        <v>0</v>
      </c>
      <c r="BZ63" s="264">
        <f t="shared" si="94"/>
        <v>0</v>
      </c>
      <c r="CA63" s="264">
        <f t="shared" si="94"/>
        <v>0</v>
      </c>
      <c r="CB63" s="264">
        <f t="shared" si="94"/>
        <v>0</v>
      </c>
      <c r="CC63" s="264">
        <f t="shared" si="94"/>
        <v>0</v>
      </c>
      <c r="CD63" s="264">
        <f t="shared" si="94"/>
        <v>0</v>
      </c>
      <c r="CE63" s="264">
        <f t="shared" si="94"/>
        <v>0</v>
      </c>
      <c r="CF63" s="264">
        <f t="shared" si="94"/>
        <v>0</v>
      </c>
      <c r="CG63" s="264">
        <f t="shared" si="94"/>
        <v>0</v>
      </c>
      <c r="CH63" s="264">
        <f t="shared" si="94"/>
        <v>0</v>
      </c>
      <c r="CI63" s="264">
        <f t="shared" si="94"/>
        <v>0</v>
      </c>
      <c r="CJ63" s="264">
        <f t="shared" si="94"/>
        <v>0</v>
      </c>
      <c r="CK63" s="264">
        <f t="shared" si="94"/>
        <v>0</v>
      </c>
      <c r="CL63" s="264">
        <f t="shared" si="94"/>
        <v>0</v>
      </c>
      <c r="CM63" s="264">
        <f t="shared" si="94"/>
        <v>0</v>
      </c>
      <c r="CN63" s="264">
        <f t="shared" si="94"/>
        <v>0</v>
      </c>
      <c r="CO63" s="264">
        <f t="shared" si="94"/>
        <v>0</v>
      </c>
      <c r="CP63" s="264">
        <f t="shared" si="94"/>
        <v>0</v>
      </c>
      <c r="CQ63" s="264">
        <f t="shared" si="94"/>
        <v>0</v>
      </c>
      <c r="CR63" s="264">
        <f t="shared" si="94"/>
        <v>0</v>
      </c>
      <c r="CS63" s="264">
        <f t="shared" si="94"/>
        <v>0</v>
      </c>
      <c r="CT63" s="264">
        <f t="shared" si="94"/>
        <v>0</v>
      </c>
      <c r="CU63" s="264">
        <f t="shared" si="94"/>
        <v>0</v>
      </c>
      <c r="CV63" s="264">
        <f t="shared" si="94"/>
        <v>0</v>
      </c>
      <c r="CW63" s="264">
        <f t="shared" si="94"/>
        <v>0</v>
      </c>
      <c r="CX63" s="264">
        <f t="shared" ref="CX63:EC63" si="95">SUM(CX59:CX62)</f>
        <v>0</v>
      </c>
      <c r="CY63" s="264">
        <f t="shared" si="95"/>
        <v>0</v>
      </c>
      <c r="CZ63" s="264">
        <f t="shared" si="95"/>
        <v>0</v>
      </c>
      <c r="DA63" s="264">
        <f t="shared" si="95"/>
        <v>0</v>
      </c>
      <c r="DB63" s="264">
        <f t="shared" si="95"/>
        <v>0</v>
      </c>
      <c r="DC63" s="264">
        <f t="shared" si="95"/>
        <v>0</v>
      </c>
      <c r="DD63" s="264">
        <f t="shared" si="95"/>
        <v>0</v>
      </c>
      <c r="DE63" s="264">
        <f t="shared" si="95"/>
        <v>0</v>
      </c>
      <c r="DF63" s="264">
        <f t="shared" si="95"/>
        <v>0</v>
      </c>
      <c r="DG63" s="264">
        <f t="shared" si="95"/>
        <v>0</v>
      </c>
      <c r="DH63" s="264">
        <f t="shared" si="95"/>
        <v>0</v>
      </c>
      <c r="DI63" s="264">
        <f t="shared" si="95"/>
        <v>0</v>
      </c>
      <c r="DJ63" s="264">
        <f t="shared" si="95"/>
        <v>0</v>
      </c>
      <c r="DK63" s="264">
        <f t="shared" si="95"/>
        <v>0</v>
      </c>
      <c r="DL63" s="264">
        <f t="shared" si="95"/>
        <v>0</v>
      </c>
      <c r="DM63" s="264">
        <f t="shared" si="95"/>
        <v>0</v>
      </c>
      <c r="DN63" s="264">
        <f t="shared" si="95"/>
        <v>0</v>
      </c>
      <c r="DO63" s="264">
        <f t="shared" si="95"/>
        <v>0</v>
      </c>
      <c r="DP63" s="264">
        <f t="shared" si="95"/>
        <v>0</v>
      </c>
      <c r="DQ63" s="264">
        <f t="shared" si="95"/>
        <v>0</v>
      </c>
      <c r="DR63" s="264">
        <f t="shared" si="95"/>
        <v>0</v>
      </c>
      <c r="DS63" s="264">
        <f t="shared" si="95"/>
        <v>0</v>
      </c>
      <c r="DT63" s="264">
        <f t="shared" si="95"/>
        <v>0</v>
      </c>
      <c r="DU63" s="264">
        <f t="shared" si="95"/>
        <v>0</v>
      </c>
      <c r="DV63" s="264">
        <f t="shared" si="95"/>
        <v>0</v>
      </c>
      <c r="DW63" s="264">
        <f t="shared" si="95"/>
        <v>0</v>
      </c>
      <c r="DX63" s="264">
        <f t="shared" si="95"/>
        <v>0</v>
      </c>
      <c r="DY63" s="264">
        <f t="shared" si="95"/>
        <v>0</v>
      </c>
      <c r="DZ63" s="264">
        <f t="shared" si="95"/>
        <v>0</v>
      </c>
      <c r="EA63" s="264">
        <f t="shared" si="95"/>
        <v>0</v>
      </c>
      <c r="EB63" s="264">
        <f t="shared" si="95"/>
        <v>0</v>
      </c>
      <c r="EC63" s="264">
        <f t="shared" si="95"/>
        <v>0</v>
      </c>
      <c r="ED63" s="264">
        <f t="shared" ref="ED63:EH63" si="96">SUM(ED59:ED62)</f>
        <v>0</v>
      </c>
      <c r="EE63" s="264">
        <f t="shared" si="96"/>
        <v>0</v>
      </c>
      <c r="EF63" s="264">
        <f t="shared" si="96"/>
        <v>0</v>
      </c>
      <c r="EG63" s="264">
        <f t="shared" si="96"/>
        <v>0</v>
      </c>
      <c r="EH63" s="264">
        <f t="shared" si="96"/>
        <v>0</v>
      </c>
      <c r="EI63" s="158" t="s">
        <v>243</v>
      </c>
    </row>
    <row r="64" spans="1:139" s="217" customFormat="1" x14ac:dyDescent="0.2">
      <c r="B64" s="209"/>
      <c r="C64" s="209"/>
      <c r="D64" s="308"/>
      <c r="E64" s="308"/>
      <c r="EI64" s="158" t="s">
        <v>243</v>
      </c>
    </row>
    <row r="65" spans="1:139" s="217" customFormat="1" ht="15" thickBot="1" x14ac:dyDescent="0.25">
      <c r="B65" s="299" t="s">
        <v>854</v>
      </c>
      <c r="C65" s="299"/>
      <c r="D65" s="300"/>
      <c r="E65" s="300"/>
      <c r="F65" s="299"/>
      <c r="G65" s="299"/>
      <c r="H65" s="299"/>
      <c r="I65" s="299"/>
      <c r="J65" s="299"/>
      <c r="K65" s="299"/>
      <c r="L65" s="299"/>
      <c r="M65" s="299"/>
      <c r="N65" s="299"/>
      <c r="O65" s="299"/>
      <c r="P65" s="299"/>
      <c r="Q65" s="299"/>
      <c r="R65" s="299"/>
      <c r="S65" s="299"/>
      <c r="T65" s="299"/>
      <c r="U65" s="299"/>
      <c r="V65" s="299"/>
      <c r="W65" s="299"/>
      <c r="X65" s="299"/>
      <c r="Y65" s="299"/>
      <c r="Z65" s="299"/>
      <c r="AA65" s="299"/>
      <c r="AB65" s="299"/>
      <c r="AC65" s="299"/>
      <c r="AD65" s="299"/>
      <c r="AE65" s="299"/>
      <c r="AF65" s="299"/>
      <c r="AG65" s="299"/>
      <c r="AH65" s="299"/>
      <c r="AI65" s="299"/>
      <c r="AJ65" s="299"/>
      <c r="AK65" s="299"/>
      <c r="AL65" s="299"/>
      <c r="AM65" s="299"/>
      <c r="AN65" s="299"/>
      <c r="AO65" s="299"/>
      <c r="AP65" s="299"/>
      <c r="AQ65" s="299"/>
      <c r="AR65" s="299"/>
      <c r="AS65" s="299"/>
      <c r="AT65" s="299"/>
      <c r="AU65" s="299"/>
      <c r="AV65" s="299"/>
      <c r="AW65" s="299"/>
      <c r="AX65" s="299"/>
      <c r="AY65" s="299"/>
      <c r="AZ65" s="299"/>
      <c r="BA65" s="299"/>
      <c r="BB65" s="299"/>
      <c r="BC65" s="299"/>
      <c r="BD65" s="299"/>
      <c r="BE65" s="299"/>
      <c r="BF65" s="299"/>
      <c r="BG65" s="299"/>
      <c r="BH65" s="299"/>
      <c r="BI65" s="299"/>
      <c r="BJ65" s="299"/>
      <c r="BK65" s="299"/>
      <c r="BL65" s="299"/>
      <c r="BM65" s="299"/>
      <c r="BN65" s="299"/>
      <c r="BO65" s="299"/>
      <c r="BP65" s="299"/>
      <c r="BQ65" s="299"/>
      <c r="BR65" s="299"/>
      <c r="BS65" s="299"/>
      <c r="BT65" s="299"/>
      <c r="BU65" s="299"/>
      <c r="BV65" s="299"/>
      <c r="BW65" s="299"/>
      <c r="BX65" s="299"/>
      <c r="BY65" s="299"/>
      <c r="BZ65" s="299"/>
      <c r="CA65" s="299"/>
      <c r="CB65" s="299"/>
      <c r="CC65" s="299"/>
      <c r="CD65" s="299"/>
      <c r="CE65" s="299"/>
      <c r="CF65" s="299"/>
      <c r="CG65" s="299"/>
      <c r="CH65" s="299"/>
      <c r="CI65" s="299"/>
      <c r="CJ65" s="299"/>
      <c r="CK65" s="299"/>
      <c r="CL65" s="299"/>
      <c r="CM65" s="299"/>
      <c r="CN65" s="299"/>
      <c r="CO65" s="299"/>
      <c r="CP65" s="299"/>
      <c r="CQ65" s="299"/>
      <c r="CR65" s="299"/>
      <c r="CS65" s="299"/>
      <c r="CT65" s="299"/>
      <c r="CU65" s="299"/>
      <c r="CV65" s="299"/>
      <c r="CW65" s="299"/>
      <c r="CX65" s="299"/>
      <c r="CY65" s="299"/>
      <c r="CZ65" s="299"/>
      <c r="DA65" s="299"/>
      <c r="DB65" s="299"/>
      <c r="DC65" s="299"/>
      <c r="DD65" s="299"/>
      <c r="DE65" s="299"/>
      <c r="DF65" s="299"/>
      <c r="DG65" s="299"/>
      <c r="DH65" s="299"/>
      <c r="DI65" s="299"/>
      <c r="DJ65" s="299"/>
      <c r="DK65" s="299"/>
      <c r="DL65" s="299"/>
      <c r="DM65" s="299"/>
      <c r="DN65" s="299"/>
      <c r="DO65" s="299"/>
      <c r="DP65" s="299"/>
      <c r="DQ65" s="299"/>
      <c r="DR65" s="299"/>
      <c r="DS65" s="299"/>
      <c r="DT65" s="299"/>
      <c r="DU65" s="299"/>
      <c r="DV65" s="299"/>
      <c r="DW65" s="299"/>
      <c r="DX65" s="299"/>
      <c r="DY65" s="299"/>
      <c r="DZ65" s="299"/>
      <c r="EA65" s="299"/>
      <c r="EB65" s="299"/>
      <c r="EC65" s="299"/>
      <c r="ED65" s="299"/>
      <c r="EE65" s="299"/>
      <c r="EF65" s="299"/>
      <c r="EG65" s="299"/>
      <c r="EH65" s="299"/>
      <c r="EI65" s="158" t="s">
        <v>243</v>
      </c>
    </row>
    <row r="66" spans="1:139" s="217" customFormat="1" x14ac:dyDescent="0.2">
      <c r="B66" s="258" t="s">
        <v>700</v>
      </c>
      <c r="C66" s="209"/>
      <c r="D66" s="308">
        <f t="shared" ref="D66:D71" si="97">SUMIF($F$4:$EH$4,"&lt;="&amp;HoldPeriod,$F66:$EH66)</f>
        <v>-50000000</v>
      </c>
      <c r="E66" s="308"/>
      <c r="F66" s="217">
        <f>IF(PurchasePrice="[Insert]",0,-PurchasePrice)</f>
        <v>-50000000</v>
      </c>
      <c r="G66" s="217">
        <v>0</v>
      </c>
      <c r="H66" s="217">
        <v>0</v>
      </c>
      <c r="I66" s="217">
        <v>0</v>
      </c>
      <c r="J66" s="217">
        <v>0</v>
      </c>
      <c r="K66" s="217">
        <v>0</v>
      </c>
      <c r="L66" s="217">
        <v>0</v>
      </c>
      <c r="M66" s="217">
        <v>0</v>
      </c>
      <c r="N66" s="217">
        <v>0</v>
      </c>
      <c r="O66" s="217">
        <v>0</v>
      </c>
      <c r="P66" s="217">
        <v>0</v>
      </c>
      <c r="Q66" s="217">
        <v>0</v>
      </c>
      <c r="R66" s="217">
        <v>0</v>
      </c>
      <c r="S66" s="217">
        <v>0</v>
      </c>
      <c r="T66" s="217">
        <v>0</v>
      </c>
      <c r="U66" s="217">
        <v>0</v>
      </c>
      <c r="V66" s="217">
        <v>0</v>
      </c>
      <c r="W66" s="217">
        <v>0</v>
      </c>
      <c r="X66" s="217">
        <v>0</v>
      </c>
      <c r="Y66" s="217">
        <v>0</v>
      </c>
      <c r="Z66" s="217">
        <v>0</v>
      </c>
      <c r="AA66" s="217">
        <v>0</v>
      </c>
      <c r="AB66" s="217">
        <v>0</v>
      </c>
      <c r="AC66" s="217">
        <v>0</v>
      </c>
      <c r="AD66" s="217">
        <v>0</v>
      </c>
      <c r="AE66" s="217">
        <v>0</v>
      </c>
      <c r="AF66" s="217">
        <v>0</v>
      </c>
      <c r="AG66" s="217">
        <v>0</v>
      </c>
      <c r="AH66" s="217">
        <v>0</v>
      </c>
      <c r="AI66" s="217">
        <v>0</v>
      </c>
      <c r="AJ66" s="217">
        <v>0</v>
      </c>
      <c r="AK66" s="217">
        <v>0</v>
      </c>
      <c r="AL66" s="217">
        <v>0</v>
      </c>
      <c r="AM66" s="217">
        <v>0</v>
      </c>
      <c r="AN66" s="217">
        <v>0</v>
      </c>
      <c r="AO66" s="217">
        <v>0</v>
      </c>
      <c r="AP66" s="217">
        <v>0</v>
      </c>
      <c r="AQ66" s="217">
        <v>0</v>
      </c>
      <c r="AR66" s="217">
        <v>0</v>
      </c>
      <c r="AS66" s="217">
        <v>0</v>
      </c>
      <c r="AT66" s="217">
        <v>0</v>
      </c>
      <c r="AU66" s="217">
        <v>0</v>
      </c>
      <c r="AV66" s="217">
        <v>0</v>
      </c>
      <c r="AW66" s="217">
        <v>0</v>
      </c>
      <c r="AX66" s="217">
        <v>0</v>
      </c>
      <c r="AY66" s="217">
        <v>0</v>
      </c>
      <c r="AZ66" s="217">
        <v>0</v>
      </c>
      <c r="BA66" s="217">
        <v>0</v>
      </c>
      <c r="BB66" s="217">
        <v>0</v>
      </c>
      <c r="BC66" s="217">
        <v>0</v>
      </c>
      <c r="BD66" s="217">
        <v>0</v>
      </c>
      <c r="BE66" s="217">
        <v>0</v>
      </c>
      <c r="BF66" s="217">
        <v>0</v>
      </c>
      <c r="BG66" s="217">
        <v>0</v>
      </c>
      <c r="BH66" s="217">
        <v>0</v>
      </c>
      <c r="BI66" s="217">
        <v>0</v>
      </c>
      <c r="BJ66" s="217">
        <v>0</v>
      </c>
      <c r="BK66" s="217">
        <v>0</v>
      </c>
      <c r="BL66" s="217">
        <v>0</v>
      </c>
      <c r="BM66" s="217">
        <v>0</v>
      </c>
      <c r="BN66" s="217">
        <v>0</v>
      </c>
      <c r="BO66" s="217">
        <v>0</v>
      </c>
      <c r="BP66" s="217">
        <v>0</v>
      </c>
      <c r="BQ66" s="217">
        <v>0</v>
      </c>
      <c r="BR66" s="217">
        <v>0</v>
      </c>
      <c r="BS66" s="217">
        <v>0</v>
      </c>
      <c r="BT66" s="217">
        <v>0</v>
      </c>
      <c r="BU66" s="217">
        <v>0</v>
      </c>
      <c r="BV66" s="217">
        <v>0</v>
      </c>
      <c r="BW66" s="217">
        <v>0</v>
      </c>
      <c r="BX66" s="217">
        <v>0</v>
      </c>
      <c r="BY66" s="217">
        <v>0</v>
      </c>
      <c r="BZ66" s="217">
        <v>0</v>
      </c>
      <c r="CA66" s="217">
        <v>0</v>
      </c>
      <c r="CB66" s="217">
        <v>0</v>
      </c>
      <c r="CC66" s="217">
        <v>0</v>
      </c>
      <c r="CD66" s="217">
        <v>0</v>
      </c>
      <c r="CE66" s="217">
        <v>0</v>
      </c>
      <c r="CF66" s="217">
        <v>0</v>
      </c>
      <c r="CG66" s="217">
        <v>0</v>
      </c>
      <c r="CH66" s="217">
        <v>0</v>
      </c>
      <c r="CI66" s="217">
        <v>0</v>
      </c>
      <c r="CJ66" s="217">
        <v>0</v>
      </c>
      <c r="CK66" s="217">
        <v>0</v>
      </c>
      <c r="CL66" s="217">
        <v>0</v>
      </c>
      <c r="CM66" s="217">
        <v>0</v>
      </c>
      <c r="CN66" s="217">
        <v>0</v>
      </c>
      <c r="CO66" s="217">
        <v>0</v>
      </c>
      <c r="CP66" s="217">
        <v>0</v>
      </c>
      <c r="CQ66" s="217">
        <v>0</v>
      </c>
      <c r="CR66" s="217">
        <v>0</v>
      </c>
      <c r="CS66" s="217">
        <v>0</v>
      </c>
      <c r="CT66" s="217">
        <v>0</v>
      </c>
      <c r="CU66" s="217">
        <v>0</v>
      </c>
      <c r="CV66" s="217">
        <v>0</v>
      </c>
      <c r="CW66" s="217">
        <v>0</v>
      </c>
      <c r="CX66" s="217">
        <v>0</v>
      </c>
      <c r="CY66" s="217">
        <v>0</v>
      </c>
      <c r="CZ66" s="217">
        <v>0</v>
      </c>
      <c r="DA66" s="217">
        <v>0</v>
      </c>
      <c r="DB66" s="217">
        <v>0</v>
      </c>
      <c r="DC66" s="217">
        <v>0</v>
      </c>
      <c r="DD66" s="217">
        <v>0</v>
      </c>
      <c r="DE66" s="217">
        <v>0</v>
      </c>
      <c r="DF66" s="217">
        <v>0</v>
      </c>
      <c r="DG66" s="217">
        <v>0</v>
      </c>
      <c r="DH66" s="217">
        <v>0</v>
      </c>
      <c r="DI66" s="217">
        <v>0</v>
      </c>
      <c r="DJ66" s="217">
        <v>0</v>
      </c>
      <c r="DK66" s="217">
        <v>0</v>
      </c>
      <c r="DL66" s="217">
        <v>0</v>
      </c>
      <c r="DM66" s="217">
        <v>0</v>
      </c>
      <c r="DN66" s="217">
        <v>0</v>
      </c>
      <c r="DO66" s="217">
        <v>0</v>
      </c>
      <c r="DP66" s="217">
        <v>0</v>
      </c>
      <c r="DQ66" s="217">
        <v>0</v>
      </c>
      <c r="DR66" s="217">
        <v>0</v>
      </c>
      <c r="DS66" s="217">
        <v>0</v>
      </c>
      <c r="DT66" s="217">
        <v>0</v>
      </c>
      <c r="DU66" s="217">
        <v>0</v>
      </c>
      <c r="DV66" s="217">
        <v>0</v>
      </c>
      <c r="DW66" s="217">
        <v>0</v>
      </c>
      <c r="DX66" s="217">
        <v>0</v>
      </c>
      <c r="DY66" s="217">
        <v>0</v>
      </c>
      <c r="DZ66" s="217">
        <v>0</v>
      </c>
      <c r="EA66" s="217">
        <v>0</v>
      </c>
      <c r="EB66" s="217">
        <v>0</v>
      </c>
      <c r="EC66" s="217">
        <v>0</v>
      </c>
      <c r="ED66" s="217">
        <v>0</v>
      </c>
      <c r="EE66" s="217">
        <v>0</v>
      </c>
      <c r="EF66" s="217">
        <v>0</v>
      </c>
      <c r="EG66" s="217">
        <v>0</v>
      </c>
      <c r="EH66" s="217">
        <v>0</v>
      </c>
      <c r="EI66" s="158" t="s">
        <v>243</v>
      </c>
    </row>
    <row r="67" spans="1:139" s="217" customFormat="1" ht="15" customHeight="1" x14ac:dyDescent="0.2">
      <c r="B67" s="258" t="s">
        <v>0</v>
      </c>
      <c r="C67" s="209"/>
      <c r="D67" s="308">
        <f t="shared" si="97"/>
        <v>-860900</v>
      </c>
      <c r="E67" s="308"/>
      <c r="F67" s="217">
        <f>-Summary!E18-Summary!E19</f>
        <v>-860900</v>
      </c>
      <c r="G67" s="217">
        <v>0</v>
      </c>
      <c r="H67" s="217">
        <v>0</v>
      </c>
      <c r="I67" s="217">
        <v>0</v>
      </c>
      <c r="J67" s="217">
        <v>0</v>
      </c>
      <c r="K67" s="217">
        <v>0</v>
      </c>
      <c r="L67" s="217">
        <v>0</v>
      </c>
      <c r="M67" s="217">
        <v>0</v>
      </c>
      <c r="N67" s="217">
        <v>0</v>
      </c>
      <c r="O67" s="217">
        <v>0</v>
      </c>
      <c r="P67" s="217">
        <v>0</v>
      </c>
      <c r="Q67" s="217">
        <v>0</v>
      </c>
      <c r="R67" s="217">
        <v>0</v>
      </c>
      <c r="S67" s="217">
        <v>0</v>
      </c>
      <c r="T67" s="217">
        <v>0</v>
      </c>
      <c r="U67" s="217">
        <v>0</v>
      </c>
      <c r="V67" s="217">
        <v>0</v>
      </c>
      <c r="W67" s="217">
        <v>0</v>
      </c>
      <c r="X67" s="217">
        <v>0</v>
      </c>
      <c r="Y67" s="217">
        <v>0</v>
      </c>
      <c r="Z67" s="217">
        <v>0</v>
      </c>
      <c r="AA67" s="217">
        <v>0</v>
      </c>
      <c r="AB67" s="217">
        <v>0</v>
      </c>
      <c r="AC67" s="217">
        <v>0</v>
      </c>
      <c r="AD67" s="217">
        <v>0</v>
      </c>
      <c r="AE67" s="217">
        <v>0</v>
      </c>
      <c r="AF67" s="217">
        <v>0</v>
      </c>
      <c r="AG67" s="217">
        <v>0</v>
      </c>
      <c r="AH67" s="217">
        <v>0</v>
      </c>
      <c r="AI67" s="217">
        <v>0</v>
      </c>
      <c r="AJ67" s="217">
        <v>0</v>
      </c>
      <c r="AK67" s="217">
        <v>0</v>
      </c>
      <c r="AL67" s="217">
        <v>0</v>
      </c>
      <c r="AM67" s="217">
        <v>0</v>
      </c>
      <c r="AN67" s="217">
        <v>0</v>
      </c>
      <c r="AO67" s="217">
        <v>0</v>
      </c>
      <c r="AP67" s="217">
        <v>0</v>
      </c>
      <c r="AQ67" s="217">
        <v>0</v>
      </c>
      <c r="AR67" s="217">
        <v>0</v>
      </c>
      <c r="AS67" s="217">
        <v>0</v>
      </c>
      <c r="AT67" s="217">
        <v>0</v>
      </c>
      <c r="AU67" s="217">
        <v>0</v>
      </c>
      <c r="AV67" s="217">
        <v>0</v>
      </c>
      <c r="AW67" s="217">
        <v>0</v>
      </c>
      <c r="AX67" s="217">
        <v>0</v>
      </c>
      <c r="AY67" s="217">
        <v>0</v>
      </c>
      <c r="AZ67" s="217">
        <v>0</v>
      </c>
      <c r="BA67" s="217">
        <v>0</v>
      </c>
      <c r="BB67" s="217">
        <v>0</v>
      </c>
      <c r="BC67" s="217">
        <v>0</v>
      </c>
      <c r="BD67" s="217">
        <v>0</v>
      </c>
      <c r="BE67" s="217">
        <v>0</v>
      </c>
      <c r="BF67" s="217">
        <v>0</v>
      </c>
      <c r="BG67" s="217">
        <v>0</v>
      </c>
      <c r="BH67" s="217">
        <v>0</v>
      </c>
      <c r="BI67" s="217">
        <v>0</v>
      </c>
      <c r="BJ67" s="217">
        <v>0</v>
      </c>
      <c r="BK67" s="217">
        <v>0</v>
      </c>
      <c r="BL67" s="217">
        <v>0</v>
      </c>
      <c r="BM67" s="217">
        <v>0</v>
      </c>
      <c r="BN67" s="217">
        <v>0</v>
      </c>
      <c r="BO67" s="217">
        <v>0</v>
      </c>
      <c r="BP67" s="217">
        <v>0</v>
      </c>
      <c r="BQ67" s="217">
        <v>0</v>
      </c>
      <c r="BR67" s="217">
        <v>0</v>
      </c>
      <c r="BS67" s="217">
        <v>0</v>
      </c>
      <c r="BT67" s="217">
        <v>0</v>
      </c>
      <c r="BU67" s="217">
        <v>0</v>
      </c>
      <c r="BV67" s="217">
        <v>0</v>
      </c>
      <c r="BW67" s="217">
        <v>0</v>
      </c>
      <c r="BX67" s="217">
        <v>0</v>
      </c>
      <c r="BY67" s="217">
        <v>0</v>
      </c>
      <c r="BZ67" s="217">
        <v>0</v>
      </c>
      <c r="CA67" s="217">
        <v>0</v>
      </c>
      <c r="CB67" s="217">
        <v>0</v>
      </c>
      <c r="CC67" s="217">
        <v>0</v>
      </c>
      <c r="CD67" s="217">
        <v>0</v>
      </c>
      <c r="CE67" s="217">
        <v>0</v>
      </c>
      <c r="CF67" s="217">
        <v>0</v>
      </c>
      <c r="CG67" s="217">
        <v>0</v>
      </c>
      <c r="CH67" s="217">
        <v>0</v>
      </c>
      <c r="CI67" s="217">
        <v>0</v>
      </c>
      <c r="CJ67" s="217">
        <v>0</v>
      </c>
      <c r="CK67" s="217">
        <v>0</v>
      </c>
      <c r="CL67" s="217">
        <v>0</v>
      </c>
      <c r="CM67" s="217">
        <v>0</v>
      </c>
      <c r="CN67" s="217">
        <v>0</v>
      </c>
      <c r="CO67" s="217">
        <v>0</v>
      </c>
      <c r="CP67" s="217">
        <v>0</v>
      </c>
      <c r="CQ67" s="217">
        <v>0</v>
      </c>
      <c r="CR67" s="217">
        <v>0</v>
      </c>
      <c r="CS67" s="217">
        <v>0</v>
      </c>
      <c r="CT67" s="217">
        <v>0</v>
      </c>
      <c r="CU67" s="217">
        <v>0</v>
      </c>
      <c r="CV67" s="217">
        <v>0</v>
      </c>
      <c r="CW67" s="217">
        <v>0</v>
      </c>
      <c r="CX67" s="217">
        <v>0</v>
      </c>
      <c r="CY67" s="217">
        <v>0</v>
      </c>
      <c r="CZ67" s="217">
        <v>0</v>
      </c>
      <c r="DA67" s="217">
        <v>0</v>
      </c>
      <c r="DB67" s="217">
        <v>0</v>
      </c>
      <c r="DC67" s="217">
        <v>0</v>
      </c>
      <c r="DD67" s="217">
        <v>0</v>
      </c>
      <c r="DE67" s="217">
        <v>0</v>
      </c>
      <c r="DF67" s="217">
        <v>0</v>
      </c>
      <c r="DG67" s="217">
        <v>0</v>
      </c>
      <c r="DH67" s="217">
        <v>0</v>
      </c>
      <c r="DI67" s="217">
        <v>0</v>
      </c>
      <c r="DJ67" s="217">
        <v>0</v>
      </c>
      <c r="DK67" s="217">
        <v>0</v>
      </c>
      <c r="DL67" s="217">
        <v>0</v>
      </c>
      <c r="DM67" s="217">
        <v>0</v>
      </c>
      <c r="DN67" s="217">
        <v>0</v>
      </c>
      <c r="DO67" s="217">
        <v>0</v>
      </c>
      <c r="DP67" s="217">
        <v>0</v>
      </c>
      <c r="DQ67" s="217">
        <v>0</v>
      </c>
      <c r="DR67" s="217">
        <v>0</v>
      </c>
      <c r="DS67" s="217">
        <v>0</v>
      </c>
      <c r="DT67" s="217">
        <v>0</v>
      </c>
      <c r="DU67" s="217">
        <v>0</v>
      </c>
      <c r="DV67" s="217">
        <v>0</v>
      </c>
      <c r="DW67" s="217">
        <v>0</v>
      </c>
      <c r="DX67" s="217">
        <v>0</v>
      </c>
      <c r="DY67" s="217">
        <v>0</v>
      </c>
      <c r="DZ67" s="217">
        <v>0</v>
      </c>
      <c r="EA67" s="217">
        <v>0</v>
      </c>
      <c r="EB67" s="217">
        <v>0</v>
      </c>
      <c r="EC67" s="217">
        <v>0</v>
      </c>
      <c r="ED67" s="217">
        <v>0</v>
      </c>
      <c r="EE67" s="217">
        <v>0</v>
      </c>
      <c r="EF67" s="217">
        <v>0</v>
      </c>
      <c r="EG67" s="217">
        <v>0</v>
      </c>
      <c r="EH67" s="217">
        <v>0</v>
      </c>
      <c r="EI67" s="158" t="s">
        <v>243</v>
      </c>
    </row>
    <row r="68" spans="1:139" s="217" customFormat="1" x14ac:dyDescent="0.2">
      <c r="B68" s="258" t="s">
        <v>24</v>
      </c>
      <c r="C68" s="209"/>
      <c r="D68" s="308">
        <f t="shared" ca="1" si="97"/>
        <v>85300953.03278175</v>
      </c>
      <c r="E68" s="308"/>
      <c r="F68" s="217">
        <v>0</v>
      </c>
      <c r="G68" s="217">
        <f t="shared" ref="G68:AL68" si="98">IF(G4=HoldPeriod,G57/ExitCap,0)</f>
        <v>0</v>
      </c>
      <c r="H68" s="217">
        <f t="shared" si="98"/>
        <v>0</v>
      </c>
      <c r="I68" s="217">
        <f t="shared" si="98"/>
        <v>0</v>
      </c>
      <c r="J68" s="217">
        <f t="shared" si="98"/>
        <v>0</v>
      </c>
      <c r="K68" s="217">
        <f t="shared" si="98"/>
        <v>0</v>
      </c>
      <c r="L68" s="217">
        <f t="shared" si="98"/>
        <v>0</v>
      </c>
      <c r="M68" s="217">
        <f t="shared" si="98"/>
        <v>0</v>
      </c>
      <c r="N68" s="217">
        <f t="shared" si="98"/>
        <v>0</v>
      </c>
      <c r="O68" s="217">
        <f t="shared" si="98"/>
        <v>0</v>
      </c>
      <c r="P68" s="217">
        <f t="shared" si="98"/>
        <v>0</v>
      </c>
      <c r="Q68" s="217">
        <f t="shared" si="98"/>
        <v>0</v>
      </c>
      <c r="R68" s="217">
        <f t="shared" si="98"/>
        <v>0</v>
      </c>
      <c r="S68" s="217">
        <f t="shared" si="98"/>
        <v>0</v>
      </c>
      <c r="T68" s="217">
        <f t="shared" si="98"/>
        <v>0</v>
      </c>
      <c r="U68" s="217">
        <f t="shared" si="98"/>
        <v>0</v>
      </c>
      <c r="V68" s="217">
        <f t="shared" si="98"/>
        <v>0</v>
      </c>
      <c r="W68" s="217">
        <f t="shared" si="98"/>
        <v>0</v>
      </c>
      <c r="X68" s="217">
        <f t="shared" si="98"/>
        <v>0</v>
      </c>
      <c r="Y68" s="217">
        <f t="shared" si="98"/>
        <v>0</v>
      </c>
      <c r="Z68" s="217">
        <f t="shared" si="98"/>
        <v>0</v>
      </c>
      <c r="AA68" s="217">
        <f t="shared" si="98"/>
        <v>0</v>
      </c>
      <c r="AB68" s="217">
        <f t="shared" si="98"/>
        <v>0</v>
      </c>
      <c r="AC68" s="217">
        <f t="shared" si="98"/>
        <v>0</v>
      </c>
      <c r="AD68" s="217">
        <f t="shared" si="98"/>
        <v>0</v>
      </c>
      <c r="AE68" s="217">
        <f t="shared" si="98"/>
        <v>0</v>
      </c>
      <c r="AF68" s="217">
        <f t="shared" si="98"/>
        <v>0</v>
      </c>
      <c r="AG68" s="217">
        <f t="shared" si="98"/>
        <v>0</v>
      </c>
      <c r="AH68" s="217">
        <f t="shared" si="98"/>
        <v>0</v>
      </c>
      <c r="AI68" s="217">
        <f t="shared" si="98"/>
        <v>0</v>
      </c>
      <c r="AJ68" s="217">
        <f t="shared" si="98"/>
        <v>0</v>
      </c>
      <c r="AK68" s="217">
        <f t="shared" si="98"/>
        <v>0</v>
      </c>
      <c r="AL68" s="217">
        <f t="shared" si="98"/>
        <v>0</v>
      </c>
      <c r="AM68" s="217">
        <f t="shared" ref="AM68:BR68" si="99">IF(AM4=HoldPeriod,AM57/ExitCap,0)</f>
        <v>0</v>
      </c>
      <c r="AN68" s="217">
        <f t="shared" si="99"/>
        <v>0</v>
      </c>
      <c r="AO68" s="217">
        <f t="shared" si="99"/>
        <v>0</v>
      </c>
      <c r="AP68" s="217">
        <f t="shared" si="99"/>
        <v>0</v>
      </c>
      <c r="AQ68" s="217">
        <f t="shared" si="99"/>
        <v>0</v>
      </c>
      <c r="AR68" s="217">
        <f t="shared" si="99"/>
        <v>0</v>
      </c>
      <c r="AS68" s="217">
        <f t="shared" si="99"/>
        <v>0</v>
      </c>
      <c r="AT68" s="217">
        <f t="shared" si="99"/>
        <v>0</v>
      </c>
      <c r="AU68" s="217">
        <f t="shared" si="99"/>
        <v>0</v>
      </c>
      <c r="AV68" s="217">
        <f t="shared" si="99"/>
        <v>0</v>
      </c>
      <c r="AW68" s="217">
        <f t="shared" si="99"/>
        <v>0</v>
      </c>
      <c r="AX68" s="217">
        <f t="shared" si="99"/>
        <v>0</v>
      </c>
      <c r="AY68" s="217">
        <f t="shared" si="99"/>
        <v>0</v>
      </c>
      <c r="AZ68" s="217">
        <f t="shared" si="99"/>
        <v>0</v>
      </c>
      <c r="BA68" s="217">
        <f t="shared" si="99"/>
        <v>0</v>
      </c>
      <c r="BB68" s="217">
        <f t="shared" si="99"/>
        <v>0</v>
      </c>
      <c r="BC68" s="217">
        <f t="shared" si="99"/>
        <v>0</v>
      </c>
      <c r="BD68" s="217">
        <f t="shared" si="99"/>
        <v>0</v>
      </c>
      <c r="BE68" s="217">
        <f t="shared" si="99"/>
        <v>0</v>
      </c>
      <c r="BF68" s="217">
        <f t="shared" si="99"/>
        <v>0</v>
      </c>
      <c r="BG68" s="217">
        <f t="shared" si="99"/>
        <v>0</v>
      </c>
      <c r="BH68" s="217">
        <f t="shared" si="99"/>
        <v>0</v>
      </c>
      <c r="BI68" s="217">
        <f t="shared" si="99"/>
        <v>0</v>
      </c>
      <c r="BJ68" s="217">
        <f t="shared" si="99"/>
        <v>0</v>
      </c>
      <c r="BK68" s="217">
        <f t="shared" si="99"/>
        <v>0</v>
      </c>
      <c r="BL68" s="217">
        <f t="shared" si="99"/>
        <v>0</v>
      </c>
      <c r="BM68" s="217">
        <f t="shared" si="99"/>
        <v>0</v>
      </c>
      <c r="BN68" s="217">
        <f t="shared" ca="1" si="99"/>
        <v>85300953.03278175</v>
      </c>
      <c r="BO68" s="217">
        <f t="shared" si="99"/>
        <v>0</v>
      </c>
      <c r="BP68" s="217">
        <f t="shared" si="99"/>
        <v>0</v>
      </c>
      <c r="BQ68" s="217">
        <f t="shared" si="99"/>
        <v>0</v>
      </c>
      <c r="BR68" s="217">
        <f t="shared" si="99"/>
        <v>0</v>
      </c>
      <c r="BS68" s="217">
        <f t="shared" ref="BS68:CX68" si="100">IF(BS4=HoldPeriod,BS57/ExitCap,0)</f>
        <v>0</v>
      </c>
      <c r="BT68" s="217">
        <f t="shared" si="100"/>
        <v>0</v>
      </c>
      <c r="BU68" s="217">
        <f t="shared" si="100"/>
        <v>0</v>
      </c>
      <c r="BV68" s="217">
        <f t="shared" si="100"/>
        <v>0</v>
      </c>
      <c r="BW68" s="217">
        <f t="shared" si="100"/>
        <v>0</v>
      </c>
      <c r="BX68" s="217">
        <f t="shared" si="100"/>
        <v>0</v>
      </c>
      <c r="BY68" s="217">
        <f t="shared" si="100"/>
        <v>0</v>
      </c>
      <c r="BZ68" s="217">
        <f t="shared" si="100"/>
        <v>0</v>
      </c>
      <c r="CA68" s="217">
        <f t="shared" si="100"/>
        <v>0</v>
      </c>
      <c r="CB68" s="217">
        <f t="shared" si="100"/>
        <v>0</v>
      </c>
      <c r="CC68" s="217">
        <f t="shared" si="100"/>
        <v>0</v>
      </c>
      <c r="CD68" s="217">
        <f t="shared" si="100"/>
        <v>0</v>
      </c>
      <c r="CE68" s="217">
        <f t="shared" si="100"/>
        <v>0</v>
      </c>
      <c r="CF68" s="217">
        <f t="shared" si="100"/>
        <v>0</v>
      </c>
      <c r="CG68" s="217">
        <f t="shared" si="100"/>
        <v>0</v>
      </c>
      <c r="CH68" s="217">
        <f t="shared" si="100"/>
        <v>0</v>
      </c>
      <c r="CI68" s="217">
        <f t="shared" si="100"/>
        <v>0</v>
      </c>
      <c r="CJ68" s="217">
        <f t="shared" si="100"/>
        <v>0</v>
      </c>
      <c r="CK68" s="217">
        <f t="shared" si="100"/>
        <v>0</v>
      </c>
      <c r="CL68" s="217">
        <f t="shared" si="100"/>
        <v>0</v>
      </c>
      <c r="CM68" s="217">
        <f t="shared" si="100"/>
        <v>0</v>
      </c>
      <c r="CN68" s="217">
        <f t="shared" si="100"/>
        <v>0</v>
      </c>
      <c r="CO68" s="217">
        <f t="shared" si="100"/>
        <v>0</v>
      </c>
      <c r="CP68" s="217">
        <f t="shared" si="100"/>
        <v>0</v>
      </c>
      <c r="CQ68" s="217">
        <f t="shared" si="100"/>
        <v>0</v>
      </c>
      <c r="CR68" s="217">
        <f t="shared" si="100"/>
        <v>0</v>
      </c>
      <c r="CS68" s="217">
        <f t="shared" si="100"/>
        <v>0</v>
      </c>
      <c r="CT68" s="217">
        <f t="shared" si="100"/>
        <v>0</v>
      </c>
      <c r="CU68" s="217">
        <f t="shared" si="100"/>
        <v>0</v>
      </c>
      <c r="CV68" s="217">
        <f t="shared" si="100"/>
        <v>0</v>
      </c>
      <c r="CW68" s="217">
        <f t="shared" si="100"/>
        <v>0</v>
      </c>
      <c r="CX68" s="217">
        <f t="shared" si="100"/>
        <v>0</v>
      </c>
      <c r="CY68" s="217">
        <f t="shared" ref="CY68:EH68" si="101">IF(CY4=HoldPeriod,CY57/ExitCap,0)</f>
        <v>0</v>
      </c>
      <c r="CZ68" s="217">
        <f t="shared" si="101"/>
        <v>0</v>
      </c>
      <c r="DA68" s="217">
        <f t="shared" si="101"/>
        <v>0</v>
      </c>
      <c r="DB68" s="217">
        <f t="shared" si="101"/>
        <v>0</v>
      </c>
      <c r="DC68" s="217">
        <f t="shared" si="101"/>
        <v>0</v>
      </c>
      <c r="DD68" s="217">
        <f t="shared" si="101"/>
        <v>0</v>
      </c>
      <c r="DE68" s="217">
        <f t="shared" si="101"/>
        <v>0</v>
      </c>
      <c r="DF68" s="217">
        <f t="shared" si="101"/>
        <v>0</v>
      </c>
      <c r="DG68" s="217">
        <f t="shared" si="101"/>
        <v>0</v>
      </c>
      <c r="DH68" s="217">
        <f t="shared" si="101"/>
        <v>0</v>
      </c>
      <c r="DI68" s="217">
        <f t="shared" si="101"/>
        <v>0</v>
      </c>
      <c r="DJ68" s="217">
        <f t="shared" si="101"/>
        <v>0</v>
      </c>
      <c r="DK68" s="217">
        <f t="shared" si="101"/>
        <v>0</v>
      </c>
      <c r="DL68" s="217">
        <f t="shared" si="101"/>
        <v>0</v>
      </c>
      <c r="DM68" s="217">
        <f t="shared" si="101"/>
        <v>0</v>
      </c>
      <c r="DN68" s="217">
        <f t="shared" si="101"/>
        <v>0</v>
      </c>
      <c r="DO68" s="217">
        <f t="shared" si="101"/>
        <v>0</v>
      </c>
      <c r="DP68" s="217">
        <f t="shared" si="101"/>
        <v>0</v>
      </c>
      <c r="DQ68" s="217">
        <f t="shared" si="101"/>
        <v>0</v>
      </c>
      <c r="DR68" s="217">
        <f t="shared" si="101"/>
        <v>0</v>
      </c>
      <c r="DS68" s="217">
        <f t="shared" si="101"/>
        <v>0</v>
      </c>
      <c r="DT68" s="217">
        <f t="shared" si="101"/>
        <v>0</v>
      </c>
      <c r="DU68" s="217">
        <f t="shared" si="101"/>
        <v>0</v>
      </c>
      <c r="DV68" s="217">
        <f t="shared" si="101"/>
        <v>0</v>
      </c>
      <c r="DW68" s="217">
        <f t="shared" si="101"/>
        <v>0</v>
      </c>
      <c r="DX68" s="217">
        <f t="shared" si="101"/>
        <v>0</v>
      </c>
      <c r="DY68" s="217">
        <f t="shared" si="101"/>
        <v>0</v>
      </c>
      <c r="DZ68" s="217">
        <f t="shared" si="101"/>
        <v>0</v>
      </c>
      <c r="EA68" s="217">
        <f t="shared" si="101"/>
        <v>0</v>
      </c>
      <c r="EB68" s="217">
        <f t="shared" si="101"/>
        <v>0</v>
      </c>
      <c r="EC68" s="217">
        <f t="shared" si="101"/>
        <v>0</v>
      </c>
      <c r="ED68" s="217">
        <f t="shared" si="101"/>
        <v>0</v>
      </c>
      <c r="EE68" s="217">
        <f t="shared" si="101"/>
        <v>0</v>
      </c>
      <c r="EF68" s="217">
        <f t="shared" si="101"/>
        <v>0</v>
      </c>
      <c r="EG68" s="217">
        <f t="shared" si="101"/>
        <v>0</v>
      </c>
      <c r="EH68" s="217">
        <f t="shared" si="101"/>
        <v>0</v>
      </c>
      <c r="EI68" s="158" t="s">
        <v>243</v>
      </c>
    </row>
    <row r="69" spans="1:139" s="217" customFormat="1" x14ac:dyDescent="0.2">
      <c r="B69" s="258" t="s">
        <v>25</v>
      </c>
      <c r="C69" s="209"/>
      <c r="D69" s="308">
        <f t="shared" ca="1" si="97"/>
        <v>-1279514.2954917261</v>
      </c>
      <c r="E69" s="308"/>
      <c r="F69" s="217">
        <v>0</v>
      </c>
      <c r="G69" s="217">
        <f t="shared" ref="G69:AL69" si="102">-CostsofSale*G68</f>
        <v>0</v>
      </c>
      <c r="H69" s="217">
        <f t="shared" si="102"/>
        <v>0</v>
      </c>
      <c r="I69" s="217">
        <f t="shared" si="102"/>
        <v>0</v>
      </c>
      <c r="J69" s="217">
        <f t="shared" si="102"/>
        <v>0</v>
      </c>
      <c r="K69" s="217">
        <f t="shared" si="102"/>
        <v>0</v>
      </c>
      <c r="L69" s="217">
        <f t="shared" si="102"/>
        <v>0</v>
      </c>
      <c r="M69" s="217">
        <f t="shared" si="102"/>
        <v>0</v>
      </c>
      <c r="N69" s="217">
        <f t="shared" si="102"/>
        <v>0</v>
      </c>
      <c r="O69" s="217">
        <f t="shared" si="102"/>
        <v>0</v>
      </c>
      <c r="P69" s="217">
        <f t="shared" si="102"/>
        <v>0</v>
      </c>
      <c r="Q69" s="217">
        <f t="shared" si="102"/>
        <v>0</v>
      </c>
      <c r="R69" s="217">
        <f t="shared" si="102"/>
        <v>0</v>
      </c>
      <c r="S69" s="217">
        <f t="shared" si="102"/>
        <v>0</v>
      </c>
      <c r="T69" s="217">
        <f t="shared" si="102"/>
        <v>0</v>
      </c>
      <c r="U69" s="217">
        <f t="shared" si="102"/>
        <v>0</v>
      </c>
      <c r="V69" s="217">
        <f t="shared" si="102"/>
        <v>0</v>
      </c>
      <c r="W69" s="217">
        <f t="shared" si="102"/>
        <v>0</v>
      </c>
      <c r="X69" s="217">
        <f t="shared" si="102"/>
        <v>0</v>
      </c>
      <c r="Y69" s="217">
        <f t="shared" si="102"/>
        <v>0</v>
      </c>
      <c r="Z69" s="217">
        <f t="shared" si="102"/>
        <v>0</v>
      </c>
      <c r="AA69" s="217">
        <f t="shared" si="102"/>
        <v>0</v>
      </c>
      <c r="AB69" s="217">
        <f t="shared" si="102"/>
        <v>0</v>
      </c>
      <c r="AC69" s="217">
        <f t="shared" si="102"/>
        <v>0</v>
      </c>
      <c r="AD69" s="217">
        <f t="shared" si="102"/>
        <v>0</v>
      </c>
      <c r="AE69" s="217">
        <f t="shared" si="102"/>
        <v>0</v>
      </c>
      <c r="AF69" s="217">
        <f t="shared" si="102"/>
        <v>0</v>
      </c>
      <c r="AG69" s="217">
        <f t="shared" si="102"/>
        <v>0</v>
      </c>
      <c r="AH69" s="217">
        <f t="shared" si="102"/>
        <v>0</v>
      </c>
      <c r="AI69" s="217">
        <f t="shared" si="102"/>
        <v>0</v>
      </c>
      <c r="AJ69" s="217">
        <f t="shared" si="102"/>
        <v>0</v>
      </c>
      <c r="AK69" s="217">
        <f t="shared" si="102"/>
        <v>0</v>
      </c>
      <c r="AL69" s="217">
        <f t="shared" si="102"/>
        <v>0</v>
      </c>
      <c r="AM69" s="217">
        <f t="shared" ref="AM69:BR69" si="103">-CostsofSale*AM68</f>
        <v>0</v>
      </c>
      <c r="AN69" s="217">
        <f t="shared" si="103"/>
        <v>0</v>
      </c>
      <c r="AO69" s="217">
        <f t="shared" si="103"/>
        <v>0</v>
      </c>
      <c r="AP69" s="217">
        <f t="shared" si="103"/>
        <v>0</v>
      </c>
      <c r="AQ69" s="217">
        <f t="shared" si="103"/>
        <v>0</v>
      </c>
      <c r="AR69" s="217">
        <f t="shared" si="103"/>
        <v>0</v>
      </c>
      <c r="AS69" s="217">
        <f t="shared" si="103"/>
        <v>0</v>
      </c>
      <c r="AT69" s="217">
        <f t="shared" si="103"/>
        <v>0</v>
      </c>
      <c r="AU69" s="217">
        <f t="shared" si="103"/>
        <v>0</v>
      </c>
      <c r="AV69" s="217">
        <f t="shared" si="103"/>
        <v>0</v>
      </c>
      <c r="AW69" s="217">
        <f t="shared" si="103"/>
        <v>0</v>
      </c>
      <c r="AX69" s="217">
        <f t="shared" si="103"/>
        <v>0</v>
      </c>
      <c r="AY69" s="217">
        <f t="shared" si="103"/>
        <v>0</v>
      </c>
      <c r="AZ69" s="217">
        <f t="shared" si="103"/>
        <v>0</v>
      </c>
      <c r="BA69" s="217">
        <f t="shared" si="103"/>
        <v>0</v>
      </c>
      <c r="BB69" s="217">
        <f t="shared" si="103"/>
        <v>0</v>
      </c>
      <c r="BC69" s="217">
        <f t="shared" si="103"/>
        <v>0</v>
      </c>
      <c r="BD69" s="217">
        <f t="shared" si="103"/>
        <v>0</v>
      </c>
      <c r="BE69" s="217">
        <f t="shared" si="103"/>
        <v>0</v>
      </c>
      <c r="BF69" s="217">
        <f t="shared" si="103"/>
        <v>0</v>
      </c>
      <c r="BG69" s="217">
        <f t="shared" si="103"/>
        <v>0</v>
      </c>
      <c r="BH69" s="217">
        <f t="shared" si="103"/>
        <v>0</v>
      </c>
      <c r="BI69" s="217">
        <f t="shared" si="103"/>
        <v>0</v>
      </c>
      <c r="BJ69" s="217">
        <f t="shared" si="103"/>
        <v>0</v>
      </c>
      <c r="BK69" s="217">
        <f t="shared" si="103"/>
        <v>0</v>
      </c>
      <c r="BL69" s="217">
        <f t="shared" si="103"/>
        <v>0</v>
      </c>
      <c r="BM69" s="217">
        <f t="shared" si="103"/>
        <v>0</v>
      </c>
      <c r="BN69" s="217">
        <f t="shared" ca="1" si="103"/>
        <v>-1279514.2954917261</v>
      </c>
      <c r="BO69" s="217">
        <f t="shared" si="103"/>
        <v>0</v>
      </c>
      <c r="BP69" s="217">
        <f t="shared" si="103"/>
        <v>0</v>
      </c>
      <c r="BQ69" s="217">
        <f t="shared" si="103"/>
        <v>0</v>
      </c>
      <c r="BR69" s="217">
        <f t="shared" si="103"/>
        <v>0</v>
      </c>
      <c r="BS69" s="217">
        <f t="shared" ref="BS69:CX69" si="104">-CostsofSale*BS68</f>
        <v>0</v>
      </c>
      <c r="BT69" s="217">
        <f t="shared" si="104"/>
        <v>0</v>
      </c>
      <c r="BU69" s="217">
        <f t="shared" si="104"/>
        <v>0</v>
      </c>
      <c r="BV69" s="217">
        <f t="shared" si="104"/>
        <v>0</v>
      </c>
      <c r="BW69" s="217">
        <f t="shared" si="104"/>
        <v>0</v>
      </c>
      <c r="BX69" s="217">
        <f t="shared" si="104"/>
        <v>0</v>
      </c>
      <c r="BY69" s="217">
        <f t="shared" si="104"/>
        <v>0</v>
      </c>
      <c r="BZ69" s="217">
        <f t="shared" si="104"/>
        <v>0</v>
      </c>
      <c r="CA69" s="217">
        <f t="shared" si="104"/>
        <v>0</v>
      </c>
      <c r="CB69" s="217">
        <f t="shared" si="104"/>
        <v>0</v>
      </c>
      <c r="CC69" s="217">
        <f t="shared" si="104"/>
        <v>0</v>
      </c>
      <c r="CD69" s="217">
        <f t="shared" si="104"/>
        <v>0</v>
      </c>
      <c r="CE69" s="217">
        <f t="shared" si="104"/>
        <v>0</v>
      </c>
      <c r="CF69" s="217">
        <f t="shared" si="104"/>
        <v>0</v>
      </c>
      <c r="CG69" s="217">
        <f t="shared" si="104"/>
        <v>0</v>
      </c>
      <c r="CH69" s="217">
        <f t="shared" si="104"/>
        <v>0</v>
      </c>
      <c r="CI69" s="217">
        <f t="shared" si="104"/>
        <v>0</v>
      </c>
      <c r="CJ69" s="217">
        <f t="shared" si="104"/>
        <v>0</v>
      </c>
      <c r="CK69" s="217">
        <f t="shared" si="104"/>
        <v>0</v>
      </c>
      <c r="CL69" s="217">
        <f t="shared" si="104"/>
        <v>0</v>
      </c>
      <c r="CM69" s="217">
        <f t="shared" si="104"/>
        <v>0</v>
      </c>
      <c r="CN69" s="217">
        <f t="shared" si="104"/>
        <v>0</v>
      </c>
      <c r="CO69" s="217">
        <f t="shared" si="104"/>
        <v>0</v>
      </c>
      <c r="CP69" s="217">
        <f t="shared" si="104"/>
        <v>0</v>
      </c>
      <c r="CQ69" s="217">
        <f t="shared" si="104"/>
        <v>0</v>
      </c>
      <c r="CR69" s="217">
        <f t="shared" si="104"/>
        <v>0</v>
      </c>
      <c r="CS69" s="217">
        <f t="shared" si="104"/>
        <v>0</v>
      </c>
      <c r="CT69" s="217">
        <f t="shared" si="104"/>
        <v>0</v>
      </c>
      <c r="CU69" s="217">
        <f t="shared" si="104"/>
        <v>0</v>
      </c>
      <c r="CV69" s="217">
        <f t="shared" si="104"/>
        <v>0</v>
      </c>
      <c r="CW69" s="217">
        <f t="shared" si="104"/>
        <v>0</v>
      </c>
      <c r="CX69" s="217">
        <f t="shared" si="104"/>
        <v>0</v>
      </c>
      <c r="CY69" s="217">
        <f t="shared" ref="CY69:ED69" si="105">-CostsofSale*CY68</f>
        <v>0</v>
      </c>
      <c r="CZ69" s="217">
        <f t="shared" si="105"/>
        <v>0</v>
      </c>
      <c r="DA69" s="217">
        <f t="shared" si="105"/>
        <v>0</v>
      </c>
      <c r="DB69" s="217">
        <f t="shared" si="105"/>
        <v>0</v>
      </c>
      <c r="DC69" s="217">
        <f t="shared" si="105"/>
        <v>0</v>
      </c>
      <c r="DD69" s="217">
        <f t="shared" si="105"/>
        <v>0</v>
      </c>
      <c r="DE69" s="217">
        <f t="shared" si="105"/>
        <v>0</v>
      </c>
      <c r="DF69" s="217">
        <f t="shared" si="105"/>
        <v>0</v>
      </c>
      <c r="DG69" s="217">
        <f t="shared" si="105"/>
        <v>0</v>
      </c>
      <c r="DH69" s="217">
        <f t="shared" si="105"/>
        <v>0</v>
      </c>
      <c r="DI69" s="217">
        <f t="shared" si="105"/>
        <v>0</v>
      </c>
      <c r="DJ69" s="217">
        <f t="shared" si="105"/>
        <v>0</v>
      </c>
      <c r="DK69" s="217">
        <f t="shared" si="105"/>
        <v>0</v>
      </c>
      <c r="DL69" s="217">
        <f t="shared" si="105"/>
        <v>0</v>
      </c>
      <c r="DM69" s="217">
        <f t="shared" si="105"/>
        <v>0</v>
      </c>
      <c r="DN69" s="217">
        <f t="shared" si="105"/>
        <v>0</v>
      </c>
      <c r="DO69" s="217">
        <f t="shared" si="105"/>
        <v>0</v>
      </c>
      <c r="DP69" s="217">
        <f t="shared" si="105"/>
        <v>0</v>
      </c>
      <c r="DQ69" s="217">
        <f t="shared" si="105"/>
        <v>0</v>
      </c>
      <c r="DR69" s="217">
        <f t="shared" si="105"/>
        <v>0</v>
      </c>
      <c r="DS69" s="217">
        <f t="shared" si="105"/>
        <v>0</v>
      </c>
      <c r="DT69" s="217">
        <f t="shared" si="105"/>
        <v>0</v>
      </c>
      <c r="DU69" s="217">
        <f t="shared" si="105"/>
        <v>0</v>
      </c>
      <c r="DV69" s="217">
        <f>-CostsofSale*DV68</f>
        <v>0</v>
      </c>
      <c r="DW69" s="217">
        <f t="shared" si="105"/>
        <v>0</v>
      </c>
      <c r="DX69" s="217">
        <f t="shared" si="105"/>
        <v>0</v>
      </c>
      <c r="DY69" s="217">
        <f t="shared" si="105"/>
        <v>0</v>
      </c>
      <c r="DZ69" s="217">
        <f t="shared" si="105"/>
        <v>0</v>
      </c>
      <c r="EA69" s="217">
        <f t="shared" si="105"/>
        <v>0</v>
      </c>
      <c r="EB69" s="217">
        <f t="shared" si="105"/>
        <v>0</v>
      </c>
      <c r="EC69" s="217">
        <f t="shared" si="105"/>
        <v>0</v>
      </c>
      <c r="ED69" s="217">
        <f t="shared" si="105"/>
        <v>0</v>
      </c>
      <c r="EE69" s="217">
        <f>-CostsofSale*EE68</f>
        <v>0</v>
      </c>
      <c r="EF69" s="217">
        <f>-CostsofSale*EF68</f>
        <v>0</v>
      </c>
      <c r="EG69" s="217">
        <f>-CostsofSale*EG68</f>
        <v>0</v>
      </c>
      <c r="EH69" s="217">
        <f>-CostsofSale*EH68</f>
        <v>0</v>
      </c>
      <c r="EI69" s="158" t="s">
        <v>243</v>
      </c>
    </row>
    <row r="70" spans="1:139" s="217" customFormat="1" x14ac:dyDescent="0.2">
      <c r="B70" s="258" t="s">
        <v>190</v>
      </c>
      <c r="C70" s="209"/>
      <c r="D70" s="308">
        <f t="shared" ca="1" si="97"/>
        <v>0</v>
      </c>
      <c r="E70" s="308"/>
      <c r="F70" s="217">
        <f t="shared" ref="F70:AK70" si="106">F68*-DispositionFee</f>
        <v>0</v>
      </c>
      <c r="G70" s="217">
        <f t="shared" si="106"/>
        <v>0</v>
      </c>
      <c r="H70" s="217">
        <f t="shared" si="106"/>
        <v>0</v>
      </c>
      <c r="I70" s="217">
        <f t="shared" si="106"/>
        <v>0</v>
      </c>
      <c r="J70" s="217">
        <f t="shared" si="106"/>
        <v>0</v>
      </c>
      <c r="K70" s="217">
        <f t="shared" si="106"/>
        <v>0</v>
      </c>
      <c r="L70" s="217">
        <f t="shared" si="106"/>
        <v>0</v>
      </c>
      <c r="M70" s="217">
        <f t="shared" si="106"/>
        <v>0</v>
      </c>
      <c r="N70" s="217">
        <f t="shared" si="106"/>
        <v>0</v>
      </c>
      <c r="O70" s="217">
        <f t="shared" si="106"/>
        <v>0</v>
      </c>
      <c r="P70" s="217">
        <f t="shared" si="106"/>
        <v>0</v>
      </c>
      <c r="Q70" s="217">
        <f t="shared" si="106"/>
        <v>0</v>
      </c>
      <c r="R70" s="217">
        <f t="shared" si="106"/>
        <v>0</v>
      </c>
      <c r="S70" s="217">
        <f t="shared" si="106"/>
        <v>0</v>
      </c>
      <c r="T70" s="217">
        <f t="shared" si="106"/>
        <v>0</v>
      </c>
      <c r="U70" s="217">
        <f t="shared" si="106"/>
        <v>0</v>
      </c>
      <c r="V70" s="217">
        <f t="shared" si="106"/>
        <v>0</v>
      </c>
      <c r="W70" s="217">
        <f t="shared" si="106"/>
        <v>0</v>
      </c>
      <c r="X70" s="217">
        <f t="shared" si="106"/>
        <v>0</v>
      </c>
      <c r="Y70" s="217">
        <f t="shared" si="106"/>
        <v>0</v>
      </c>
      <c r="Z70" s="217">
        <f t="shared" si="106"/>
        <v>0</v>
      </c>
      <c r="AA70" s="217">
        <f t="shared" si="106"/>
        <v>0</v>
      </c>
      <c r="AB70" s="217">
        <f t="shared" si="106"/>
        <v>0</v>
      </c>
      <c r="AC70" s="217">
        <f t="shared" si="106"/>
        <v>0</v>
      </c>
      <c r="AD70" s="217">
        <f t="shared" si="106"/>
        <v>0</v>
      </c>
      <c r="AE70" s="217">
        <f t="shared" si="106"/>
        <v>0</v>
      </c>
      <c r="AF70" s="217">
        <f t="shared" si="106"/>
        <v>0</v>
      </c>
      <c r="AG70" s="217">
        <f t="shared" si="106"/>
        <v>0</v>
      </c>
      <c r="AH70" s="217">
        <f t="shared" si="106"/>
        <v>0</v>
      </c>
      <c r="AI70" s="217">
        <f t="shared" si="106"/>
        <v>0</v>
      </c>
      <c r="AJ70" s="217">
        <f t="shared" si="106"/>
        <v>0</v>
      </c>
      <c r="AK70" s="217">
        <f t="shared" si="106"/>
        <v>0</v>
      </c>
      <c r="AL70" s="217">
        <f t="shared" ref="AL70:BQ70" si="107">AL68*-DispositionFee</f>
        <v>0</v>
      </c>
      <c r="AM70" s="217">
        <f t="shared" si="107"/>
        <v>0</v>
      </c>
      <c r="AN70" s="217">
        <f t="shared" si="107"/>
        <v>0</v>
      </c>
      <c r="AO70" s="217">
        <f t="shared" si="107"/>
        <v>0</v>
      </c>
      <c r="AP70" s="217">
        <f t="shared" si="107"/>
        <v>0</v>
      </c>
      <c r="AQ70" s="217">
        <f t="shared" si="107"/>
        <v>0</v>
      </c>
      <c r="AR70" s="217">
        <f t="shared" si="107"/>
        <v>0</v>
      </c>
      <c r="AS70" s="217">
        <f t="shared" si="107"/>
        <v>0</v>
      </c>
      <c r="AT70" s="217">
        <f t="shared" si="107"/>
        <v>0</v>
      </c>
      <c r="AU70" s="217">
        <f t="shared" si="107"/>
        <v>0</v>
      </c>
      <c r="AV70" s="217">
        <f t="shared" si="107"/>
        <v>0</v>
      </c>
      <c r="AW70" s="217">
        <f t="shared" si="107"/>
        <v>0</v>
      </c>
      <c r="AX70" s="217">
        <f t="shared" si="107"/>
        <v>0</v>
      </c>
      <c r="AY70" s="217">
        <f t="shared" si="107"/>
        <v>0</v>
      </c>
      <c r="AZ70" s="217">
        <f t="shared" si="107"/>
        <v>0</v>
      </c>
      <c r="BA70" s="217">
        <f t="shared" si="107"/>
        <v>0</v>
      </c>
      <c r="BB70" s="217">
        <f t="shared" si="107"/>
        <v>0</v>
      </c>
      <c r="BC70" s="217">
        <f t="shared" si="107"/>
        <v>0</v>
      </c>
      <c r="BD70" s="217">
        <f t="shared" si="107"/>
        <v>0</v>
      </c>
      <c r="BE70" s="217">
        <f t="shared" si="107"/>
        <v>0</v>
      </c>
      <c r="BF70" s="217">
        <f t="shared" si="107"/>
        <v>0</v>
      </c>
      <c r="BG70" s="217">
        <f t="shared" si="107"/>
        <v>0</v>
      </c>
      <c r="BH70" s="217">
        <f t="shared" si="107"/>
        <v>0</v>
      </c>
      <c r="BI70" s="217">
        <f t="shared" si="107"/>
        <v>0</v>
      </c>
      <c r="BJ70" s="217">
        <f t="shared" si="107"/>
        <v>0</v>
      </c>
      <c r="BK70" s="217">
        <f t="shared" si="107"/>
        <v>0</v>
      </c>
      <c r="BL70" s="217">
        <f t="shared" si="107"/>
        <v>0</v>
      </c>
      <c r="BM70" s="217">
        <f t="shared" si="107"/>
        <v>0</v>
      </c>
      <c r="BN70" s="217">
        <f t="shared" ca="1" si="107"/>
        <v>0</v>
      </c>
      <c r="BO70" s="217">
        <f t="shared" si="107"/>
        <v>0</v>
      </c>
      <c r="BP70" s="217">
        <f t="shared" si="107"/>
        <v>0</v>
      </c>
      <c r="BQ70" s="217">
        <f t="shared" si="107"/>
        <v>0</v>
      </c>
      <c r="BR70" s="217">
        <f t="shared" ref="BR70:CW70" si="108">BR68*-DispositionFee</f>
        <v>0</v>
      </c>
      <c r="BS70" s="217">
        <f t="shared" si="108"/>
        <v>0</v>
      </c>
      <c r="BT70" s="217">
        <f t="shared" si="108"/>
        <v>0</v>
      </c>
      <c r="BU70" s="217">
        <f t="shared" si="108"/>
        <v>0</v>
      </c>
      <c r="BV70" s="217">
        <f t="shared" si="108"/>
        <v>0</v>
      </c>
      <c r="BW70" s="217">
        <f t="shared" si="108"/>
        <v>0</v>
      </c>
      <c r="BX70" s="217">
        <f t="shared" si="108"/>
        <v>0</v>
      </c>
      <c r="BY70" s="217">
        <f t="shared" si="108"/>
        <v>0</v>
      </c>
      <c r="BZ70" s="217">
        <f t="shared" si="108"/>
        <v>0</v>
      </c>
      <c r="CA70" s="217">
        <f t="shared" si="108"/>
        <v>0</v>
      </c>
      <c r="CB70" s="217">
        <f t="shared" si="108"/>
        <v>0</v>
      </c>
      <c r="CC70" s="217">
        <f t="shared" si="108"/>
        <v>0</v>
      </c>
      <c r="CD70" s="217">
        <f t="shared" si="108"/>
        <v>0</v>
      </c>
      <c r="CE70" s="217">
        <f t="shared" si="108"/>
        <v>0</v>
      </c>
      <c r="CF70" s="217">
        <f t="shared" si="108"/>
        <v>0</v>
      </c>
      <c r="CG70" s="217">
        <f t="shared" si="108"/>
        <v>0</v>
      </c>
      <c r="CH70" s="217">
        <f t="shared" si="108"/>
        <v>0</v>
      </c>
      <c r="CI70" s="217">
        <f t="shared" si="108"/>
        <v>0</v>
      </c>
      <c r="CJ70" s="217">
        <f t="shared" si="108"/>
        <v>0</v>
      </c>
      <c r="CK70" s="217">
        <f t="shared" si="108"/>
        <v>0</v>
      </c>
      <c r="CL70" s="217">
        <f t="shared" si="108"/>
        <v>0</v>
      </c>
      <c r="CM70" s="217">
        <f t="shared" si="108"/>
        <v>0</v>
      </c>
      <c r="CN70" s="217">
        <f t="shared" si="108"/>
        <v>0</v>
      </c>
      <c r="CO70" s="217">
        <f t="shared" si="108"/>
        <v>0</v>
      </c>
      <c r="CP70" s="217">
        <f t="shared" si="108"/>
        <v>0</v>
      </c>
      <c r="CQ70" s="217">
        <f t="shared" si="108"/>
        <v>0</v>
      </c>
      <c r="CR70" s="217">
        <f t="shared" si="108"/>
        <v>0</v>
      </c>
      <c r="CS70" s="217">
        <f t="shared" si="108"/>
        <v>0</v>
      </c>
      <c r="CT70" s="217">
        <f t="shared" si="108"/>
        <v>0</v>
      </c>
      <c r="CU70" s="217">
        <f t="shared" si="108"/>
        <v>0</v>
      </c>
      <c r="CV70" s="217">
        <f t="shared" si="108"/>
        <v>0</v>
      </c>
      <c r="CW70" s="217">
        <f t="shared" si="108"/>
        <v>0</v>
      </c>
      <c r="CX70" s="217">
        <f t="shared" ref="CX70:EH70" si="109">CX68*-DispositionFee</f>
        <v>0</v>
      </c>
      <c r="CY70" s="217">
        <f t="shared" si="109"/>
        <v>0</v>
      </c>
      <c r="CZ70" s="217">
        <f t="shared" si="109"/>
        <v>0</v>
      </c>
      <c r="DA70" s="217">
        <f t="shared" si="109"/>
        <v>0</v>
      </c>
      <c r="DB70" s="217">
        <f t="shared" si="109"/>
        <v>0</v>
      </c>
      <c r="DC70" s="217">
        <f t="shared" si="109"/>
        <v>0</v>
      </c>
      <c r="DD70" s="217">
        <f t="shared" si="109"/>
        <v>0</v>
      </c>
      <c r="DE70" s="217">
        <f t="shared" si="109"/>
        <v>0</v>
      </c>
      <c r="DF70" s="217">
        <f t="shared" si="109"/>
        <v>0</v>
      </c>
      <c r="DG70" s="217">
        <f t="shared" si="109"/>
        <v>0</v>
      </c>
      <c r="DH70" s="217">
        <f t="shared" si="109"/>
        <v>0</v>
      </c>
      <c r="DI70" s="217">
        <f t="shared" si="109"/>
        <v>0</v>
      </c>
      <c r="DJ70" s="217">
        <f t="shared" si="109"/>
        <v>0</v>
      </c>
      <c r="DK70" s="217">
        <f t="shared" si="109"/>
        <v>0</v>
      </c>
      <c r="DL70" s="217">
        <f t="shared" si="109"/>
        <v>0</v>
      </c>
      <c r="DM70" s="217">
        <f t="shared" si="109"/>
        <v>0</v>
      </c>
      <c r="DN70" s="217">
        <f t="shared" si="109"/>
        <v>0</v>
      </c>
      <c r="DO70" s="217">
        <f t="shared" si="109"/>
        <v>0</v>
      </c>
      <c r="DP70" s="217">
        <f t="shared" si="109"/>
        <v>0</v>
      </c>
      <c r="DQ70" s="217">
        <f t="shared" si="109"/>
        <v>0</v>
      </c>
      <c r="DR70" s="217">
        <f t="shared" si="109"/>
        <v>0</v>
      </c>
      <c r="DS70" s="217">
        <f t="shared" si="109"/>
        <v>0</v>
      </c>
      <c r="DT70" s="217">
        <f t="shared" si="109"/>
        <v>0</v>
      </c>
      <c r="DU70" s="217">
        <f t="shared" si="109"/>
        <v>0</v>
      </c>
      <c r="DV70" s="217">
        <f t="shared" si="109"/>
        <v>0</v>
      </c>
      <c r="DW70" s="217">
        <f t="shared" si="109"/>
        <v>0</v>
      </c>
      <c r="DX70" s="217">
        <f t="shared" si="109"/>
        <v>0</v>
      </c>
      <c r="DY70" s="217">
        <f t="shared" si="109"/>
        <v>0</v>
      </c>
      <c r="DZ70" s="217">
        <f t="shared" si="109"/>
        <v>0</v>
      </c>
      <c r="EA70" s="217">
        <f t="shared" si="109"/>
        <v>0</v>
      </c>
      <c r="EB70" s="217">
        <f t="shared" si="109"/>
        <v>0</v>
      </c>
      <c r="EC70" s="217">
        <f t="shared" si="109"/>
        <v>0</v>
      </c>
      <c r="ED70" s="217">
        <f t="shared" si="109"/>
        <v>0</v>
      </c>
      <c r="EE70" s="217">
        <f t="shared" si="109"/>
        <v>0</v>
      </c>
      <c r="EF70" s="217">
        <f t="shared" si="109"/>
        <v>0</v>
      </c>
      <c r="EG70" s="217">
        <f t="shared" si="109"/>
        <v>0</v>
      </c>
      <c r="EH70" s="217">
        <f t="shared" si="109"/>
        <v>0</v>
      </c>
      <c r="EI70" s="158" t="s">
        <v>243</v>
      </c>
    </row>
    <row r="71" spans="1:139" s="282" customFormat="1" ht="15" thickBot="1" x14ac:dyDescent="0.25">
      <c r="B71" s="218" t="s">
        <v>701</v>
      </c>
      <c r="C71" s="284"/>
      <c r="D71" s="319">
        <f t="shared" ca="1" si="97"/>
        <v>49193638.407630071</v>
      </c>
      <c r="E71" s="319"/>
      <c r="F71" s="219">
        <f t="shared" ref="F71:AK71" si="110">IF(F4&gt;HoldPeriod,0,SUM(F56,F63,F66:F70))</f>
        <v>-50860900</v>
      </c>
      <c r="G71" s="219">
        <f t="shared" ca="1" si="110"/>
        <v>212969.08600094871</v>
      </c>
      <c r="H71" s="219">
        <f t="shared" ca="1" si="110"/>
        <v>136584.41313941035</v>
      </c>
      <c r="I71" s="219">
        <f t="shared" ca="1" si="110"/>
        <v>138402.4596221557</v>
      </c>
      <c r="J71" s="219">
        <f t="shared" ca="1" si="110"/>
        <v>140218.09849440021</v>
      </c>
      <c r="K71" s="219">
        <f t="shared" ca="1" si="110"/>
        <v>142031.32975593515</v>
      </c>
      <c r="L71" s="219">
        <f t="shared" ca="1" si="110"/>
        <v>193842.15215669514</v>
      </c>
      <c r="M71" s="219">
        <f t="shared" ca="1" si="110"/>
        <v>195650.5666968298</v>
      </c>
      <c r="N71" s="219">
        <f t="shared" ca="1" si="110"/>
        <v>197456.57312628446</v>
      </c>
      <c r="O71" s="219">
        <f t="shared" ca="1" si="110"/>
        <v>199260.17144505907</v>
      </c>
      <c r="P71" s="219">
        <f t="shared" ca="1" si="110"/>
        <v>201061.36165315361</v>
      </c>
      <c r="Q71" s="219">
        <f t="shared" ca="1" si="110"/>
        <v>202860.14375056804</v>
      </c>
      <c r="R71" s="219">
        <f t="shared" ca="1" si="110"/>
        <v>204656.51773730235</v>
      </c>
      <c r="S71" s="219">
        <f t="shared" ca="1" si="110"/>
        <v>218986.83933971208</v>
      </c>
      <c r="T71" s="219">
        <f t="shared" ca="1" si="110"/>
        <v>204448.80608565159</v>
      </c>
      <c r="U71" s="219">
        <f t="shared" ca="1" si="110"/>
        <v>206829.33179676274</v>
      </c>
      <c r="V71" s="219">
        <f t="shared" ca="1" si="110"/>
        <v>209205.33954996851</v>
      </c>
      <c r="W71" s="219">
        <f t="shared" ca="1" si="110"/>
        <v>211576.82934526904</v>
      </c>
      <c r="X71" s="219">
        <f t="shared" ca="1" si="110"/>
        <v>213943.80118266409</v>
      </c>
      <c r="Y71" s="219">
        <f t="shared" ca="1" si="110"/>
        <v>216306.25506215388</v>
      </c>
      <c r="Z71" s="219">
        <f t="shared" ca="1" si="110"/>
        <v>218664.19098373831</v>
      </c>
      <c r="AA71" s="219">
        <f t="shared" ca="1" si="110"/>
        <v>226360.36294363133</v>
      </c>
      <c r="AB71" s="219">
        <f t="shared" ca="1" si="110"/>
        <v>228411.55604933164</v>
      </c>
      <c r="AC71" s="219">
        <f t="shared" ca="1" si="110"/>
        <v>230458.79594186469</v>
      </c>
      <c r="AD71" s="219">
        <f t="shared" ca="1" si="110"/>
        <v>232502.0826212306</v>
      </c>
      <c r="AE71" s="219">
        <f t="shared" ca="1" si="110"/>
        <v>254748.70832984181</v>
      </c>
      <c r="AF71" s="219">
        <f t="shared" ca="1" si="110"/>
        <v>256957.53713687792</v>
      </c>
      <c r="AG71" s="219">
        <f t="shared" ca="1" si="110"/>
        <v>259166.36594391408</v>
      </c>
      <c r="AH71" s="219">
        <f t="shared" ca="1" si="110"/>
        <v>272026.15208813397</v>
      </c>
      <c r="AI71" s="219">
        <f t="shared" ca="1" si="110"/>
        <v>273603.88695030264</v>
      </c>
      <c r="AJ71" s="219">
        <f t="shared" ca="1" si="110"/>
        <v>275181.62181247125</v>
      </c>
      <c r="AK71" s="219">
        <f t="shared" ca="1" si="110"/>
        <v>276759.35667463986</v>
      </c>
      <c r="AL71" s="219">
        <f t="shared" ref="AL71:BQ71" ca="1" si="111">IF(AL4&gt;HoldPeriod,0,SUM(AL56,AL63,AL66:AL70))</f>
        <v>278337.09153680864</v>
      </c>
      <c r="AM71" s="219">
        <f t="shared" ca="1" si="111"/>
        <v>279914.82639897725</v>
      </c>
      <c r="AN71" s="219">
        <f t="shared" ca="1" si="111"/>
        <v>308119.95460410544</v>
      </c>
      <c r="AO71" s="219">
        <f t="shared" ca="1" si="111"/>
        <v>308119.95460410544</v>
      </c>
      <c r="AP71" s="219">
        <f t="shared" ca="1" si="111"/>
        <v>308119.95460410544</v>
      </c>
      <c r="AQ71" s="219">
        <f t="shared" ca="1" si="111"/>
        <v>321938.2475351207</v>
      </c>
      <c r="AR71" s="219">
        <f t="shared" ca="1" si="111"/>
        <v>321938.2475351207</v>
      </c>
      <c r="AS71" s="219">
        <f t="shared" ca="1" si="111"/>
        <v>321938.2475351207</v>
      </c>
      <c r="AT71" s="219">
        <f t="shared" ca="1" si="111"/>
        <v>321938.2475351207</v>
      </c>
      <c r="AU71" s="219">
        <f t="shared" ca="1" si="111"/>
        <v>321938.2475351207</v>
      </c>
      <c r="AV71" s="219">
        <f t="shared" ca="1" si="111"/>
        <v>321938.2475351207</v>
      </c>
      <c r="AW71" s="219">
        <f t="shared" ca="1" si="111"/>
        <v>321938.2475351207</v>
      </c>
      <c r="AX71" s="219">
        <f t="shared" ca="1" si="111"/>
        <v>321938.2475351207</v>
      </c>
      <c r="AY71" s="219">
        <f t="shared" ca="1" si="111"/>
        <v>321938.2475351207</v>
      </c>
      <c r="AZ71" s="219">
        <f t="shared" ca="1" si="111"/>
        <v>321938.2475351207</v>
      </c>
      <c r="BA71" s="219">
        <f t="shared" ca="1" si="111"/>
        <v>321938.2475351207</v>
      </c>
      <c r="BB71" s="219">
        <f t="shared" ca="1" si="111"/>
        <v>321938.2475351207</v>
      </c>
      <c r="BC71" s="219">
        <f t="shared" ca="1" si="111"/>
        <v>336341.51872946223</v>
      </c>
      <c r="BD71" s="219">
        <f t="shared" ca="1" si="111"/>
        <v>336341.51872946223</v>
      </c>
      <c r="BE71" s="219">
        <f t="shared" ca="1" si="111"/>
        <v>336341.51872946223</v>
      </c>
      <c r="BF71" s="219">
        <f t="shared" ca="1" si="111"/>
        <v>336341.51872946223</v>
      </c>
      <c r="BG71" s="219">
        <f t="shared" ca="1" si="111"/>
        <v>336341.51872946223</v>
      </c>
      <c r="BH71" s="219">
        <f t="shared" ca="1" si="111"/>
        <v>336341.51872946223</v>
      </c>
      <c r="BI71" s="219">
        <f t="shared" ca="1" si="111"/>
        <v>336341.51872946223</v>
      </c>
      <c r="BJ71" s="219">
        <f t="shared" ca="1" si="111"/>
        <v>336341.51872946223</v>
      </c>
      <c r="BK71" s="219">
        <f t="shared" ca="1" si="111"/>
        <v>336341.51872946223</v>
      </c>
      <c r="BL71" s="219">
        <f t="shared" ca="1" si="111"/>
        <v>336341.51872946223</v>
      </c>
      <c r="BM71" s="219">
        <f t="shared" ca="1" si="111"/>
        <v>336341.51872946223</v>
      </c>
      <c r="BN71" s="219">
        <f t="shared" ca="1" si="111"/>
        <v>84357780.256019488</v>
      </c>
      <c r="BO71" s="219">
        <f t="shared" si="111"/>
        <v>0</v>
      </c>
      <c r="BP71" s="219">
        <f t="shared" si="111"/>
        <v>0</v>
      </c>
      <c r="BQ71" s="219">
        <f t="shared" si="111"/>
        <v>0</v>
      </c>
      <c r="BR71" s="219">
        <f t="shared" ref="BR71:CW71" si="112">IF(BR4&gt;HoldPeriod,0,SUM(BR56,BR63,BR66:BR70))</f>
        <v>0</v>
      </c>
      <c r="BS71" s="219">
        <f t="shared" si="112"/>
        <v>0</v>
      </c>
      <c r="BT71" s="219">
        <f t="shared" si="112"/>
        <v>0</v>
      </c>
      <c r="BU71" s="219">
        <f t="shared" si="112"/>
        <v>0</v>
      </c>
      <c r="BV71" s="219">
        <f t="shared" si="112"/>
        <v>0</v>
      </c>
      <c r="BW71" s="219">
        <f t="shared" si="112"/>
        <v>0</v>
      </c>
      <c r="BX71" s="219">
        <f t="shared" si="112"/>
        <v>0</v>
      </c>
      <c r="BY71" s="219">
        <f t="shared" si="112"/>
        <v>0</v>
      </c>
      <c r="BZ71" s="219">
        <f t="shared" si="112"/>
        <v>0</v>
      </c>
      <c r="CA71" s="219">
        <f t="shared" si="112"/>
        <v>0</v>
      </c>
      <c r="CB71" s="219">
        <f t="shared" si="112"/>
        <v>0</v>
      </c>
      <c r="CC71" s="219">
        <f t="shared" si="112"/>
        <v>0</v>
      </c>
      <c r="CD71" s="219">
        <f t="shared" si="112"/>
        <v>0</v>
      </c>
      <c r="CE71" s="219">
        <f t="shared" si="112"/>
        <v>0</v>
      </c>
      <c r="CF71" s="219">
        <f t="shared" si="112"/>
        <v>0</v>
      </c>
      <c r="CG71" s="219">
        <f t="shared" si="112"/>
        <v>0</v>
      </c>
      <c r="CH71" s="219">
        <f t="shared" si="112"/>
        <v>0</v>
      </c>
      <c r="CI71" s="219">
        <f t="shared" si="112"/>
        <v>0</v>
      </c>
      <c r="CJ71" s="219">
        <f t="shared" si="112"/>
        <v>0</v>
      </c>
      <c r="CK71" s="219">
        <f t="shared" si="112"/>
        <v>0</v>
      </c>
      <c r="CL71" s="219">
        <f t="shared" si="112"/>
        <v>0</v>
      </c>
      <c r="CM71" s="219">
        <f t="shared" si="112"/>
        <v>0</v>
      </c>
      <c r="CN71" s="219">
        <f t="shared" si="112"/>
        <v>0</v>
      </c>
      <c r="CO71" s="219">
        <f t="shared" si="112"/>
        <v>0</v>
      </c>
      <c r="CP71" s="219">
        <f t="shared" si="112"/>
        <v>0</v>
      </c>
      <c r="CQ71" s="219">
        <f t="shared" si="112"/>
        <v>0</v>
      </c>
      <c r="CR71" s="219">
        <f t="shared" si="112"/>
        <v>0</v>
      </c>
      <c r="CS71" s="219">
        <f t="shared" si="112"/>
        <v>0</v>
      </c>
      <c r="CT71" s="219">
        <f t="shared" si="112"/>
        <v>0</v>
      </c>
      <c r="CU71" s="219">
        <f t="shared" si="112"/>
        <v>0</v>
      </c>
      <c r="CV71" s="219">
        <f t="shared" si="112"/>
        <v>0</v>
      </c>
      <c r="CW71" s="219">
        <f t="shared" si="112"/>
        <v>0</v>
      </c>
      <c r="CX71" s="219">
        <f t="shared" ref="CX71:EC71" si="113">IF(CX4&gt;HoldPeriod,0,SUM(CX56,CX63,CX66:CX70))</f>
        <v>0</v>
      </c>
      <c r="CY71" s="219">
        <f t="shared" si="113"/>
        <v>0</v>
      </c>
      <c r="CZ71" s="219">
        <f t="shared" si="113"/>
        <v>0</v>
      </c>
      <c r="DA71" s="219">
        <f t="shared" si="113"/>
        <v>0</v>
      </c>
      <c r="DB71" s="219">
        <f t="shared" si="113"/>
        <v>0</v>
      </c>
      <c r="DC71" s="219">
        <f t="shared" si="113"/>
        <v>0</v>
      </c>
      <c r="DD71" s="219">
        <f t="shared" si="113"/>
        <v>0</v>
      </c>
      <c r="DE71" s="219">
        <f t="shared" si="113"/>
        <v>0</v>
      </c>
      <c r="DF71" s="219">
        <f t="shared" si="113"/>
        <v>0</v>
      </c>
      <c r="DG71" s="219">
        <f t="shared" si="113"/>
        <v>0</v>
      </c>
      <c r="DH71" s="219">
        <f t="shared" si="113"/>
        <v>0</v>
      </c>
      <c r="DI71" s="219">
        <f t="shared" si="113"/>
        <v>0</v>
      </c>
      <c r="DJ71" s="219">
        <f t="shared" si="113"/>
        <v>0</v>
      </c>
      <c r="DK71" s="219">
        <f t="shared" si="113"/>
        <v>0</v>
      </c>
      <c r="DL71" s="219">
        <f t="shared" si="113"/>
        <v>0</v>
      </c>
      <c r="DM71" s="219">
        <f t="shared" si="113"/>
        <v>0</v>
      </c>
      <c r="DN71" s="219">
        <f t="shared" si="113"/>
        <v>0</v>
      </c>
      <c r="DO71" s="219">
        <f t="shared" si="113"/>
        <v>0</v>
      </c>
      <c r="DP71" s="219">
        <f t="shared" si="113"/>
        <v>0</v>
      </c>
      <c r="DQ71" s="219">
        <f t="shared" si="113"/>
        <v>0</v>
      </c>
      <c r="DR71" s="219">
        <f t="shared" si="113"/>
        <v>0</v>
      </c>
      <c r="DS71" s="219">
        <f t="shared" si="113"/>
        <v>0</v>
      </c>
      <c r="DT71" s="219">
        <f t="shared" si="113"/>
        <v>0</v>
      </c>
      <c r="DU71" s="219">
        <f t="shared" si="113"/>
        <v>0</v>
      </c>
      <c r="DV71" s="219">
        <f t="shared" si="113"/>
        <v>0</v>
      </c>
      <c r="DW71" s="219">
        <f t="shared" si="113"/>
        <v>0</v>
      </c>
      <c r="DX71" s="219">
        <f t="shared" si="113"/>
        <v>0</v>
      </c>
      <c r="DY71" s="219">
        <f t="shared" si="113"/>
        <v>0</v>
      </c>
      <c r="DZ71" s="219">
        <f t="shared" si="113"/>
        <v>0</v>
      </c>
      <c r="EA71" s="219">
        <f t="shared" si="113"/>
        <v>0</v>
      </c>
      <c r="EB71" s="219">
        <f t="shared" si="113"/>
        <v>0</v>
      </c>
      <c r="EC71" s="219">
        <f t="shared" si="113"/>
        <v>0</v>
      </c>
      <c r="ED71" s="219">
        <f t="shared" ref="ED71:EH71" si="114">IF(ED4&gt;HoldPeriod,0,SUM(ED56,ED63,ED66:ED70))</f>
        <v>0</v>
      </c>
      <c r="EE71" s="219">
        <f t="shared" si="114"/>
        <v>0</v>
      </c>
      <c r="EF71" s="219">
        <f t="shared" si="114"/>
        <v>0</v>
      </c>
      <c r="EG71" s="219">
        <f t="shared" si="114"/>
        <v>0</v>
      </c>
      <c r="EH71" s="219">
        <f t="shared" si="114"/>
        <v>0</v>
      </c>
      <c r="EI71" s="316" t="s">
        <v>243</v>
      </c>
    </row>
    <row r="72" spans="1:139" s="312" customFormat="1" x14ac:dyDescent="0.2">
      <c r="A72" s="282"/>
      <c r="B72" s="285" t="s">
        <v>782</v>
      </c>
      <c r="C72" s="275">
        <f ca="1">-SUMIF(F71:EH71,"&lt;0")</f>
        <v>50860900</v>
      </c>
      <c r="BO72" s="282"/>
      <c r="BP72" s="282"/>
      <c r="BQ72" s="282"/>
      <c r="BR72" s="282"/>
      <c r="BS72" s="282"/>
      <c r="BT72" s="282"/>
      <c r="BU72" s="282"/>
      <c r="BV72" s="282"/>
      <c r="BW72" s="282"/>
      <c r="BX72" s="282"/>
      <c r="BY72" s="282"/>
      <c r="BZ72" s="282"/>
      <c r="CA72" s="282"/>
      <c r="CB72" s="282"/>
      <c r="CC72" s="282"/>
      <c r="CD72" s="282"/>
      <c r="CE72" s="282"/>
      <c r="CF72" s="282"/>
      <c r="CG72" s="282"/>
      <c r="CH72" s="282"/>
      <c r="CI72" s="282"/>
      <c r="CJ72" s="282"/>
      <c r="CK72" s="282"/>
      <c r="CL72" s="282"/>
      <c r="CM72" s="282"/>
      <c r="CN72" s="282"/>
      <c r="CO72" s="282"/>
      <c r="CP72" s="282"/>
      <c r="CQ72" s="282"/>
      <c r="CR72" s="282"/>
      <c r="CS72" s="282"/>
      <c r="CT72" s="282"/>
      <c r="CU72" s="282"/>
      <c r="CV72" s="282"/>
      <c r="CW72" s="282"/>
      <c r="CX72" s="282"/>
      <c r="CY72" s="282"/>
      <c r="CZ72" s="282"/>
      <c r="DA72" s="282"/>
      <c r="DB72" s="282"/>
      <c r="DC72" s="282"/>
      <c r="DD72" s="282"/>
      <c r="DE72" s="282"/>
      <c r="DF72" s="282"/>
      <c r="DG72" s="282"/>
      <c r="DH72" s="282"/>
      <c r="DI72" s="282"/>
      <c r="DJ72" s="282"/>
      <c r="DK72" s="282"/>
      <c r="DL72" s="282"/>
      <c r="DM72" s="282"/>
      <c r="DN72" s="282"/>
      <c r="DO72" s="282"/>
      <c r="DP72" s="282"/>
      <c r="DQ72" s="282"/>
      <c r="DR72" s="282"/>
      <c r="DS72" s="282"/>
      <c r="DT72" s="282"/>
      <c r="DU72" s="282"/>
      <c r="DV72" s="282"/>
      <c r="DW72" s="282"/>
      <c r="DX72" s="282"/>
      <c r="DY72" s="282"/>
      <c r="DZ72" s="282"/>
      <c r="EA72" s="282"/>
      <c r="EB72" s="282"/>
      <c r="EC72" s="282"/>
      <c r="ED72" s="282"/>
      <c r="EE72" s="282"/>
      <c r="EF72" s="282"/>
      <c r="EG72" s="282"/>
      <c r="EH72" s="282"/>
      <c r="EI72" s="158" t="s">
        <v>243</v>
      </c>
    </row>
    <row r="73" spans="1:139" s="312" customFormat="1" x14ac:dyDescent="0.2">
      <c r="A73" s="282"/>
      <c r="B73" s="276" t="s">
        <v>702</v>
      </c>
      <c r="C73" s="277">
        <f ca="1">SUM(F71:EH71)</f>
        <v>49193638.407630071</v>
      </c>
      <c r="G73" s="282"/>
      <c r="H73" s="282"/>
      <c r="I73" s="282"/>
      <c r="J73" s="282"/>
      <c r="K73" s="282"/>
      <c r="L73" s="282"/>
      <c r="M73" s="282"/>
      <c r="N73" s="282"/>
      <c r="O73" s="282"/>
      <c r="P73" s="282"/>
      <c r="Q73" s="282"/>
      <c r="R73" s="282"/>
      <c r="S73" s="282"/>
      <c r="T73" s="282"/>
      <c r="U73" s="282"/>
      <c r="V73" s="282"/>
      <c r="W73" s="282"/>
      <c r="X73" s="282"/>
      <c r="Y73" s="282"/>
      <c r="Z73" s="282"/>
      <c r="AA73" s="282"/>
      <c r="AB73" s="282"/>
      <c r="AC73" s="282"/>
      <c r="AD73" s="282"/>
      <c r="AE73" s="282"/>
      <c r="AF73" s="282"/>
      <c r="AG73" s="282"/>
      <c r="AH73" s="282"/>
      <c r="AI73" s="282"/>
      <c r="AJ73" s="282"/>
      <c r="AK73" s="282"/>
      <c r="AL73" s="282"/>
      <c r="AM73" s="282"/>
      <c r="AN73" s="282"/>
      <c r="AO73" s="282"/>
      <c r="AP73" s="282"/>
      <c r="AQ73" s="282"/>
      <c r="AR73" s="282"/>
      <c r="AS73" s="282"/>
      <c r="AT73" s="282"/>
      <c r="AU73" s="282"/>
      <c r="AV73" s="282"/>
      <c r="AW73" s="282"/>
      <c r="AX73" s="282"/>
      <c r="AY73" s="282"/>
      <c r="AZ73" s="282"/>
      <c r="BA73" s="282"/>
      <c r="BB73" s="282"/>
      <c r="BC73" s="282"/>
      <c r="BD73" s="282"/>
      <c r="BE73" s="282"/>
      <c r="BF73" s="282"/>
      <c r="BG73" s="282"/>
      <c r="BH73" s="282"/>
      <c r="BI73" s="282"/>
      <c r="BJ73" s="282"/>
      <c r="BK73" s="282"/>
      <c r="BL73" s="282"/>
      <c r="BM73" s="282"/>
      <c r="BN73" s="282"/>
      <c r="BO73" s="282"/>
      <c r="BP73" s="282"/>
      <c r="BQ73" s="282"/>
      <c r="BR73" s="282"/>
      <c r="BS73" s="282"/>
      <c r="BT73" s="282"/>
      <c r="BU73" s="282"/>
      <c r="BV73" s="282"/>
      <c r="BW73" s="282"/>
      <c r="BX73" s="282"/>
      <c r="BY73" s="282"/>
      <c r="BZ73" s="282"/>
      <c r="CA73" s="282"/>
      <c r="CB73" s="282"/>
      <c r="CC73" s="282"/>
      <c r="CD73" s="282"/>
      <c r="CE73" s="282"/>
      <c r="CF73" s="282"/>
      <c r="CG73" s="282"/>
      <c r="CH73" s="282"/>
      <c r="CI73" s="282"/>
      <c r="CJ73" s="282"/>
      <c r="CK73" s="282"/>
      <c r="CL73" s="282"/>
      <c r="CM73" s="282"/>
      <c r="CN73" s="282"/>
      <c r="CO73" s="282"/>
      <c r="CP73" s="282"/>
      <c r="CQ73" s="282"/>
      <c r="CR73" s="282"/>
      <c r="CS73" s="282"/>
      <c r="CT73" s="282"/>
      <c r="CU73" s="282"/>
      <c r="CV73" s="282"/>
      <c r="CW73" s="282"/>
      <c r="CX73" s="282"/>
      <c r="CY73" s="282"/>
      <c r="CZ73" s="282"/>
      <c r="DA73" s="282"/>
      <c r="DB73" s="282"/>
      <c r="DC73" s="282"/>
      <c r="DD73" s="282"/>
      <c r="DE73" s="282"/>
      <c r="DF73" s="282"/>
      <c r="DG73" s="282"/>
      <c r="DH73" s="282"/>
      <c r="DI73" s="282"/>
      <c r="DJ73" s="282"/>
      <c r="DK73" s="282"/>
      <c r="DL73" s="282"/>
      <c r="DM73" s="282"/>
      <c r="DN73" s="282"/>
      <c r="DO73" s="282"/>
      <c r="DP73" s="282"/>
      <c r="DQ73" s="282"/>
      <c r="DR73" s="282"/>
      <c r="DS73" s="282"/>
      <c r="DT73" s="282"/>
      <c r="DU73" s="282"/>
      <c r="DV73" s="282"/>
      <c r="DW73" s="282"/>
      <c r="DX73" s="282"/>
      <c r="DY73" s="282"/>
      <c r="DZ73" s="282"/>
      <c r="EA73" s="282"/>
      <c r="EB73" s="282"/>
      <c r="EC73" s="282"/>
      <c r="ED73" s="282"/>
      <c r="EE73" s="282"/>
      <c r="EF73" s="282"/>
      <c r="EG73" s="282"/>
      <c r="EH73" s="282"/>
      <c r="EI73" s="158" t="s">
        <v>243</v>
      </c>
    </row>
    <row r="74" spans="1:139" s="312" customFormat="1" x14ac:dyDescent="0.2">
      <c r="A74" s="282"/>
      <c r="B74" s="276" t="s">
        <v>120</v>
      </c>
      <c r="C74" s="320">
        <f ca="1">XIRR(F71:EH71,F6:EH6)</f>
        <v>0.15917506814002999</v>
      </c>
      <c r="G74" s="282"/>
      <c r="H74" s="282"/>
      <c r="I74" s="282"/>
      <c r="J74" s="282"/>
      <c r="K74" s="282"/>
      <c r="L74" s="282"/>
      <c r="M74" s="282"/>
      <c r="N74" s="282"/>
      <c r="O74" s="282"/>
      <c r="P74" s="282"/>
      <c r="Q74" s="282"/>
      <c r="R74" s="282"/>
      <c r="S74" s="282"/>
      <c r="T74" s="282"/>
      <c r="U74" s="282"/>
      <c r="V74" s="282"/>
      <c r="W74" s="282"/>
      <c r="X74" s="282"/>
      <c r="Y74" s="282"/>
      <c r="Z74" s="282"/>
      <c r="AA74" s="282"/>
      <c r="AB74" s="282"/>
      <c r="AC74" s="282"/>
      <c r="AD74" s="282"/>
      <c r="AE74" s="282"/>
      <c r="AF74" s="282"/>
      <c r="AG74" s="282"/>
      <c r="AH74" s="282"/>
      <c r="AI74" s="282"/>
      <c r="AJ74" s="282"/>
      <c r="AK74" s="282"/>
      <c r="AL74" s="282"/>
      <c r="AM74" s="282"/>
      <c r="AN74" s="282"/>
      <c r="AO74" s="282"/>
      <c r="AP74" s="282"/>
      <c r="AQ74" s="282"/>
      <c r="AR74" s="282"/>
      <c r="AS74" s="282"/>
      <c r="AT74" s="282"/>
      <c r="AU74" s="282"/>
      <c r="AV74" s="282"/>
      <c r="AW74" s="282"/>
      <c r="AX74" s="282"/>
      <c r="AY74" s="282"/>
      <c r="AZ74" s="282"/>
      <c r="BA74" s="282"/>
      <c r="BB74" s="282"/>
      <c r="BC74" s="282"/>
      <c r="BD74" s="282"/>
      <c r="BE74" s="282"/>
      <c r="BF74" s="282"/>
      <c r="BG74" s="282"/>
      <c r="BH74" s="282"/>
      <c r="BI74" s="282"/>
      <c r="BJ74" s="282"/>
      <c r="BK74" s="282"/>
      <c r="BL74" s="282"/>
      <c r="BM74" s="282"/>
      <c r="BN74" s="282"/>
      <c r="BO74" s="282"/>
      <c r="BP74" s="282"/>
      <c r="BQ74" s="282"/>
      <c r="BR74" s="282"/>
      <c r="BS74" s="282"/>
      <c r="BT74" s="282"/>
      <c r="BU74" s="282"/>
      <c r="BV74" s="282"/>
      <c r="BW74" s="282"/>
      <c r="BX74" s="282"/>
      <c r="BY74" s="282"/>
      <c r="BZ74" s="282"/>
      <c r="CA74" s="282"/>
      <c r="CB74" s="282"/>
      <c r="CC74" s="282"/>
      <c r="CD74" s="282"/>
      <c r="CE74" s="282"/>
      <c r="CF74" s="282"/>
      <c r="CG74" s="282"/>
      <c r="CH74" s="282"/>
      <c r="CI74" s="282"/>
      <c r="CJ74" s="282"/>
      <c r="CK74" s="282"/>
      <c r="CL74" s="282"/>
      <c r="CM74" s="282"/>
      <c r="CN74" s="282"/>
      <c r="CO74" s="282"/>
      <c r="CP74" s="282"/>
      <c r="CQ74" s="282"/>
      <c r="CR74" s="282"/>
      <c r="CS74" s="282"/>
      <c r="CT74" s="282"/>
      <c r="CU74" s="282"/>
      <c r="CV74" s="282"/>
      <c r="CW74" s="282"/>
      <c r="CX74" s="282"/>
      <c r="CY74" s="282"/>
      <c r="CZ74" s="282"/>
      <c r="DA74" s="282"/>
      <c r="DB74" s="282"/>
      <c r="DC74" s="282"/>
      <c r="DD74" s="282"/>
      <c r="DE74" s="282"/>
      <c r="DF74" s="282"/>
      <c r="DG74" s="282"/>
      <c r="DH74" s="282"/>
      <c r="DI74" s="282"/>
      <c r="DJ74" s="282"/>
      <c r="DK74" s="282"/>
      <c r="DL74" s="282"/>
      <c r="DM74" s="282"/>
      <c r="DN74" s="282"/>
      <c r="DO74" s="282"/>
      <c r="DP74" s="282"/>
      <c r="DQ74" s="282"/>
      <c r="DR74" s="282"/>
      <c r="DS74" s="282"/>
      <c r="DT74" s="282"/>
      <c r="DU74" s="282"/>
      <c r="DV74" s="282"/>
      <c r="DW74" s="282"/>
      <c r="DX74" s="282"/>
      <c r="DY74" s="282"/>
      <c r="DZ74" s="282"/>
      <c r="EA74" s="282"/>
      <c r="EB74" s="282"/>
      <c r="EC74" s="282"/>
      <c r="ED74" s="282"/>
      <c r="EE74" s="282"/>
      <c r="EF74" s="282"/>
      <c r="EG74" s="282"/>
      <c r="EH74" s="282"/>
      <c r="EI74" s="158" t="s">
        <v>243</v>
      </c>
    </row>
    <row r="75" spans="1:139" s="312" customFormat="1" ht="15" thickBot="1" x14ac:dyDescent="0.25">
      <c r="A75" s="282"/>
      <c r="B75" s="279" t="s">
        <v>64</v>
      </c>
      <c r="C75" s="289">
        <f ca="1">C73/C72+1</f>
        <v>1.9672191881706786</v>
      </c>
      <c r="G75" s="321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  <c r="AC75" s="282"/>
      <c r="AD75" s="282"/>
      <c r="AE75" s="282"/>
      <c r="AF75" s="282"/>
      <c r="AG75" s="282"/>
      <c r="AH75" s="282"/>
      <c r="AI75" s="282"/>
      <c r="AJ75" s="282"/>
      <c r="AK75" s="282"/>
      <c r="AL75" s="282"/>
      <c r="AM75" s="282"/>
      <c r="AN75" s="282"/>
      <c r="AO75" s="282"/>
      <c r="AP75" s="282"/>
      <c r="AQ75" s="282"/>
      <c r="AR75" s="282"/>
      <c r="AS75" s="282"/>
      <c r="AT75" s="282"/>
      <c r="AU75" s="282"/>
      <c r="AV75" s="282"/>
      <c r="AW75" s="282"/>
      <c r="AX75" s="282"/>
      <c r="AY75" s="282"/>
      <c r="AZ75" s="282"/>
      <c r="BA75" s="282"/>
      <c r="BB75" s="282"/>
      <c r="BC75" s="282"/>
      <c r="BD75" s="282"/>
      <c r="BE75" s="282"/>
      <c r="BF75" s="282"/>
      <c r="BG75" s="282"/>
      <c r="BH75" s="282"/>
      <c r="BI75" s="282"/>
      <c r="BJ75" s="282"/>
      <c r="BK75" s="282"/>
      <c r="BL75" s="282"/>
      <c r="BM75" s="282"/>
      <c r="BN75" s="282"/>
      <c r="BO75" s="282"/>
      <c r="BP75" s="282"/>
      <c r="BQ75" s="282"/>
      <c r="BR75" s="282"/>
      <c r="BS75" s="282"/>
      <c r="BT75" s="282"/>
      <c r="BU75" s="282"/>
      <c r="BV75" s="282"/>
      <c r="BW75" s="282"/>
      <c r="BX75" s="282"/>
      <c r="BY75" s="282"/>
      <c r="BZ75" s="282"/>
      <c r="CA75" s="282"/>
      <c r="CB75" s="282"/>
      <c r="CC75" s="282"/>
      <c r="CD75" s="282"/>
      <c r="CE75" s="282"/>
      <c r="CF75" s="282"/>
      <c r="CG75" s="282"/>
      <c r="CH75" s="282"/>
      <c r="CI75" s="282"/>
      <c r="CJ75" s="282"/>
      <c r="CK75" s="282"/>
      <c r="CL75" s="282"/>
      <c r="CM75" s="282"/>
      <c r="CN75" s="282"/>
      <c r="CO75" s="282"/>
      <c r="CP75" s="282"/>
      <c r="CQ75" s="282"/>
      <c r="CR75" s="282"/>
      <c r="CS75" s="282"/>
      <c r="CT75" s="282"/>
      <c r="CU75" s="282"/>
      <c r="CV75" s="282"/>
      <c r="CW75" s="282"/>
      <c r="CX75" s="282"/>
      <c r="CY75" s="282"/>
      <c r="CZ75" s="282"/>
      <c r="DA75" s="282"/>
      <c r="DB75" s="282"/>
      <c r="DC75" s="282"/>
      <c r="DD75" s="282"/>
      <c r="DE75" s="282"/>
      <c r="DF75" s="282"/>
      <c r="DG75" s="282"/>
      <c r="DH75" s="282"/>
      <c r="DI75" s="282"/>
      <c r="DJ75" s="282"/>
      <c r="DK75" s="282"/>
      <c r="DL75" s="282"/>
      <c r="DM75" s="282"/>
      <c r="DN75" s="282"/>
      <c r="DO75" s="282"/>
      <c r="DP75" s="282"/>
      <c r="DQ75" s="282"/>
      <c r="DR75" s="282"/>
      <c r="DS75" s="282"/>
      <c r="DT75" s="282"/>
      <c r="DU75" s="282"/>
      <c r="DV75" s="282"/>
      <c r="DW75" s="282"/>
      <c r="DX75" s="282"/>
      <c r="DY75" s="282"/>
      <c r="DZ75" s="282"/>
      <c r="EA75" s="282"/>
      <c r="EB75" s="282"/>
      <c r="EC75" s="282"/>
      <c r="ED75" s="282"/>
      <c r="EE75" s="282"/>
      <c r="EF75" s="282"/>
      <c r="EG75" s="282"/>
      <c r="EH75" s="282"/>
      <c r="EI75" s="158" t="s">
        <v>243</v>
      </c>
    </row>
    <row r="76" spans="1:139" s="312" customFormat="1" ht="12.4" customHeight="1" x14ac:dyDescent="0.2">
      <c r="A76" s="282"/>
      <c r="B76" s="281"/>
      <c r="C76" s="281"/>
      <c r="D76" s="281"/>
      <c r="E76" s="281"/>
      <c r="F76" s="282"/>
      <c r="G76" s="282"/>
      <c r="H76" s="282"/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82"/>
      <c r="T76" s="282"/>
      <c r="U76" s="282"/>
      <c r="V76" s="282"/>
      <c r="W76" s="282"/>
      <c r="X76" s="282"/>
      <c r="Y76" s="282"/>
      <c r="Z76" s="282"/>
      <c r="AA76" s="282"/>
      <c r="AB76" s="282"/>
      <c r="AC76" s="282"/>
      <c r="AD76" s="282"/>
      <c r="AE76" s="282"/>
      <c r="AF76" s="282"/>
      <c r="AG76" s="282"/>
      <c r="AH76" s="282"/>
      <c r="AI76" s="282"/>
      <c r="AJ76" s="282"/>
      <c r="AK76" s="282"/>
      <c r="AL76" s="282"/>
      <c r="AM76" s="282"/>
      <c r="AN76" s="282"/>
      <c r="AO76" s="282"/>
      <c r="AP76" s="282"/>
      <c r="AQ76" s="282"/>
      <c r="AR76" s="282"/>
      <c r="AS76" s="282"/>
      <c r="AT76" s="282"/>
      <c r="AU76" s="282"/>
      <c r="AV76" s="282"/>
      <c r="AW76" s="282"/>
      <c r="AX76" s="282"/>
      <c r="AY76" s="282"/>
      <c r="AZ76" s="282"/>
      <c r="BA76" s="282"/>
      <c r="BB76" s="282"/>
      <c r="BC76" s="282"/>
      <c r="BD76" s="282"/>
      <c r="BE76" s="282"/>
      <c r="BF76" s="282"/>
      <c r="BG76" s="282"/>
      <c r="BH76" s="282"/>
      <c r="BI76" s="282"/>
      <c r="BJ76" s="282"/>
      <c r="BK76" s="282"/>
      <c r="BL76" s="282"/>
      <c r="BM76" s="282"/>
      <c r="BN76" s="282"/>
      <c r="BO76" s="282"/>
      <c r="BP76" s="282"/>
      <c r="BQ76" s="282"/>
      <c r="BR76" s="282"/>
      <c r="BS76" s="282"/>
      <c r="BT76" s="282"/>
      <c r="BU76" s="282"/>
      <c r="BV76" s="282"/>
      <c r="BW76" s="282"/>
      <c r="BX76" s="282"/>
      <c r="BY76" s="282"/>
      <c r="BZ76" s="282"/>
      <c r="CA76" s="282"/>
      <c r="CB76" s="282"/>
      <c r="CC76" s="282"/>
      <c r="CD76" s="282"/>
      <c r="CE76" s="282"/>
      <c r="CF76" s="282"/>
      <c r="CG76" s="282"/>
      <c r="CH76" s="282"/>
      <c r="CI76" s="282"/>
      <c r="CJ76" s="282"/>
      <c r="CK76" s="282"/>
      <c r="CL76" s="282"/>
      <c r="CM76" s="282"/>
      <c r="CN76" s="282"/>
      <c r="CO76" s="282"/>
      <c r="CP76" s="282"/>
      <c r="CQ76" s="282"/>
      <c r="CR76" s="282"/>
      <c r="CS76" s="282"/>
      <c r="CT76" s="282"/>
      <c r="CU76" s="282"/>
      <c r="CV76" s="282"/>
      <c r="CW76" s="282"/>
      <c r="CX76" s="282"/>
      <c r="CY76" s="282"/>
      <c r="CZ76" s="282"/>
      <c r="DA76" s="282"/>
      <c r="DB76" s="282"/>
      <c r="DC76" s="282"/>
      <c r="DD76" s="282"/>
      <c r="DE76" s="282"/>
      <c r="DF76" s="282"/>
      <c r="DG76" s="282"/>
      <c r="DH76" s="282"/>
      <c r="DI76" s="282"/>
      <c r="DJ76" s="282"/>
      <c r="DK76" s="282"/>
      <c r="DL76" s="282"/>
      <c r="DM76" s="282"/>
      <c r="DN76" s="282"/>
      <c r="DO76" s="282"/>
      <c r="DP76" s="282"/>
      <c r="DQ76" s="282"/>
      <c r="DR76" s="282"/>
      <c r="DS76" s="282"/>
      <c r="DT76" s="282"/>
      <c r="DU76" s="282"/>
      <c r="DV76" s="282"/>
      <c r="DW76" s="282"/>
      <c r="DX76" s="282"/>
      <c r="DY76" s="282"/>
      <c r="DZ76" s="282"/>
      <c r="EA76" s="282"/>
      <c r="EB76" s="282"/>
      <c r="EC76" s="282"/>
      <c r="ED76" s="282"/>
      <c r="EE76" s="282"/>
      <c r="EF76" s="282"/>
      <c r="EG76" s="282"/>
      <c r="EH76" s="282"/>
      <c r="EI76" s="158" t="s">
        <v>243</v>
      </c>
    </row>
    <row r="77" spans="1:139" s="312" customFormat="1" ht="15" thickBot="1" x14ac:dyDescent="0.25">
      <c r="A77" s="282"/>
      <c r="B77" s="299" t="s">
        <v>906</v>
      </c>
      <c r="C77" s="299"/>
      <c r="D77" s="300"/>
      <c r="E77" s="300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299"/>
      <c r="Q77" s="299"/>
      <c r="R77" s="299"/>
      <c r="S77" s="299"/>
      <c r="T77" s="299"/>
      <c r="U77" s="299"/>
      <c r="V77" s="299"/>
      <c r="W77" s="299"/>
      <c r="X77" s="299"/>
      <c r="Y77" s="299"/>
      <c r="Z77" s="299"/>
      <c r="AA77" s="299"/>
      <c r="AB77" s="299"/>
      <c r="AC77" s="299"/>
      <c r="AD77" s="299"/>
      <c r="AE77" s="299"/>
      <c r="AF77" s="299"/>
      <c r="AG77" s="299"/>
      <c r="AH77" s="299"/>
      <c r="AI77" s="299"/>
      <c r="AJ77" s="299"/>
      <c r="AK77" s="299"/>
      <c r="AL77" s="299"/>
      <c r="AM77" s="299"/>
      <c r="AN77" s="299"/>
      <c r="AO77" s="299"/>
      <c r="AP77" s="299"/>
      <c r="AQ77" s="299"/>
      <c r="AR77" s="299"/>
      <c r="AS77" s="299"/>
      <c r="AT77" s="299"/>
      <c r="AU77" s="299"/>
      <c r="AV77" s="299"/>
      <c r="AW77" s="299"/>
      <c r="AX77" s="299"/>
      <c r="AY77" s="299"/>
      <c r="AZ77" s="299"/>
      <c r="BA77" s="299"/>
      <c r="BB77" s="299"/>
      <c r="BC77" s="299"/>
      <c r="BD77" s="299"/>
      <c r="BE77" s="299"/>
      <c r="BF77" s="299"/>
      <c r="BG77" s="299"/>
      <c r="BH77" s="299"/>
      <c r="BI77" s="299"/>
      <c r="BJ77" s="299"/>
      <c r="BK77" s="299"/>
      <c r="BL77" s="299"/>
      <c r="BM77" s="299"/>
      <c r="BN77" s="299"/>
      <c r="BO77" s="299"/>
      <c r="BP77" s="299"/>
      <c r="BQ77" s="299"/>
      <c r="BR77" s="299"/>
      <c r="BS77" s="299"/>
      <c r="BT77" s="299"/>
      <c r="BU77" s="299"/>
      <c r="BV77" s="299"/>
      <c r="BW77" s="299"/>
      <c r="BX77" s="299"/>
      <c r="BY77" s="299"/>
      <c r="BZ77" s="299"/>
      <c r="CA77" s="299"/>
      <c r="CB77" s="299"/>
      <c r="CC77" s="299"/>
      <c r="CD77" s="299"/>
      <c r="CE77" s="299"/>
      <c r="CF77" s="299"/>
      <c r="CG77" s="299"/>
      <c r="CH77" s="299"/>
      <c r="CI77" s="299"/>
      <c r="CJ77" s="299"/>
      <c r="CK77" s="299"/>
      <c r="CL77" s="299"/>
      <c r="CM77" s="299"/>
      <c r="CN77" s="299"/>
      <c r="CO77" s="299"/>
      <c r="CP77" s="299"/>
      <c r="CQ77" s="299"/>
      <c r="CR77" s="299"/>
      <c r="CS77" s="299"/>
      <c r="CT77" s="299"/>
      <c r="CU77" s="299"/>
      <c r="CV77" s="299"/>
      <c r="CW77" s="299"/>
      <c r="CX77" s="299"/>
      <c r="CY77" s="299"/>
      <c r="CZ77" s="299"/>
      <c r="DA77" s="299"/>
      <c r="DB77" s="299"/>
      <c r="DC77" s="299"/>
      <c r="DD77" s="299"/>
      <c r="DE77" s="299"/>
      <c r="DF77" s="299"/>
      <c r="DG77" s="299"/>
      <c r="DH77" s="299"/>
      <c r="DI77" s="299"/>
      <c r="DJ77" s="299"/>
      <c r="DK77" s="299"/>
      <c r="DL77" s="299"/>
      <c r="DM77" s="299"/>
      <c r="DN77" s="299"/>
      <c r="DO77" s="299"/>
      <c r="DP77" s="299"/>
      <c r="DQ77" s="299"/>
      <c r="DR77" s="299"/>
      <c r="DS77" s="299"/>
      <c r="DT77" s="299"/>
      <c r="DU77" s="299"/>
      <c r="DV77" s="299"/>
      <c r="DW77" s="299"/>
      <c r="DX77" s="299"/>
      <c r="DY77" s="299"/>
      <c r="DZ77" s="299"/>
      <c r="EA77" s="299"/>
      <c r="EB77" s="299"/>
      <c r="EC77" s="299"/>
      <c r="ED77" s="299"/>
      <c r="EE77" s="299"/>
      <c r="EF77" s="299"/>
      <c r="EG77" s="299"/>
      <c r="EH77" s="299"/>
      <c r="EI77" s="158" t="s">
        <v>243</v>
      </c>
    </row>
    <row r="78" spans="1:139" s="312" customFormat="1" x14ac:dyDescent="0.2">
      <c r="A78" s="282"/>
      <c r="B78" s="322" t="s">
        <v>774</v>
      </c>
      <c r="C78" s="323"/>
      <c r="D78" s="324">
        <f>SUMIF($F$4:$EH$4,"&lt;="&amp;HoldPeriod,$F78:$EH78)</f>
        <v>-5180804.7976503354</v>
      </c>
      <c r="E78" s="324"/>
      <c r="F78" s="180">
        <f>'Loan Schedule'!C15</f>
        <v>0</v>
      </c>
      <c r="G78" s="180">
        <f>'Loan Schedule'!D15</f>
        <v>-134166.66666666666</v>
      </c>
      <c r="H78" s="180">
        <f>'Loan Schedule'!E15</f>
        <v>-134166.66666666666</v>
      </c>
      <c r="I78" s="180">
        <f>'Loan Schedule'!F15</f>
        <v>-134166.66666666666</v>
      </c>
      <c r="J78" s="180">
        <f>'Loan Schedule'!G15</f>
        <v>-134166.66666666666</v>
      </c>
      <c r="K78" s="180">
        <f>'Loan Schedule'!H15</f>
        <v>-134166.66666666666</v>
      </c>
      <c r="L78" s="180">
        <f>'Loan Schedule'!I15</f>
        <v>-134166.66666666666</v>
      </c>
      <c r="M78" s="180">
        <f>'Loan Schedule'!J15</f>
        <v>-134166.66666666666</v>
      </c>
      <c r="N78" s="180">
        <f>'Loan Schedule'!K15</f>
        <v>-134166.66666666666</v>
      </c>
      <c r="O78" s="180">
        <f>'Loan Schedule'!L15</f>
        <v>-134166.66666666666</v>
      </c>
      <c r="P78" s="180">
        <f>'Loan Schedule'!M15</f>
        <v>-134166.66666666666</v>
      </c>
      <c r="Q78" s="180">
        <f>'Loan Schedule'!N15</f>
        <v>-134166.66666666666</v>
      </c>
      <c r="R78" s="180">
        <f>'Loan Schedule'!O15</f>
        <v>-134166.66666666666</v>
      </c>
      <c r="S78" s="180">
        <f>'Loan Schedule'!P15</f>
        <v>-134166.66666666666</v>
      </c>
      <c r="T78" s="180">
        <f>'Loan Schedule'!Q15</f>
        <v>-134166.66666666666</v>
      </c>
      <c r="U78" s="180">
        <f>'Loan Schedule'!R15</f>
        <v>-134166.66666666666</v>
      </c>
      <c r="V78" s="180">
        <f>'Loan Schedule'!S15</f>
        <v>-134166.66666666666</v>
      </c>
      <c r="W78" s="180">
        <f>'Loan Schedule'!T15</f>
        <v>-134166.66666666666</v>
      </c>
      <c r="X78" s="180">
        <f>'Loan Schedule'!U15</f>
        <v>-134166.66666666666</v>
      </c>
      <c r="Y78" s="180">
        <f>'Loan Schedule'!V15</f>
        <v>-134166.66666666666</v>
      </c>
      <c r="Z78" s="180">
        <f>'Loan Schedule'!W15</f>
        <v>-134166.66666666666</v>
      </c>
      <c r="AA78" s="180">
        <f>'Loan Schedule'!X15</f>
        <v>-134166.66666666666</v>
      </c>
      <c r="AB78" s="180">
        <f>'Loan Schedule'!Y15</f>
        <v>-134166.66666666666</v>
      </c>
      <c r="AC78" s="180">
        <f>'Loan Schedule'!Z15</f>
        <v>-134166.66666666666</v>
      </c>
      <c r="AD78" s="180">
        <f>'Loan Schedule'!AA15</f>
        <v>-134166.66666666666</v>
      </c>
      <c r="AE78" s="180">
        <f>'Loan Schedule'!AB15</f>
        <v>-163400.39980419481</v>
      </c>
      <c r="AF78" s="180">
        <f>'Loan Schedule'!AC15</f>
        <v>-163400.39980419481</v>
      </c>
      <c r="AG78" s="180">
        <f>'Loan Schedule'!AD15</f>
        <v>-163400.39980419481</v>
      </c>
      <c r="AH78" s="180">
        <f>'Loan Schedule'!AE15</f>
        <v>-163400.39980419481</v>
      </c>
      <c r="AI78" s="180">
        <f>'Loan Schedule'!AF15</f>
        <v>-163400.39980419481</v>
      </c>
      <c r="AJ78" s="180">
        <f>'Loan Schedule'!AG15</f>
        <v>-163400.39980419478</v>
      </c>
      <c r="AK78" s="180">
        <f>'Loan Schedule'!AH15</f>
        <v>-163400.39980419478</v>
      </c>
      <c r="AL78" s="180">
        <f>'Loan Schedule'!AI15</f>
        <v>-163400.39980419478</v>
      </c>
      <c r="AM78" s="180">
        <f>'Loan Schedule'!AJ15</f>
        <v>-163400.39980419478</v>
      </c>
      <c r="AN78" s="180">
        <f>'Loan Schedule'!AK15</f>
        <v>-163400.39980419478</v>
      </c>
      <c r="AO78" s="180">
        <f>'Loan Schedule'!AL15</f>
        <v>-163400.39980419478</v>
      </c>
      <c r="AP78" s="180">
        <f>'Loan Schedule'!AM15</f>
        <v>-163400.39980419478</v>
      </c>
      <c r="AQ78" s="180">
        <f>'Loan Schedule'!AN15</f>
        <v>0</v>
      </c>
      <c r="AR78" s="180">
        <f>'Loan Schedule'!AO15</f>
        <v>0</v>
      </c>
      <c r="AS78" s="180">
        <f>'Loan Schedule'!AP15</f>
        <v>0</v>
      </c>
      <c r="AT78" s="180">
        <f>'Loan Schedule'!AQ15</f>
        <v>0</v>
      </c>
      <c r="AU78" s="180">
        <f>'Loan Schedule'!AR15</f>
        <v>0</v>
      </c>
      <c r="AV78" s="180">
        <f>'Loan Schedule'!AS15</f>
        <v>0</v>
      </c>
      <c r="AW78" s="180">
        <f>'Loan Schedule'!AT15</f>
        <v>0</v>
      </c>
      <c r="AX78" s="180">
        <f>'Loan Schedule'!AU15</f>
        <v>0</v>
      </c>
      <c r="AY78" s="180">
        <f>'Loan Schedule'!AV15</f>
        <v>0</v>
      </c>
      <c r="AZ78" s="180">
        <f>'Loan Schedule'!AW15</f>
        <v>0</v>
      </c>
      <c r="BA78" s="180">
        <f>'Loan Schedule'!AX15</f>
        <v>0</v>
      </c>
      <c r="BB78" s="180">
        <f>'Loan Schedule'!AY15</f>
        <v>0</v>
      </c>
      <c r="BC78" s="180">
        <f>'Loan Schedule'!AZ15</f>
        <v>0</v>
      </c>
      <c r="BD78" s="180">
        <f>'Loan Schedule'!BA15</f>
        <v>0</v>
      </c>
      <c r="BE78" s="180">
        <f>'Loan Schedule'!BB15</f>
        <v>0</v>
      </c>
      <c r="BF78" s="180">
        <f>'Loan Schedule'!BC15</f>
        <v>0</v>
      </c>
      <c r="BG78" s="180">
        <f>'Loan Schedule'!BD15</f>
        <v>0</v>
      </c>
      <c r="BH78" s="180">
        <f>'Loan Schedule'!BE15</f>
        <v>0</v>
      </c>
      <c r="BI78" s="180">
        <f>'Loan Schedule'!BF15</f>
        <v>0</v>
      </c>
      <c r="BJ78" s="180">
        <f>'Loan Schedule'!BG15</f>
        <v>0</v>
      </c>
      <c r="BK78" s="180">
        <f>'Loan Schedule'!BH15</f>
        <v>0</v>
      </c>
      <c r="BL78" s="180">
        <f>'Loan Schedule'!BI15</f>
        <v>0</v>
      </c>
      <c r="BM78" s="180">
        <f>'Loan Schedule'!BJ15</f>
        <v>0</v>
      </c>
      <c r="BN78" s="180">
        <f>'Loan Schedule'!BK15</f>
        <v>0</v>
      </c>
      <c r="BO78" s="180">
        <f>'Loan Schedule'!BL15</f>
        <v>0</v>
      </c>
      <c r="BP78" s="180">
        <f>'Loan Schedule'!BM15</f>
        <v>0</v>
      </c>
      <c r="BQ78" s="180">
        <f>'Loan Schedule'!BN15</f>
        <v>0</v>
      </c>
      <c r="BR78" s="180">
        <f>'Loan Schedule'!BO15</f>
        <v>0</v>
      </c>
      <c r="BS78" s="180">
        <f>'Loan Schedule'!BP15</f>
        <v>0</v>
      </c>
      <c r="BT78" s="180">
        <f>'Loan Schedule'!BQ15</f>
        <v>0</v>
      </c>
      <c r="BU78" s="180">
        <f>'Loan Schedule'!BR15</f>
        <v>0</v>
      </c>
      <c r="BV78" s="180">
        <f>'Loan Schedule'!BS15</f>
        <v>0</v>
      </c>
      <c r="BW78" s="180">
        <f>'Loan Schedule'!BT15</f>
        <v>0</v>
      </c>
      <c r="BX78" s="180">
        <f>'Loan Schedule'!BU15</f>
        <v>0</v>
      </c>
      <c r="BY78" s="180">
        <f>'Loan Schedule'!BV15</f>
        <v>0</v>
      </c>
      <c r="BZ78" s="180">
        <f>'Loan Schedule'!BW15</f>
        <v>0</v>
      </c>
      <c r="CA78" s="180">
        <f>'Loan Schedule'!BX15</f>
        <v>0</v>
      </c>
      <c r="CB78" s="180">
        <f>'Loan Schedule'!BY15</f>
        <v>0</v>
      </c>
      <c r="CC78" s="180">
        <f>'Loan Schedule'!BZ15</f>
        <v>0</v>
      </c>
      <c r="CD78" s="180">
        <f>'Loan Schedule'!CA15</f>
        <v>0</v>
      </c>
      <c r="CE78" s="180">
        <f>'Loan Schedule'!CB15</f>
        <v>0</v>
      </c>
      <c r="CF78" s="180">
        <f>'Loan Schedule'!CC15</f>
        <v>0</v>
      </c>
      <c r="CG78" s="180">
        <f>'Loan Schedule'!CD15</f>
        <v>0</v>
      </c>
      <c r="CH78" s="180">
        <f>'Loan Schedule'!CE15</f>
        <v>0</v>
      </c>
      <c r="CI78" s="180">
        <f>'Loan Schedule'!CF15</f>
        <v>0</v>
      </c>
      <c r="CJ78" s="180">
        <f>'Loan Schedule'!CG15</f>
        <v>0</v>
      </c>
      <c r="CK78" s="180">
        <f>'Loan Schedule'!CH15</f>
        <v>0</v>
      </c>
      <c r="CL78" s="180">
        <f>'Loan Schedule'!CI15</f>
        <v>0</v>
      </c>
      <c r="CM78" s="180">
        <f>'Loan Schedule'!CJ15</f>
        <v>0</v>
      </c>
      <c r="CN78" s="180">
        <f>'Loan Schedule'!CK15</f>
        <v>0</v>
      </c>
      <c r="CO78" s="180">
        <f>'Loan Schedule'!CL15</f>
        <v>0</v>
      </c>
      <c r="CP78" s="180">
        <f>'Loan Schedule'!CM15</f>
        <v>0</v>
      </c>
      <c r="CQ78" s="180">
        <f>'Loan Schedule'!CN15</f>
        <v>0</v>
      </c>
      <c r="CR78" s="180">
        <f>'Loan Schedule'!CO15</f>
        <v>0</v>
      </c>
      <c r="CS78" s="180">
        <f>'Loan Schedule'!CP15</f>
        <v>0</v>
      </c>
      <c r="CT78" s="180">
        <f>'Loan Schedule'!CQ15</f>
        <v>0</v>
      </c>
      <c r="CU78" s="180">
        <f>'Loan Schedule'!CR15</f>
        <v>0</v>
      </c>
      <c r="CV78" s="180">
        <f>'Loan Schedule'!CS15</f>
        <v>0</v>
      </c>
      <c r="CW78" s="180">
        <f>'Loan Schedule'!CT15</f>
        <v>0</v>
      </c>
      <c r="CX78" s="180">
        <f>'Loan Schedule'!CU15</f>
        <v>0</v>
      </c>
      <c r="CY78" s="180">
        <f>'Loan Schedule'!CV15</f>
        <v>0</v>
      </c>
      <c r="CZ78" s="180">
        <f>'Loan Schedule'!CW15</f>
        <v>0</v>
      </c>
      <c r="DA78" s="180">
        <f>'Loan Schedule'!CX15</f>
        <v>0</v>
      </c>
      <c r="DB78" s="180">
        <f>'Loan Schedule'!CY15</f>
        <v>0</v>
      </c>
      <c r="DC78" s="180">
        <f>'Loan Schedule'!CZ15</f>
        <v>0</v>
      </c>
      <c r="DD78" s="180">
        <f>'Loan Schedule'!DA15</f>
        <v>0</v>
      </c>
      <c r="DE78" s="180">
        <f>'Loan Schedule'!DB15</f>
        <v>0</v>
      </c>
      <c r="DF78" s="180">
        <f>'Loan Schedule'!DC15</f>
        <v>0</v>
      </c>
      <c r="DG78" s="180">
        <f>'Loan Schedule'!DD15</f>
        <v>0</v>
      </c>
      <c r="DH78" s="180">
        <f>'Loan Schedule'!DE15</f>
        <v>0</v>
      </c>
      <c r="DI78" s="180">
        <f>'Loan Schedule'!DF15</f>
        <v>0</v>
      </c>
      <c r="DJ78" s="180">
        <f>'Loan Schedule'!DG15</f>
        <v>0</v>
      </c>
      <c r="DK78" s="180">
        <f>'Loan Schedule'!DH15</f>
        <v>0</v>
      </c>
      <c r="DL78" s="180">
        <f>'Loan Schedule'!DI15</f>
        <v>0</v>
      </c>
      <c r="DM78" s="180">
        <f>'Loan Schedule'!DJ15</f>
        <v>0</v>
      </c>
      <c r="DN78" s="180">
        <f>'Loan Schedule'!DK15</f>
        <v>0</v>
      </c>
      <c r="DO78" s="180">
        <f>'Loan Schedule'!DL15</f>
        <v>0</v>
      </c>
      <c r="DP78" s="180">
        <f>'Loan Schedule'!DM15</f>
        <v>0</v>
      </c>
      <c r="DQ78" s="180">
        <f>'Loan Schedule'!DN15</f>
        <v>0</v>
      </c>
      <c r="DR78" s="180">
        <f>'Loan Schedule'!DO15</f>
        <v>0</v>
      </c>
      <c r="DS78" s="180">
        <f>'Loan Schedule'!DP15</f>
        <v>0</v>
      </c>
      <c r="DT78" s="180">
        <f>'Loan Schedule'!DQ15</f>
        <v>0</v>
      </c>
      <c r="DU78" s="180">
        <f>'Loan Schedule'!DR15</f>
        <v>0</v>
      </c>
      <c r="DV78" s="180">
        <f>'Loan Schedule'!DS15</f>
        <v>0</v>
      </c>
      <c r="DW78" s="180">
        <f>'Loan Schedule'!DT15</f>
        <v>0</v>
      </c>
      <c r="DX78" s="180">
        <f>'Loan Schedule'!DU15</f>
        <v>0</v>
      </c>
      <c r="DY78" s="180">
        <f>'Loan Schedule'!DV15</f>
        <v>0</v>
      </c>
      <c r="DZ78" s="180">
        <f>'Loan Schedule'!DW15</f>
        <v>0</v>
      </c>
      <c r="EA78" s="180">
        <f>'Loan Schedule'!DX15</f>
        <v>0</v>
      </c>
      <c r="EB78" s="180">
        <f>'Loan Schedule'!DY15</f>
        <v>0</v>
      </c>
      <c r="EC78" s="180">
        <f>'Loan Schedule'!DZ15</f>
        <v>0</v>
      </c>
      <c r="ED78" s="180">
        <f>'Loan Schedule'!EA15</f>
        <v>0</v>
      </c>
      <c r="EE78" s="180">
        <f>'Loan Schedule'!EB15</f>
        <v>0</v>
      </c>
      <c r="EF78" s="180">
        <f>'Loan Schedule'!EC15</f>
        <v>0</v>
      </c>
      <c r="EG78" s="180">
        <f>'Loan Schedule'!ED15</f>
        <v>0</v>
      </c>
      <c r="EH78" s="180">
        <f>'Loan Schedule'!EE15</f>
        <v>0</v>
      </c>
      <c r="EI78" s="158" t="s">
        <v>243</v>
      </c>
    </row>
    <row r="79" spans="1:139" s="312" customFormat="1" x14ac:dyDescent="0.2">
      <c r="A79" s="282"/>
      <c r="B79" s="322" t="s">
        <v>910</v>
      </c>
      <c r="C79" s="323"/>
      <c r="D79" s="324">
        <f>SUMIF($F$4:$EH$4,"&lt;="&amp;HoldPeriod,$F79:$EH79)</f>
        <v>-3150000</v>
      </c>
      <c r="E79" s="324"/>
      <c r="F79" s="180">
        <v>0</v>
      </c>
      <c r="G79" s="180">
        <f>-IFERROR(_xlfn.XLOOKUP(G4,'Pref Schedule'!$B$12:$B$96,'Pref Schedule'!$H$12:$H$96,,0),0)</f>
        <v>-87500</v>
      </c>
      <c r="H79" s="180">
        <f>-IFERROR(_xlfn.XLOOKUP(H4,'Pref Schedule'!$B$12:$B$96,'Pref Schedule'!$H$12:$H$96,,0),0)</f>
        <v>-87500</v>
      </c>
      <c r="I79" s="180">
        <f>-IFERROR(_xlfn.XLOOKUP(I4,'Pref Schedule'!$B$12:$B$96,'Pref Schedule'!$H$12:$H$96,,0),0)</f>
        <v>-87500</v>
      </c>
      <c r="J79" s="180">
        <f>-IFERROR(_xlfn.XLOOKUP(J4,'Pref Schedule'!$B$12:$B$96,'Pref Schedule'!$H$12:$H$96,,0),0)</f>
        <v>-87500</v>
      </c>
      <c r="K79" s="180">
        <f>-IFERROR(_xlfn.XLOOKUP(K4,'Pref Schedule'!$B$12:$B$96,'Pref Schedule'!$H$12:$H$96,,0),0)</f>
        <v>-87500</v>
      </c>
      <c r="L79" s="180">
        <f>-IFERROR(_xlfn.XLOOKUP(L4,'Pref Schedule'!$B$12:$B$96,'Pref Schedule'!$H$12:$H$96,,0),0)</f>
        <v>-87500</v>
      </c>
      <c r="M79" s="180">
        <f>-IFERROR(_xlfn.XLOOKUP(M4,'Pref Schedule'!$B$12:$B$96,'Pref Schedule'!$H$12:$H$96,,0),0)</f>
        <v>-87500</v>
      </c>
      <c r="N79" s="180">
        <f>-IFERROR(_xlfn.XLOOKUP(N4,'Pref Schedule'!$B$12:$B$96,'Pref Schedule'!$H$12:$H$96,,0),0)</f>
        <v>-87500</v>
      </c>
      <c r="O79" s="180">
        <f>-IFERROR(_xlfn.XLOOKUP(O4,'Pref Schedule'!$B$12:$B$96,'Pref Schedule'!$H$12:$H$96,,0),0)</f>
        <v>-87500</v>
      </c>
      <c r="P79" s="180">
        <f>-IFERROR(_xlfn.XLOOKUP(P4,'Pref Schedule'!$B$12:$B$96,'Pref Schedule'!$H$12:$H$96,,0),0)</f>
        <v>-87500</v>
      </c>
      <c r="Q79" s="180">
        <f>-IFERROR(_xlfn.XLOOKUP(Q4,'Pref Schedule'!$B$12:$B$96,'Pref Schedule'!$H$12:$H$96,,0),0)</f>
        <v>-87500</v>
      </c>
      <c r="R79" s="180">
        <f>-IFERROR(_xlfn.XLOOKUP(R4,'Pref Schedule'!$B$12:$B$96,'Pref Schedule'!$H$12:$H$96,,0),0)</f>
        <v>-87500</v>
      </c>
      <c r="S79" s="180">
        <f>-IFERROR(_xlfn.XLOOKUP(S4,'Pref Schedule'!$B$12:$B$96,'Pref Schedule'!$H$12:$H$96,,0),0)</f>
        <v>-87500</v>
      </c>
      <c r="T79" s="180">
        <f>-IFERROR(_xlfn.XLOOKUP(T4,'Pref Schedule'!$B$12:$B$96,'Pref Schedule'!$H$12:$H$96,,0),0)</f>
        <v>-87500</v>
      </c>
      <c r="U79" s="180">
        <f>-IFERROR(_xlfn.XLOOKUP(U4,'Pref Schedule'!$B$12:$B$96,'Pref Schedule'!$H$12:$H$96,,0),0)</f>
        <v>-87500</v>
      </c>
      <c r="V79" s="180">
        <f>-IFERROR(_xlfn.XLOOKUP(V4,'Pref Schedule'!$B$12:$B$96,'Pref Schedule'!$H$12:$H$96,,0),0)</f>
        <v>-87500</v>
      </c>
      <c r="W79" s="180">
        <f>-IFERROR(_xlfn.XLOOKUP(W4,'Pref Schedule'!$B$12:$B$96,'Pref Schedule'!$H$12:$H$96,,0),0)</f>
        <v>-87500</v>
      </c>
      <c r="X79" s="180">
        <f>-IFERROR(_xlfn.XLOOKUP(X4,'Pref Schedule'!$B$12:$B$96,'Pref Schedule'!$H$12:$H$96,,0),0)</f>
        <v>-87500</v>
      </c>
      <c r="Y79" s="180">
        <f>-IFERROR(_xlfn.XLOOKUP(Y4,'Pref Schedule'!$B$12:$B$96,'Pref Schedule'!$H$12:$H$96,,0),0)</f>
        <v>-87500</v>
      </c>
      <c r="Z79" s="180">
        <f>-IFERROR(_xlfn.XLOOKUP(Z4,'Pref Schedule'!$B$12:$B$96,'Pref Schedule'!$H$12:$H$96,,0),0)</f>
        <v>-87500</v>
      </c>
      <c r="AA79" s="180">
        <f>-IFERROR(_xlfn.XLOOKUP(AA4,'Pref Schedule'!$B$12:$B$96,'Pref Schedule'!$H$12:$H$96,,0),0)</f>
        <v>-87500</v>
      </c>
      <c r="AB79" s="180">
        <f>-IFERROR(_xlfn.XLOOKUP(AB4,'Pref Schedule'!$B$12:$B$96,'Pref Schedule'!$H$12:$H$96,,0),0)</f>
        <v>-87500</v>
      </c>
      <c r="AC79" s="180">
        <f>-IFERROR(_xlfn.XLOOKUP(AC4,'Pref Schedule'!$B$12:$B$96,'Pref Schedule'!$H$12:$H$96,,0),0)</f>
        <v>-87500</v>
      </c>
      <c r="AD79" s="180">
        <f>-IFERROR(_xlfn.XLOOKUP(AD4,'Pref Schedule'!$B$12:$B$96,'Pref Schedule'!$H$12:$H$96,,0),0)</f>
        <v>-87500</v>
      </c>
      <c r="AE79" s="180">
        <f>-IFERROR(_xlfn.XLOOKUP(AE4,'Pref Schedule'!$B$12:$B$96,'Pref Schedule'!$H$12:$H$96,,0),0)</f>
        <v>-87500</v>
      </c>
      <c r="AF79" s="180">
        <f>-IFERROR(_xlfn.XLOOKUP(AF4,'Pref Schedule'!$B$12:$B$96,'Pref Schedule'!$H$12:$H$96,,0),0)</f>
        <v>-87500</v>
      </c>
      <c r="AG79" s="180">
        <f>-IFERROR(_xlfn.XLOOKUP(AG4,'Pref Schedule'!$B$12:$B$96,'Pref Schedule'!$H$12:$H$96,,0),0)</f>
        <v>-87500</v>
      </c>
      <c r="AH79" s="180">
        <f>-IFERROR(_xlfn.XLOOKUP(AH4,'Pref Schedule'!$B$12:$B$96,'Pref Schedule'!$H$12:$H$96,,0),0)</f>
        <v>-87500</v>
      </c>
      <c r="AI79" s="180">
        <f>-IFERROR(_xlfn.XLOOKUP(AI4,'Pref Schedule'!$B$12:$B$96,'Pref Schedule'!$H$12:$H$96,,0),0)</f>
        <v>-87500</v>
      </c>
      <c r="AJ79" s="180">
        <f>-IFERROR(_xlfn.XLOOKUP(AJ4,'Pref Schedule'!$B$12:$B$96,'Pref Schedule'!$H$12:$H$96,,0),0)</f>
        <v>-87500</v>
      </c>
      <c r="AK79" s="180">
        <f>-IFERROR(_xlfn.XLOOKUP(AK4,'Pref Schedule'!$B$12:$B$96,'Pref Schedule'!$H$12:$H$96,,0),0)</f>
        <v>-87500</v>
      </c>
      <c r="AL79" s="180">
        <f>-IFERROR(_xlfn.XLOOKUP(AL4,'Pref Schedule'!$B$12:$B$96,'Pref Schedule'!$H$12:$H$96,,0),0)</f>
        <v>-87500</v>
      </c>
      <c r="AM79" s="180">
        <f>-IFERROR(_xlfn.XLOOKUP(AM4,'Pref Schedule'!$B$12:$B$96,'Pref Schedule'!$H$12:$H$96,,0),0)</f>
        <v>-87500</v>
      </c>
      <c r="AN79" s="180">
        <f>-IFERROR(_xlfn.XLOOKUP(AN4,'Pref Schedule'!$B$12:$B$96,'Pref Schedule'!$H$12:$H$96,,0),0)</f>
        <v>-87500</v>
      </c>
      <c r="AO79" s="180">
        <f>-IFERROR(_xlfn.XLOOKUP(AO4,'Pref Schedule'!$B$12:$B$96,'Pref Schedule'!$H$12:$H$96,,0),0)</f>
        <v>-87500</v>
      </c>
      <c r="AP79" s="180">
        <f>-IFERROR(_xlfn.XLOOKUP(AP4,'Pref Schedule'!$B$12:$B$96,'Pref Schedule'!$H$12:$H$96,,0),0)</f>
        <v>-87500</v>
      </c>
      <c r="AQ79" s="180">
        <f>-IFERROR(_xlfn.XLOOKUP(AQ4,'Pref Schedule'!$B$12:$B$96,'Pref Schedule'!$H$12:$H$96,,0),0)</f>
        <v>0</v>
      </c>
      <c r="AR79" s="180">
        <f>-IFERROR(_xlfn.XLOOKUP(AR4,'Pref Schedule'!$B$12:$B$96,'Pref Schedule'!$H$12:$H$96,,0),0)</f>
        <v>0</v>
      </c>
      <c r="AS79" s="180">
        <f>-IFERROR(_xlfn.XLOOKUP(AS4,'Pref Schedule'!$B$12:$B$96,'Pref Schedule'!$H$12:$H$96,,0),0)</f>
        <v>0</v>
      </c>
      <c r="AT79" s="180">
        <f>-IFERROR(_xlfn.XLOOKUP(AT4,'Pref Schedule'!$B$12:$B$96,'Pref Schedule'!$H$12:$H$96,,0),0)</f>
        <v>0</v>
      </c>
      <c r="AU79" s="180">
        <f>-IFERROR(_xlfn.XLOOKUP(AU4,'Pref Schedule'!$B$12:$B$96,'Pref Schedule'!$H$12:$H$96,,0),0)</f>
        <v>0</v>
      </c>
      <c r="AV79" s="180">
        <f>-IFERROR(_xlfn.XLOOKUP(AV4,'Pref Schedule'!$B$12:$B$96,'Pref Schedule'!$H$12:$H$96,,0),0)</f>
        <v>0</v>
      </c>
      <c r="AW79" s="180">
        <f>-IFERROR(_xlfn.XLOOKUP(AW4,'Pref Schedule'!$B$12:$B$96,'Pref Schedule'!$H$12:$H$96,,0),0)</f>
        <v>0</v>
      </c>
      <c r="AX79" s="180">
        <f>-IFERROR(_xlfn.XLOOKUP(AX4,'Pref Schedule'!$B$12:$B$96,'Pref Schedule'!$H$12:$H$96,,0),0)</f>
        <v>0</v>
      </c>
      <c r="AY79" s="180">
        <f>-IFERROR(_xlfn.XLOOKUP(AY4,'Pref Schedule'!$B$12:$B$96,'Pref Schedule'!$H$12:$H$96,,0),0)</f>
        <v>0</v>
      </c>
      <c r="AZ79" s="180">
        <f>-IFERROR(_xlfn.XLOOKUP(AZ4,'Pref Schedule'!$B$12:$B$96,'Pref Schedule'!$H$12:$H$96,,0),0)</f>
        <v>0</v>
      </c>
      <c r="BA79" s="180">
        <f>-IFERROR(_xlfn.XLOOKUP(BA4,'Pref Schedule'!$B$12:$B$96,'Pref Schedule'!$H$12:$H$96,,0),0)</f>
        <v>0</v>
      </c>
      <c r="BB79" s="180">
        <f>-IFERROR(_xlfn.XLOOKUP(BB4,'Pref Schedule'!$B$12:$B$96,'Pref Schedule'!$H$12:$H$96,,0),0)</f>
        <v>0</v>
      </c>
      <c r="BC79" s="180">
        <f>-IFERROR(_xlfn.XLOOKUP(BC4,'Pref Schedule'!$B$12:$B$96,'Pref Schedule'!$H$12:$H$96,,0),0)</f>
        <v>0</v>
      </c>
      <c r="BD79" s="180">
        <f>-IFERROR(_xlfn.XLOOKUP(BD4,'Pref Schedule'!$B$12:$B$96,'Pref Schedule'!$H$12:$H$96,,0),0)</f>
        <v>0</v>
      </c>
      <c r="BE79" s="180">
        <f>-IFERROR(_xlfn.XLOOKUP(BE4,'Pref Schedule'!$B$12:$B$96,'Pref Schedule'!$H$12:$H$96,,0),0)</f>
        <v>0</v>
      </c>
      <c r="BF79" s="180">
        <f>-IFERROR(_xlfn.XLOOKUP(BF4,'Pref Schedule'!$B$12:$B$96,'Pref Schedule'!$H$12:$H$96,,0),0)</f>
        <v>0</v>
      </c>
      <c r="BG79" s="180">
        <f>-IFERROR(_xlfn.XLOOKUP(BG4,'Pref Schedule'!$B$12:$B$96,'Pref Schedule'!$H$12:$H$96,,0),0)</f>
        <v>0</v>
      </c>
      <c r="BH79" s="180">
        <f>-IFERROR(_xlfn.XLOOKUP(BH4,'Pref Schedule'!$B$12:$B$96,'Pref Schedule'!$H$12:$H$96,,0),0)</f>
        <v>0</v>
      </c>
      <c r="BI79" s="180">
        <f>-IFERROR(_xlfn.XLOOKUP(BI4,'Pref Schedule'!$B$12:$B$96,'Pref Schedule'!$H$12:$H$96,,0),0)</f>
        <v>0</v>
      </c>
      <c r="BJ79" s="180">
        <f>-IFERROR(_xlfn.XLOOKUP(BJ4,'Pref Schedule'!$B$12:$B$96,'Pref Schedule'!$H$12:$H$96,,0),0)</f>
        <v>0</v>
      </c>
      <c r="BK79" s="180">
        <f>-IFERROR(_xlfn.XLOOKUP(BK4,'Pref Schedule'!$B$12:$B$96,'Pref Schedule'!$H$12:$H$96,,0),0)</f>
        <v>0</v>
      </c>
      <c r="BL79" s="180">
        <f>-IFERROR(_xlfn.XLOOKUP(BL4,'Pref Schedule'!$B$12:$B$96,'Pref Schedule'!$H$12:$H$96,,0),0)</f>
        <v>0</v>
      </c>
      <c r="BM79" s="180">
        <f>-IFERROR(_xlfn.XLOOKUP(BM4,'Pref Schedule'!$B$12:$B$96,'Pref Schedule'!$H$12:$H$96,,0),0)</f>
        <v>0</v>
      </c>
      <c r="BN79" s="180">
        <f>-IFERROR(_xlfn.XLOOKUP(BN4,'Pref Schedule'!$B$12:$B$96,'Pref Schedule'!$H$12:$H$96,,0),0)</f>
        <v>0</v>
      </c>
      <c r="BO79" s="180">
        <f>-IFERROR(_xlfn.XLOOKUP(BO4,'Pref Schedule'!$B$12:$B$96,'Pref Schedule'!$H$12:$H$96,,0),0)</f>
        <v>0</v>
      </c>
      <c r="BP79" s="180">
        <f>-IFERROR(_xlfn.XLOOKUP(BP4,'Pref Schedule'!$B$12:$B$96,'Pref Schedule'!$H$12:$H$96,,0),0)</f>
        <v>0</v>
      </c>
      <c r="BQ79" s="180">
        <f>-IFERROR(_xlfn.XLOOKUP(BQ4,'Pref Schedule'!$B$12:$B$96,'Pref Schedule'!$H$12:$H$96,,0),0)</f>
        <v>0</v>
      </c>
      <c r="BR79" s="180">
        <f>-IFERROR(_xlfn.XLOOKUP(BR4,'Pref Schedule'!$B$12:$B$96,'Pref Schedule'!$H$12:$H$96,,0),0)</f>
        <v>0</v>
      </c>
      <c r="BS79" s="180">
        <f>-IFERROR(_xlfn.XLOOKUP(BS4,'Pref Schedule'!$B$12:$B$96,'Pref Schedule'!$H$12:$H$96,,0),0)</f>
        <v>0</v>
      </c>
      <c r="BT79" s="180">
        <f>-IFERROR(_xlfn.XLOOKUP(BT4,'Pref Schedule'!$B$12:$B$96,'Pref Schedule'!$H$12:$H$96,,0),0)</f>
        <v>0</v>
      </c>
      <c r="BU79" s="180">
        <f>-IFERROR(_xlfn.XLOOKUP(BU4,'Pref Schedule'!$B$12:$B$96,'Pref Schedule'!$H$12:$H$96,,0),0)</f>
        <v>0</v>
      </c>
      <c r="BV79" s="180">
        <f>-IFERROR(_xlfn.XLOOKUP(BV4,'Pref Schedule'!$B$12:$B$96,'Pref Schedule'!$H$12:$H$96,,0),0)</f>
        <v>0</v>
      </c>
      <c r="BW79" s="180">
        <f>-IFERROR(_xlfn.XLOOKUP(BW4,'Pref Schedule'!$B$12:$B$96,'Pref Schedule'!$H$12:$H$96,,0),0)</f>
        <v>0</v>
      </c>
      <c r="BX79" s="180">
        <f>-IFERROR(_xlfn.XLOOKUP(BX4,'Pref Schedule'!$B$12:$B$96,'Pref Schedule'!$H$12:$H$96,,0),0)</f>
        <v>0</v>
      </c>
      <c r="BY79" s="180">
        <f>-IFERROR(_xlfn.XLOOKUP(BY4,'Pref Schedule'!$B$12:$B$96,'Pref Schedule'!$H$12:$H$96,,0),0)</f>
        <v>0</v>
      </c>
      <c r="BZ79" s="180">
        <f>-IFERROR(_xlfn.XLOOKUP(BZ4,'Pref Schedule'!$B$12:$B$96,'Pref Schedule'!$H$12:$H$96,,0),0)</f>
        <v>0</v>
      </c>
      <c r="CA79" s="180">
        <f>-IFERROR(_xlfn.XLOOKUP(CA4,'Pref Schedule'!$B$12:$B$96,'Pref Schedule'!$H$12:$H$96,,0),0)</f>
        <v>0</v>
      </c>
      <c r="CB79" s="180">
        <f>-IFERROR(_xlfn.XLOOKUP(CB4,'Pref Schedule'!$B$12:$B$96,'Pref Schedule'!$H$12:$H$96,,0),0)</f>
        <v>0</v>
      </c>
      <c r="CC79" s="180">
        <f>-IFERROR(_xlfn.XLOOKUP(CC4,'Pref Schedule'!$B$12:$B$96,'Pref Schedule'!$H$12:$H$96,,0),0)</f>
        <v>0</v>
      </c>
      <c r="CD79" s="180">
        <f>-IFERROR(_xlfn.XLOOKUP(CD4,'Pref Schedule'!$B$12:$B$96,'Pref Schedule'!$H$12:$H$96,,0),0)</f>
        <v>0</v>
      </c>
      <c r="CE79" s="180">
        <f>-IFERROR(_xlfn.XLOOKUP(CE4,'Pref Schedule'!$B$12:$B$96,'Pref Schedule'!$H$12:$H$96,,0),0)</f>
        <v>0</v>
      </c>
      <c r="CF79" s="180">
        <f>-IFERROR(_xlfn.XLOOKUP(CF4,'Pref Schedule'!$B$12:$B$96,'Pref Schedule'!$H$12:$H$96,,0),0)</f>
        <v>0</v>
      </c>
      <c r="CG79" s="180">
        <f>-IFERROR(_xlfn.XLOOKUP(CG4,'Pref Schedule'!$B$12:$B$96,'Pref Schedule'!$H$12:$H$96,,0),0)</f>
        <v>0</v>
      </c>
      <c r="CH79" s="180">
        <f>-IFERROR(_xlfn.XLOOKUP(CH4,'Pref Schedule'!$B$12:$B$96,'Pref Schedule'!$H$12:$H$96,,0),0)</f>
        <v>0</v>
      </c>
      <c r="CI79" s="180">
        <f>-IFERROR(_xlfn.XLOOKUP(CI4,'Pref Schedule'!$B$12:$B$96,'Pref Schedule'!$H$12:$H$96,,0),0)</f>
        <v>0</v>
      </c>
      <c r="CJ79" s="180">
        <f>-IFERROR(_xlfn.XLOOKUP(CJ4,'Pref Schedule'!$B$12:$B$96,'Pref Schedule'!$H$12:$H$96,,0),0)</f>
        <v>0</v>
      </c>
      <c r="CK79" s="180">
        <f>-IFERROR(_xlfn.XLOOKUP(CK4,'Pref Schedule'!$B$12:$B$96,'Pref Schedule'!$H$12:$H$96,,0),0)</f>
        <v>0</v>
      </c>
      <c r="CL79" s="180">
        <f>-IFERROR(_xlfn.XLOOKUP(CL4,'Pref Schedule'!$B$12:$B$96,'Pref Schedule'!$H$12:$H$96,,0),0)</f>
        <v>0</v>
      </c>
      <c r="CM79" s="180">
        <f>-IFERROR(_xlfn.XLOOKUP(CM4,'Pref Schedule'!$B$12:$B$96,'Pref Schedule'!$H$12:$H$96,,0),0)</f>
        <v>0</v>
      </c>
      <c r="CN79" s="180">
        <f>-IFERROR(_xlfn.XLOOKUP(CN4,'Pref Schedule'!$B$12:$B$96,'Pref Schedule'!$H$12:$H$96,,0),0)</f>
        <v>0</v>
      </c>
      <c r="CO79" s="180">
        <f>-IFERROR(_xlfn.XLOOKUP(CO4,'Pref Schedule'!$B$12:$B$96,'Pref Schedule'!$H$12:$H$96,,0),0)</f>
        <v>0</v>
      </c>
      <c r="CP79" s="180">
        <f>-IFERROR(_xlfn.XLOOKUP(CP4,'Pref Schedule'!$B$12:$B$96,'Pref Schedule'!$H$12:$H$96,,0),0)</f>
        <v>0</v>
      </c>
      <c r="CQ79" s="180">
        <f>-IFERROR(_xlfn.XLOOKUP(CQ4,'Pref Schedule'!$B$12:$B$96,'Pref Schedule'!$H$12:$H$96,,0),0)</f>
        <v>0</v>
      </c>
      <c r="CR79" s="180">
        <f>-IFERROR(_xlfn.XLOOKUP(CR4,'Pref Schedule'!$B$12:$B$96,'Pref Schedule'!$H$12:$H$96,,0),0)</f>
        <v>0</v>
      </c>
      <c r="CS79" s="180">
        <f>-IFERROR(_xlfn.XLOOKUP(CS4,'Pref Schedule'!$B$12:$B$96,'Pref Schedule'!$H$12:$H$96,,0),0)</f>
        <v>0</v>
      </c>
      <c r="CT79" s="180">
        <f>-IFERROR(_xlfn.XLOOKUP(CT4,'Pref Schedule'!$B$12:$B$96,'Pref Schedule'!$H$12:$H$96,,0),0)</f>
        <v>0</v>
      </c>
      <c r="CU79" s="180">
        <f>-IFERROR(_xlfn.XLOOKUP(CU4,'Pref Schedule'!$B$12:$B$96,'Pref Schedule'!$H$12:$H$96,,0),0)</f>
        <v>0</v>
      </c>
      <c r="CV79" s="180">
        <f>-IFERROR(_xlfn.XLOOKUP(CV4,'Pref Schedule'!$B$12:$B$96,'Pref Schedule'!$H$12:$H$96,,0),0)</f>
        <v>0</v>
      </c>
      <c r="CW79" s="180">
        <f>-IFERROR(_xlfn.XLOOKUP(CW4,'Pref Schedule'!$B$12:$B$96,'Pref Schedule'!$H$12:$H$96,,0),0)</f>
        <v>0</v>
      </c>
      <c r="CX79" s="180">
        <f>-IFERROR(_xlfn.XLOOKUP(CX4,'Pref Schedule'!$B$12:$B$96,'Pref Schedule'!$H$12:$H$96,,0),0)</f>
        <v>0</v>
      </c>
      <c r="CY79" s="180">
        <f>-IFERROR(_xlfn.XLOOKUP(CY4,'Pref Schedule'!$B$12:$B$96,'Pref Schedule'!$H$12:$H$96,,0),0)</f>
        <v>0</v>
      </c>
      <c r="CZ79" s="180">
        <f>-IFERROR(_xlfn.XLOOKUP(CZ4,'Pref Schedule'!$B$12:$B$96,'Pref Schedule'!$H$12:$H$96,,0),0)</f>
        <v>0</v>
      </c>
      <c r="DA79" s="180">
        <f>-IFERROR(_xlfn.XLOOKUP(DA4,'Pref Schedule'!$B$12:$B$96,'Pref Schedule'!$H$12:$H$96,,0),0)</f>
        <v>0</v>
      </c>
      <c r="DB79" s="180">
        <f>-IFERROR(_xlfn.XLOOKUP(DB4,'Pref Schedule'!$B$12:$B$96,'Pref Schedule'!$H$12:$H$96,,0),0)</f>
        <v>0</v>
      </c>
      <c r="DC79" s="180">
        <f>-IFERROR(_xlfn.XLOOKUP(DC4,'Pref Schedule'!$B$12:$B$96,'Pref Schedule'!$H$12:$H$96,,0),0)</f>
        <v>0</v>
      </c>
      <c r="DD79" s="180">
        <f>-IFERROR(_xlfn.XLOOKUP(DD4,'Pref Schedule'!$B$12:$B$96,'Pref Schedule'!$H$12:$H$96,,0),0)</f>
        <v>0</v>
      </c>
      <c r="DE79" s="180">
        <f>-IFERROR(_xlfn.XLOOKUP(DE4,'Pref Schedule'!$B$12:$B$96,'Pref Schedule'!$H$12:$H$96,,0),0)</f>
        <v>0</v>
      </c>
      <c r="DF79" s="180">
        <f>-IFERROR(_xlfn.XLOOKUP(DF4,'Pref Schedule'!$B$12:$B$96,'Pref Schedule'!$H$12:$H$96,,0),0)</f>
        <v>0</v>
      </c>
      <c r="DG79" s="180">
        <f>-IFERROR(_xlfn.XLOOKUP(DG4,'Pref Schedule'!$B$12:$B$96,'Pref Schedule'!$H$12:$H$96,,0),0)</f>
        <v>0</v>
      </c>
      <c r="DH79" s="180">
        <f>-IFERROR(_xlfn.XLOOKUP(DH4,'Pref Schedule'!$B$12:$B$96,'Pref Schedule'!$H$12:$H$96,,0),0)</f>
        <v>0</v>
      </c>
      <c r="DI79" s="180">
        <f>-IFERROR(_xlfn.XLOOKUP(DI4,'Pref Schedule'!$B$12:$B$96,'Pref Schedule'!$H$12:$H$96,,0),0)</f>
        <v>0</v>
      </c>
      <c r="DJ79" s="180">
        <f>-IFERROR(_xlfn.XLOOKUP(DJ4,'Pref Schedule'!$B$12:$B$96,'Pref Schedule'!$H$12:$H$96,,0),0)</f>
        <v>0</v>
      </c>
      <c r="DK79" s="180">
        <f>-IFERROR(_xlfn.XLOOKUP(DK4,'Pref Schedule'!$B$12:$B$96,'Pref Schedule'!$H$12:$H$96,,0),0)</f>
        <v>0</v>
      </c>
      <c r="DL79" s="180">
        <f>-IFERROR(_xlfn.XLOOKUP(DL4,'Pref Schedule'!$B$12:$B$96,'Pref Schedule'!$H$12:$H$96,,0),0)</f>
        <v>0</v>
      </c>
      <c r="DM79" s="180">
        <f>-IFERROR(_xlfn.XLOOKUP(DM4,'Pref Schedule'!$B$12:$B$96,'Pref Schedule'!$H$12:$H$96,,0),0)</f>
        <v>0</v>
      </c>
      <c r="DN79" s="180">
        <f>-IFERROR(_xlfn.XLOOKUP(DN4,'Pref Schedule'!$B$12:$B$96,'Pref Schedule'!$H$12:$H$96,,0),0)</f>
        <v>0</v>
      </c>
      <c r="DO79" s="180">
        <f>-IFERROR(_xlfn.XLOOKUP(DO4,'Pref Schedule'!$B$12:$B$96,'Pref Schedule'!$H$12:$H$96,,0),0)</f>
        <v>0</v>
      </c>
      <c r="DP79" s="180">
        <f>-IFERROR(_xlfn.XLOOKUP(DP4,'Pref Schedule'!$B$12:$B$96,'Pref Schedule'!$H$12:$H$96,,0),0)</f>
        <v>0</v>
      </c>
      <c r="DQ79" s="180">
        <f>-IFERROR(_xlfn.XLOOKUP(DQ4,'Pref Schedule'!$B$12:$B$96,'Pref Schedule'!$H$12:$H$96,,0),0)</f>
        <v>0</v>
      </c>
      <c r="DR79" s="180">
        <f>-IFERROR(_xlfn.XLOOKUP(DR4,'Pref Schedule'!$B$12:$B$96,'Pref Schedule'!$H$12:$H$96,,0),0)</f>
        <v>0</v>
      </c>
      <c r="DS79" s="180">
        <f>-IFERROR(_xlfn.XLOOKUP(DS4,'Pref Schedule'!$B$12:$B$96,'Pref Schedule'!$H$12:$H$96,,0),0)</f>
        <v>0</v>
      </c>
      <c r="DT79" s="180">
        <f>-IFERROR(_xlfn.XLOOKUP(DT4,'Pref Schedule'!$B$12:$B$96,'Pref Schedule'!$H$12:$H$96,,0),0)</f>
        <v>0</v>
      </c>
      <c r="DU79" s="180">
        <f>-IFERROR(_xlfn.XLOOKUP(DU4,'Pref Schedule'!$B$12:$B$96,'Pref Schedule'!$H$12:$H$96,,0),0)</f>
        <v>0</v>
      </c>
      <c r="DV79" s="180">
        <f>-IFERROR(_xlfn.XLOOKUP(DV4,'Pref Schedule'!$B$12:$B$96,'Pref Schedule'!$H$12:$H$96,,0),0)</f>
        <v>0</v>
      </c>
      <c r="DW79" s="180">
        <f>-IFERROR(_xlfn.XLOOKUP(DW4,'Pref Schedule'!$B$12:$B$96,'Pref Schedule'!$H$12:$H$96,,0),0)</f>
        <v>0</v>
      </c>
      <c r="DX79" s="180">
        <f>-IFERROR(_xlfn.XLOOKUP(DX4,'Pref Schedule'!$B$12:$B$96,'Pref Schedule'!$H$12:$H$96,,0),0)</f>
        <v>0</v>
      </c>
      <c r="DY79" s="180">
        <f>-IFERROR(_xlfn.XLOOKUP(DY4,'Pref Schedule'!$B$12:$B$96,'Pref Schedule'!$H$12:$H$96,,0),0)</f>
        <v>0</v>
      </c>
      <c r="DZ79" s="180">
        <f>-IFERROR(_xlfn.XLOOKUP(DZ4,'Pref Schedule'!$B$12:$B$96,'Pref Schedule'!$H$12:$H$96,,0),0)</f>
        <v>0</v>
      </c>
      <c r="EA79" s="180">
        <f>-IFERROR(_xlfn.XLOOKUP(EA4,'Pref Schedule'!$B$12:$B$96,'Pref Schedule'!$H$12:$H$96,,0),0)</f>
        <v>0</v>
      </c>
      <c r="EB79" s="180">
        <f>-IFERROR(_xlfn.XLOOKUP(EB4,'Pref Schedule'!$B$12:$B$96,'Pref Schedule'!$H$12:$H$96,,0),0)</f>
        <v>0</v>
      </c>
      <c r="EC79" s="180">
        <f>-IFERROR(_xlfn.XLOOKUP(EC4,'Pref Schedule'!$B$12:$B$96,'Pref Schedule'!$H$12:$H$96,,0),0)</f>
        <v>0</v>
      </c>
      <c r="ED79" s="180">
        <f>-IFERROR(_xlfn.XLOOKUP(ED4,'Pref Schedule'!$B$12:$B$96,'Pref Schedule'!$H$12:$H$96,,0),0)</f>
        <v>0</v>
      </c>
      <c r="EE79" s="180">
        <f>-IFERROR(_xlfn.XLOOKUP(EE4,'Pref Schedule'!$B$12:$B$96,'Pref Schedule'!$H$12:$H$96,,0),0)</f>
        <v>0</v>
      </c>
      <c r="EF79" s="180">
        <f>-IFERROR(_xlfn.XLOOKUP(EF4,'Pref Schedule'!$B$12:$B$96,'Pref Schedule'!$H$12:$H$96,,0),0)</f>
        <v>0</v>
      </c>
      <c r="EG79" s="180">
        <f>-IFERROR(_xlfn.XLOOKUP(EG4,'Pref Schedule'!$B$12:$B$96,'Pref Schedule'!$H$12:$H$96,,0),0)</f>
        <v>0</v>
      </c>
      <c r="EH79" s="180">
        <f>-IFERROR(_xlfn.XLOOKUP(EH4,'Pref Schedule'!$B$12:$B$96,'Pref Schedule'!$H$12:$H$96,,0),0)</f>
        <v>0</v>
      </c>
      <c r="EI79" s="158" t="s">
        <v>243</v>
      </c>
    </row>
    <row r="80" spans="1:139" s="312" customFormat="1" x14ac:dyDescent="0.2">
      <c r="A80" s="282"/>
      <c r="B80" s="322" t="s">
        <v>776</v>
      </c>
      <c r="C80" s="323"/>
      <c r="D80" s="324">
        <f ca="1">SUMIF($F$4:$EH$4,"&lt;="&amp;HoldPeriod,$F80:$EH80)</f>
        <v>-5422113.7330041239</v>
      </c>
      <c r="E80" s="324"/>
      <c r="F80" s="180">
        <f>'Loan Schedule'!C37</f>
        <v>0</v>
      </c>
      <c r="G80" s="180">
        <f>'Loan Schedule'!D37</f>
        <v>0</v>
      </c>
      <c r="H80" s="180">
        <f>'Loan Schedule'!E37</f>
        <v>0</v>
      </c>
      <c r="I80" s="180">
        <f>'Loan Schedule'!F37</f>
        <v>0</v>
      </c>
      <c r="J80" s="180">
        <f>'Loan Schedule'!G37</f>
        <v>0</v>
      </c>
      <c r="K80" s="180">
        <f>'Loan Schedule'!H37</f>
        <v>0</v>
      </c>
      <c r="L80" s="180">
        <f>'Loan Schedule'!I37</f>
        <v>0</v>
      </c>
      <c r="M80" s="180">
        <f>'Loan Schedule'!J37</f>
        <v>0</v>
      </c>
      <c r="N80" s="180">
        <f>'Loan Schedule'!K37</f>
        <v>0</v>
      </c>
      <c r="O80" s="180">
        <f>'Loan Schedule'!L37</f>
        <v>0</v>
      </c>
      <c r="P80" s="180">
        <f>'Loan Schedule'!M37</f>
        <v>0</v>
      </c>
      <c r="Q80" s="180">
        <f>'Loan Schedule'!N37</f>
        <v>0</v>
      </c>
      <c r="R80" s="180">
        <f>'Loan Schedule'!O37</f>
        <v>0</v>
      </c>
      <c r="S80" s="180">
        <f>'Loan Schedule'!P37</f>
        <v>0</v>
      </c>
      <c r="T80" s="180">
        <f>'Loan Schedule'!Q37</f>
        <v>0</v>
      </c>
      <c r="U80" s="180">
        <f>'Loan Schedule'!R37</f>
        <v>0</v>
      </c>
      <c r="V80" s="180">
        <f>'Loan Schedule'!S37</f>
        <v>0</v>
      </c>
      <c r="W80" s="180">
        <f>'Loan Schedule'!T37</f>
        <v>0</v>
      </c>
      <c r="X80" s="180">
        <f>'Loan Schedule'!U37</f>
        <v>0</v>
      </c>
      <c r="Y80" s="180">
        <f>'Loan Schedule'!V37</f>
        <v>0</v>
      </c>
      <c r="Z80" s="180">
        <f>'Loan Schedule'!W37</f>
        <v>0</v>
      </c>
      <c r="AA80" s="180">
        <f>'Loan Schedule'!X37</f>
        <v>0</v>
      </c>
      <c r="AB80" s="180">
        <f>'Loan Schedule'!Y37</f>
        <v>0</v>
      </c>
      <c r="AC80" s="180">
        <f>'Loan Schedule'!Z37</f>
        <v>0</v>
      </c>
      <c r="AD80" s="180">
        <f>'Loan Schedule'!AA37</f>
        <v>0</v>
      </c>
      <c r="AE80" s="180">
        <f>'Loan Schedule'!AB37</f>
        <v>0</v>
      </c>
      <c r="AF80" s="180">
        <f>'Loan Schedule'!AC37</f>
        <v>0</v>
      </c>
      <c r="AG80" s="180">
        <f>'Loan Schedule'!AD37</f>
        <v>0</v>
      </c>
      <c r="AH80" s="180">
        <f>'Loan Schedule'!AE37</f>
        <v>0</v>
      </c>
      <c r="AI80" s="180">
        <f>'Loan Schedule'!AF37</f>
        <v>0</v>
      </c>
      <c r="AJ80" s="180">
        <f>'Loan Schedule'!AG37</f>
        <v>0</v>
      </c>
      <c r="AK80" s="180">
        <f>'Loan Schedule'!AH37</f>
        <v>0</v>
      </c>
      <c r="AL80" s="180">
        <f>'Loan Schedule'!AI37</f>
        <v>0</v>
      </c>
      <c r="AM80" s="180">
        <f>'Loan Schedule'!AJ37</f>
        <v>0</v>
      </c>
      <c r="AN80" s="180">
        <f>'Loan Schedule'!AK37</f>
        <v>0</v>
      </c>
      <c r="AO80" s="180">
        <f>'Loan Schedule'!AL37</f>
        <v>0</v>
      </c>
      <c r="AP80" s="180">
        <f>'Loan Schedule'!AM37</f>
        <v>0</v>
      </c>
      <c r="AQ80" s="180">
        <f ca="1">'Loan Schedule'!AN37</f>
        <v>-225921.40554183858</v>
      </c>
      <c r="AR80" s="180">
        <f ca="1">'Loan Schedule'!AO37</f>
        <v>-225921.40554183858</v>
      </c>
      <c r="AS80" s="180">
        <f ca="1">'Loan Schedule'!AP37</f>
        <v>-225921.40554183858</v>
      </c>
      <c r="AT80" s="180">
        <f ca="1">'Loan Schedule'!AQ37</f>
        <v>-225921.40554183858</v>
      </c>
      <c r="AU80" s="180">
        <f ca="1">'Loan Schedule'!AR37</f>
        <v>-225921.40554183858</v>
      </c>
      <c r="AV80" s="180">
        <f ca="1">'Loan Schedule'!AS37</f>
        <v>-225921.40554183858</v>
      </c>
      <c r="AW80" s="180">
        <f ca="1">'Loan Schedule'!AT37</f>
        <v>-225921.40554183858</v>
      </c>
      <c r="AX80" s="180">
        <f ca="1">'Loan Schedule'!AU37</f>
        <v>-225921.40554183858</v>
      </c>
      <c r="AY80" s="180">
        <f ca="1">'Loan Schedule'!AV37</f>
        <v>-225921.40554183858</v>
      </c>
      <c r="AZ80" s="180">
        <f ca="1">'Loan Schedule'!AW37</f>
        <v>-225921.40554183858</v>
      </c>
      <c r="BA80" s="180">
        <f ca="1">'Loan Schedule'!AX37</f>
        <v>-225921.40554183858</v>
      </c>
      <c r="BB80" s="180">
        <f ca="1">'Loan Schedule'!AY37</f>
        <v>-225921.40554183858</v>
      </c>
      <c r="BC80" s="180">
        <f ca="1">'Loan Schedule'!AZ37</f>
        <v>-225921.40554183858</v>
      </c>
      <c r="BD80" s="180">
        <f ca="1">'Loan Schedule'!BA37</f>
        <v>-225921.40554183858</v>
      </c>
      <c r="BE80" s="180">
        <f ca="1">'Loan Schedule'!BB37</f>
        <v>-225921.40554183858</v>
      </c>
      <c r="BF80" s="180">
        <f ca="1">'Loan Schedule'!BC37</f>
        <v>-225921.40554183858</v>
      </c>
      <c r="BG80" s="180">
        <f ca="1">'Loan Schedule'!BD37</f>
        <v>-225921.40554183858</v>
      </c>
      <c r="BH80" s="180">
        <f ca="1">'Loan Schedule'!BE37</f>
        <v>-225921.40554183858</v>
      </c>
      <c r="BI80" s="180">
        <f ca="1">'Loan Schedule'!BF37</f>
        <v>-225921.40554183858</v>
      </c>
      <c r="BJ80" s="180">
        <f ca="1">'Loan Schedule'!BG37</f>
        <v>-225921.40554183858</v>
      </c>
      <c r="BK80" s="180">
        <f ca="1">'Loan Schedule'!BH37</f>
        <v>-225921.40554183858</v>
      </c>
      <c r="BL80" s="180">
        <f ca="1">'Loan Schedule'!BI37</f>
        <v>-225921.40554183858</v>
      </c>
      <c r="BM80" s="180">
        <f ca="1">'Loan Schedule'!BJ37</f>
        <v>-225921.40554183858</v>
      </c>
      <c r="BN80" s="180">
        <f ca="1">'Loan Schedule'!BK37</f>
        <v>-225921.40554183858</v>
      </c>
      <c r="BO80" s="180">
        <f>'Loan Schedule'!BL37</f>
        <v>0</v>
      </c>
      <c r="BP80" s="180">
        <f>'Loan Schedule'!BM37</f>
        <v>0</v>
      </c>
      <c r="BQ80" s="180">
        <f>'Loan Schedule'!BN37</f>
        <v>0</v>
      </c>
      <c r="BR80" s="180">
        <f>'Loan Schedule'!BO37</f>
        <v>0</v>
      </c>
      <c r="BS80" s="180">
        <f>'Loan Schedule'!BP37</f>
        <v>0</v>
      </c>
      <c r="BT80" s="180">
        <f>'Loan Schedule'!BQ37</f>
        <v>0</v>
      </c>
      <c r="BU80" s="180">
        <f>'Loan Schedule'!BR37</f>
        <v>0</v>
      </c>
      <c r="BV80" s="180">
        <f>'Loan Schedule'!BS37</f>
        <v>0</v>
      </c>
      <c r="BW80" s="180">
        <f>'Loan Schedule'!BT37</f>
        <v>0</v>
      </c>
      <c r="BX80" s="180">
        <f>'Loan Schedule'!BU37</f>
        <v>0</v>
      </c>
      <c r="BY80" s="180">
        <f>'Loan Schedule'!BV37</f>
        <v>0</v>
      </c>
      <c r="BZ80" s="180">
        <f>'Loan Schedule'!BW37</f>
        <v>0</v>
      </c>
      <c r="CA80" s="180">
        <f>'Loan Schedule'!BX37</f>
        <v>0</v>
      </c>
      <c r="CB80" s="180">
        <f>'Loan Schedule'!BY37</f>
        <v>0</v>
      </c>
      <c r="CC80" s="180">
        <f>'Loan Schedule'!BZ37</f>
        <v>0</v>
      </c>
      <c r="CD80" s="180">
        <f>'Loan Schedule'!CA37</f>
        <v>0</v>
      </c>
      <c r="CE80" s="180">
        <f>'Loan Schedule'!CB37</f>
        <v>0</v>
      </c>
      <c r="CF80" s="180">
        <f>'Loan Schedule'!CC37</f>
        <v>0</v>
      </c>
      <c r="CG80" s="180">
        <f>'Loan Schedule'!CD37</f>
        <v>0</v>
      </c>
      <c r="CH80" s="180">
        <f>'Loan Schedule'!CE37</f>
        <v>0</v>
      </c>
      <c r="CI80" s="180">
        <f>'Loan Schedule'!CF37</f>
        <v>0</v>
      </c>
      <c r="CJ80" s="180">
        <f>'Loan Schedule'!CG37</f>
        <v>0</v>
      </c>
      <c r="CK80" s="180">
        <f>'Loan Schedule'!CH37</f>
        <v>0</v>
      </c>
      <c r="CL80" s="180">
        <f>'Loan Schedule'!CI37</f>
        <v>0</v>
      </c>
      <c r="CM80" s="180">
        <f>'Loan Schedule'!CJ37</f>
        <v>0</v>
      </c>
      <c r="CN80" s="180">
        <f>'Loan Schedule'!CK37</f>
        <v>0</v>
      </c>
      <c r="CO80" s="180">
        <f>'Loan Schedule'!CL37</f>
        <v>0</v>
      </c>
      <c r="CP80" s="180">
        <f>'Loan Schedule'!CM37</f>
        <v>0</v>
      </c>
      <c r="CQ80" s="180">
        <f>'Loan Schedule'!CN37</f>
        <v>0</v>
      </c>
      <c r="CR80" s="180">
        <f>'Loan Schedule'!CO37</f>
        <v>0</v>
      </c>
      <c r="CS80" s="180">
        <f>'Loan Schedule'!CP37</f>
        <v>0</v>
      </c>
      <c r="CT80" s="180">
        <f>'Loan Schedule'!CQ37</f>
        <v>0</v>
      </c>
      <c r="CU80" s="180">
        <f>'Loan Schedule'!CR37</f>
        <v>0</v>
      </c>
      <c r="CV80" s="180">
        <f>'Loan Schedule'!CS37</f>
        <v>0</v>
      </c>
      <c r="CW80" s="180">
        <f>'Loan Schedule'!CT37</f>
        <v>0</v>
      </c>
      <c r="CX80" s="180">
        <f>'Loan Schedule'!CU37</f>
        <v>0</v>
      </c>
      <c r="CY80" s="180">
        <f>'Loan Schedule'!CV37</f>
        <v>0</v>
      </c>
      <c r="CZ80" s="180">
        <f>'Loan Schedule'!CW37</f>
        <v>0</v>
      </c>
      <c r="DA80" s="180">
        <f>'Loan Schedule'!CX37</f>
        <v>0</v>
      </c>
      <c r="DB80" s="180">
        <f>'Loan Schedule'!CY37</f>
        <v>0</v>
      </c>
      <c r="DC80" s="180">
        <f>'Loan Schedule'!CZ37</f>
        <v>0</v>
      </c>
      <c r="DD80" s="180">
        <f>'Loan Schedule'!DA37</f>
        <v>0</v>
      </c>
      <c r="DE80" s="180">
        <f>'Loan Schedule'!DB37</f>
        <v>0</v>
      </c>
      <c r="DF80" s="180">
        <f>'Loan Schedule'!DC37</f>
        <v>0</v>
      </c>
      <c r="DG80" s="180">
        <f>'Loan Schedule'!DD37</f>
        <v>0</v>
      </c>
      <c r="DH80" s="180">
        <f>'Loan Schedule'!DE37</f>
        <v>0</v>
      </c>
      <c r="DI80" s="180">
        <f>'Loan Schedule'!DF37</f>
        <v>0</v>
      </c>
      <c r="DJ80" s="180">
        <f>'Loan Schedule'!DG37</f>
        <v>0</v>
      </c>
      <c r="DK80" s="180">
        <f>'Loan Schedule'!DH37</f>
        <v>0</v>
      </c>
      <c r="DL80" s="180">
        <f>'Loan Schedule'!DI37</f>
        <v>0</v>
      </c>
      <c r="DM80" s="180">
        <f>'Loan Schedule'!DJ37</f>
        <v>0</v>
      </c>
      <c r="DN80" s="180">
        <f>'Loan Schedule'!DK37</f>
        <v>0</v>
      </c>
      <c r="DO80" s="180">
        <f>'Loan Schedule'!DL37</f>
        <v>0</v>
      </c>
      <c r="DP80" s="180">
        <f>'Loan Schedule'!DM37</f>
        <v>0</v>
      </c>
      <c r="DQ80" s="180">
        <f>'Loan Schedule'!DN37</f>
        <v>0</v>
      </c>
      <c r="DR80" s="180">
        <f>'Loan Schedule'!DO37</f>
        <v>0</v>
      </c>
      <c r="DS80" s="180">
        <f>'Loan Schedule'!DP37</f>
        <v>0</v>
      </c>
      <c r="DT80" s="180">
        <f>'Loan Schedule'!DQ37</f>
        <v>0</v>
      </c>
      <c r="DU80" s="180">
        <f>'Loan Schedule'!DR37</f>
        <v>0</v>
      </c>
      <c r="DV80" s="180">
        <f>'Loan Schedule'!DS37</f>
        <v>0</v>
      </c>
      <c r="DW80" s="180">
        <f>'Loan Schedule'!DT37</f>
        <v>0</v>
      </c>
      <c r="DX80" s="180">
        <f>'Loan Schedule'!DU37</f>
        <v>0</v>
      </c>
      <c r="DY80" s="180">
        <f>'Loan Schedule'!DV37</f>
        <v>0</v>
      </c>
      <c r="DZ80" s="180">
        <f>'Loan Schedule'!DW37</f>
        <v>0</v>
      </c>
      <c r="EA80" s="180">
        <f>'Loan Schedule'!DX37</f>
        <v>0</v>
      </c>
      <c r="EB80" s="180">
        <f>'Loan Schedule'!DY37</f>
        <v>0</v>
      </c>
      <c r="EC80" s="180">
        <f>'Loan Schedule'!DZ37</f>
        <v>0</v>
      </c>
      <c r="ED80" s="180">
        <f>'Loan Schedule'!EA37</f>
        <v>0</v>
      </c>
      <c r="EE80" s="180">
        <f>'Loan Schedule'!EB37</f>
        <v>0</v>
      </c>
      <c r="EF80" s="180">
        <f>'Loan Schedule'!EC37</f>
        <v>0</v>
      </c>
      <c r="EG80" s="180">
        <f>'Loan Schedule'!ED37</f>
        <v>0</v>
      </c>
      <c r="EH80" s="180">
        <f>'Loan Schedule'!EE37</f>
        <v>0</v>
      </c>
      <c r="EI80" s="158" t="s">
        <v>243</v>
      </c>
    </row>
    <row r="81" spans="1:139" s="282" customFormat="1" x14ac:dyDescent="0.2">
      <c r="B81" s="325" t="s">
        <v>916</v>
      </c>
      <c r="C81" s="326"/>
      <c r="D81" s="327">
        <f ca="1">SUMIF($F$4:$EH$4,"&lt;="&amp;HoldPeriod,$F81:$EH81)</f>
        <v>-13752918.530654471</v>
      </c>
      <c r="E81" s="327"/>
      <c r="F81" s="328">
        <f t="shared" ref="F81:AK81" si="115">SUM(F78:F80)</f>
        <v>0</v>
      </c>
      <c r="G81" s="328">
        <f t="shared" si="115"/>
        <v>-221666.66666666666</v>
      </c>
      <c r="H81" s="328">
        <f t="shared" si="115"/>
        <v>-221666.66666666666</v>
      </c>
      <c r="I81" s="328">
        <f t="shared" si="115"/>
        <v>-221666.66666666666</v>
      </c>
      <c r="J81" s="328">
        <f t="shared" si="115"/>
        <v>-221666.66666666666</v>
      </c>
      <c r="K81" s="328">
        <f t="shared" si="115"/>
        <v>-221666.66666666666</v>
      </c>
      <c r="L81" s="328">
        <f t="shared" si="115"/>
        <v>-221666.66666666666</v>
      </c>
      <c r="M81" s="328">
        <f t="shared" si="115"/>
        <v>-221666.66666666666</v>
      </c>
      <c r="N81" s="328">
        <f t="shared" si="115"/>
        <v>-221666.66666666666</v>
      </c>
      <c r="O81" s="328">
        <f t="shared" si="115"/>
        <v>-221666.66666666666</v>
      </c>
      <c r="P81" s="328">
        <f t="shared" si="115"/>
        <v>-221666.66666666666</v>
      </c>
      <c r="Q81" s="328">
        <f t="shared" si="115"/>
        <v>-221666.66666666666</v>
      </c>
      <c r="R81" s="328">
        <f t="shared" si="115"/>
        <v>-221666.66666666666</v>
      </c>
      <c r="S81" s="328">
        <f t="shared" si="115"/>
        <v>-221666.66666666666</v>
      </c>
      <c r="T81" s="328">
        <f t="shared" si="115"/>
        <v>-221666.66666666666</v>
      </c>
      <c r="U81" s="328">
        <f t="shared" si="115"/>
        <v>-221666.66666666666</v>
      </c>
      <c r="V81" s="328">
        <f t="shared" si="115"/>
        <v>-221666.66666666666</v>
      </c>
      <c r="W81" s="328">
        <f t="shared" si="115"/>
        <v>-221666.66666666666</v>
      </c>
      <c r="X81" s="328">
        <f t="shared" si="115"/>
        <v>-221666.66666666666</v>
      </c>
      <c r="Y81" s="328">
        <f t="shared" si="115"/>
        <v>-221666.66666666666</v>
      </c>
      <c r="Z81" s="328">
        <f t="shared" si="115"/>
        <v>-221666.66666666666</v>
      </c>
      <c r="AA81" s="328">
        <f t="shared" si="115"/>
        <v>-221666.66666666666</v>
      </c>
      <c r="AB81" s="328">
        <f t="shared" si="115"/>
        <v>-221666.66666666666</v>
      </c>
      <c r="AC81" s="328">
        <f t="shared" si="115"/>
        <v>-221666.66666666666</v>
      </c>
      <c r="AD81" s="328">
        <f t="shared" si="115"/>
        <v>-221666.66666666666</v>
      </c>
      <c r="AE81" s="328">
        <f t="shared" si="115"/>
        <v>-250900.39980419481</v>
      </c>
      <c r="AF81" s="328">
        <f t="shared" si="115"/>
        <v>-250900.39980419481</v>
      </c>
      <c r="AG81" s="328">
        <f t="shared" si="115"/>
        <v>-250900.39980419481</v>
      </c>
      <c r="AH81" s="328">
        <f t="shared" si="115"/>
        <v>-250900.39980419481</v>
      </c>
      <c r="AI81" s="328">
        <f t="shared" si="115"/>
        <v>-250900.39980419481</v>
      </c>
      <c r="AJ81" s="328">
        <f t="shared" si="115"/>
        <v>-250900.39980419478</v>
      </c>
      <c r="AK81" s="328">
        <f t="shared" si="115"/>
        <v>-250900.39980419478</v>
      </c>
      <c r="AL81" s="328">
        <f t="shared" ref="AL81:BQ81" si="116">SUM(AL78:AL80)</f>
        <v>-250900.39980419478</v>
      </c>
      <c r="AM81" s="328">
        <f t="shared" si="116"/>
        <v>-250900.39980419478</v>
      </c>
      <c r="AN81" s="328">
        <f t="shared" si="116"/>
        <v>-250900.39980419478</v>
      </c>
      <c r="AO81" s="328">
        <f t="shared" si="116"/>
        <v>-250900.39980419478</v>
      </c>
      <c r="AP81" s="328">
        <f t="shared" si="116"/>
        <v>-250900.39980419478</v>
      </c>
      <c r="AQ81" s="328">
        <f t="shared" ca="1" si="116"/>
        <v>-225921.40554183858</v>
      </c>
      <c r="AR81" s="328">
        <f t="shared" ca="1" si="116"/>
        <v>-225921.40554183858</v>
      </c>
      <c r="AS81" s="328">
        <f t="shared" ca="1" si="116"/>
        <v>-225921.40554183858</v>
      </c>
      <c r="AT81" s="328">
        <f t="shared" ca="1" si="116"/>
        <v>-225921.40554183858</v>
      </c>
      <c r="AU81" s="328">
        <f t="shared" ca="1" si="116"/>
        <v>-225921.40554183858</v>
      </c>
      <c r="AV81" s="328">
        <f t="shared" ca="1" si="116"/>
        <v>-225921.40554183858</v>
      </c>
      <c r="AW81" s="328">
        <f t="shared" ca="1" si="116"/>
        <v>-225921.40554183858</v>
      </c>
      <c r="AX81" s="328">
        <f t="shared" ca="1" si="116"/>
        <v>-225921.40554183858</v>
      </c>
      <c r="AY81" s="328">
        <f t="shared" ca="1" si="116"/>
        <v>-225921.40554183858</v>
      </c>
      <c r="AZ81" s="328">
        <f t="shared" ca="1" si="116"/>
        <v>-225921.40554183858</v>
      </c>
      <c r="BA81" s="328">
        <f t="shared" ca="1" si="116"/>
        <v>-225921.40554183858</v>
      </c>
      <c r="BB81" s="328">
        <f t="shared" ca="1" si="116"/>
        <v>-225921.40554183858</v>
      </c>
      <c r="BC81" s="328">
        <f t="shared" ca="1" si="116"/>
        <v>-225921.40554183858</v>
      </c>
      <c r="BD81" s="328">
        <f t="shared" ca="1" si="116"/>
        <v>-225921.40554183858</v>
      </c>
      <c r="BE81" s="328">
        <f t="shared" ca="1" si="116"/>
        <v>-225921.40554183858</v>
      </c>
      <c r="BF81" s="328">
        <f t="shared" ca="1" si="116"/>
        <v>-225921.40554183858</v>
      </c>
      <c r="BG81" s="328">
        <f t="shared" ca="1" si="116"/>
        <v>-225921.40554183858</v>
      </c>
      <c r="BH81" s="328">
        <f t="shared" ca="1" si="116"/>
        <v>-225921.40554183858</v>
      </c>
      <c r="BI81" s="328">
        <f t="shared" ca="1" si="116"/>
        <v>-225921.40554183858</v>
      </c>
      <c r="BJ81" s="328">
        <f t="shared" ca="1" si="116"/>
        <v>-225921.40554183858</v>
      </c>
      <c r="BK81" s="328">
        <f t="shared" ca="1" si="116"/>
        <v>-225921.40554183858</v>
      </c>
      <c r="BL81" s="328">
        <f t="shared" ca="1" si="116"/>
        <v>-225921.40554183858</v>
      </c>
      <c r="BM81" s="328">
        <f t="shared" ca="1" si="116"/>
        <v>-225921.40554183858</v>
      </c>
      <c r="BN81" s="328">
        <f t="shared" ca="1" si="116"/>
        <v>-225921.40554183858</v>
      </c>
      <c r="BO81" s="328">
        <f t="shared" si="116"/>
        <v>0</v>
      </c>
      <c r="BP81" s="328">
        <f t="shared" si="116"/>
        <v>0</v>
      </c>
      <c r="BQ81" s="328">
        <f t="shared" si="116"/>
        <v>0</v>
      </c>
      <c r="BR81" s="328">
        <f t="shared" ref="BR81:CW81" si="117">SUM(BR78:BR80)</f>
        <v>0</v>
      </c>
      <c r="BS81" s="328">
        <f t="shared" si="117"/>
        <v>0</v>
      </c>
      <c r="BT81" s="328">
        <f t="shared" si="117"/>
        <v>0</v>
      </c>
      <c r="BU81" s="328">
        <f t="shared" si="117"/>
        <v>0</v>
      </c>
      <c r="BV81" s="328">
        <f t="shared" si="117"/>
        <v>0</v>
      </c>
      <c r="BW81" s="328">
        <f t="shared" si="117"/>
        <v>0</v>
      </c>
      <c r="BX81" s="328">
        <f t="shared" si="117"/>
        <v>0</v>
      </c>
      <c r="BY81" s="328">
        <f t="shared" si="117"/>
        <v>0</v>
      </c>
      <c r="BZ81" s="328">
        <f t="shared" si="117"/>
        <v>0</v>
      </c>
      <c r="CA81" s="328">
        <f t="shared" si="117"/>
        <v>0</v>
      </c>
      <c r="CB81" s="328">
        <f t="shared" si="117"/>
        <v>0</v>
      </c>
      <c r="CC81" s="328">
        <f t="shared" si="117"/>
        <v>0</v>
      </c>
      <c r="CD81" s="328">
        <f t="shared" si="117"/>
        <v>0</v>
      </c>
      <c r="CE81" s="328">
        <f t="shared" si="117"/>
        <v>0</v>
      </c>
      <c r="CF81" s="328">
        <f t="shared" si="117"/>
        <v>0</v>
      </c>
      <c r="CG81" s="328">
        <f t="shared" si="117"/>
        <v>0</v>
      </c>
      <c r="CH81" s="328">
        <f t="shared" si="117"/>
        <v>0</v>
      </c>
      <c r="CI81" s="328">
        <f t="shared" si="117"/>
        <v>0</v>
      </c>
      <c r="CJ81" s="328">
        <f t="shared" si="117"/>
        <v>0</v>
      </c>
      <c r="CK81" s="328">
        <f t="shared" si="117"/>
        <v>0</v>
      </c>
      <c r="CL81" s="328">
        <f t="shared" si="117"/>
        <v>0</v>
      </c>
      <c r="CM81" s="328">
        <f t="shared" si="117"/>
        <v>0</v>
      </c>
      <c r="CN81" s="328">
        <f t="shared" si="117"/>
        <v>0</v>
      </c>
      <c r="CO81" s="328">
        <f t="shared" si="117"/>
        <v>0</v>
      </c>
      <c r="CP81" s="328">
        <f t="shared" si="117"/>
        <v>0</v>
      </c>
      <c r="CQ81" s="328">
        <f t="shared" si="117"/>
        <v>0</v>
      </c>
      <c r="CR81" s="328">
        <f t="shared" si="117"/>
        <v>0</v>
      </c>
      <c r="CS81" s="328">
        <f t="shared" si="117"/>
        <v>0</v>
      </c>
      <c r="CT81" s="328">
        <f t="shared" si="117"/>
        <v>0</v>
      </c>
      <c r="CU81" s="328">
        <f t="shared" si="117"/>
        <v>0</v>
      </c>
      <c r="CV81" s="328">
        <f t="shared" si="117"/>
        <v>0</v>
      </c>
      <c r="CW81" s="328">
        <f t="shared" si="117"/>
        <v>0</v>
      </c>
      <c r="CX81" s="328">
        <f t="shared" ref="CX81:EC81" si="118">SUM(CX78:CX80)</f>
        <v>0</v>
      </c>
      <c r="CY81" s="328">
        <f t="shared" si="118"/>
        <v>0</v>
      </c>
      <c r="CZ81" s="328">
        <f t="shared" si="118"/>
        <v>0</v>
      </c>
      <c r="DA81" s="328">
        <f t="shared" si="118"/>
        <v>0</v>
      </c>
      <c r="DB81" s="328">
        <f t="shared" si="118"/>
        <v>0</v>
      </c>
      <c r="DC81" s="328">
        <f t="shared" si="118"/>
        <v>0</v>
      </c>
      <c r="DD81" s="328">
        <f t="shared" si="118"/>
        <v>0</v>
      </c>
      <c r="DE81" s="328">
        <f t="shared" si="118"/>
        <v>0</v>
      </c>
      <c r="DF81" s="328">
        <f t="shared" si="118"/>
        <v>0</v>
      </c>
      <c r="DG81" s="328">
        <f t="shared" si="118"/>
        <v>0</v>
      </c>
      <c r="DH81" s="328">
        <f t="shared" si="118"/>
        <v>0</v>
      </c>
      <c r="DI81" s="328">
        <f t="shared" si="118"/>
        <v>0</v>
      </c>
      <c r="DJ81" s="328">
        <f t="shared" si="118"/>
        <v>0</v>
      </c>
      <c r="DK81" s="328">
        <f t="shared" si="118"/>
        <v>0</v>
      </c>
      <c r="DL81" s="328">
        <f t="shared" si="118"/>
        <v>0</v>
      </c>
      <c r="DM81" s="328">
        <f t="shared" si="118"/>
        <v>0</v>
      </c>
      <c r="DN81" s="328">
        <f t="shared" si="118"/>
        <v>0</v>
      </c>
      <c r="DO81" s="328">
        <f t="shared" si="118"/>
        <v>0</v>
      </c>
      <c r="DP81" s="328">
        <f t="shared" si="118"/>
        <v>0</v>
      </c>
      <c r="DQ81" s="328">
        <f t="shared" si="118"/>
        <v>0</v>
      </c>
      <c r="DR81" s="328">
        <f t="shared" si="118"/>
        <v>0</v>
      </c>
      <c r="DS81" s="328">
        <f t="shared" si="118"/>
        <v>0</v>
      </c>
      <c r="DT81" s="328">
        <f t="shared" si="118"/>
        <v>0</v>
      </c>
      <c r="DU81" s="328">
        <f t="shared" si="118"/>
        <v>0</v>
      </c>
      <c r="DV81" s="328">
        <f t="shared" si="118"/>
        <v>0</v>
      </c>
      <c r="DW81" s="328">
        <f t="shared" si="118"/>
        <v>0</v>
      </c>
      <c r="DX81" s="328">
        <f t="shared" si="118"/>
        <v>0</v>
      </c>
      <c r="DY81" s="328">
        <f t="shared" si="118"/>
        <v>0</v>
      </c>
      <c r="DZ81" s="328">
        <f t="shared" si="118"/>
        <v>0</v>
      </c>
      <c r="EA81" s="328">
        <f t="shared" si="118"/>
        <v>0</v>
      </c>
      <c r="EB81" s="328">
        <f t="shared" si="118"/>
        <v>0</v>
      </c>
      <c r="EC81" s="328">
        <f t="shared" si="118"/>
        <v>0</v>
      </c>
      <c r="ED81" s="328">
        <f t="shared" ref="ED81:EH81" si="119">SUM(ED78:ED80)</f>
        <v>0</v>
      </c>
      <c r="EE81" s="328">
        <f t="shared" si="119"/>
        <v>0</v>
      </c>
      <c r="EF81" s="328">
        <f t="shared" si="119"/>
        <v>0</v>
      </c>
      <c r="EG81" s="328">
        <f t="shared" si="119"/>
        <v>0</v>
      </c>
      <c r="EH81" s="328">
        <f t="shared" si="119"/>
        <v>0</v>
      </c>
      <c r="EI81" s="158" t="s">
        <v>243</v>
      </c>
    </row>
    <row r="82" spans="1:139" s="312" customFormat="1" x14ac:dyDescent="0.2">
      <c r="A82" s="282"/>
      <c r="B82" s="323"/>
      <c r="C82" s="323"/>
      <c r="D82" s="329"/>
      <c r="E82" s="329"/>
      <c r="F82" s="180"/>
      <c r="G82" s="180"/>
      <c r="H82" s="180"/>
      <c r="I82" s="180"/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180"/>
      <c r="Z82" s="180"/>
      <c r="AA82" s="180"/>
      <c r="AB82" s="180"/>
      <c r="AC82" s="180"/>
      <c r="AD82" s="180"/>
      <c r="AE82" s="180"/>
      <c r="AF82" s="180"/>
      <c r="AG82" s="180"/>
      <c r="AH82" s="180"/>
      <c r="AI82" s="180"/>
      <c r="AJ82" s="180"/>
      <c r="AK82" s="180"/>
      <c r="AL82" s="180"/>
      <c r="AM82" s="180"/>
      <c r="AN82" s="180"/>
      <c r="AO82" s="180"/>
      <c r="AP82" s="180"/>
      <c r="AQ82" s="180"/>
      <c r="AR82" s="180"/>
      <c r="AS82" s="180"/>
      <c r="AT82" s="180"/>
      <c r="AU82" s="180"/>
      <c r="AV82" s="180"/>
      <c r="AW82" s="180"/>
      <c r="AX82" s="180"/>
      <c r="AY82" s="180"/>
      <c r="AZ82" s="180"/>
      <c r="BA82" s="180"/>
      <c r="BB82" s="180"/>
      <c r="BC82" s="180"/>
      <c r="BD82" s="180"/>
      <c r="BE82" s="180"/>
      <c r="BF82" s="180"/>
      <c r="BG82" s="180"/>
      <c r="BH82" s="180"/>
      <c r="BI82" s="180"/>
      <c r="BJ82" s="180"/>
      <c r="BK82" s="180"/>
      <c r="BL82" s="180"/>
      <c r="BM82" s="180"/>
      <c r="BN82" s="180"/>
      <c r="BO82" s="180"/>
      <c r="BP82" s="180"/>
      <c r="BQ82" s="180"/>
      <c r="BR82" s="180"/>
      <c r="BS82" s="180"/>
      <c r="BT82" s="180"/>
      <c r="BU82" s="180"/>
      <c r="BV82" s="180"/>
      <c r="BW82" s="180"/>
      <c r="BX82" s="180"/>
      <c r="BY82" s="180"/>
      <c r="BZ82" s="180"/>
      <c r="CA82" s="180"/>
      <c r="CB82" s="180"/>
      <c r="CC82" s="180"/>
      <c r="CD82" s="180"/>
      <c r="CE82" s="180"/>
      <c r="CF82" s="180"/>
      <c r="CG82" s="180"/>
      <c r="CH82" s="180"/>
      <c r="CI82" s="180"/>
      <c r="CJ82" s="180"/>
      <c r="CK82" s="180"/>
      <c r="CL82" s="180"/>
      <c r="CM82" s="180"/>
      <c r="CN82" s="180"/>
      <c r="CO82" s="180"/>
      <c r="CP82" s="180"/>
      <c r="CQ82" s="180"/>
      <c r="CR82" s="180"/>
      <c r="CS82" s="180"/>
      <c r="CT82" s="180"/>
      <c r="CU82" s="180"/>
      <c r="CV82" s="180"/>
      <c r="CW82" s="180"/>
      <c r="CX82" s="180"/>
      <c r="CY82" s="180"/>
      <c r="CZ82" s="180"/>
      <c r="DA82" s="180"/>
      <c r="DB82" s="180"/>
      <c r="DC82" s="180"/>
      <c r="DD82" s="180"/>
      <c r="DE82" s="180"/>
      <c r="DF82" s="180"/>
      <c r="DG82" s="180"/>
      <c r="DH82" s="180"/>
      <c r="DI82" s="180"/>
      <c r="DJ82" s="180"/>
      <c r="DK82" s="180"/>
      <c r="DL82" s="180"/>
      <c r="DM82" s="180"/>
      <c r="DN82" s="180"/>
      <c r="DO82" s="180"/>
      <c r="DP82" s="180"/>
      <c r="DQ82" s="180"/>
      <c r="DR82" s="180"/>
      <c r="DS82" s="180"/>
      <c r="DT82" s="180"/>
      <c r="DU82" s="180"/>
      <c r="DV82" s="180"/>
      <c r="DW82" s="180"/>
      <c r="DX82" s="180"/>
      <c r="DY82" s="180"/>
      <c r="DZ82" s="180"/>
      <c r="EA82" s="180"/>
      <c r="EB82" s="180"/>
      <c r="EC82" s="180"/>
      <c r="ED82" s="180"/>
      <c r="EE82" s="180"/>
      <c r="EF82" s="180"/>
      <c r="EG82" s="180"/>
      <c r="EH82" s="180"/>
      <c r="EI82" s="158" t="s">
        <v>243</v>
      </c>
    </row>
    <row r="83" spans="1:139" s="312" customFormat="1" ht="15" thickBot="1" x14ac:dyDescent="0.25">
      <c r="A83" s="282"/>
      <c r="B83" s="299" t="s">
        <v>907</v>
      </c>
      <c r="C83" s="299"/>
      <c r="D83" s="300"/>
      <c r="E83" s="300"/>
      <c r="F83" s="299"/>
      <c r="G83" s="299"/>
      <c r="H83" s="299"/>
      <c r="I83" s="299"/>
      <c r="J83" s="299"/>
      <c r="K83" s="299"/>
      <c r="L83" s="299"/>
      <c r="M83" s="299"/>
      <c r="N83" s="299"/>
      <c r="O83" s="299"/>
      <c r="P83" s="299"/>
      <c r="Q83" s="299"/>
      <c r="R83" s="299"/>
      <c r="S83" s="299"/>
      <c r="T83" s="299"/>
      <c r="U83" s="299"/>
      <c r="V83" s="299"/>
      <c r="W83" s="299"/>
      <c r="X83" s="299"/>
      <c r="Y83" s="299"/>
      <c r="Z83" s="299"/>
      <c r="AA83" s="299"/>
      <c r="AB83" s="299"/>
      <c r="AC83" s="299"/>
      <c r="AD83" s="299"/>
      <c r="AE83" s="299"/>
      <c r="AF83" s="299"/>
      <c r="AG83" s="299"/>
      <c r="AH83" s="299"/>
      <c r="AI83" s="299"/>
      <c r="AJ83" s="299"/>
      <c r="AK83" s="299"/>
      <c r="AL83" s="299"/>
      <c r="AM83" s="299"/>
      <c r="AN83" s="299"/>
      <c r="AO83" s="299"/>
      <c r="AP83" s="330"/>
      <c r="AQ83" s="299"/>
      <c r="AR83" s="299"/>
      <c r="AS83" s="299"/>
      <c r="AT83" s="299"/>
      <c r="AU83" s="299"/>
      <c r="AV83" s="299"/>
      <c r="AW83" s="299"/>
      <c r="AX83" s="299"/>
      <c r="AY83" s="299"/>
      <c r="AZ83" s="299"/>
      <c r="BA83" s="299"/>
      <c r="BB83" s="299"/>
      <c r="BC83" s="299"/>
      <c r="BD83" s="299"/>
      <c r="BE83" s="299"/>
      <c r="BF83" s="299"/>
      <c r="BG83" s="299"/>
      <c r="BH83" s="299"/>
      <c r="BI83" s="299"/>
      <c r="BJ83" s="299"/>
      <c r="BK83" s="299"/>
      <c r="BL83" s="299"/>
      <c r="BM83" s="299"/>
      <c r="BN83" s="330"/>
      <c r="BO83" s="299"/>
      <c r="BP83" s="299"/>
      <c r="BQ83" s="299"/>
      <c r="BR83" s="299"/>
      <c r="BS83" s="299"/>
      <c r="BT83" s="299"/>
      <c r="BU83" s="299"/>
      <c r="BV83" s="299"/>
      <c r="BW83" s="299"/>
      <c r="BX83" s="299"/>
      <c r="BY83" s="299"/>
      <c r="BZ83" s="299"/>
      <c r="CA83" s="299"/>
      <c r="CB83" s="299"/>
      <c r="CC83" s="299"/>
      <c r="CD83" s="299"/>
      <c r="CE83" s="299"/>
      <c r="CF83" s="299"/>
      <c r="CG83" s="299"/>
      <c r="CH83" s="299"/>
      <c r="CI83" s="299"/>
      <c r="CJ83" s="299"/>
      <c r="CK83" s="299"/>
      <c r="CL83" s="299"/>
      <c r="CM83" s="299"/>
      <c r="CN83" s="299"/>
      <c r="CO83" s="299"/>
      <c r="CP83" s="299"/>
      <c r="CQ83" s="299"/>
      <c r="CR83" s="299"/>
      <c r="CS83" s="299"/>
      <c r="CT83" s="299"/>
      <c r="CU83" s="299"/>
      <c r="CV83" s="299"/>
      <c r="CW83" s="299"/>
      <c r="CX83" s="299"/>
      <c r="CY83" s="299"/>
      <c r="CZ83" s="299"/>
      <c r="DA83" s="299"/>
      <c r="DB83" s="299"/>
      <c r="DC83" s="299"/>
      <c r="DD83" s="299"/>
      <c r="DE83" s="299"/>
      <c r="DF83" s="299"/>
      <c r="DG83" s="299"/>
      <c r="DH83" s="299"/>
      <c r="DI83" s="299"/>
      <c r="DJ83" s="299"/>
      <c r="DK83" s="299"/>
      <c r="DL83" s="299"/>
      <c r="DM83" s="299"/>
      <c r="DN83" s="299"/>
      <c r="DO83" s="299"/>
      <c r="DP83" s="299"/>
      <c r="DQ83" s="299"/>
      <c r="DR83" s="299"/>
      <c r="DS83" s="299"/>
      <c r="DT83" s="299"/>
      <c r="DU83" s="299"/>
      <c r="DV83" s="299"/>
      <c r="DW83" s="299"/>
      <c r="DX83" s="299"/>
      <c r="DY83" s="299"/>
      <c r="DZ83" s="299"/>
      <c r="EA83" s="299"/>
      <c r="EB83" s="299"/>
      <c r="EC83" s="299"/>
      <c r="ED83" s="299"/>
      <c r="EE83" s="299"/>
      <c r="EF83" s="299"/>
      <c r="EG83" s="299"/>
      <c r="EH83" s="299"/>
      <c r="EI83" s="158" t="s">
        <v>243</v>
      </c>
    </row>
    <row r="84" spans="1:139" s="312" customFormat="1" x14ac:dyDescent="0.2">
      <c r="A84" s="282"/>
      <c r="B84" s="258" t="s">
        <v>777</v>
      </c>
      <c r="C84" s="209"/>
      <c r="D84" s="324">
        <f t="shared" ref="D84:D98" si="120">SUMIF($F$4:$EH$4,"&lt;="&amp;HoldPeriod,$F84:$EH84)</f>
        <v>28000000</v>
      </c>
      <c r="E84" s="324"/>
      <c r="F84" s="217">
        <f>'Loan Schedule'!C12</f>
        <v>28000000</v>
      </c>
      <c r="G84" s="217">
        <f>'Loan Schedule'!D12</f>
        <v>0</v>
      </c>
      <c r="H84" s="217">
        <f>'Loan Schedule'!E12</f>
        <v>0</v>
      </c>
      <c r="I84" s="217">
        <f>'Loan Schedule'!F12</f>
        <v>0</v>
      </c>
      <c r="J84" s="217">
        <f>'Loan Schedule'!G12</f>
        <v>0</v>
      </c>
      <c r="K84" s="217">
        <f>'Loan Schedule'!H12</f>
        <v>0</v>
      </c>
      <c r="L84" s="217">
        <f>'Loan Schedule'!I12</f>
        <v>0</v>
      </c>
      <c r="M84" s="217">
        <f>'Loan Schedule'!J12</f>
        <v>0</v>
      </c>
      <c r="N84" s="217">
        <f>'Loan Schedule'!K12</f>
        <v>0</v>
      </c>
      <c r="O84" s="217">
        <f>'Loan Schedule'!L12</f>
        <v>0</v>
      </c>
      <c r="P84" s="217">
        <f>'Loan Schedule'!M12</f>
        <v>0</v>
      </c>
      <c r="Q84" s="217">
        <f>'Loan Schedule'!N12</f>
        <v>0</v>
      </c>
      <c r="R84" s="217">
        <f>'Loan Schedule'!O12</f>
        <v>0</v>
      </c>
      <c r="S84" s="217">
        <f>'Loan Schedule'!P12</f>
        <v>0</v>
      </c>
      <c r="T84" s="217">
        <f>'Loan Schedule'!Q12</f>
        <v>0</v>
      </c>
      <c r="U84" s="217">
        <f>'Loan Schedule'!R12</f>
        <v>0</v>
      </c>
      <c r="V84" s="217">
        <f>'Loan Schedule'!S12</f>
        <v>0</v>
      </c>
      <c r="W84" s="217">
        <f>'Loan Schedule'!T12</f>
        <v>0</v>
      </c>
      <c r="X84" s="217">
        <f>'Loan Schedule'!U12</f>
        <v>0</v>
      </c>
      <c r="Y84" s="217">
        <f>'Loan Schedule'!V12</f>
        <v>0</v>
      </c>
      <c r="Z84" s="217">
        <f>'Loan Schedule'!W12</f>
        <v>0</v>
      </c>
      <c r="AA84" s="217">
        <f>'Loan Schedule'!X12</f>
        <v>0</v>
      </c>
      <c r="AB84" s="217">
        <f>'Loan Schedule'!Y12</f>
        <v>0</v>
      </c>
      <c r="AC84" s="217">
        <f>'Loan Schedule'!Z12</f>
        <v>0</v>
      </c>
      <c r="AD84" s="217">
        <f>'Loan Schedule'!AA12</f>
        <v>0</v>
      </c>
      <c r="AE84" s="217">
        <f>'Loan Schedule'!AB12</f>
        <v>0</v>
      </c>
      <c r="AF84" s="217">
        <f>'Loan Schedule'!AC12</f>
        <v>0</v>
      </c>
      <c r="AG84" s="217">
        <f>'Loan Schedule'!AD12</f>
        <v>0</v>
      </c>
      <c r="AH84" s="217">
        <f>'Loan Schedule'!AE12</f>
        <v>0</v>
      </c>
      <c r="AI84" s="217">
        <f>'Loan Schedule'!AF12</f>
        <v>0</v>
      </c>
      <c r="AJ84" s="217">
        <f>'Loan Schedule'!AG12</f>
        <v>0</v>
      </c>
      <c r="AK84" s="217">
        <f>'Loan Schedule'!AH12</f>
        <v>0</v>
      </c>
      <c r="AL84" s="217">
        <f>'Loan Schedule'!AI12</f>
        <v>0</v>
      </c>
      <c r="AM84" s="217">
        <f>'Loan Schedule'!AJ12</f>
        <v>0</v>
      </c>
      <c r="AN84" s="217">
        <f>'Loan Schedule'!AK12</f>
        <v>0</v>
      </c>
      <c r="AO84" s="217">
        <f>'Loan Schedule'!AL12</f>
        <v>0</v>
      </c>
      <c r="AP84" s="217">
        <f>'Loan Schedule'!AM12</f>
        <v>0</v>
      </c>
      <c r="AQ84" s="217">
        <f>'Loan Schedule'!AN12</f>
        <v>0</v>
      </c>
      <c r="AR84" s="217">
        <f>'Loan Schedule'!AO12</f>
        <v>0</v>
      </c>
      <c r="AS84" s="217">
        <f>'Loan Schedule'!AP12</f>
        <v>0</v>
      </c>
      <c r="AT84" s="217">
        <f>'Loan Schedule'!AQ12</f>
        <v>0</v>
      </c>
      <c r="AU84" s="217">
        <f>'Loan Schedule'!AR12</f>
        <v>0</v>
      </c>
      <c r="AV84" s="217">
        <f>'Loan Schedule'!AS12</f>
        <v>0</v>
      </c>
      <c r="AW84" s="217">
        <f>'Loan Schedule'!AT12</f>
        <v>0</v>
      </c>
      <c r="AX84" s="217">
        <f>'Loan Schedule'!AU12</f>
        <v>0</v>
      </c>
      <c r="AY84" s="217">
        <f>'Loan Schedule'!AV12</f>
        <v>0</v>
      </c>
      <c r="AZ84" s="217">
        <f>'Loan Schedule'!AW12</f>
        <v>0</v>
      </c>
      <c r="BA84" s="217">
        <f>'Loan Schedule'!AX12</f>
        <v>0</v>
      </c>
      <c r="BB84" s="217">
        <f>'Loan Schedule'!AY12</f>
        <v>0</v>
      </c>
      <c r="BC84" s="217">
        <f>'Loan Schedule'!AZ12</f>
        <v>0</v>
      </c>
      <c r="BD84" s="217">
        <f>'Loan Schedule'!BA12</f>
        <v>0</v>
      </c>
      <c r="BE84" s="217">
        <f>'Loan Schedule'!BB12</f>
        <v>0</v>
      </c>
      <c r="BF84" s="217">
        <f>'Loan Schedule'!BC12</f>
        <v>0</v>
      </c>
      <c r="BG84" s="217">
        <f>'Loan Schedule'!BD12</f>
        <v>0</v>
      </c>
      <c r="BH84" s="217">
        <f>'Loan Schedule'!BE12</f>
        <v>0</v>
      </c>
      <c r="BI84" s="217">
        <f>'Loan Schedule'!BF12</f>
        <v>0</v>
      </c>
      <c r="BJ84" s="217">
        <f>'Loan Schedule'!BG12</f>
        <v>0</v>
      </c>
      <c r="BK84" s="217">
        <f>'Loan Schedule'!BH12</f>
        <v>0</v>
      </c>
      <c r="BL84" s="217">
        <f>'Loan Schedule'!BI12</f>
        <v>0</v>
      </c>
      <c r="BM84" s="217">
        <f>'Loan Schedule'!BJ12</f>
        <v>0</v>
      </c>
      <c r="BN84" s="217">
        <f>'Loan Schedule'!BK12</f>
        <v>0</v>
      </c>
      <c r="BO84" s="217">
        <f>'Loan Schedule'!BL12</f>
        <v>0</v>
      </c>
      <c r="BP84" s="217">
        <f>'Loan Schedule'!BM12</f>
        <v>0</v>
      </c>
      <c r="BQ84" s="217">
        <f>'Loan Schedule'!BN12</f>
        <v>0</v>
      </c>
      <c r="BR84" s="217">
        <f>'Loan Schedule'!BO12</f>
        <v>0</v>
      </c>
      <c r="BS84" s="217">
        <f>'Loan Schedule'!BP12</f>
        <v>0</v>
      </c>
      <c r="BT84" s="217">
        <f>'Loan Schedule'!BQ12</f>
        <v>0</v>
      </c>
      <c r="BU84" s="217">
        <f>'Loan Schedule'!BR12</f>
        <v>0</v>
      </c>
      <c r="BV84" s="217">
        <f>'Loan Schedule'!BS12</f>
        <v>0</v>
      </c>
      <c r="BW84" s="217">
        <f>'Loan Schedule'!BT12</f>
        <v>0</v>
      </c>
      <c r="BX84" s="217">
        <f>'Loan Schedule'!BU12</f>
        <v>0</v>
      </c>
      <c r="BY84" s="217">
        <f>'Loan Schedule'!BV12</f>
        <v>0</v>
      </c>
      <c r="BZ84" s="217">
        <f>'Loan Schedule'!BW12</f>
        <v>0</v>
      </c>
      <c r="CA84" s="217">
        <f>'Loan Schedule'!BX12</f>
        <v>0</v>
      </c>
      <c r="CB84" s="217">
        <f>'Loan Schedule'!BY12</f>
        <v>0</v>
      </c>
      <c r="CC84" s="217">
        <f>'Loan Schedule'!BZ12</f>
        <v>0</v>
      </c>
      <c r="CD84" s="217">
        <f>'Loan Schedule'!CA12</f>
        <v>0</v>
      </c>
      <c r="CE84" s="217">
        <f>'Loan Schedule'!CB12</f>
        <v>0</v>
      </c>
      <c r="CF84" s="217">
        <f>'Loan Schedule'!CC12</f>
        <v>0</v>
      </c>
      <c r="CG84" s="217">
        <f>'Loan Schedule'!CD12</f>
        <v>0</v>
      </c>
      <c r="CH84" s="217">
        <f>'Loan Schedule'!CE12</f>
        <v>0</v>
      </c>
      <c r="CI84" s="217">
        <f>'Loan Schedule'!CF12</f>
        <v>0</v>
      </c>
      <c r="CJ84" s="217">
        <f>'Loan Schedule'!CG12</f>
        <v>0</v>
      </c>
      <c r="CK84" s="217">
        <f>'Loan Schedule'!CH12</f>
        <v>0</v>
      </c>
      <c r="CL84" s="217">
        <f>'Loan Schedule'!CI12</f>
        <v>0</v>
      </c>
      <c r="CM84" s="217">
        <f>'Loan Schedule'!CJ12</f>
        <v>0</v>
      </c>
      <c r="CN84" s="217">
        <f>'Loan Schedule'!CK12</f>
        <v>0</v>
      </c>
      <c r="CO84" s="217">
        <f>'Loan Schedule'!CL12</f>
        <v>0</v>
      </c>
      <c r="CP84" s="217">
        <f>'Loan Schedule'!CM12</f>
        <v>0</v>
      </c>
      <c r="CQ84" s="217">
        <f>'Loan Schedule'!CN12</f>
        <v>0</v>
      </c>
      <c r="CR84" s="217">
        <f>'Loan Schedule'!CO12</f>
        <v>0</v>
      </c>
      <c r="CS84" s="217">
        <f>'Loan Schedule'!CP12</f>
        <v>0</v>
      </c>
      <c r="CT84" s="217">
        <f>'Loan Schedule'!CQ12</f>
        <v>0</v>
      </c>
      <c r="CU84" s="217">
        <f>'Loan Schedule'!CR12</f>
        <v>0</v>
      </c>
      <c r="CV84" s="217">
        <f>'Loan Schedule'!CS12</f>
        <v>0</v>
      </c>
      <c r="CW84" s="217">
        <f>'Loan Schedule'!CT12</f>
        <v>0</v>
      </c>
      <c r="CX84" s="217">
        <f>'Loan Schedule'!CU12</f>
        <v>0</v>
      </c>
      <c r="CY84" s="217">
        <f>'Loan Schedule'!CV12</f>
        <v>0</v>
      </c>
      <c r="CZ84" s="217">
        <f>'Loan Schedule'!CW12</f>
        <v>0</v>
      </c>
      <c r="DA84" s="217">
        <f>'Loan Schedule'!CX12</f>
        <v>0</v>
      </c>
      <c r="DB84" s="217">
        <f>'Loan Schedule'!CY12</f>
        <v>0</v>
      </c>
      <c r="DC84" s="217">
        <f>'Loan Schedule'!CZ12</f>
        <v>0</v>
      </c>
      <c r="DD84" s="217">
        <f>'Loan Schedule'!DA12</f>
        <v>0</v>
      </c>
      <c r="DE84" s="217">
        <f>'Loan Schedule'!DB12</f>
        <v>0</v>
      </c>
      <c r="DF84" s="217">
        <f>'Loan Schedule'!DC12</f>
        <v>0</v>
      </c>
      <c r="DG84" s="217">
        <f>'Loan Schedule'!DD12</f>
        <v>0</v>
      </c>
      <c r="DH84" s="217">
        <f>'Loan Schedule'!DE12</f>
        <v>0</v>
      </c>
      <c r="DI84" s="217">
        <f>'Loan Schedule'!DF12</f>
        <v>0</v>
      </c>
      <c r="DJ84" s="217">
        <f>'Loan Schedule'!DG12</f>
        <v>0</v>
      </c>
      <c r="DK84" s="217">
        <f>'Loan Schedule'!DH12</f>
        <v>0</v>
      </c>
      <c r="DL84" s="217">
        <f>'Loan Schedule'!DI12</f>
        <v>0</v>
      </c>
      <c r="DM84" s="217">
        <f>'Loan Schedule'!DJ12</f>
        <v>0</v>
      </c>
      <c r="DN84" s="217">
        <f>'Loan Schedule'!DK12</f>
        <v>0</v>
      </c>
      <c r="DO84" s="217">
        <f>'Loan Schedule'!DL12</f>
        <v>0</v>
      </c>
      <c r="DP84" s="217">
        <f>'Loan Schedule'!DM12</f>
        <v>0</v>
      </c>
      <c r="DQ84" s="217">
        <f>'Loan Schedule'!DN12</f>
        <v>0</v>
      </c>
      <c r="DR84" s="217">
        <f>'Loan Schedule'!DO12</f>
        <v>0</v>
      </c>
      <c r="DS84" s="217">
        <f>'Loan Schedule'!DP12</f>
        <v>0</v>
      </c>
      <c r="DT84" s="217">
        <f>'Loan Schedule'!DQ12</f>
        <v>0</v>
      </c>
      <c r="DU84" s="217">
        <f>'Loan Schedule'!DR12</f>
        <v>0</v>
      </c>
      <c r="DV84" s="217">
        <f>'Loan Schedule'!DS12</f>
        <v>0</v>
      </c>
      <c r="DW84" s="217">
        <f>'Loan Schedule'!DT12</f>
        <v>0</v>
      </c>
      <c r="DX84" s="217">
        <f>'Loan Schedule'!DU12</f>
        <v>0</v>
      </c>
      <c r="DY84" s="217">
        <f>'Loan Schedule'!DV12</f>
        <v>0</v>
      </c>
      <c r="DZ84" s="217">
        <f>'Loan Schedule'!DW12</f>
        <v>0</v>
      </c>
      <c r="EA84" s="217">
        <f>'Loan Schedule'!DX12</f>
        <v>0</v>
      </c>
      <c r="EB84" s="217">
        <f>'Loan Schedule'!DY12</f>
        <v>0</v>
      </c>
      <c r="EC84" s="217">
        <f>'Loan Schedule'!DZ12</f>
        <v>0</v>
      </c>
      <c r="ED84" s="217">
        <f>'Loan Schedule'!EA12</f>
        <v>0</v>
      </c>
      <c r="EE84" s="217">
        <f>'Loan Schedule'!EB12</f>
        <v>0</v>
      </c>
      <c r="EF84" s="217">
        <f>'Loan Schedule'!EC12</f>
        <v>0</v>
      </c>
      <c r="EG84" s="217">
        <f>'Loan Schedule'!ED12</f>
        <v>0</v>
      </c>
      <c r="EH84" s="217">
        <f>'Loan Schedule'!EE12</f>
        <v>0</v>
      </c>
      <c r="EI84" s="158" t="s">
        <v>243</v>
      </c>
    </row>
    <row r="85" spans="1:139" s="312" customFormat="1" x14ac:dyDescent="0.2">
      <c r="A85" s="282"/>
      <c r="B85" s="322" t="s">
        <v>773</v>
      </c>
      <c r="C85" s="323"/>
      <c r="D85" s="324">
        <f>SUMIF($F$4:$EH$4,"&lt;="&amp;HoldPeriod,$F85:$EH85)</f>
        <v>-722137.35038701154</v>
      </c>
      <c r="E85" s="324"/>
      <c r="F85" s="180">
        <f>IF(F4=0,-SUMIF('Closing Budget'!$B$60:$B$70,"Financing Costs",'Closing Budget'!$E$60:$E$70),0)</f>
        <v>-722137.35038701154</v>
      </c>
      <c r="G85" s="180">
        <f>IF(G4=0,-SUMIF('Closing Budget'!$B$60:$B$70,"Loan Costs",'Closing Budget'!$E$60:$E$70),0)</f>
        <v>0</v>
      </c>
      <c r="H85" s="180">
        <f>IF(H4=0,-SUMIF('Closing Budget'!$B$60:$B$70,"Loan Costs",'Closing Budget'!$E$60:$E$70),0)</f>
        <v>0</v>
      </c>
      <c r="I85" s="180">
        <f>IF(I4=0,-SUMIF('Closing Budget'!$B$60:$B$70,"Loan Costs",'Closing Budget'!$E$60:$E$70),0)</f>
        <v>0</v>
      </c>
      <c r="J85" s="180">
        <f>IF(J4=0,-SUMIF('Closing Budget'!$B$60:$B$70,"Loan Costs",'Closing Budget'!$E$60:$E$70),0)</f>
        <v>0</v>
      </c>
      <c r="K85" s="180">
        <f>IF(K4=0,-SUMIF('Closing Budget'!$B$60:$B$70,"Loan Costs",'Closing Budget'!$E$60:$E$70),0)</f>
        <v>0</v>
      </c>
      <c r="L85" s="180">
        <f>IF(L4=0,-SUMIF('Closing Budget'!$B$60:$B$70,"Loan Costs",'Closing Budget'!$E$60:$E$70),0)</f>
        <v>0</v>
      </c>
      <c r="M85" s="180">
        <f>IF(M4=0,-SUMIF('Closing Budget'!$B$60:$B$70,"Loan Costs",'Closing Budget'!$E$60:$E$70),0)</f>
        <v>0</v>
      </c>
      <c r="N85" s="180">
        <f>IF(N4=0,-SUMIF('Closing Budget'!$B$60:$B$70,"Loan Costs",'Closing Budget'!$E$60:$E$70),0)</f>
        <v>0</v>
      </c>
      <c r="O85" s="180">
        <f>IF(O4=0,-SUMIF('Closing Budget'!$B$60:$B$70,"Loan Costs",'Closing Budget'!$E$60:$E$70),0)</f>
        <v>0</v>
      </c>
      <c r="P85" s="180">
        <f>IF(P4=0,-SUMIF('Closing Budget'!$B$60:$B$70,"Loan Costs",'Closing Budget'!$E$60:$E$70),0)</f>
        <v>0</v>
      </c>
      <c r="Q85" s="180">
        <f>IF(Q4=0,-SUMIF('Closing Budget'!$B$60:$B$70,"Loan Costs",'Closing Budget'!$E$60:$E$70),0)</f>
        <v>0</v>
      </c>
      <c r="R85" s="180">
        <f>IF(R4=0,-SUMIF('Closing Budget'!$B$60:$B$70,"Loan Costs",'Closing Budget'!$E$60:$E$70),0)</f>
        <v>0</v>
      </c>
      <c r="S85" s="180">
        <f>IF(S4=0,-SUMIF('Closing Budget'!$B$60:$B$70,"Loan Costs",'Closing Budget'!$E$60:$E$70),0)</f>
        <v>0</v>
      </c>
      <c r="T85" s="180">
        <f>IF(T4=0,-SUMIF('Closing Budget'!$B$60:$B$70,"Loan Costs",'Closing Budget'!$E$60:$E$70),0)</f>
        <v>0</v>
      </c>
      <c r="U85" s="180">
        <f>IF(U4=0,-SUMIF('Closing Budget'!$B$60:$B$70,"Loan Costs",'Closing Budget'!$E$60:$E$70),0)</f>
        <v>0</v>
      </c>
      <c r="V85" s="180">
        <f>IF(V4=0,-SUMIF('Closing Budget'!$B$60:$B$70,"Loan Costs",'Closing Budget'!$E$60:$E$70),0)</f>
        <v>0</v>
      </c>
      <c r="W85" s="180">
        <f>IF(W4=0,-SUMIF('Closing Budget'!$B$60:$B$70,"Loan Costs",'Closing Budget'!$E$60:$E$70),0)</f>
        <v>0</v>
      </c>
      <c r="X85" s="180">
        <f>IF(X4=0,-SUMIF('Closing Budget'!$B$60:$B$70,"Loan Costs",'Closing Budget'!$E$60:$E$70),0)</f>
        <v>0</v>
      </c>
      <c r="Y85" s="180">
        <f>IF(Y4=0,-SUMIF('Closing Budget'!$B$60:$B$70,"Loan Costs",'Closing Budget'!$E$60:$E$70),0)</f>
        <v>0</v>
      </c>
      <c r="Z85" s="180">
        <f>IF(Z4=0,-SUMIF('Closing Budget'!$B$60:$B$70,"Loan Costs",'Closing Budget'!$E$60:$E$70),0)</f>
        <v>0</v>
      </c>
      <c r="AA85" s="180">
        <f>IF(AA4=0,-SUMIF('Closing Budget'!$B$60:$B$70,"Loan Costs",'Closing Budget'!$E$60:$E$70),0)</f>
        <v>0</v>
      </c>
      <c r="AB85" s="180">
        <f>IF(AB4=0,-SUMIF('Closing Budget'!$B$60:$B$70,"Loan Costs",'Closing Budget'!$E$60:$E$70),0)</f>
        <v>0</v>
      </c>
      <c r="AC85" s="180">
        <f>IF(AC4=0,-SUMIF('Closing Budget'!$B$60:$B$70,"Loan Costs",'Closing Budget'!$E$60:$E$70),0)</f>
        <v>0</v>
      </c>
      <c r="AD85" s="180">
        <f>IF(AD4=0,-SUMIF('Closing Budget'!$B$60:$B$70,"Loan Costs",'Closing Budget'!$E$60:$E$70),0)</f>
        <v>0</v>
      </c>
      <c r="AE85" s="180">
        <f>IF(AE4=0,-SUMIF('Closing Budget'!$B$60:$B$70,"Loan Costs",'Closing Budget'!$E$60:$E$70),0)</f>
        <v>0</v>
      </c>
      <c r="AF85" s="180">
        <f>IF(AF4=0,-SUMIF('Closing Budget'!$B$60:$B$70,"Loan Costs",'Closing Budget'!$E$60:$E$70),0)</f>
        <v>0</v>
      </c>
      <c r="AG85" s="180">
        <f>IF(AG4=0,-SUMIF('Closing Budget'!$B$60:$B$70,"Loan Costs",'Closing Budget'!$E$60:$E$70),0)</f>
        <v>0</v>
      </c>
      <c r="AH85" s="180">
        <f>IF(AH4=0,-SUMIF('Closing Budget'!$B$60:$B$70,"Loan Costs",'Closing Budget'!$E$60:$E$70),0)</f>
        <v>0</v>
      </c>
      <c r="AI85" s="180">
        <f>IF(AI4=0,-SUMIF('Closing Budget'!$B$60:$B$70,"Loan Costs",'Closing Budget'!$E$60:$E$70),0)</f>
        <v>0</v>
      </c>
      <c r="AJ85" s="180">
        <f>IF(AJ4=0,-SUMIF('Closing Budget'!$B$60:$B$70,"Loan Costs",'Closing Budget'!$E$60:$E$70),0)</f>
        <v>0</v>
      </c>
      <c r="AK85" s="180">
        <f>IF(AK4=0,-SUMIF('Closing Budget'!$B$60:$B$70,"Loan Costs",'Closing Budget'!$E$60:$E$70),0)</f>
        <v>0</v>
      </c>
      <c r="AL85" s="180">
        <f>IF(AL4=0,-SUMIF('Closing Budget'!$B$60:$B$70,"Loan Costs",'Closing Budget'!$E$60:$E$70),0)</f>
        <v>0</v>
      </c>
      <c r="AM85" s="180">
        <f>IF(AM4=0,-SUMIF('Closing Budget'!$B$60:$B$70,"Loan Costs",'Closing Budget'!$E$60:$E$70),0)</f>
        <v>0</v>
      </c>
      <c r="AN85" s="180">
        <f>IF(AN4=0,-SUMIF('Closing Budget'!$B$60:$B$70,"Loan Costs",'Closing Budget'!$E$60:$E$70),0)</f>
        <v>0</v>
      </c>
      <c r="AO85" s="180">
        <f>IF(AO4=0,-SUMIF('Closing Budget'!$B$60:$B$70,"Loan Costs",'Closing Budget'!$E$60:$E$70),0)</f>
        <v>0</v>
      </c>
      <c r="AP85" s="180">
        <f>IF(AP4=0,-SUMIF('Closing Budget'!$B$60:$B$70,"Loan Costs",'Closing Budget'!$E$60:$E$70),0)</f>
        <v>0</v>
      </c>
      <c r="AQ85" s="180">
        <f>IF(AQ4=0,-SUMIF('Closing Budget'!$B$60:$B$70,"Loan Costs",'Closing Budget'!$E$60:$E$70),0)</f>
        <v>0</v>
      </c>
      <c r="AR85" s="180">
        <f>IF(AR4=0,-SUMIF('Closing Budget'!$B$60:$B$70,"Loan Costs",'Closing Budget'!$E$60:$E$70),0)</f>
        <v>0</v>
      </c>
      <c r="AS85" s="180">
        <f>IF(AS4=0,-SUMIF('Closing Budget'!$B$60:$B$70,"Loan Costs",'Closing Budget'!$E$60:$E$70),0)</f>
        <v>0</v>
      </c>
      <c r="AT85" s="180">
        <f>IF(AT4=0,-SUMIF('Closing Budget'!$B$60:$B$70,"Loan Costs",'Closing Budget'!$E$60:$E$70),0)</f>
        <v>0</v>
      </c>
      <c r="AU85" s="180">
        <f>IF(AU4=0,-SUMIF('Closing Budget'!$B$60:$B$70,"Loan Costs",'Closing Budget'!$E$60:$E$70),0)</f>
        <v>0</v>
      </c>
      <c r="AV85" s="180">
        <f>IF(AV4=0,-SUMIF('Closing Budget'!$B$60:$B$70,"Loan Costs",'Closing Budget'!$E$60:$E$70),0)</f>
        <v>0</v>
      </c>
      <c r="AW85" s="180">
        <f>IF(AW4=0,-SUMIF('Closing Budget'!$B$60:$B$70,"Loan Costs",'Closing Budget'!$E$60:$E$70),0)</f>
        <v>0</v>
      </c>
      <c r="AX85" s="180">
        <f>IF(AX4=0,-SUMIF('Closing Budget'!$B$60:$B$70,"Loan Costs",'Closing Budget'!$E$60:$E$70),0)</f>
        <v>0</v>
      </c>
      <c r="AY85" s="180">
        <f>IF(AY4=0,-SUMIF('Closing Budget'!$B$60:$B$70,"Loan Costs",'Closing Budget'!$E$60:$E$70),0)</f>
        <v>0</v>
      </c>
      <c r="AZ85" s="180">
        <f>IF(AZ4=0,-SUMIF('Closing Budget'!$B$60:$B$70,"Loan Costs",'Closing Budget'!$E$60:$E$70),0)</f>
        <v>0</v>
      </c>
      <c r="BA85" s="180">
        <f>IF(BA4=0,-SUMIF('Closing Budget'!$B$60:$B$70,"Loan Costs",'Closing Budget'!$E$60:$E$70),0)</f>
        <v>0</v>
      </c>
      <c r="BB85" s="180">
        <f>IF(BB4=0,-SUMIF('Closing Budget'!$B$60:$B$70,"Loan Costs",'Closing Budget'!$E$60:$E$70),0)</f>
        <v>0</v>
      </c>
      <c r="BC85" s="180">
        <f>IF(BC4=0,-SUMIF('Closing Budget'!$B$60:$B$70,"Loan Costs",'Closing Budget'!$E$60:$E$70),0)</f>
        <v>0</v>
      </c>
      <c r="BD85" s="180">
        <f>IF(BD4=0,-SUMIF('Closing Budget'!$B$60:$B$70,"Loan Costs",'Closing Budget'!$E$60:$E$70),0)</f>
        <v>0</v>
      </c>
      <c r="BE85" s="180">
        <f>IF(BE4=0,-SUMIF('Closing Budget'!$B$60:$B$70,"Loan Costs",'Closing Budget'!$E$60:$E$70),0)</f>
        <v>0</v>
      </c>
      <c r="BF85" s="180">
        <f>IF(BF4=0,-SUMIF('Closing Budget'!$B$60:$B$70,"Loan Costs",'Closing Budget'!$E$60:$E$70),0)</f>
        <v>0</v>
      </c>
      <c r="BG85" s="180">
        <f>IF(BG4=0,-SUMIF('Closing Budget'!$B$60:$B$70,"Loan Costs",'Closing Budget'!$E$60:$E$70),0)</f>
        <v>0</v>
      </c>
      <c r="BH85" s="180">
        <f>IF(BH4=0,-SUMIF('Closing Budget'!$B$60:$B$70,"Loan Costs",'Closing Budget'!$E$60:$E$70),0)</f>
        <v>0</v>
      </c>
      <c r="BI85" s="180">
        <f>IF(BI4=0,-SUMIF('Closing Budget'!$B$60:$B$70,"Loan Costs",'Closing Budget'!$E$60:$E$70),0)</f>
        <v>0</v>
      </c>
      <c r="BJ85" s="180">
        <f>IF(BJ4=0,-SUMIF('Closing Budget'!$B$60:$B$70,"Loan Costs",'Closing Budget'!$E$60:$E$70),0)</f>
        <v>0</v>
      </c>
      <c r="BK85" s="180">
        <f>IF(BK4=0,-SUMIF('Closing Budget'!$B$60:$B$70,"Loan Costs",'Closing Budget'!$E$60:$E$70),0)</f>
        <v>0</v>
      </c>
      <c r="BL85" s="180">
        <f>IF(BL4=0,-SUMIF('Closing Budget'!$B$60:$B$70,"Loan Costs",'Closing Budget'!$E$60:$E$70),0)</f>
        <v>0</v>
      </c>
      <c r="BM85" s="180">
        <f>IF(BM4=0,-SUMIF('Closing Budget'!$B$60:$B$70,"Loan Costs",'Closing Budget'!$E$60:$E$70),0)</f>
        <v>0</v>
      </c>
      <c r="BN85" s="180">
        <f>IF(BN4=0,-SUMIF('Closing Budget'!$B$60:$B$70,"Loan Costs",'Closing Budget'!$E$60:$E$70),0)</f>
        <v>0</v>
      </c>
      <c r="BO85" s="180">
        <f>IF(BO4=0,-SUMIF('Closing Budget'!$B$60:$B$70,"Loan Costs",'Closing Budget'!$E$60:$E$70),0)</f>
        <v>0</v>
      </c>
      <c r="BP85" s="180">
        <f>IF(BP4=0,-SUMIF('Closing Budget'!$B$60:$B$70,"Loan Costs",'Closing Budget'!$E$60:$E$70),0)</f>
        <v>0</v>
      </c>
      <c r="BQ85" s="180">
        <f>IF(BQ4=0,-SUMIF('Closing Budget'!$B$60:$B$70,"Loan Costs",'Closing Budget'!$E$60:$E$70),0)</f>
        <v>0</v>
      </c>
      <c r="BR85" s="180">
        <f>IF(BR4=0,-SUMIF('Closing Budget'!$B$60:$B$70,"Loan Costs",'Closing Budget'!$E$60:$E$70),0)</f>
        <v>0</v>
      </c>
      <c r="BS85" s="180">
        <f>IF(BS4=0,-SUMIF('Closing Budget'!$B$60:$B$70,"Loan Costs",'Closing Budget'!$E$60:$E$70),0)</f>
        <v>0</v>
      </c>
      <c r="BT85" s="180">
        <f>IF(BT4=0,-SUMIF('Closing Budget'!$B$60:$B$70,"Loan Costs",'Closing Budget'!$E$60:$E$70),0)</f>
        <v>0</v>
      </c>
      <c r="BU85" s="180">
        <f>IF(BU4=0,-SUMIF('Closing Budget'!$B$60:$B$70,"Loan Costs",'Closing Budget'!$E$60:$E$70),0)</f>
        <v>0</v>
      </c>
      <c r="BV85" s="180">
        <f>IF(BV4=0,-SUMIF('Closing Budget'!$B$60:$B$70,"Loan Costs",'Closing Budget'!$E$60:$E$70),0)</f>
        <v>0</v>
      </c>
      <c r="BW85" s="180">
        <f>IF(BW4=0,-SUMIF('Closing Budget'!$B$60:$B$70,"Loan Costs",'Closing Budget'!$E$60:$E$70),0)</f>
        <v>0</v>
      </c>
      <c r="BX85" s="180">
        <f>IF(BX4=0,-SUMIF('Closing Budget'!$B$60:$B$70,"Loan Costs",'Closing Budget'!$E$60:$E$70),0)</f>
        <v>0</v>
      </c>
      <c r="BY85" s="180">
        <f>IF(BY4=0,-SUMIF('Closing Budget'!$B$60:$B$70,"Loan Costs",'Closing Budget'!$E$60:$E$70),0)</f>
        <v>0</v>
      </c>
      <c r="BZ85" s="180">
        <f>IF(BZ4=0,-SUMIF('Closing Budget'!$B$60:$B$70,"Loan Costs",'Closing Budget'!$E$60:$E$70),0)</f>
        <v>0</v>
      </c>
      <c r="CA85" s="180">
        <f>IF(CA4=0,-SUMIF('Closing Budget'!$B$60:$B$70,"Loan Costs",'Closing Budget'!$E$60:$E$70),0)</f>
        <v>0</v>
      </c>
      <c r="CB85" s="180">
        <f>IF(CB4=0,-SUMIF('Closing Budget'!$B$60:$B$70,"Loan Costs",'Closing Budget'!$E$60:$E$70),0)</f>
        <v>0</v>
      </c>
      <c r="CC85" s="180">
        <f>IF(CC4=0,-SUMIF('Closing Budget'!$B$60:$B$70,"Loan Costs",'Closing Budget'!$E$60:$E$70),0)</f>
        <v>0</v>
      </c>
      <c r="CD85" s="180">
        <f>IF(CD4=0,-SUMIF('Closing Budget'!$B$60:$B$70,"Loan Costs",'Closing Budget'!$E$60:$E$70),0)</f>
        <v>0</v>
      </c>
      <c r="CE85" s="180">
        <f>IF(CE4=0,-SUMIF('Closing Budget'!$B$60:$B$70,"Loan Costs",'Closing Budget'!$E$60:$E$70),0)</f>
        <v>0</v>
      </c>
      <c r="CF85" s="180">
        <f>IF(CF4=0,-SUMIF('Closing Budget'!$B$60:$B$70,"Loan Costs",'Closing Budget'!$E$60:$E$70),0)</f>
        <v>0</v>
      </c>
      <c r="CG85" s="180">
        <f>IF(CG4=0,-SUMIF('Closing Budget'!$B$60:$B$70,"Loan Costs",'Closing Budget'!$E$60:$E$70),0)</f>
        <v>0</v>
      </c>
      <c r="CH85" s="180">
        <f>IF(CH4=0,-SUMIF('Closing Budget'!$B$60:$B$70,"Loan Costs",'Closing Budget'!$E$60:$E$70),0)</f>
        <v>0</v>
      </c>
      <c r="CI85" s="180">
        <f>IF(CI4=0,-SUMIF('Closing Budget'!$B$60:$B$70,"Loan Costs",'Closing Budget'!$E$60:$E$70),0)</f>
        <v>0</v>
      </c>
      <c r="CJ85" s="180">
        <f>IF(CJ4=0,-SUMIF('Closing Budget'!$B$60:$B$70,"Loan Costs",'Closing Budget'!$E$60:$E$70),0)</f>
        <v>0</v>
      </c>
      <c r="CK85" s="180">
        <f>IF(CK4=0,-SUMIF('Closing Budget'!$B$60:$B$70,"Loan Costs",'Closing Budget'!$E$60:$E$70),0)</f>
        <v>0</v>
      </c>
      <c r="CL85" s="180">
        <f>IF(CL4=0,-SUMIF('Closing Budget'!$B$60:$B$70,"Loan Costs",'Closing Budget'!$E$60:$E$70),0)</f>
        <v>0</v>
      </c>
      <c r="CM85" s="180">
        <f>IF(CM4=0,-SUMIF('Closing Budget'!$B$60:$B$70,"Loan Costs",'Closing Budget'!$E$60:$E$70),0)</f>
        <v>0</v>
      </c>
      <c r="CN85" s="180">
        <f>IF(CN4=0,-SUMIF('Closing Budget'!$B$60:$B$70,"Loan Costs",'Closing Budget'!$E$60:$E$70),0)</f>
        <v>0</v>
      </c>
      <c r="CO85" s="180">
        <f>IF(CO4=0,-SUMIF('Closing Budget'!$B$60:$B$70,"Loan Costs",'Closing Budget'!$E$60:$E$70),0)</f>
        <v>0</v>
      </c>
      <c r="CP85" s="180">
        <f>IF(CP4=0,-SUMIF('Closing Budget'!$B$60:$B$70,"Loan Costs",'Closing Budget'!$E$60:$E$70),0)</f>
        <v>0</v>
      </c>
      <c r="CQ85" s="180">
        <f>IF(CQ4=0,-SUMIF('Closing Budget'!$B$60:$B$70,"Loan Costs",'Closing Budget'!$E$60:$E$70),0)</f>
        <v>0</v>
      </c>
      <c r="CR85" s="180">
        <f>IF(CR4=0,-SUMIF('Closing Budget'!$B$60:$B$70,"Loan Costs",'Closing Budget'!$E$60:$E$70),0)</f>
        <v>0</v>
      </c>
      <c r="CS85" s="180">
        <f>IF(CS4=0,-SUMIF('Closing Budget'!$B$60:$B$70,"Loan Costs",'Closing Budget'!$E$60:$E$70),0)</f>
        <v>0</v>
      </c>
      <c r="CT85" s="180">
        <f>IF(CT4=0,-SUMIF('Closing Budget'!$B$60:$B$70,"Loan Costs",'Closing Budget'!$E$60:$E$70),0)</f>
        <v>0</v>
      </c>
      <c r="CU85" s="180">
        <f>IF(CU4=0,-SUMIF('Closing Budget'!$B$60:$B$70,"Loan Costs",'Closing Budget'!$E$60:$E$70),0)</f>
        <v>0</v>
      </c>
      <c r="CV85" s="180">
        <f>IF(CV4=0,-SUMIF('Closing Budget'!$B$60:$B$70,"Loan Costs",'Closing Budget'!$E$60:$E$70),0)</f>
        <v>0</v>
      </c>
      <c r="CW85" s="180">
        <f>IF(CW4=0,-SUMIF('Closing Budget'!$B$60:$B$70,"Loan Costs",'Closing Budget'!$E$60:$E$70),0)</f>
        <v>0</v>
      </c>
      <c r="CX85" s="180">
        <f>IF(CX4=0,-SUMIF('Closing Budget'!$B$60:$B$70,"Loan Costs",'Closing Budget'!$E$60:$E$70),0)</f>
        <v>0</v>
      </c>
      <c r="CY85" s="180">
        <f>IF(CY4=0,-SUMIF('Closing Budget'!$B$60:$B$70,"Loan Costs",'Closing Budget'!$E$60:$E$70),0)</f>
        <v>0</v>
      </c>
      <c r="CZ85" s="180">
        <f>IF(CZ4=0,-SUMIF('Closing Budget'!$B$60:$B$70,"Loan Costs",'Closing Budget'!$E$60:$E$70),0)</f>
        <v>0</v>
      </c>
      <c r="DA85" s="180">
        <f>IF(DA4=0,-SUMIF('Closing Budget'!$B$60:$B$70,"Loan Costs",'Closing Budget'!$E$60:$E$70),0)</f>
        <v>0</v>
      </c>
      <c r="DB85" s="180">
        <f>IF(DB4=0,-SUMIF('Closing Budget'!$B$60:$B$70,"Loan Costs",'Closing Budget'!$E$60:$E$70),0)</f>
        <v>0</v>
      </c>
      <c r="DC85" s="180">
        <f>IF(DC4=0,-SUMIF('Closing Budget'!$B$60:$B$70,"Loan Costs",'Closing Budget'!$E$60:$E$70),0)</f>
        <v>0</v>
      </c>
      <c r="DD85" s="180">
        <f>IF(DD4=0,-SUMIF('Closing Budget'!$B$60:$B$70,"Loan Costs",'Closing Budget'!$E$60:$E$70),0)</f>
        <v>0</v>
      </c>
      <c r="DE85" s="180">
        <f>IF(DE4=0,-SUMIF('Closing Budget'!$B$60:$B$70,"Loan Costs",'Closing Budget'!$E$60:$E$70),0)</f>
        <v>0</v>
      </c>
      <c r="DF85" s="180">
        <f>IF(DF4=0,-SUMIF('Closing Budget'!$B$60:$B$70,"Loan Costs",'Closing Budget'!$E$60:$E$70),0)</f>
        <v>0</v>
      </c>
      <c r="DG85" s="180">
        <f>IF(DG4=0,-SUMIF('Closing Budget'!$B$60:$B$70,"Loan Costs",'Closing Budget'!$E$60:$E$70),0)</f>
        <v>0</v>
      </c>
      <c r="DH85" s="180">
        <f>IF(DH4=0,-SUMIF('Closing Budget'!$B$60:$B$70,"Loan Costs",'Closing Budget'!$E$60:$E$70),0)</f>
        <v>0</v>
      </c>
      <c r="DI85" s="180">
        <f>IF(DI4=0,-SUMIF('Closing Budget'!$B$60:$B$70,"Loan Costs",'Closing Budget'!$E$60:$E$70),0)</f>
        <v>0</v>
      </c>
      <c r="DJ85" s="180">
        <f>IF(DJ4=0,-SUMIF('Closing Budget'!$B$60:$B$70,"Loan Costs",'Closing Budget'!$E$60:$E$70),0)</f>
        <v>0</v>
      </c>
      <c r="DK85" s="180">
        <f>IF(DK4=0,-SUMIF('Closing Budget'!$B$60:$B$70,"Loan Costs",'Closing Budget'!$E$60:$E$70),0)</f>
        <v>0</v>
      </c>
      <c r="DL85" s="180">
        <f>IF(DL4=0,-SUMIF('Closing Budget'!$B$60:$B$70,"Loan Costs",'Closing Budget'!$E$60:$E$70),0)</f>
        <v>0</v>
      </c>
      <c r="DM85" s="180">
        <f>IF(DM4=0,-SUMIF('Closing Budget'!$B$60:$B$70,"Loan Costs",'Closing Budget'!$E$60:$E$70),0)</f>
        <v>0</v>
      </c>
      <c r="DN85" s="180">
        <f>IF(DN4=0,-SUMIF('Closing Budget'!$B$60:$B$70,"Loan Costs",'Closing Budget'!$E$60:$E$70),0)</f>
        <v>0</v>
      </c>
      <c r="DO85" s="180">
        <f>IF(DO4=0,-SUMIF('Closing Budget'!$B$60:$B$70,"Loan Costs",'Closing Budget'!$E$60:$E$70),0)</f>
        <v>0</v>
      </c>
      <c r="DP85" s="180">
        <f>IF(DP4=0,-SUMIF('Closing Budget'!$B$60:$B$70,"Loan Costs",'Closing Budget'!$E$60:$E$70),0)</f>
        <v>0</v>
      </c>
      <c r="DQ85" s="180">
        <f>IF(DQ4=0,-SUMIF('Closing Budget'!$B$60:$B$70,"Loan Costs",'Closing Budget'!$E$60:$E$70),0)</f>
        <v>0</v>
      </c>
      <c r="DR85" s="180">
        <f>IF(DR4=0,-SUMIF('Closing Budget'!$B$60:$B$70,"Loan Costs",'Closing Budget'!$E$60:$E$70),0)</f>
        <v>0</v>
      </c>
      <c r="DS85" s="180">
        <f>IF(DS4=0,-SUMIF('Closing Budget'!$B$60:$B$70,"Loan Costs",'Closing Budget'!$E$60:$E$70),0)</f>
        <v>0</v>
      </c>
      <c r="DT85" s="180">
        <f>IF(DT4=0,-SUMIF('Closing Budget'!$B$60:$B$70,"Loan Costs",'Closing Budget'!$E$60:$E$70),0)</f>
        <v>0</v>
      </c>
      <c r="DU85" s="180">
        <f>IF(DU4=0,-SUMIF('Closing Budget'!$B$60:$B$70,"Loan Costs",'Closing Budget'!$E$60:$E$70),0)</f>
        <v>0</v>
      </c>
      <c r="DV85" s="180">
        <f>IF(DV4=0,-SUMIF('Closing Budget'!$B$60:$B$70,"Loan Costs",'Closing Budget'!$E$60:$E$70),0)</f>
        <v>0</v>
      </c>
      <c r="DW85" s="180">
        <f>IF(DW4=0,-SUMIF('Closing Budget'!$B$60:$B$70,"Loan Costs",'Closing Budget'!$E$60:$E$70),0)</f>
        <v>0</v>
      </c>
      <c r="DX85" s="180">
        <f>IF(DX4=0,-SUMIF('Closing Budget'!$B$60:$B$70,"Loan Costs",'Closing Budget'!$E$60:$E$70),0)</f>
        <v>0</v>
      </c>
      <c r="DY85" s="180">
        <f>IF(DY4=0,-SUMIF('Closing Budget'!$B$60:$B$70,"Loan Costs",'Closing Budget'!$E$60:$E$70),0)</f>
        <v>0</v>
      </c>
      <c r="DZ85" s="180">
        <f>IF(DZ4=0,-SUMIF('Closing Budget'!$B$60:$B$70,"Loan Costs",'Closing Budget'!$E$60:$E$70),0)</f>
        <v>0</v>
      </c>
      <c r="EA85" s="180">
        <f>IF(EA4=0,-SUMIF('Closing Budget'!$B$60:$B$70,"Loan Costs",'Closing Budget'!$E$60:$E$70),0)</f>
        <v>0</v>
      </c>
      <c r="EB85" s="180">
        <f>IF(EB4=0,-SUMIF('Closing Budget'!$B$60:$B$70,"Loan Costs",'Closing Budget'!$E$60:$E$70),0)</f>
        <v>0</v>
      </c>
      <c r="EC85" s="180">
        <f>IF(EC4=0,-SUMIF('Closing Budget'!$B$60:$B$70,"Loan Costs",'Closing Budget'!$E$60:$E$70),0)</f>
        <v>0</v>
      </c>
      <c r="ED85" s="180">
        <f>IF(ED4=0,-SUMIF('Closing Budget'!$B$60:$B$70,"Loan Costs",'Closing Budget'!$E$60:$E$70),0)</f>
        <v>0</v>
      </c>
      <c r="EE85" s="180">
        <f>IF(EE4=0,-SUMIF('Closing Budget'!$B$60:$B$70,"Loan Costs",'Closing Budget'!$E$60:$E$70),0)</f>
        <v>0</v>
      </c>
      <c r="EF85" s="180">
        <f>IF(EF4=0,-SUMIF('Closing Budget'!$B$60:$B$70,"Loan Costs",'Closing Budget'!$E$60:$E$70),0)</f>
        <v>0</v>
      </c>
      <c r="EG85" s="180">
        <f>IF(EG4=0,-SUMIF('Closing Budget'!$B$60:$B$70,"Loan Costs",'Closing Budget'!$E$60:$E$70),0)</f>
        <v>0</v>
      </c>
      <c r="EH85" s="180">
        <f>IF(EH4=0,-SUMIF('Closing Budget'!$B$60:$B$70,"Loan Costs",'Closing Budget'!$E$60:$E$70),0)</f>
        <v>0</v>
      </c>
      <c r="EI85" s="158" t="s">
        <v>243</v>
      </c>
    </row>
    <row r="86" spans="1:139" s="312" customFormat="1" x14ac:dyDescent="0.2">
      <c r="A86" s="282"/>
      <c r="B86" s="322" t="s">
        <v>795</v>
      </c>
      <c r="C86" s="323"/>
      <c r="D86" s="324">
        <f t="shared" si="120"/>
        <v>-276398.00764068676</v>
      </c>
      <c r="E86" s="324"/>
      <c r="F86" s="217">
        <f>'Loan Schedule'!C19</f>
        <v>0</v>
      </c>
      <c r="G86" s="217">
        <f>'Loan Schedule'!D19</f>
        <v>0</v>
      </c>
      <c r="H86" s="217">
        <f>'Loan Schedule'!E19</f>
        <v>0</v>
      </c>
      <c r="I86" s="217">
        <f>'Loan Schedule'!F19</f>
        <v>0</v>
      </c>
      <c r="J86" s="217">
        <f>'Loan Schedule'!G19</f>
        <v>0</v>
      </c>
      <c r="K86" s="217">
        <f>'Loan Schedule'!H19</f>
        <v>0</v>
      </c>
      <c r="L86" s="217">
        <f>'Loan Schedule'!I19</f>
        <v>0</v>
      </c>
      <c r="M86" s="217">
        <f>'Loan Schedule'!J19</f>
        <v>0</v>
      </c>
      <c r="N86" s="217">
        <f>'Loan Schedule'!K19</f>
        <v>0</v>
      </c>
      <c r="O86" s="217">
        <f>'Loan Schedule'!L19</f>
        <v>0</v>
      </c>
      <c r="P86" s="217">
        <f>'Loan Schedule'!M19</f>
        <v>0</v>
      </c>
      <c r="Q86" s="217">
        <f>'Loan Schedule'!N19</f>
        <v>0</v>
      </c>
      <c r="R86" s="217">
        <f>'Loan Schedule'!O19</f>
        <v>0</v>
      </c>
      <c r="S86" s="217">
        <f>'Loan Schedule'!P19</f>
        <v>0</v>
      </c>
      <c r="T86" s="217">
        <f>'Loan Schedule'!Q19</f>
        <v>0</v>
      </c>
      <c r="U86" s="217">
        <f>'Loan Schedule'!R19</f>
        <v>0</v>
      </c>
      <c r="V86" s="217">
        <f>'Loan Schedule'!S19</f>
        <v>0</v>
      </c>
      <c r="W86" s="217">
        <f>'Loan Schedule'!T19</f>
        <v>0</v>
      </c>
      <c r="X86" s="217">
        <f>'Loan Schedule'!U19</f>
        <v>0</v>
      </c>
      <c r="Y86" s="217">
        <f>'Loan Schedule'!V19</f>
        <v>0</v>
      </c>
      <c r="Z86" s="217">
        <f>'Loan Schedule'!W19</f>
        <v>0</v>
      </c>
      <c r="AA86" s="217">
        <f>'Loan Schedule'!X19</f>
        <v>0</v>
      </c>
      <c r="AB86" s="217">
        <f>'Loan Schedule'!Y19</f>
        <v>0</v>
      </c>
      <c r="AC86" s="217">
        <f>'Loan Schedule'!Z19</f>
        <v>0</v>
      </c>
      <c r="AD86" s="217">
        <f>'Loan Schedule'!AA19</f>
        <v>0</v>
      </c>
      <c r="AE86" s="217">
        <f>'Loan Schedule'!AB19</f>
        <v>0</v>
      </c>
      <c r="AF86" s="217">
        <f>'Loan Schedule'!AC19</f>
        <v>0</v>
      </c>
      <c r="AG86" s="217">
        <f>'Loan Schedule'!AD19</f>
        <v>0</v>
      </c>
      <c r="AH86" s="217">
        <f>'Loan Schedule'!AE19</f>
        <v>0</v>
      </c>
      <c r="AI86" s="217">
        <f>'Loan Schedule'!AF19</f>
        <v>0</v>
      </c>
      <c r="AJ86" s="217">
        <f>'Loan Schedule'!AG19</f>
        <v>0</v>
      </c>
      <c r="AK86" s="217">
        <f>'Loan Schedule'!AH19</f>
        <v>0</v>
      </c>
      <c r="AL86" s="217">
        <f>'Loan Schedule'!AI19</f>
        <v>0</v>
      </c>
      <c r="AM86" s="217">
        <f>'Loan Schedule'!AJ19</f>
        <v>0</v>
      </c>
      <c r="AN86" s="217">
        <f>'Loan Schedule'!AK19</f>
        <v>0</v>
      </c>
      <c r="AO86" s="217">
        <f>'Loan Schedule'!AL19</f>
        <v>0</v>
      </c>
      <c r="AP86" s="217">
        <f>'Loan Schedule'!AM19</f>
        <v>-276398.00764068676</v>
      </c>
      <c r="AQ86" s="217">
        <f>'Loan Schedule'!AN19</f>
        <v>0</v>
      </c>
      <c r="AR86" s="217">
        <f>'Loan Schedule'!AO19</f>
        <v>0</v>
      </c>
      <c r="AS86" s="217">
        <f>'Loan Schedule'!AP19</f>
        <v>0</v>
      </c>
      <c r="AT86" s="217">
        <f>'Loan Schedule'!AQ19</f>
        <v>0</v>
      </c>
      <c r="AU86" s="217">
        <f>'Loan Schedule'!AR19</f>
        <v>0</v>
      </c>
      <c r="AV86" s="217">
        <f>'Loan Schedule'!AS19</f>
        <v>0</v>
      </c>
      <c r="AW86" s="217">
        <f>'Loan Schedule'!AT19</f>
        <v>0</v>
      </c>
      <c r="AX86" s="217">
        <f>'Loan Schedule'!AU19</f>
        <v>0</v>
      </c>
      <c r="AY86" s="217">
        <f>'Loan Schedule'!AV19</f>
        <v>0</v>
      </c>
      <c r="AZ86" s="217">
        <f>'Loan Schedule'!AW19</f>
        <v>0</v>
      </c>
      <c r="BA86" s="217">
        <f>'Loan Schedule'!AX19</f>
        <v>0</v>
      </c>
      <c r="BB86" s="217">
        <f>'Loan Schedule'!AY19</f>
        <v>0</v>
      </c>
      <c r="BC86" s="217">
        <f>'Loan Schedule'!AZ19</f>
        <v>0</v>
      </c>
      <c r="BD86" s="217">
        <f>'Loan Schedule'!BA19</f>
        <v>0</v>
      </c>
      <c r="BE86" s="217">
        <f>'Loan Schedule'!BB19</f>
        <v>0</v>
      </c>
      <c r="BF86" s="217">
        <f>'Loan Schedule'!BC19</f>
        <v>0</v>
      </c>
      <c r="BG86" s="217">
        <f>'Loan Schedule'!BD19</f>
        <v>0</v>
      </c>
      <c r="BH86" s="217">
        <f>'Loan Schedule'!BE19</f>
        <v>0</v>
      </c>
      <c r="BI86" s="217">
        <f>'Loan Schedule'!BF19</f>
        <v>0</v>
      </c>
      <c r="BJ86" s="217">
        <f>'Loan Schedule'!BG19</f>
        <v>0</v>
      </c>
      <c r="BK86" s="217">
        <f>'Loan Schedule'!BH19</f>
        <v>0</v>
      </c>
      <c r="BL86" s="217">
        <f>'Loan Schedule'!BI19</f>
        <v>0</v>
      </c>
      <c r="BM86" s="217">
        <f>'Loan Schedule'!BJ19</f>
        <v>0</v>
      </c>
      <c r="BN86" s="217">
        <f>'Loan Schedule'!BK19</f>
        <v>0</v>
      </c>
      <c r="BO86" s="217">
        <f>'Loan Schedule'!BL19</f>
        <v>0</v>
      </c>
      <c r="BP86" s="217">
        <f>'Loan Schedule'!BM19</f>
        <v>0</v>
      </c>
      <c r="BQ86" s="217">
        <f>'Loan Schedule'!BN19</f>
        <v>0</v>
      </c>
      <c r="BR86" s="217">
        <f>'Loan Schedule'!BO19</f>
        <v>0</v>
      </c>
      <c r="BS86" s="217">
        <f>'Loan Schedule'!BP19</f>
        <v>0</v>
      </c>
      <c r="BT86" s="217">
        <f>'Loan Schedule'!BQ19</f>
        <v>0</v>
      </c>
      <c r="BU86" s="217">
        <f>'Loan Schedule'!BR19</f>
        <v>0</v>
      </c>
      <c r="BV86" s="217">
        <f>'Loan Schedule'!BS19</f>
        <v>0</v>
      </c>
      <c r="BW86" s="217">
        <f>'Loan Schedule'!BT19</f>
        <v>0</v>
      </c>
      <c r="BX86" s="217">
        <f>'Loan Schedule'!BU19</f>
        <v>0</v>
      </c>
      <c r="BY86" s="217">
        <f>'Loan Schedule'!BV19</f>
        <v>0</v>
      </c>
      <c r="BZ86" s="217">
        <f>'Loan Schedule'!BW19</f>
        <v>0</v>
      </c>
      <c r="CA86" s="217">
        <f>'Loan Schedule'!BX19</f>
        <v>0</v>
      </c>
      <c r="CB86" s="217">
        <f>'Loan Schedule'!BY19</f>
        <v>0</v>
      </c>
      <c r="CC86" s="217">
        <f>'Loan Schedule'!BZ19</f>
        <v>0</v>
      </c>
      <c r="CD86" s="217">
        <f>'Loan Schedule'!CA19</f>
        <v>0</v>
      </c>
      <c r="CE86" s="217">
        <f>'Loan Schedule'!CB19</f>
        <v>0</v>
      </c>
      <c r="CF86" s="217">
        <f>'Loan Schedule'!CC19</f>
        <v>0</v>
      </c>
      <c r="CG86" s="217">
        <f>'Loan Schedule'!CD19</f>
        <v>0</v>
      </c>
      <c r="CH86" s="217">
        <f>'Loan Schedule'!CE19</f>
        <v>0</v>
      </c>
      <c r="CI86" s="217">
        <f>'Loan Schedule'!CF19</f>
        <v>0</v>
      </c>
      <c r="CJ86" s="217">
        <f>'Loan Schedule'!CG19</f>
        <v>0</v>
      </c>
      <c r="CK86" s="217">
        <f>'Loan Schedule'!CH19</f>
        <v>0</v>
      </c>
      <c r="CL86" s="217">
        <f>'Loan Schedule'!CI19</f>
        <v>0</v>
      </c>
      <c r="CM86" s="217">
        <f>'Loan Schedule'!CJ19</f>
        <v>0</v>
      </c>
      <c r="CN86" s="217">
        <f>'Loan Schedule'!CK19</f>
        <v>0</v>
      </c>
      <c r="CO86" s="217">
        <f>'Loan Schedule'!CL19</f>
        <v>0</v>
      </c>
      <c r="CP86" s="217">
        <f>'Loan Schedule'!CM19</f>
        <v>0</v>
      </c>
      <c r="CQ86" s="217">
        <f>'Loan Schedule'!CN19</f>
        <v>0</v>
      </c>
      <c r="CR86" s="217">
        <f>'Loan Schedule'!CO19</f>
        <v>0</v>
      </c>
      <c r="CS86" s="217">
        <f>'Loan Schedule'!CP19</f>
        <v>0</v>
      </c>
      <c r="CT86" s="217">
        <f>'Loan Schedule'!CQ19</f>
        <v>0</v>
      </c>
      <c r="CU86" s="217">
        <f>'Loan Schedule'!CR19</f>
        <v>0</v>
      </c>
      <c r="CV86" s="217">
        <f>'Loan Schedule'!CS19</f>
        <v>0</v>
      </c>
      <c r="CW86" s="217">
        <f>'Loan Schedule'!CT19</f>
        <v>0</v>
      </c>
      <c r="CX86" s="217">
        <f>'Loan Schedule'!CU19</f>
        <v>0</v>
      </c>
      <c r="CY86" s="217">
        <f>'Loan Schedule'!CV19</f>
        <v>0</v>
      </c>
      <c r="CZ86" s="217">
        <f>'Loan Schedule'!CW19</f>
        <v>0</v>
      </c>
      <c r="DA86" s="217">
        <f>'Loan Schedule'!CX19</f>
        <v>0</v>
      </c>
      <c r="DB86" s="217">
        <f>'Loan Schedule'!CY19</f>
        <v>0</v>
      </c>
      <c r="DC86" s="217">
        <f>'Loan Schedule'!CZ19</f>
        <v>0</v>
      </c>
      <c r="DD86" s="217">
        <f>'Loan Schedule'!DA19</f>
        <v>0</v>
      </c>
      <c r="DE86" s="217">
        <f>'Loan Schedule'!DB19</f>
        <v>0</v>
      </c>
      <c r="DF86" s="217">
        <f>'Loan Schedule'!DC19</f>
        <v>0</v>
      </c>
      <c r="DG86" s="217">
        <f>'Loan Schedule'!DD19</f>
        <v>0</v>
      </c>
      <c r="DH86" s="217">
        <f>'Loan Schedule'!DE19</f>
        <v>0</v>
      </c>
      <c r="DI86" s="217">
        <f>'Loan Schedule'!DF19</f>
        <v>0</v>
      </c>
      <c r="DJ86" s="217">
        <f>'Loan Schedule'!DG19</f>
        <v>0</v>
      </c>
      <c r="DK86" s="217">
        <f>'Loan Schedule'!DH19</f>
        <v>0</v>
      </c>
      <c r="DL86" s="217">
        <f>'Loan Schedule'!DI19</f>
        <v>0</v>
      </c>
      <c r="DM86" s="217">
        <f>'Loan Schedule'!DJ19</f>
        <v>0</v>
      </c>
      <c r="DN86" s="217">
        <f>'Loan Schedule'!DK19</f>
        <v>0</v>
      </c>
      <c r="DO86" s="217">
        <f>'Loan Schedule'!DL19</f>
        <v>0</v>
      </c>
      <c r="DP86" s="217">
        <f>'Loan Schedule'!DM19</f>
        <v>0</v>
      </c>
      <c r="DQ86" s="217">
        <f>'Loan Schedule'!DN19</f>
        <v>0</v>
      </c>
      <c r="DR86" s="217">
        <f>'Loan Schedule'!DO19</f>
        <v>0</v>
      </c>
      <c r="DS86" s="217">
        <f>'Loan Schedule'!DP19</f>
        <v>0</v>
      </c>
      <c r="DT86" s="217">
        <f>'Loan Schedule'!DQ19</f>
        <v>0</v>
      </c>
      <c r="DU86" s="217">
        <f>'Loan Schedule'!DR19</f>
        <v>0</v>
      </c>
      <c r="DV86" s="217">
        <f>'Loan Schedule'!DS19</f>
        <v>0</v>
      </c>
      <c r="DW86" s="217">
        <f>'Loan Schedule'!DT19</f>
        <v>0</v>
      </c>
      <c r="DX86" s="217">
        <f>'Loan Schedule'!DU19</f>
        <v>0</v>
      </c>
      <c r="DY86" s="217">
        <f>'Loan Schedule'!DV19</f>
        <v>0</v>
      </c>
      <c r="DZ86" s="217">
        <f>'Loan Schedule'!DW19</f>
        <v>0</v>
      </c>
      <c r="EA86" s="217">
        <f>'Loan Schedule'!DX19</f>
        <v>0</v>
      </c>
      <c r="EB86" s="217">
        <f>'Loan Schedule'!DY19</f>
        <v>0</v>
      </c>
      <c r="EC86" s="217">
        <f>'Loan Schedule'!DZ19</f>
        <v>0</v>
      </c>
      <c r="ED86" s="217">
        <f>'Loan Schedule'!EA19</f>
        <v>0</v>
      </c>
      <c r="EE86" s="217">
        <f>'Loan Schedule'!EB19</f>
        <v>0</v>
      </c>
      <c r="EF86" s="217">
        <f>'Loan Schedule'!EC19</f>
        <v>0</v>
      </c>
      <c r="EG86" s="217">
        <f>'Loan Schedule'!ED19</f>
        <v>0</v>
      </c>
      <c r="EH86" s="217">
        <f>'Loan Schedule'!EE19</f>
        <v>0</v>
      </c>
      <c r="EI86" s="158" t="s">
        <v>243</v>
      </c>
    </row>
    <row r="87" spans="1:139" s="312" customFormat="1" x14ac:dyDescent="0.2">
      <c r="A87" s="282"/>
      <c r="B87" s="322" t="s">
        <v>778</v>
      </c>
      <c r="C87" s="323"/>
      <c r="D87" s="324">
        <f t="shared" si="120"/>
        <v>-27639800.764068678</v>
      </c>
      <c r="E87" s="324"/>
      <c r="F87" s="180">
        <f>'Loan Schedule'!C16</f>
        <v>0</v>
      </c>
      <c r="G87" s="180">
        <f>'Loan Schedule'!D16</f>
        <v>0</v>
      </c>
      <c r="H87" s="180">
        <f>'Loan Schedule'!E16</f>
        <v>0</v>
      </c>
      <c r="I87" s="180">
        <f>'Loan Schedule'!F16</f>
        <v>0</v>
      </c>
      <c r="J87" s="180">
        <f>'Loan Schedule'!G16</f>
        <v>0</v>
      </c>
      <c r="K87" s="180">
        <f>'Loan Schedule'!H16</f>
        <v>0</v>
      </c>
      <c r="L87" s="180">
        <f>'Loan Schedule'!I16</f>
        <v>0</v>
      </c>
      <c r="M87" s="180">
        <f>'Loan Schedule'!J16</f>
        <v>0</v>
      </c>
      <c r="N87" s="180">
        <f>'Loan Schedule'!K16</f>
        <v>0</v>
      </c>
      <c r="O87" s="180">
        <f>'Loan Schedule'!L16</f>
        <v>0</v>
      </c>
      <c r="P87" s="180">
        <f>'Loan Schedule'!M16</f>
        <v>0</v>
      </c>
      <c r="Q87" s="180">
        <f>'Loan Schedule'!N16</f>
        <v>0</v>
      </c>
      <c r="R87" s="180">
        <f>'Loan Schedule'!O16</f>
        <v>0</v>
      </c>
      <c r="S87" s="180">
        <f>'Loan Schedule'!P16</f>
        <v>0</v>
      </c>
      <c r="T87" s="180">
        <f>'Loan Schedule'!Q16</f>
        <v>0</v>
      </c>
      <c r="U87" s="180">
        <f>'Loan Schedule'!R16</f>
        <v>0</v>
      </c>
      <c r="V87" s="180">
        <f>'Loan Schedule'!S16</f>
        <v>0</v>
      </c>
      <c r="W87" s="180">
        <f>'Loan Schedule'!T16</f>
        <v>0</v>
      </c>
      <c r="X87" s="180">
        <f>'Loan Schedule'!U16</f>
        <v>0</v>
      </c>
      <c r="Y87" s="180">
        <f>'Loan Schedule'!V16</f>
        <v>0</v>
      </c>
      <c r="Z87" s="180">
        <f>'Loan Schedule'!W16</f>
        <v>0</v>
      </c>
      <c r="AA87" s="180">
        <f>'Loan Schedule'!X16</f>
        <v>0</v>
      </c>
      <c r="AB87" s="180">
        <f>'Loan Schedule'!Y16</f>
        <v>0</v>
      </c>
      <c r="AC87" s="180">
        <f>'Loan Schedule'!Z16</f>
        <v>0</v>
      </c>
      <c r="AD87" s="180">
        <f>'Loan Schedule'!AA16</f>
        <v>0</v>
      </c>
      <c r="AE87" s="180">
        <f>'Loan Schedule'!AB16</f>
        <v>0</v>
      </c>
      <c r="AF87" s="180">
        <f>'Loan Schedule'!AC16</f>
        <v>0</v>
      </c>
      <c r="AG87" s="180">
        <f>'Loan Schedule'!AD16</f>
        <v>0</v>
      </c>
      <c r="AH87" s="180">
        <f>'Loan Schedule'!AE16</f>
        <v>0</v>
      </c>
      <c r="AI87" s="180">
        <f>'Loan Schedule'!AF16</f>
        <v>0</v>
      </c>
      <c r="AJ87" s="180">
        <f>'Loan Schedule'!AG16</f>
        <v>0</v>
      </c>
      <c r="AK87" s="180">
        <f>'Loan Schedule'!AH16</f>
        <v>0</v>
      </c>
      <c r="AL87" s="180">
        <f>'Loan Schedule'!AI16</f>
        <v>0</v>
      </c>
      <c r="AM87" s="180">
        <f>'Loan Schedule'!AJ16</f>
        <v>0</v>
      </c>
      <c r="AN87" s="180">
        <f>'Loan Schedule'!AK16</f>
        <v>0</v>
      </c>
      <c r="AO87" s="180">
        <f>'Loan Schedule'!AL16</f>
        <v>0</v>
      </c>
      <c r="AP87" s="180">
        <f>'Loan Schedule'!AM16</f>
        <v>-27639800.764068678</v>
      </c>
      <c r="AQ87" s="180">
        <f>'Loan Schedule'!AN16</f>
        <v>0</v>
      </c>
      <c r="AR87" s="180">
        <f>'Loan Schedule'!AO16</f>
        <v>0</v>
      </c>
      <c r="AS87" s="180">
        <f>'Loan Schedule'!AP16</f>
        <v>0</v>
      </c>
      <c r="AT87" s="180">
        <f>'Loan Schedule'!AQ16</f>
        <v>0</v>
      </c>
      <c r="AU87" s="180">
        <f>'Loan Schedule'!AR16</f>
        <v>0</v>
      </c>
      <c r="AV87" s="180">
        <f>'Loan Schedule'!AS16</f>
        <v>0</v>
      </c>
      <c r="AW87" s="180">
        <f>'Loan Schedule'!AT16</f>
        <v>0</v>
      </c>
      <c r="AX87" s="180">
        <f>'Loan Schedule'!AU16</f>
        <v>0</v>
      </c>
      <c r="AY87" s="180">
        <f>'Loan Schedule'!AV16</f>
        <v>0</v>
      </c>
      <c r="AZ87" s="180">
        <f>'Loan Schedule'!AW16</f>
        <v>0</v>
      </c>
      <c r="BA87" s="180">
        <f>'Loan Schedule'!AX16</f>
        <v>0</v>
      </c>
      <c r="BB87" s="180">
        <f>'Loan Schedule'!AY16</f>
        <v>0</v>
      </c>
      <c r="BC87" s="180">
        <f>'Loan Schedule'!AZ16</f>
        <v>0</v>
      </c>
      <c r="BD87" s="180">
        <f>'Loan Schedule'!BA16</f>
        <v>0</v>
      </c>
      <c r="BE87" s="180">
        <f>'Loan Schedule'!BB16</f>
        <v>0</v>
      </c>
      <c r="BF87" s="180">
        <f>'Loan Schedule'!BC16</f>
        <v>0</v>
      </c>
      <c r="BG87" s="180">
        <f>'Loan Schedule'!BD16</f>
        <v>0</v>
      </c>
      <c r="BH87" s="180">
        <f>'Loan Schedule'!BE16</f>
        <v>0</v>
      </c>
      <c r="BI87" s="180">
        <f>'Loan Schedule'!BF16</f>
        <v>0</v>
      </c>
      <c r="BJ87" s="180">
        <f>'Loan Schedule'!BG16</f>
        <v>0</v>
      </c>
      <c r="BK87" s="180">
        <f>'Loan Schedule'!BH16</f>
        <v>0</v>
      </c>
      <c r="BL87" s="180">
        <f>'Loan Schedule'!BI16</f>
        <v>0</v>
      </c>
      <c r="BM87" s="180">
        <f>'Loan Schedule'!BJ16</f>
        <v>0</v>
      </c>
      <c r="BN87" s="180">
        <f>'Loan Schedule'!BK16</f>
        <v>0</v>
      </c>
      <c r="BO87" s="180">
        <f>'Loan Schedule'!BL16</f>
        <v>0</v>
      </c>
      <c r="BP87" s="180">
        <f>'Loan Schedule'!BM16</f>
        <v>0</v>
      </c>
      <c r="BQ87" s="180">
        <f>'Loan Schedule'!BN16</f>
        <v>0</v>
      </c>
      <c r="BR87" s="180">
        <f>'Loan Schedule'!BO16</f>
        <v>0</v>
      </c>
      <c r="BS87" s="180">
        <f>'Loan Schedule'!BP16</f>
        <v>0</v>
      </c>
      <c r="BT87" s="180">
        <f>'Loan Schedule'!BQ16</f>
        <v>0</v>
      </c>
      <c r="BU87" s="180">
        <f>'Loan Schedule'!BR16</f>
        <v>0</v>
      </c>
      <c r="BV87" s="180">
        <f>'Loan Schedule'!BS16</f>
        <v>0</v>
      </c>
      <c r="BW87" s="180">
        <f>'Loan Schedule'!BT16</f>
        <v>0</v>
      </c>
      <c r="BX87" s="180">
        <f>'Loan Schedule'!BU16</f>
        <v>0</v>
      </c>
      <c r="BY87" s="180">
        <f>'Loan Schedule'!BV16</f>
        <v>0</v>
      </c>
      <c r="BZ87" s="180">
        <f>'Loan Schedule'!BW16</f>
        <v>0</v>
      </c>
      <c r="CA87" s="180">
        <f>'Loan Schedule'!BX16</f>
        <v>0</v>
      </c>
      <c r="CB87" s="180">
        <f>'Loan Schedule'!BY16</f>
        <v>0</v>
      </c>
      <c r="CC87" s="180">
        <f>'Loan Schedule'!BZ16</f>
        <v>0</v>
      </c>
      <c r="CD87" s="180">
        <f>'Loan Schedule'!CA16</f>
        <v>0</v>
      </c>
      <c r="CE87" s="180">
        <f>'Loan Schedule'!CB16</f>
        <v>0</v>
      </c>
      <c r="CF87" s="180">
        <f>'Loan Schedule'!CC16</f>
        <v>0</v>
      </c>
      <c r="CG87" s="180">
        <f>'Loan Schedule'!CD16</f>
        <v>0</v>
      </c>
      <c r="CH87" s="180">
        <f>'Loan Schedule'!CE16</f>
        <v>0</v>
      </c>
      <c r="CI87" s="180">
        <f>'Loan Schedule'!CF16</f>
        <v>0</v>
      </c>
      <c r="CJ87" s="180">
        <f>'Loan Schedule'!CG16</f>
        <v>0</v>
      </c>
      <c r="CK87" s="180">
        <f>'Loan Schedule'!CH16</f>
        <v>0</v>
      </c>
      <c r="CL87" s="180">
        <f>'Loan Schedule'!CI16</f>
        <v>0</v>
      </c>
      <c r="CM87" s="180">
        <f>'Loan Schedule'!CJ16</f>
        <v>0</v>
      </c>
      <c r="CN87" s="180">
        <f>'Loan Schedule'!CK16</f>
        <v>0</v>
      </c>
      <c r="CO87" s="180">
        <f>'Loan Schedule'!CL16</f>
        <v>0</v>
      </c>
      <c r="CP87" s="180">
        <f>'Loan Schedule'!CM16</f>
        <v>0</v>
      </c>
      <c r="CQ87" s="180">
        <f>'Loan Schedule'!CN16</f>
        <v>0</v>
      </c>
      <c r="CR87" s="180">
        <f>'Loan Schedule'!CO16</f>
        <v>0</v>
      </c>
      <c r="CS87" s="180">
        <f>'Loan Schedule'!CP16</f>
        <v>0</v>
      </c>
      <c r="CT87" s="180">
        <f>'Loan Schedule'!CQ16</f>
        <v>0</v>
      </c>
      <c r="CU87" s="180">
        <f>'Loan Schedule'!CR16</f>
        <v>0</v>
      </c>
      <c r="CV87" s="180">
        <f>'Loan Schedule'!CS16</f>
        <v>0</v>
      </c>
      <c r="CW87" s="180">
        <f>'Loan Schedule'!CT16</f>
        <v>0</v>
      </c>
      <c r="CX87" s="180">
        <f>'Loan Schedule'!CU16</f>
        <v>0</v>
      </c>
      <c r="CY87" s="180">
        <f>'Loan Schedule'!CV16</f>
        <v>0</v>
      </c>
      <c r="CZ87" s="180">
        <f>'Loan Schedule'!CW16</f>
        <v>0</v>
      </c>
      <c r="DA87" s="180">
        <f>'Loan Schedule'!CX16</f>
        <v>0</v>
      </c>
      <c r="DB87" s="180">
        <f>'Loan Schedule'!CY16</f>
        <v>0</v>
      </c>
      <c r="DC87" s="180">
        <f>'Loan Schedule'!CZ16</f>
        <v>0</v>
      </c>
      <c r="DD87" s="180">
        <f>'Loan Schedule'!DA16</f>
        <v>0</v>
      </c>
      <c r="DE87" s="180">
        <f>'Loan Schedule'!DB16</f>
        <v>0</v>
      </c>
      <c r="DF87" s="180">
        <f>'Loan Schedule'!DC16</f>
        <v>0</v>
      </c>
      <c r="DG87" s="180">
        <f>'Loan Schedule'!DD16</f>
        <v>0</v>
      </c>
      <c r="DH87" s="180">
        <f>'Loan Schedule'!DE16</f>
        <v>0</v>
      </c>
      <c r="DI87" s="180">
        <f>'Loan Schedule'!DF16</f>
        <v>0</v>
      </c>
      <c r="DJ87" s="180">
        <f>'Loan Schedule'!DG16</f>
        <v>0</v>
      </c>
      <c r="DK87" s="180">
        <f>'Loan Schedule'!DH16</f>
        <v>0</v>
      </c>
      <c r="DL87" s="180">
        <f>'Loan Schedule'!DI16</f>
        <v>0</v>
      </c>
      <c r="DM87" s="180">
        <f>'Loan Schedule'!DJ16</f>
        <v>0</v>
      </c>
      <c r="DN87" s="180">
        <f>'Loan Schedule'!DK16</f>
        <v>0</v>
      </c>
      <c r="DO87" s="180">
        <f>'Loan Schedule'!DL16</f>
        <v>0</v>
      </c>
      <c r="DP87" s="180">
        <f>'Loan Schedule'!DM16</f>
        <v>0</v>
      </c>
      <c r="DQ87" s="180">
        <f>'Loan Schedule'!DN16</f>
        <v>0</v>
      </c>
      <c r="DR87" s="180">
        <f>'Loan Schedule'!DO16</f>
        <v>0</v>
      </c>
      <c r="DS87" s="180">
        <f>'Loan Schedule'!DP16</f>
        <v>0</v>
      </c>
      <c r="DT87" s="180">
        <f>'Loan Schedule'!DQ16</f>
        <v>0</v>
      </c>
      <c r="DU87" s="180">
        <f>'Loan Schedule'!DR16</f>
        <v>0</v>
      </c>
      <c r="DV87" s="180">
        <f>'Loan Schedule'!DS16</f>
        <v>0</v>
      </c>
      <c r="DW87" s="180">
        <f>'Loan Schedule'!DT16</f>
        <v>0</v>
      </c>
      <c r="DX87" s="180">
        <f>'Loan Schedule'!DU16</f>
        <v>0</v>
      </c>
      <c r="DY87" s="180">
        <f>'Loan Schedule'!DV16</f>
        <v>0</v>
      </c>
      <c r="DZ87" s="180">
        <f>'Loan Schedule'!DW16</f>
        <v>0</v>
      </c>
      <c r="EA87" s="180">
        <f>'Loan Schedule'!DX16</f>
        <v>0</v>
      </c>
      <c r="EB87" s="180">
        <f>'Loan Schedule'!DY16</f>
        <v>0</v>
      </c>
      <c r="EC87" s="180">
        <f>'Loan Schedule'!DZ16</f>
        <v>0</v>
      </c>
      <c r="ED87" s="180">
        <f>'Loan Schedule'!EA16</f>
        <v>0</v>
      </c>
      <c r="EE87" s="180">
        <f>'Loan Schedule'!EB16</f>
        <v>0</v>
      </c>
      <c r="EF87" s="180">
        <f>'Loan Schedule'!EC16</f>
        <v>0</v>
      </c>
      <c r="EG87" s="180">
        <f>'Loan Schedule'!ED16</f>
        <v>0</v>
      </c>
      <c r="EH87" s="180">
        <f>'Loan Schedule'!EE16</f>
        <v>0</v>
      </c>
      <c r="EI87" s="158" t="s">
        <v>243</v>
      </c>
    </row>
    <row r="88" spans="1:139" s="312" customFormat="1" x14ac:dyDescent="0.2">
      <c r="A88" s="282"/>
      <c r="B88" s="322" t="s">
        <v>912</v>
      </c>
      <c r="C88" s="323"/>
      <c r="D88" s="324">
        <f t="shared" si="120"/>
        <v>13700000</v>
      </c>
      <c r="E88" s="324"/>
      <c r="F88" s="180">
        <f>'Closing Budget'!E89</f>
        <v>13700000</v>
      </c>
      <c r="G88" s="180">
        <v>0</v>
      </c>
      <c r="H88" s="180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O88" s="180">
        <v>0</v>
      </c>
      <c r="P88" s="180">
        <v>0</v>
      </c>
      <c r="Q88" s="180">
        <v>0</v>
      </c>
      <c r="R88" s="180">
        <v>0</v>
      </c>
      <c r="S88" s="180">
        <v>0</v>
      </c>
      <c r="T88" s="180">
        <v>0</v>
      </c>
      <c r="U88" s="180">
        <v>0</v>
      </c>
      <c r="V88" s="180">
        <v>0</v>
      </c>
      <c r="W88" s="180">
        <v>0</v>
      </c>
      <c r="X88" s="180">
        <v>0</v>
      </c>
      <c r="Y88" s="180">
        <v>0</v>
      </c>
      <c r="Z88" s="180">
        <v>0</v>
      </c>
      <c r="AA88" s="180">
        <v>0</v>
      </c>
      <c r="AB88" s="180">
        <v>0</v>
      </c>
      <c r="AC88" s="180">
        <v>0</v>
      </c>
      <c r="AD88" s="180">
        <v>0</v>
      </c>
      <c r="AE88" s="180">
        <v>0</v>
      </c>
      <c r="AF88" s="180">
        <v>0</v>
      </c>
      <c r="AG88" s="180">
        <v>0</v>
      </c>
      <c r="AH88" s="180">
        <v>0</v>
      </c>
      <c r="AI88" s="180">
        <v>0</v>
      </c>
      <c r="AJ88" s="180">
        <v>0</v>
      </c>
      <c r="AK88" s="180">
        <v>0</v>
      </c>
      <c r="AL88" s="180">
        <v>0</v>
      </c>
      <c r="AM88" s="180">
        <v>0</v>
      </c>
      <c r="AN88" s="180">
        <v>0</v>
      </c>
      <c r="AO88" s="180">
        <v>0</v>
      </c>
      <c r="AP88" s="180">
        <v>0</v>
      </c>
      <c r="AQ88" s="180">
        <v>0</v>
      </c>
      <c r="AR88" s="180">
        <v>0</v>
      </c>
      <c r="AS88" s="180">
        <v>0</v>
      </c>
      <c r="AT88" s="180">
        <v>0</v>
      </c>
      <c r="AU88" s="180">
        <v>0</v>
      </c>
      <c r="AV88" s="180">
        <v>0</v>
      </c>
      <c r="AW88" s="180">
        <v>0</v>
      </c>
      <c r="AX88" s="180">
        <v>0</v>
      </c>
      <c r="AY88" s="180">
        <v>0</v>
      </c>
      <c r="AZ88" s="180">
        <v>0</v>
      </c>
      <c r="BA88" s="180">
        <v>0</v>
      </c>
      <c r="BB88" s="180">
        <v>0</v>
      </c>
      <c r="BC88" s="180">
        <v>0</v>
      </c>
      <c r="BD88" s="180">
        <v>0</v>
      </c>
      <c r="BE88" s="180">
        <v>0</v>
      </c>
      <c r="BF88" s="180">
        <v>0</v>
      </c>
      <c r="BG88" s="180">
        <v>0</v>
      </c>
      <c r="BH88" s="180">
        <v>0</v>
      </c>
      <c r="BI88" s="180">
        <v>0</v>
      </c>
      <c r="BJ88" s="180">
        <v>0</v>
      </c>
      <c r="BK88" s="180">
        <v>0</v>
      </c>
      <c r="BL88" s="180">
        <v>0</v>
      </c>
      <c r="BM88" s="180">
        <v>0</v>
      </c>
      <c r="BN88" s="180">
        <v>0</v>
      </c>
      <c r="BO88" s="180">
        <v>0</v>
      </c>
      <c r="BP88" s="180">
        <v>0</v>
      </c>
      <c r="BQ88" s="180">
        <v>0</v>
      </c>
      <c r="BR88" s="180">
        <v>0</v>
      </c>
      <c r="BS88" s="180">
        <v>0</v>
      </c>
      <c r="BT88" s="180">
        <v>0</v>
      </c>
      <c r="BU88" s="180">
        <v>0</v>
      </c>
      <c r="BV88" s="180">
        <v>0</v>
      </c>
      <c r="BW88" s="180">
        <v>0</v>
      </c>
      <c r="BX88" s="180">
        <v>0</v>
      </c>
      <c r="BY88" s="180">
        <v>0</v>
      </c>
      <c r="BZ88" s="180">
        <v>0</v>
      </c>
      <c r="CA88" s="180">
        <v>0</v>
      </c>
      <c r="CB88" s="180">
        <v>0</v>
      </c>
      <c r="CC88" s="180">
        <v>0</v>
      </c>
      <c r="CD88" s="180">
        <v>0</v>
      </c>
      <c r="CE88" s="180">
        <v>0</v>
      </c>
      <c r="CF88" s="180">
        <v>0</v>
      </c>
      <c r="CG88" s="180">
        <v>0</v>
      </c>
      <c r="CH88" s="180">
        <v>0</v>
      </c>
      <c r="CI88" s="180">
        <v>0</v>
      </c>
      <c r="CJ88" s="180">
        <v>0</v>
      </c>
      <c r="CK88" s="180">
        <v>0</v>
      </c>
      <c r="CL88" s="180">
        <v>0</v>
      </c>
      <c r="CM88" s="180">
        <v>0</v>
      </c>
      <c r="CN88" s="180">
        <v>0</v>
      </c>
      <c r="CO88" s="180">
        <v>0</v>
      </c>
      <c r="CP88" s="180">
        <v>0</v>
      </c>
      <c r="CQ88" s="180">
        <v>0</v>
      </c>
      <c r="CR88" s="180">
        <v>0</v>
      </c>
      <c r="CS88" s="180">
        <v>0</v>
      </c>
      <c r="CT88" s="180">
        <v>0</v>
      </c>
      <c r="CU88" s="180">
        <v>0</v>
      </c>
      <c r="CV88" s="180">
        <v>0</v>
      </c>
      <c r="CW88" s="180">
        <v>0</v>
      </c>
      <c r="CX88" s="180">
        <v>0</v>
      </c>
      <c r="CY88" s="180">
        <v>0</v>
      </c>
      <c r="CZ88" s="180">
        <v>0</v>
      </c>
      <c r="DA88" s="180">
        <v>0</v>
      </c>
      <c r="DB88" s="180">
        <v>0</v>
      </c>
      <c r="DC88" s="180">
        <v>0</v>
      </c>
      <c r="DD88" s="180">
        <v>0</v>
      </c>
      <c r="DE88" s="180">
        <v>0</v>
      </c>
      <c r="DF88" s="180">
        <v>0</v>
      </c>
      <c r="DG88" s="180">
        <v>0</v>
      </c>
      <c r="DH88" s="180">
        <v>0</v>
      </c>
      <c r="DI88" s="180">
        <v>0</v>
      </c>
      <c r="DJ88" s="180">
        <v>0</v>
      </c>
      <c r="DK88" s="180">
        <v>0</v>
      </c>
      <c r="DL88" s="180">
        <v>0</v>
      </c>
      <c r="DM88" s="180">
        <v>0</v>
      </c>
      <c r="DN88" s="180">
        <v>0</v>
      </c>
      <c r="DO88" s="180">
        <v>0</v>
      </c>
      <c r="DP88" s="180">
        <v>0</v>
      </c>
      <c r="DQ88" s="180">
        <v>0</v>
      </c>
      <c r="DR88" s="180">
        <v>0</v>
      </c>
      <c r="DS88" s="180">
        <v>0</v>
      </c>
      <c r="DT88" s="180">
        <v>0</v>
      </c>
      <c r="DU88" s="180">
        <v>0</v>
      </c>
      <c r="DV88" s="180">
        <v>0</v>
      </c>
      <c r="DW88" s="180">
        <v>0</v>
      </c>
      <c r="DX88" s="180">
        <v>0</v>
      </c>
      <c r="DY88" s="180">
        <v>0</v>
      </c>
      <c r="DZ88" s="180">
        <v>0</v>
      </c>
      <c r="EA88" s="180">
        <v>0</v>
      </c>
      <c r="EB88" s="180">
        <v>0</v>
      </c>
      <c r="EC88" s="180">
        <v>0</v>
      </c>
      <c r="ED88" s="180">
        <v>0</v>
      </c>
      <c r="EE88" s="180">
        <v>0</v>
      </c>
      <c r="EF88" s="180">
        <v>0</v>
      </c>
      <c r="EG88" s="180">
        <v>0</v>
      </c>
      <c r="EH88" s="180">
        <v>0</v>
      </c>
      <c r="EI88" s="158" t="s">
        <v>243</v>
      </c>
    </row>
    <row r="89" spans="1:139" s="312" customFormat="1" x14ac:dyDescent="0.2">
      <c r="A89" s="282"/>
      <c r="B89" s="322" t="s">
        <v>913</v>
      </c>
      <c r="C89" s="323"/>
      <c r="D89" s="324">
        <f t="shared" si="120"/>
        <v>1299999.9999999306</v>
      </c>
      <c r="E89" s="324"/>
      <c r="F89" s="180">
        <v>0</v>
      </c>
      <c r="G89" s="180">
        <f>MIN(JV_reserve-SUM($F$89:F89),-G60-G61)</f>
        <v>0</v>
      </c>
      <c r="H89" s="180">
        <f>MIN(JV_reserve-SUM($F$89:G89),-H60-H61)</f>
        <v>78205.127955073374</v>
      </c>
      <c r="I89" s="180">
        <f>MIN(JV_reserve-SUM($F$89:H89),-I60-I61)</f>
        <v>78205.128455183032</v>
      </c>
      <c r="J89" s="180">
        <f>MIN(JV_reserve-SUM($F$89:I89),-J60-J61)</f>
        <v>78205.128455113459</v>
      </c>
      <c r="K89" s="180">
        <f>MIN(JV_reserve-SUM($F$89:J89),-K60-K61)</f>
        <v>78205.127955073374</v>
      </c>
      <c r="L89" s="180">
        <f>MIN(JV_reserve-SUM($F$89:K89),-L60-L61)</f>
        <v>28205.128205128203</v>
      </c>
      <c r="M89" s="180">
        <f>MIN(JV_reserve-SUM($F$89:L89),-M60-M61)</f>
        <v>28205.128205128203</v>
      </c>
      <c r="N89" s="180">
        <f>MIN(JV_reserve-SUM($F$89:M89),-N60-N61)</f>
        <v>28205.128205128203</v>
      </c>
      <c r="O89" s="180">
        <f>MIN(JV_reserve-SUM($F$89:N89),-O60-O61)</f>
        <v>28205.128205128203</v>
      </c>
      <c r="P89" s="180">
        <f>MIN(JV_reserve-SUM($F$89:O89),-P60-P61)</f>
        <v>28205.128205128203</v>
      </c>
      <c r="Q89" s="180">
        <f>MIN(JV_reserve-SUM($F$89:P89),-Q60-Q61)</f>
        <v>28205.128205128203</v>
      </c>
      <c r="R89" s="180">
        <f>MIN(JV_reserve-SUM($F$89:Q89),-R60-R61)</f>
        <v>28205.128205128203</v>
      </c>
      <c r="S89" s="180">
        <f>MIN(JV_reserve-SUM($F$89:R89),-S60-S61)</f>
        <v>28205.128205128203</v>
      </c>
      <c r="T89" s="180">
        <f>MIN(JV_reserve-SUM($F$89:S89),-T60-T61)</f>
        <v>45128.205128205125</v>
      </c>
      <c r="U89" s="180">
        <f>MIN(JV_reserve-SUM($F$89:T89),-U60-U61)</f>
        <v>45128.205128205125</v>
      </c>
      <c r="V89" s="180">
        <f>MIN(JV_reserve-SUM($F$89:U89),-V60-V61)</f>
        <v>45128.205128205125</v>
      </c>
      <c r="W89" s="180">
        <f>MIN(JV_reserve-SUM($F$89:V89),-W60-W61)</f>
        <v>45128.205128205125</v>
      </c>
      <c r="X89" s="180">
        <f>MIN(JV_reserve-SUM($F$89:W89),-X60-X61)</f>
        <v>45128.205128205125</v>
      </c>
      <c r="Y89" s="180">
        <f>MIN(JV_reserve-SUM($F$89:X89),-Y60-Y61)</f>
        <v>45128.205128205125</v>
      </c>
      <c r="Z89" s="180">
        <f>MIN(JV_reserve-SUM($F$89:Y89),-Z60-Z61)</f>
        <v>45128.205128205125</v>
      </c>
      <c r="AA89" s="180">
        <f>MIN(JV_reserve-SUM($F$89:Z89),-AA60-AA61)</f>
        <v>39487.179487179485</v>
      </c>
      <c r="AB89" s="180">
        <f>MIN(JV_reserve-SUM($F$89:AA89),-AB60-AB61)</f>
        <v>39487.179487179485</v>
      </c>
      <c r="AC89" s="180">
        <f>MIN(JV_reserve-SUM($F$89:AB89),-AC60-AC61)</f>
        <v>39487.179487179485</v>
      </c>
      <c r="AD89" s="180">
        <f>MIN(JV_reserve-SUM($F$89:AC89),-AD60-AD61)</f>
        <v>39487.179487179485</v>
      </c>
      <c r="AE89" s="180">
        <f>MIN(JV_reserve-SUM($F$89:AD89),-AE60-AE61)</f>
        <v>39487.179487179485</v>
      </c>
      <c r="AF89" s="180">
        <f>MIN(JV_reserve-SUM($F$89:AE89),-AF60-AF61)</f>
        <v>39487.179487179485</v>
      </c>
      <c r="AG89" s="180">
        <f>MIN(JV_reserve-SUM($F$89:AF89),-AG60-AG61)</f>
        <v>39487.179487179485</v>
      </c>
      <c r="AH89" s="180">
        <f>MIN(JV_reserve-SUM($F$89:AG89),-AH60-AH61)</f>
        <v>28205.128205128203</v>
      </c>
      <c r="AI89" s="180">
        <f>MIN(JV_reserve-SUM($F$89:AH89),-AI60-AI61)</f>
        <v>28205.128205128203</v>
      </c>
      <c r="AJ89" s="180">
        <f>MIN(JV_reserve-SUM($F$89:AI89),-AJ60-AJ61)</f>
        <v>28205.128205128203</v>
      </c>
      <c r="AK89" s="180">
        <f>MIN(JV_reserve-SUM($F$89:AJ89),-AK60-AK61)</f>
        <v>28205.128205128203</v>
      </c>
      <c r="AL89" s="180">
        <f>MIN(JV_reserve-SUM($F$89:AK89),-AL60-AL61)</f>
        <v>28205.128205128203</v>
      </c>
      <c r="AM89" s="180">
        <f>MIN(JV_reserve-SUM($F$89:AL89),-AM60-AM61)</f>
        <v>28205.128205128203</v>
      </c>
      <c r="AN89" s="180">
        <f>MIN(JV_reserve-SUM($F$89:AM89),-AN60-AN61)</f>
        <v>0</v>
      </c>
      <c r="AO89" s="180">
        <f>MIN(JV_reserve-SUM($F$89:AN89),-AO60-AO61)</f>
        <v>0</v>
      </c>
      <c r="AP89" s="180">
        <f>MIN(JV_reserve-SUM($F$89:AO89),-AP60-AP61)</f>
        <v>0</v>
      </c>
      <c r="AQ89" s="180">
        <f>MIN(JV_reserve-SUM($F$89:AP89),-AQ60-AQ61)</f>
        <v>0</v>
      </c>
      <c r="AR89" s="180">
        <f>MIN(JV_reserve-SUM($F$89:AQ89),-AR60-AR61)</f>
        <v>0</v>
      </c>
      <c r="AS89" s="180">
        <f>MIN(JV_reserve-SUM($F$89:AR89),-AS60-AS61)</f>
        <v>0</v>
      </c>
      <c r="AT89" s="180">
        <f>MIN(JV_reserve-SUM($F$89:AS89),-AT60-AT61)</f>
        <v>0</v>
      </c>
      <c r="AU89" s="180">
        <f>MIN(JV_reserve-SUM($F$89:AT89),-AU60-AU61)</f>
        <v>0</v>
      </c>
      <c r="AV89" s="180">
        <f>MIN(JV_reserve-SUM($F$89:AU89),-AV60-AV61)</f>
        <v>0</v>
      </c>
      <c r="AW89" s="180">
        <f>MIN(JV_reserve-SUM($F$89:AV89),-AW60-AW61)</f>
        <v>0</v>
      </c>
      <c r="AX89" s="180">
        <f>MIN(JV_reserve-SUM($F$89:AW89),-AX60-AX61)</f>
        <v>0</v>
      </c>
      <c r="AY89" s="180">
        <f>MIN(JV_reserve-SUM($F$89:AX89),-AY60-AY61)</f>
        <v>0</v>
      </c>
      <c r="AZ89" s="180">
        <f>MIN(JV_reserve-SUM($F$89:AY89),-AZ60-AZ61)</f>
        <v>0</v>
      </c>
      <c r="BA89" s="180">
        <f>MIN(JV_reserve-SUM($F$89:AZ89),-BA60-BA61)</f>
        <v>0</v>
      </c>
      <c r="BB89" s="180">
        <f>MIN(JV_reserve-SUM($F$89:BA89),-BB60-BB61)</f>
        <v>0</v>
      </c>
      <c r="BC89" s="180">
        <f>MIN(JV_reserve-SUM($F$89:BB89),-BC60-BC61)</f>
        <v>0</v>
      </c>
      <c r="BD89" s="180">
        <f>MIN(JV_reserve-SUM($F$89:BC89),-BD60-BD61)</f>
        <v>0</v>
      </c>
      <c r="BE89" s="180">
        <f>MIN(JV_reserve-SUM($F$89:BD89),-BE60-BE61)</f>
        <v>0</v>
      </c>
      <c r="BF89" s="180">
        <f>MIN(JV_reserve-SUM($F$89:BE89),-BF60-BF61)</f>
        <v>0</v>
      </c>
      <c r="BG89" s="180">
        <f>MIN(JV_reserve-SUM($F$89:BF89),-BG60-BG61)</f>
        <v>0</v>
      </c>
      <c r="BH89" s="180">
        <f>MIN(JV_reserve-SUM($F$89:BG89),-BH60-BH61)</f>
        <v>0</v>
      </c>
      <c r="BI89" s="180">
        <f>MIN(JV_reserve-SUM($F$89:BH89),-BI60-BI61)</f>
        <v>0</v>
      </c>
      <c r="BJ89" s="180">
        <f>MIN(JV_reserve-SUM($F$89:BI89),-BJ60-BJ61)</f>
        <v>0</v>
      </c>
      <c r="BK89" s="180">
        <f>MIN(JV_reserve-SUM($F$89:BJ89),-BK60-BK61)</f>
        <v>0</v>
      </c>
      <c r="BL89" s="180">
        <f>MIN(JV_reserve-SUM($F$89:BK89),-BL60-BL61)</f>
        <v>0</v>
      </c>
      <c r="BM89" s="180">
        <f>MIN(JV_reserve-SUM($F$89:BL89),-BM60-BM61)</f>
        <v>0</v>
      </c>
      <c r="BN89" s="180">
        <f>MIN(JV_reserve-SUM($F$89:BM89),-BN60-BN61)</f>
        <v>0</v>
      </c>
      <c r="BO89" s="180">
        <f>MIN(JV_reserve-SUM($F$89:BN89),-BO60-BO61)</f>
        <v>0</v>
      </c>
      <c r="BP89" s="180">
        <f>MIN(JV_reserve-SUM($F$89:BO89),-BP60-BP61)</f>
        <v>0</v>
      </c>
      <c r="BQ89" s="180">
        <f>MIN(JV_reserve-SUM($F$89:BP89),-BQ60-BQ61)</f>
        <v>0</v>
      </c>
      <c r="BR89" s="180">
        <f>MIN(JV_reserve-SUM($F$89:BQ89),-BR60-BR61)</f>
        <v>0</v>
      </c>
      <c r="BS89" s="180">
        <f>MIN(JV_reserve-SUM($F$89:BR89),-BS60-BS61)</f>
        <v>0</v>
      </c>
      <c r="BT89" s="180">
        <f>MIN(JV_reserve-SUM($F$89:BS89),-BT60-BT61)</f>
        <v>0</v>
      </c>
      <c r="BU89" s="180">
        <f>MIN(JV_reserve-SUM($F$89:BT89),-BU60-BU61)</f>
        <v>0</v>
      </c>
      <c r="BV89" s="180">
        <f>MIN(JV_reserve-SUM($F$89:BU89),-BV60-BV61)</f>
        <v>0</v>
      </c>
      <c r="BW89" s="180">
        <f>MIN(JV_reserve-SUM($F$89:BV89),-BW60-BW61)</f>
        <v>0</v>
      </c>
      <c r="BX89" s="180">
        <f>MIN(JV_reserve-SUM($F$89:BW89),-BX60-BX61)</f>
        <v>0</v>
      </c>
      <c r="BY89" s="180">
        <f>MIN(JV_reserve-SUM($F$89:BX89),-BY60-BY61)</f>
        <v>0</v>
      </c>
      <c r="BZ89" s="180">
        <f>MIN(JV_reserve-SUM($F$89:BY89),-BZ60-BZ61)</f>
        <v>0</v>
      </c>
      <c r="CA89" s="180">
        <f>MIN(JV_reserve-SUM($F$89:BZ89),-CA60-CA61)</f>
        <v>0</v>
      </c>
      <c r="CB89" s="180">
        <f>MIN(JV_reserve-SUM($F$89:CA89),-CB60-CB61)</f>
        <v>0</v>
      </c>
      <c r="CC89" s="180">
        <f>MIN(JV_reserve-SUM($F$89:CB89),-CC60-CC61)</f>
        <v>0</v>
      </c>
      <c r="CD89" s="180">
        <f>MIN(JV_reserve-SUM($F$89:CC89),-CD60-CD61)</f>
        <v>0</v>
      </c>
      <c r="CE89" s="180">
        <f>MIN(JV_reserve-SUM($F$89:CD89),-CE60-CE61)</f>
        <v>0</v>
      </c>
      <c r="CF89" s="180">
        <f>MIN(JV_reserve-SUM($F$89:CE89),-CF60-CF61)</f>
        <v>0</v>
      </c>
      <c r="CG89" s="180">
        <f>MIN(JV_reserve-SUM($F$89:CF89),-CG60-CG61)</f>
        <v>0</v>
      </c>
      <c r="CH89" s="180">
        <f>MIN(JV_reserve-SUM($F$89:CG89),-CH60-CH61)</f>
        <v>0</v>
      </c>
      <c r="CI89" s="180">
        <f>MIN(JV_reserve-SUM($F$89:CH89),-CI60-CI61)</f>
        <v>0</v>
      </c>
      <c r="CJ89" s="180">
        <f>MIN(JV_reserve-SUM($F$89:CI89),-CJ60-CJ61)</f>
        <v>0</v>
      </c>
      <c r="CK89" s="180">
        <f>MIN(JV_reserve-SUM($F$89:CJ89),-CK60-CK61)</f>
        <v>0</v>
      </c>
      <c r="CL89" s="180">
        <f>MIN(JV_reserve-SUM($F$89:CK89),-CL60-CL61)</f>
        <v>0</v>
      </c>
      <c r="CM89" s="180">
        <f>MIN(JV_reserve-SUM($F$89:CL89),-CM60-CM61)</f>
        <v>0</v>
      </c>
      <c r="CN89" s="180">
        <f>MIN(JV_reserve-SUM($F$89:CM89),-CN60-CN61)</f>
        <v>0</v>
      </c>
      <c r="CO89" s="180">
        <f>MIN(JV_reserve-SUM($F$89:CN89),-CO60-CO61)</f>
        <v>0</v>
      </c>
      <c r="CP89" s="180">
        <f>MIN(JV_reserve-SUM($F$89:CO89),-CP60-CP61)</f>
        <v>0</v>
      </c>
      <c r="CQ89" s="180">
        <f>MIN(JV_reserve-SUM($F$89:CP89),-CQ60-CQ61)</f>
        <v>0</v>
      </c>
      <c r="CR89" s="180">
        <f>MIN(JV_reserve-SUM($F$89:CQ89),-CR60-CR61)</f>
        <v>0</v>
      </c>
      <c r="CS89" s="180">
        <f>MIN(JV_reserve-SUM($F$89:CR89),-CS60-CS61)</f>
        <v>0</v>
      </c>
      <c r="CT89" s="180">
        <f>MIN(JV_reserve-SUM($F$89:CS89),-CT60-CT61)</f>
        <v>0</v>
      </c>
      <c r="CU89" s="180">
        <f>MIN(JV_reserve-SUM($F$89:CT89),-CU60-CU61)</f>
        <v>0</v>
      </c>
      <c r="CV89" s="180">
        <f>MIN(JV_reserve-SUM($F$89:CU89),-CV60-CV61)</f>
        <v>0</v>
      </c>
      <c r="CW89" s="180">
        <f>MIN(JV_reserve-SUM($F$89:CV89),-CW60-CW61)</f>
        <v>0</v>
      </c>
      <c r="CX89" s="180">
        <f>MIN(JV_reserve-SUM($F$89:CW89),-CX60-CX61)</f>
        <v>0</v>
      </c>
      <c r="CY89" s="180">
        <f>MIN(JV_reserve-SUM($F$89:CX89),-CY60-CY61)</f>
        <v>0</v>
      </c>
      <c r="CZ89" s="180">
        <f>MIN(JV_reserve-SUM($F$89:CY89),-CZ60-CZ61)</f>
        <v>0</v>
      </c>
      <c r="DA89" s="180">
        <f>MIN(JV_reserve-SUM($F$89:CZ89),-DA60-DA61)</f>
        <v>0</v>
      </c>
      <c r="DB89" s="180">
        <f>MIN(JV_reserve-SUM($F$89:DA89),-DB60-DB61)</f>
        <v>0</v>
      </c>
      <c r="DC89" s="180">
        <f>MIN(JV_reserve-SUM($F$89:DB89),-DC60-DC61)</f>
        <v>0</v>
      </c>
      <c r="DD89" s="180">
        <f>MIN(JV_reserve-SUM($F$89:DC89),-DD60-DD61)</f>
        <v>0</v>
      </c>
      <c r="DE89" s="180">
        <f>MIN(JV_reserve-SUM($F$89:DD89),-DE60-DE61)</f>
        <v>0</v>
      </c>
      <c r="DF89" s="180">
        <f>MIN(JV_reserve-SUM($F$89:DE89),-DF60-DF61)</f>
        <v>0</v>
      </c>
      <c r="DG89" s="180">
        <f>MIN(JV_reserve-SUM($F$89:DF89),-DG60-DG61)</f>
        <v>0</v>
      </c>
      <c r="DH89" s="180">
        <f>MIN(JV_reserve-SUM($F$89:DG89),-DH60-DH61)</f>
        <v>0</v>
      </c>
      <c r="DI89" s="180">
        <f>MIN(JV_reserve-SUM($F$89:DH89),-DI60-DI61)</f>
        <v>0</v>
      </c>
      <c r="DJ89" s="180">
        <f>MIN(JV_reserve-SUM($F$89:DI89),-DJ60-DJ61)</f>
        <v>0</v>
      </c>
      <c r="DK89" s="180">
        <f>MIN(JV_reserve-SUM($F$89:DJ89),-DK60-DK61)</f>
        <v>0</v>
      </c>
      <c r="DL89" s="180">
        <f>MIN(JV_reserve-SUM($F$89:DK89),-DL60-DL61)</f>
        <v>0</v>
      </c>
      <c r="DM89" s="180">
        <f>MIN(JV_reserve-SUM($F$89:DL89),-DM60-DM61)</f>
        <v>0</v>
      </c>
      <c r="DN89" s="180">
        <f>MIN(JV_reserve-SUM($F$89:DM89),-DN60-DN61)</f>
        <v>0</v>
      </c>
      <c r="DO89" s="180">
        <f>MIN(JV_reserve-SUM($F$89:DN89),-DO60-DO61)</f>
        <v>0</v>
      </c>
      <c r="DP89" s="180">
        <f>MIN(JV_reserve-SUM($F$89:DO89),-DP60-DP61)</f>
        <v>0</v>
      </c>
      <c r="DQ89" s="180">
        <f>MIN(JV_reserve-SUM($F$89:DP89),-DQ60-DQ61)</f>
        <v>0</v>
      </c>
      <c r="DR89" s="180">
        <f>MIN(JV_reserve-SUM($F$89:DQ89),-DR60-DR61)</f>
        <v>0</v>
      </c>
      <c r="DS89" s="180">
        <f>MIN(JV_reserve-SUM($F$89:DR89),-DS60-DS61)</f>
        <v>0</v>
      </c>
      <c r="DT89" s="180">
        <f>MIN(JV_reserve-SUM($F$89:DS89),-DT60-DT61)</f>
        <v>0</v>
      </c>
      <c r="DU89" s="180">
        <f>MIN(JV_reserve-SUM($F$89:DT89),-DU60-DU61)</f>
        <v>0</v>
      </c>
      <c r="DV89" s="180">
        <f>MIN(JV_reserve-SUM($F$89:DU89),-DV60-DV61)</f>
        <v>0</v>
      </c>
      <c r="DW89" s="180">
        <f>MIN(JV_reserve-SUM($F$89:DV89),-DW60-DW61)</f>
        <v>0</v>
      </c>
      <c r="DX89" s="180">
        <f>MIN(JV_reserve-SUM($F$89:DW89),-DX60-DX61)</f>
        <v>0</v>
      </c>
      <c r="DY89" s="180">
        <f>MIN(JV_reserve-SUM($F$89:DX89),-DY60-DY61)</f>
        <v>0</v>
      </c>
      <c r="DZ89" s="180">
        <f>MIN(JV_reserve-SUM($F$89:DY89),-DZ60-DZ61)</f>
        <v>0</v>
      </c>
      <c r="EA89" s="180">
        <f>MIN(JV_reserve-SUM($F$89:DZ89),-EA60-EA61)</f>
        <v>0</v>
      </c>
      <c r="EB89" s="180">
        <f>MIN(JV_reserve-SUM($F$89:EA89),-EB60-EB61)</f>
        <v>0</v>
      </c>
      <c r="EC89" s="180">
        <f>MIN(JV_reserve-SUM($F$89:EB89),-EC60-EC61)</f>
        <v>0</v>
      </c>
      <c r="ED89" s="180">
        <f>MIN(JV_reserve-SUM($F$89:EC89),-ED60-ED61)</f>
        <v>0</v>
      </c>
      <c r="EE89" s="180">
        <f>MIN(JV_reserve-SUM($F$89:ED89),-EE60-EE61)</f>
        <v>0</v>
      </c>
      <c r="EF89" s="180">
        <f>MIN(JV_reserve-SUM($F$89:EE89),-EF60-EF61)</f>
        <v>0</v>
      </c>
      <c r="EG89" s="180">
        <f>MIN(JV_reserve-SUM($F$89:EF89),-EG60-EG61)</f>
        <v>0</v>
      </c>
      <c r="EH89" s="180">
        <f>MIN(JV_reserve-SUM($F$89:EG89),-EH60-EH61)</f>
        <v>0</v>
      </c>
      <c r="EI89" s="158" t="s">
        <v>243</v>
      </c>
    </row>
    <row r="90" spans="1:139" s="312" customFormat="1" x14ac:dyDescent="0.2">
      <c r="A90" s="282"/>
      <c r="B90" s="322" t="s">
        <v>911</v>
      </c>
      <c r="C90" s="323"/>
      <c r="D90" s="324">
        <f t="shared" si="120"/>
        <v>-18403075.300000004</v>
      </c>
      <c r="E90" s="324"/>
      <c r="F90" s="180">
        <f>-IFERROR(_xlfn.XLOOKUP(F4,'Pref Schedule'!$B$12:$B$96,'Pref Schedule'!$I$12:$I$96,,0),0)</f>
        <v>0</v>
      </c>
      <c r="G90" s="180">
        <f>-IFERROR(_xlfn.XLOOKUP(G4,'Pref Schedule'!$B$12:$B$96,'Pref Schedule'!$I$12:$I$96,,0),0)</f>
        <v>0</v>
      </c>
      <c r="H90" s="180">
        <f>-IFERROR(_xlfn.XLOOKUP(H4,'Pref Schedule'!$B$12:$B$96,'Pref Schedule'!$I$12:$I$96,,0),0)</f>
        <v>0</v>
      </c>
      <c r="I90" s="180">
        <f>-IFERROR(_xlfn.XLOOKUP(I4,'Pref Schedule'!$B$12:$B$96,'Pref Schedule'!$I$12:$I$96,,0),0)</f>
        <v>0</v>
      </c>
      <c r="J90" s="180">
        <f>-IFERROR(_xlfn.XLOOKUP(J4,'Pref Schedule'!$B$12:$B$96,'Pref Schedule'!$I$12:$I$96,,0),0)</f>
        <v>0</v>
      </c>
      <c r="K90" s="180">
        <f>-IFERROR(_xlfn.XLOOKUP(K4,'Pref Schedule'!$B$12:$B$96,'Pref Schedule'!$I$12:$I$96,,0),0)</f>
        <v>0</v>
      </c>
      <c r="L90" s="180">
        <f>-IFERROR(_xlfn.XLOOKUP(L4,'Pref Schedule'!$B$12:$B$96,'Pref Schedule'!$I$12:$I$96,,0),0)</f>
        <v>0</v>
      </c>
      <c r="M90" s="180">
        <f>-IFERROR(_xlfn.XLOOKUP(M4,'Pref Schedule'!$B$12:$B$96,'Pref Schedule'!$I$12:$I$96,,0),0)</f>
        <v>0</v>
      </c>
      <c r="N90" s="180">
        <f>-IFERROR(_xlfn.XLOOKUP(N4,'Pref Schedule'!$B$12:$B$96,'Pref Schedule'!$I$12:$I$96,,0),0)</f>
        <v>0</v>
      </c>
      <c r="O90" s="180">
        <f>-IFERROR(_xlfn.XLOOKUP(O4,'Pref Schedule'!$B$12:$B$96,'Pref Schedule'!$I$12:$I$96,,0),0)</f>
        <v>0</v>
      </c>
      <c r="P90" s="180">
        <f>-IFERROR(_xlfn.XLOOKUP(P4,'Pref Schedule'!$B$12:$B$96,'Pref Schedule'!$I$12:$I$96,,0),0)</f>
        <v>0</v>
      </c>
      <c r="Q90" s="180">
        <f>-IFERROR(_xlfn.XLOOKUP(Q4,'Pref Schedule'!$B$12:$B$96,'Pref Schedule'!$I$12:$I$96,,0),0)</f>
        <v>0</v>
      </c>
      <c r="R90" s="180">
        <f>-IFERROR(_xlfn.XLOOKUP(R4,'Pref Schedule'!$B$12:$B$96,'Pref Schedule'!$I$12:$I$96,,0),0)</f>
        <v>0</v>
      </c>
      <c r="S90" s="180">
        <f>-IFERROR(_xlfn.XLOOKUP(S4,'Pref Schedule'!$B$12:$B$96,'Pref Schedule'!$I$12:$I$96,,0),0)</f>
        <v>0</v>
      </c>
      <c r="T90" s="180">
        <f>-IFERROR(_xlfn.XLOOKUP(T4,'Pref Schedule'!$B$12:$B$96,'Pref Schedule'!$I$12:$I$96,,0),0)</f>
        <v>0</v>
      </c>
      <c r="U90" s="180">
        <f>-IFERROR(_xlfn.XLOOKUP(U4,'Pref Schedule'!$B$12:$B$96,'Pref Schedule'!$I$12:$I$96,,0),0)</f>
        <v>0</v>
      </c>
      <c r="V90" s="180">
        <f>-IFERROR(_xlfn.XLOOKUP(V4,'Pref Schedule'!$B$12:$B$96,'Pref Schedule'!$I$12:$I$96,,0),0)</f>
        <v>0</v>
      </c>
      <c r="W90" s="180">
        <f>-IFERROR(_xlfn.XLOOKUP(W4,'Pref Schedule'!$B$12:$B$96,'Pref Schedule'!$I$12:$I$96,,0),0)</f>
        <v>0</v>
      </c>
      <c r="X90" s="180">
        <f>-IFERROR(_xlfn.XLOOKUP(X4,'Pref Schedule'!$B$12:$B$96,'Pref Schedule'!$I$12:$I$96,,0),0)</f>
        <v>0</v>
      </c>
      <c r="Y90" s="180">
        <f>-IFERROR(_xlfn.XLOOKUP(Y4,'Pref Schedule'!$B$12:$B$96,'Pref Schedule'!$I$12:$I$96,,0),0)</f>
        <v>0</v>
      </c>
      <c r="Z90" s="180">
        <f>-IFERROR(_xlfn.XLOOKUP(Z4,'Pref Schedule'!$B$12:$B$96,'Pref Schedule'!$I$12:$I$96,,0),0)</f>
        <v>0</v>
      </c>
      <c r="AA90" s="180">
        <f>-IFERROR(_xlfn.XLOOKUP(AA4,'Pref Schedule'!$B$12:$B$96,'Pref Schedule'!$I$12:$I$96,,0),0)</f>
        <v>0</v>
      </c>
      <c r="AB90" s="180">
        <f>-IFERROR(_xlfn.XLOOKUP(AB4,'Pref Schedule'!$B$12:$B$96,'Pref Schedule'!$I$12:$I$96,,0),0)</f>
        <v>0</v>
      </c>
      <c r="AC90" s="180">
        <f>-IFERROR(_xlfn.XLOOKUP(AC4,'Pref Schedule'!$B$12:$B$96,'Pref Schedule'!$I$12:$I$96,,0),0)</f>
        <v>0</v>
      </c>
      <c r="AD90" s="180">
        <f>-IFERROR(_xlfn.XLOOKUP(AD4,'Pref Schedule'!$B$12:$B$96,'Pref Schedule'!$I$12:$I$96,,0),0)</f>
        <v>0</v>
      </c>
      <c r="AE90" s="180">
        <f>-IFERROR(_xlfn.XLOOKUP(AE4,'Pref Schedule'!$B$12:$B$96,'Pref Schedule'!$I$12:$I$96,,0),0)</f>
        <v>0</v>
      </c>
      <c r="AF90" s="180">
        <f>-IFERROR(_xlfn.XLOOKUP(AF4,'Pref Schedule'!$B$12:$B$96,'Pref Schedule'!$I$12:$I$96,,0),0)</f>
        <v>0</v>
      </c>
      <c r="AG90" s="180">
        <f>-IFERROR(_xlfn.XLOOKUP(AG4,'Pref Schedule'!$B$12:$B$96,'Pref Schedule'!$I$12:$I$96,,0),0)</f>
        <v>0</v>
      </c>
      <c r="AH90" s="180">
        <f>-IFERROR(_xlfn.XLOOKUP(AH4,'Pref Schedule'!$B$12:$B$96,'Pref Schedule'!$I$12:$I$96,,0),0)</f>
        <v>0</v>
      </c>
      <c r="AI90" s="180">
        <f>-IFERROR(_xlfn.XLOOKUP(AI4,'Pref Schedule'!$B$12:$B$96,'Pref Schedule'!$I$12:$I$96,,0),0)</f>
        <v>0</v>
      </c>
      <c r="AJ90" s="180">
        <f>-IFERROR(_xlfn.XLOOKUP(AJ4,'Pref Schedule'!$B$12:$B$96,'Pref Schedule'!$I$12:$I$96,,0),0)</f>
        <v>0</v>
      </c>
      <c r="AK90" s="180">
        <f>-IFERROR(_xlfn.XLOOKUP(AK4,'Pref Schedule'!$B$12:$B$96,'Pref Schedule'!$I$12:$I$96,,0),0)</f>
        <v>0</v>
      </c>
      <c r="AL90" s="180">
        <f>-IFERROR(_xlfn.XLOOKUP(AL4,'Pref Schedule'!$B$12:$B$96,'Pref Schedule'!$I$12:$I$96,,0),0)</f>
        <v>0</v>
      </c>
      <c r="AM90" s="180">
        <f>-IFERROR(_xlfn.XLOOKUP(AM4,'Pref Schedule'!$B$12:$B$96,'Pref Schedule'!$I$12:$I$96,,0),0)</f>
        <v>0</v>
      </c>
      <c r="AN90" s="180">
        <f>-IFERROR(_xlfn.XLOOKUP(AN4,'Pref Schedule'!$B$12:$B$96,'Pref Schedule'!$I$12:$I$96,,0),0)</f>
        <v>0</v>
      </c>
      <c r="AO90" s="180">
        <f>-IFERROR(_xlfn.XLOOKUP(AO4,'Pref Schedule'!$B$12:$B$96,'Pref Schedule'!$I$12:$I$96,,0),0)</f>
        <v>0</v>
      </c>
      <c r="AP90" s="180">
        <f>-IFERROR(_xlfn.XLOOKUP(AP4,'Pref Schedule'!$B$12:$B$96,'Pref Schedule'!$I$12:$I$96,,0),0)</f>
        <v>-18403075.300000004</v>
      </c>
      <c r="AQ90" s="180">
        <f>-IFERROR(_xlfn.XLOOKUP(AQ4,'Pref Schedule'!$B$12:$B$96,'Pref Schedule'!$I$12:$I$96,,0),0)</f>
        <v>0</v>
      </c>
      <c r="AR90" s="180">
        <f>-IFERROR(_xlfn.XLOOKUP(AR4,'Pref Schedule'!$B$12:$B$96,'Pref Schedule'!$I$12:$I$96,,0),0)</f>
        <v>0</v>
      </c>
      <c r="AS90" s="180">
        <f>-IFERROR(_xlfn.XLOOKUP(AS4,'Pref Schedule'!$B$12:$B$96,'Pref Schedule'!$I$12:$I$96,,0),0)</f>
        <v>0</v>
      </c>
      <c r="AT90" s="180">
        <f>-IFERROR(_xlfn.XLOOKUP(AT4,'Pref Schedule'!$B$12:$B$96,'Pref Schedule'!$I$12:$I$96,,0),0)</f>
        <v>0</v>
      </c>
      <c r="AU90" s="180">
        <f>-IFERROR(_xlfn.XLOOKUP(AU4,'Pref Schedule'!$B$12:$B$96,'Pref Schedule'!$I$12:$I$96,,0),0)</f>
        <v>0</v>
      </c>
      <c r="AV90" s="180">
        <f>-IFERROR(_xlfn.XLOOKUP(AV4,'Pref Schedule'!$B$12:$B$96,'Pref Schedule'!$I$12:$I$96,,0),0)</f>
        <v>0</v>
      </c>
      <c r="AW90" s="180">
        <f>-IFERROR(_xlfn.XLOOKUP(AW4,'Pref Schedule'!$B$12:$B$96,'Pref Schedule'!$I$12:$I$96,,0),0)</f>
        <v>0</v>
      </c>
      <c r="AX90" s="180">
        <f>-IFERROR(_xlfn.XLOOKUP(AX4,'Pref Schedule'!$B$12:$B$96,'Pref Schedule'!$I$12:$I$96,,0),0)</f>
        <v>0</v>
      </c>
      <c r="AY90" s="180">
        <f>-IFERROR(_xlfn.XLOOKUP(AY4,'Pref Schedule'!$B$12:$B$96,'Pref Schedule'!$I$12:$I$96,,0),0)</f>
        <v>0</v>
      </c>
      <c r="AZ90" s="180">
        <f>-IFERROR(_xlfn.XLOOKUP(AZ4,'Pref Schedule'!$B$12:$B$96,'Pref Schedule'!$I$12:$I$96,,0),0)</f>
        <v>0</v>
      </c>
      <c r="BA90" s="180">
        <f>-IFERROR(_xlfn.XLOOKUP(BA4,'Pref Schedule'!$B$12:$B$96,'Pref Schedule'!$I$12:$I$96,,0),0)</f>
        <v>0</v>
      </c>
      <c r="BB90" s="180">
        <f>-IFERROR(_xlfn.XLOOKUP(BB4,'Pref Schedule'!$B$12:$B$96,'Pref Schedule'!$I$12:$I$96,,0),0)</f>
        <v>0</v>
      </c>
      <c r="BC90" s="180">
        <f>-IFERROR(_xlfn.XLOOKUP(BC4,'Pref Schedule'!$B$12:$B$96,'Pref Schedule'!$I$12:$I$96,,0),0)</f>
        <v>0</v>
      </c>
      <c r="BD90" s="180">
        <f>-IFERROR(_xlfn.XLOOKUP(BD4,'Pref Schedule'!$B$12:$B$96,'Pref Schedule'!$I$12:$I$96,,0),0)</f>
        <v>0</v>
      </c>
      <c r="BE90" s="180">
        <f>-IFERROR(_xlfn.XLOOKUP(BE4,'Pref Schedule'!$B$12:$B$96,'Pref Schedule'!$I$12:$I$96,,0),0)</f>
        <v>0</v>
      </c>
      <c r="BF90" s="180">
        <f>-IFERROR(_xlfn.XLOOKUP(BF4,'Pref Schedule'!$B$12:$B$96,'Pref Schedule'!$I$12:$I$96,,0),0)</f>
        <v>0</v>
      </c>
      <c r="BG90" s="180">
        <f>-IFERROR(_xlfn.XLOOKUP(BG4,'Pref Schedule'!$B$12:$B$96,'Pref Schedule'!$I$12:$I$96,,0),0)</f>
        <v>0</v>
      </c>
      <c r="BH90" s="180">
        <f>-IFERROR(_xlfn.XLOOKUP(BH4,'Pref Schedule'!$B$12:$B$96,'Pref Schedule'!$I$12:$I$96,,0),0)</f>
        <v>0</v>
      </c>
      <c r="BI90" s="180">
        <f>-IFERROR(_xlfn.XLOOKUP(BI4,'Pref Schedule'!$B$12:$B$96,'Pref Schedule'!$I$12:$I$96,,0),0)</f>
        <v>0</v>
      </c>
      <c r="BJ90" s="180">
        <f>-IFERROR(_xlfn.XLOOKUP(BJ4,'Pref Schedule'!$B$12:$B$96,'Pref Schedule'!$I$12:$I$96,,0),0)</f>
        <v>0</v>
      </c>
      <c r="BK90" s="180">
        <f>-IFERROR(_xlfn.XLOOKUP(BK4,'Pref Schedule'!$B$12:$B$96,'Pref Schedule'!$I$12:$I$96,,0),0)</f>
        <v>0</v>
      </c>
      <c r="BL90" s="180">
        <f>-IFERROR(_xlfn.XLOOKUP(BL4,'Pref Schedule'!$B$12:$B$96,'Pref Schedule'!$I$12:$I$96,,0),0)</f>
        <v>0</v>
      </c>
      <c r="BM90" s="180">
        <f>-IFERROR(_xlfn.XLOOKUP(BM4,'Pref Schedule'!$B$12:$B$96,'Pref Schedule'!$I$12:$I$96,,0),0)</f>
        <v>0</v>
      </c>
      <c r="BN90" s="180">
        <f>-IFERROR(_xlfn.XLOOKUP(BN4,'Pref Schedule'!$B$12:$B$96,'Pref Schedule'!$I$12:$I$96,,0),0)</f>
        <v>0</v>
      </c>
      <c r="BO90" s="180">
        <f>-IFERROR(_xlfn.XLOOKUP(BO4,'Pref Schedule'!$B$12:$B$96,'Pref Schedule'!$I$12:$I$96,,0),0)</f>
        <v>0</v>
      </c>
      <c r="BP90" s="180">
        <f>-IFERROR(_xlfn.XLOOKUP(BP4,'Pref Schedule'!$B$12:$B$96,'Pref Schedule'!$I$12:$I$96,,0),0)</f>
        <v>0</v>
      </c>
      <c r="BQ90" s="180">
        <f>-IFERROR(_xlfn.XLOOKUP(BQ4,'Pref Schedule'!$B$12:$B$96,'Pref Schedule'!$I$12:$I$96,,0),0)</f>
        <v>0</v>
      </c>
      <c r="BR90" s="180">
        <f>-IFERROR(_xlfn.XLOOKUP(BR4,'Pref Schedule'!$B$12:$B$96,'Pref Schedule'!$I$12:$I$96,,0),0)</f>
        <v>0</v>
      </c>
      <c r="BS90" s="180">
        <f>-IFERROR(_xlfn.XLOOKUP(BS4,'Pref Schedule'!$B$12:$B$96,'Pref Schedule'!$I$12:$I$96,,0),0)</f>
        <v>0</v>
      </c>
      <c r="BT90" s="180">
        <f>-IFERROR(_xlfn.XLOOKUP(BT4,'Pref Schedule'!$B$12:$B$96,'Pref Schedule'!$I$12:$I$96,,0),0)</f>
        <v>0</v>
      </c>
      <c r="BU90" s="180">
        <f>-IFERROR(_xlfn.XLOOKUP(BU4,'Pref Schedule'!$B$12:$B$96,'Pref Schedule'!$I$12:$I$96,,0),0)</f>
        <v>0</v>
      </c>
      <c r="BV90" s="180">
        <f>-IFERROR(_xlfn.XLOOKUP(BV4,'Pref Schedule'!$B$12:$B$96,'Pref Schedule'!$I$12:$I$96,,0),0)</f>
        <v>0</v>
      </c>
      <c r="BW90" s="180">
        <f>-IFERROR(_xlfn.XLOOKUP(BW4,'Pref Schedule'!$B$12:$B$96,'Pref Schedule'!$I$12:$I$96,,0),0)</f>
        <v>0</v>
      </c>
      <c r="BX90" s="180">
        <f>-IFERROR(_xlfn.XLOOKUP(BX4,'Pref Schedule'!$B$12:$B$96,'Pref Schedule'!$I$12:$I$96,,0),0)</f>
        <v>0</v>
      </c>
      <c r="BY90" s="180">
        <f>-IFERROR(_xlfn.XLOOKUP(BY4,'Pref Schedule'!$B$12:$B$96,'Pref Schedule'!$I$12:$I$96,,0),0)</f>
        <v>0</v>
      </c>
      <c r="BZ90" s="180">
        <f>-IFERROR(_xlfn.XLOOKUP(BZ4,'Pref Schedule'!$B$12:$B$96,'Pref Schedule'!$I$12:$I$96,,0),0)</f>
        <v>0</v>
      </c>
      <c r="CA90" s="180">
        <f>-IFERROR(_xlfn.XLOOKUP(CA4,'Pref Schedule'!$B$12:$B$96,'Pref Schedule'!$I$12:$I$96,,0),0)</f>
        <v>0</v>
      </c>
      <c r="CB90" s="180">
        <f>-IFERROR(_xlfn.XLOOKUP(CB4,'Pref Schedule'!$B$12:$B$96,'Pref Schedule'!$I$12:$I$96,,0),0)</f>
        <v>0</v>
      </c>
      <c r="CC90" s="180">
        <f>-IFERROR(_xlfn.XLOOKUP(CC4,'Pref Schedule'!$B$12:$B$96,'Pref Schedule'!$I$12:$I$96,,0),0)</f>
        <v>0</v>
      </c>
      <c r="CD90" s="180">
        <f>-IFERROR(_xlfn.XLOOKUP(CD4,'Pref Schedule'!$B$12:$B$96,'Pref Schedule'!$I$12:$I$96,,0),0)</f>
        <v>0</v>
      </c>
      <c r="CE90" s="180">
        <f>-IFERROR(_xlfn.XLOOKUP(CE4,'Pref Schedule'!$B$12:$B$96,'Pref Schedule'!$I$12:$I$96,,0),0)</f>
        <v>0</v>
      </c>
      <c r="CF90" s="180">
        <f>-IFERROR(_xlfn.XLOOKUP(CF4,'Pref Schedule'!$B$12:$B$96,'Pref Schedule'!$I$12:$I$96,,0),0)</f>
        <v>0</v>
      </c>
      <c r="CG90" s="180">
        <f>-IFERROR(_xlfn.XLOOKUP(CG4,'Pref Schedule'!$B$12:$B$96,'Pref Schedule'!$I$12:$I$96,,0),0)</f>
        <v>0</v>
      </c>
      <c r="CH90" s="180">
        <f>-IFERROR(_xlfn.XLOOKUP(CH4,'Pref Schedule'!$B$12:$B$96,'Pref Schedule'!$I$12:$I$96,,0),0)</f>
        <v>0</v>
      </c>
      <c r="CI90" s="180">
        <f>-IFERROR(_xlfn.XLOOKUP(CI4,'Pref Schedule'!$B$12:$B$96,'Pref Schedule'!$I$12:$I$96,,0),0)</f>
        <v>0</v>
      </c>
      <c r="CJ90" s="180">
        <f>-IFERROR(_xlfn.XLOOKUP(CJ4,'Pref Schedule'!$B$12:$B$96,'Pref Schedule'!$I$12:$I$96,,0),0)</f>
        <v>0</v>
      </c>
      <c r="CK90" s="180">
        <f>-IFERROR(_xlfn.XLOOKUP(CK4,'Pref Schedule'!$B$12:$B$96,'Pref Schedule'!$I$12:$I$96,,0),0)</f>
        <v>0</v>
      </c>
      <c r="CL90" s="180">
        <f>-IFERROR(_xlfn.XLOOKUP(CL4,'Pref Schedule'!$B$12:$B$96,'Pref Schedule'!$I$12:$I$96,,0),0)</f>
        <v>0</v>
      </c>
      <c r="CM90" s="180">
        <f>-IFERROR(_xlfn.XLOOKUP(CM4,'Pref Schedule'!$B$12:$B$96,'Pref Schedule'!$I$12:$I$96,,0),0)</f>
        <v>0</v>
      </c>
      <c r="CN90" s="180">
        <f>-IFERROR(_xlfn.XLOOKUP(CN4,'Pref Schedule'!$B$12:$B$96,'Pref Schedule'!$I$12:$I$96,,0),0)</f>
        <v>0</v>
      </c>
      <c r="CO90" s="180">
        <f>-IFERROR(_xlfn.XLOOKUP(CO4,'Pref Schedule'!$B$12:$B$96,'Pref Schedule'!$I$12:$I$96,,0),0)</f>
        <v>0</v>
      </c>
      <c r="CP90" s="180">
        <f>-IFERROR(_xlfn.XLOOKUP(CP4,'Pref Schedule'!$B$12:$B$96,'Pref Schedule'!$I$12:$I$96,,0),0)</f>
        <v>0</v>
      </c>
      <c r="CQ90" s="180">
        <f>-IFERROR(_xlfn.XLOOKUP(CQ4,'Pref Schedule'!$B$12:$B$96,'Pref Schedule'!$I$12:$I$96,,0),0)</f>
        <v>0</v>
      </c>
      <c r="CR90" s="180">
        <f>-IFERROR(_xlfn.XLOOKUP(CR4,'Pref Schedule'!$B$12:$B$96,'Pref Schedule'!$I$12:$I$96,,0),0)</f>
        <v>0</v>
      </c>
      <c r="CS90" s="180">
        <f>-IFERROR(_xlfn.XLOOKUP(CS4,'Pref Schedule'!$B$12:$B$96,'Pref Schedule'!$I$12:$I$96,,0),0)</f>
        <v>0</v>
      </c>
      <c r="CT90" s="180">
        <f>-IFERROR(_xlfn.XLOOKUP(CT4,'Pref Schedule'!$B$12:$B$96,'Pref Schedule'!$I$12:$I$96,,0),0)</f>
        <v>0</v>
      </c>
      <c r="CU90" s="180">
        <f>-IFERROR(_xlfn.XLOOKUP(CU4,'Pref Schedule'!$B$12:$B$96,'Pref Schedule'!$I$12:$I$96,,0),0)</f>
        <v>0</v>
      </c>
      <c r="CV90" s="180">
        <f>-IFERROR(_xlfn.XLOOKUP(CV4,'Pref Schedule'!$B$12:$B$96,'Pref Schedule'!$I$12:$I$96,,0),0)</f>
        <v>0</v>
      </c>
      <c r="CW90" s="180">
        <f>-IFERROR(_xlfn.XLOOKUP(CW4,'Pref Schedule'!$B$12:$B$96,'Pref Schedule'!$I$12:$I$96,,0),0)</f>
        <v>0</v>
      </c>
      <c r="CX90" s="180">
        <f>-IFERROR(_xlfn.XLOOKUP(CX4,'Pref Schedule'!$B$12:$B$96,'Pref Schedule'!$I$12:$I$96,,0),0)</f>
        <v>0</v>
      </c>
      <c r="CY90" s="180">
        <f>-IFERROR(_xlfn.XLOOKUP(CY4,'Pref Schedule'!$B$12:$B$96,'Pref Schedule'!$I$12:$I$96,,0),0)</f>
        <v>0</v>
      </c>
      <c r="CZ90" s="180">
        <f>-IFERROR(_xlfn.XLOOKUP(CZ4,'Pref Schedule'!$B$12:$B$96,'Pref Schedule'!$I$12:$I$96,,0),0)</f>
        <v>0</v>
      </c>
      <c r="DA90" s="180">
        <f>-IFERROR(_xlfn.XLOOKUP(DA4,'Pref Schedule'!$B$12:$B$96,'Pref Schedule'!$I$12:$I$96,,0),0)</f>
        <v>0</v>
      </c>
      <c r="DB90" s="180">
        <f>-IFERROR(_xlfn.XLOOKUP(DB4,'Pref Schedule'!$B$12:$B$96,'Pref Schedule'!$I$12:$I$96,,0),0)</f>
        <v>0</v>
      </c>
      <c r="DC90" s="180">
        <f>-IFERROR(_xlfn.XLOOKUP(DC4,'Pref Schedule'!$B$12:$B$96,'Pref Schedule'!$I$12:$I$96,,0),0)</f>
        <v>0</v>
      </c>
      <c r="DD90" s="180">
        <f>-IFERROR(_xlfn.XLOOKUP(DD4,'Pref Schedule'!$B$12:$B$96,'Pref Schedule'!$I$12:$I$96,,0),0)</f>
        <v>0</v>
      </c>
      <c r="DE90" s="180">
        <f>-IFERROR(_xlfn.XLOOKUP(DE4,'Pref Schedule'!$B$12:$B$96,'Pref Schedule'!$I$12:$I$96,,0),0)</f>
        <v>0</v>
      </c>
      <c r="DF90" s="180">
        <f>-IFERROR(_xlfn.XLOOKUP(DF4,'Pref Schedule'!$B$12:$B$96,'Pref Schedule'!$I$12:$I$96,,0),0)</f>
        <v>0</v>
      </c>
      <c r="DG90" s="180">
        <f>-IFERROR(_xlfn.XLOOKUP(DG4,'Pref Schedule'!$B$12:$B$96,'Pref Schedule'!$I$12:$I$96,,0),0)</f>
        <v>0</v>
      </c>
      <c r="DH90" s="180">
        <f>-IFERROR(_xlfn.XLOOKUP(DH4,'Pref Schedule'!$B$12:$B$96,'Pref Schedule'!$I$12:$I$96,,0),0)</f>
        <v>0</v>
      </c>
      <c r="DI90" s="180">
        <f>-IFERROR(_xlfn.XLOOKUP(DI4,'Pref Schedule'!$B$12:$B$96,'Pref Schedule'!$I$12:$I$96,,0),0)</f>
        <v>0</v>
      </c>
      <c r="DJ90" s="180">
        <f>-IFERROR(_xlfn.XLOOKUP(DJ4,'Pref Schedule'!$B$12:$B$96,'Pref Schedule'!$I$12:$I$96,,0),0)</f>
        <v>0</v>
      </c>
      <c r="DK90" s="180">
        <f>-IFERROR(_xlfn.XLOOKUP(DK4,'Pref Schedule'!$B$12:$B$96,'Pref Schedule'!$I$12:$I$96,,0),0)</f>
        <v>0</v>
      </c>
      <c r="DL90" s="180">
        <f>-IFERROR(_xlfn.XLOOKUP(DL4,'Pref Schedule'!$B$12:$B$96,'Pref Schedule'!$I$12:$I$96,,0),0)</f>
        <v>0</v>
      </c>
      <c r="DM90" s="180">
        <f>-IFERROR(_xlfn.XLOOKUP(DM4,'Pref Schedule'!$B$12:$B$96,'Pref Schedule'!$I$12:$I$96,,0),0)</f>
        <v>0</v>
      </c>
      <c r="DN90" s="180">
        <f>-IFERROR(_xlfn.XLOOKUP(DN4,'Pref Schedule'!$B$12:$B$96,'Pref Schedule'!$I$12:$I$96,,0),0)</f>
        <v>0</v>
      </c>
      <c r="DO90" s="180">
        <f>-IFERROR(_xlfn.XLOOKUP(DO4,'Pref Schedule'!$B$12:$B$96,'Pref Schedule'!$I$12:$I$96,,0),0)</f>
        <v>0</v>
      </c>
      <c r="DP90" s="180">
        <f>-IFERROR(_xlfn.XLOOKUP(DP4,'Pref Schedule'!$B$12:$B$96,'Pref Schedule'!$I$12:$I$96,,0),0)</f>
        <v>0</v>
      </c>
      <c r="DQ90" s="180">
        <f>-IFERROR(_xlfn.XLOOKUP(DQ4,'Pref Schedule'!$B$12:$B$96,'Pref Schedule'!$I$12:$I$96,,0),0)</f>
        <v>0</v>
      </c>
      <c r="DR90" s="180">
        <f>-IFERROR(_xlfn.XLOOKUP(DR4,'Pref Schedule'!$B$12:$B$96,'Pref Schedule'!$I$12:$I$96,,0),0)</f>
        <v>0</v>
      </c>
      <c r="DS90" s="180">
        <f>-IFERROR(_xlfn.XLOOKUP(DS4,'Pref Schedule'!$B$12:$B$96,'Pref Schedule'!$I$12:$I$96,,0),0)</f>
        <v>0</v>
      </c>
      <c r="DT90" s="180">
        <f>-IFERROR(_xlfn.XLOOKUP(DT4,'Pref Schedule'!$B$12:$B$96,'Pref Schedule'!$I$12:$I$96,,0),0)</f>
        <v>0</v>
      </c>
      <c r="DU90" s="180">
        <f>-IFERROR(_xlfn.XLOOKUP(DU4,'Pref Schedule'!$B$12:$B$96,'Pref Schedule'!$I$12:$I$96,,0),0)</f>
        <v>0</v>
      </c>
      <c r="DV90" s="180">
        <f>-IFERROR(_xlfn.XLOOKUP(DV4,'Pref Schedule'!$B$12:$B$96,'Pref Schedule'!$I$12:$I$96,,0),0)</f>
        <v>0</v>
      </c>
      <c r="DW90" s="180">
        <f>-IFERROR(_xlfn.XLOOKUP(DW4,'Pref Schedule'!$B$12:$B$96,'Pref Schedule'!$I$12:$I$96,,0),0)</f>
        <v>0</v>
      </c>
      <c r="DX90" s="180">
        <f>-IFERROR(_xlfn.XLOOKUP(DX4,'Pref Schedule'!$B$12:$B$96,'Pref Schedule'!$I$12:$I$96,,0),0)</f>
        <v>0</v>
      </c>
      <c r="DY90" s="180">
        <f>-IFERROR(_xlfn.XLOOKUP(DY4,'Pref Schedule'!$B$12:$B$96,'Pref Schedule'!$I$12:$I$96,,0),0)</f>
        <v>0</v>
      </c>
      <c r="DZ90" s="180">
        <f>-IFERROR(_xlfn.XLOOKUP(DZ4,'Pref Schedule'!$B$12:$B$96,'Pref Schedule'!$I$12:$I$96,,0),0)</f>
        <v>0</v>
      </c>
      <c r="EA90" s="180">
        <f>-IFERROR(_xlfn.XLOOKUP(EA4,'Pref Schedule'!$B$12:$B$96,'Pref Schedule'!$I$12:$I$96,,0),0)</f>
        <v>0</v>
      </c>
      <c r="EB90" s="180">
        <f>-IFERROR(_xlfn.XLOOKUP(EB4,'Pref Schedule'!$B$12:$B$96,'Pref Schedule'!$I$12:$I$96,,0),0)</f>
        <v>0</v>
      </c>
      <c r="EC90" s="180">
        <f>-IFERROR(_xlfn.XLOOKUP(EC4,'Pref Schedule'!$B$12:$B$96,'Pref Schedule'!$I$12:$I$96,,0),0)</f>
        <v>0</v>
      </c>
      <c r="ED90" s="180">
        <f>-IFERROR(_xlfn.XLOOKUP(ED4,'Pref Schedule'!$B$12:$B$96,'Pref Schedule'!$I$12:$I$96,,0),0)</f>
        <v>0</v>
      </c>
      <c r="EE90" s="180">
        <f>-IFERROR(_xlfn.XLOOKUP(EE4,'Pref Schedule'!$B$12:$B$96,'Pref Schedule'!$I$12:$I$96,,0),0)</f>
        <v>0</v>
      </c>
      <c r="EF90" s="180">
        <f>-IFERROR(_xlfn.XLOOKUP(EF4,'Pref Schedule'!$B$12:$B$96,'Pref Schedule'!$I$12:$I$96,,0),0)</f>
        <v>0</v>
      </c>
      <c r="EG90" s="180">
        <f>-IFERROR(_xlfn.XLOOKUP(EG4,'Pref Schedule'!$B$12:$B$96,'Pref Schedule'!$I$12:$I$96,,0),0)</f>
        <v>0</v>
      </c>
      <c r="EH90" s="180">
        <f>-IFERROR(_xlfn.XLOOKUP(EH4,'Pref Schedule'!$B$12:$B$96,'Pref Schedule'!$I$12:$I$96,,0),0)</f>
        <v>0</v>
      </c>
      <c r="EI90" s="158" t="s">
        <v>243</v>
      </c>
    </row>
    <row r="91" spans="1:139" s="312" customFormat="1" x14ac:dyDescent="0.2">
      <c r="A91" s="282"/>
      <c r="B91" s="258" t="s">
        <v>779</v>
      </c>
      <c r="C91" s="209"/>
      <c r="D91" s="324">
        <f t="shared" ca="1" si="120"/>
        <v>49291943.027310237</v>
      </c>
      <c r="E91" s="324"/>
      <c r="F91" s="217">
        <f>'Loan Schedule'!C34</f>
        <v>0</v>
      </c>
      <c r="G91" s="217">
        <f>'Loan Schedule'!D34</f>
        <v>0</v>
      </c>
      <c r="H91" s="217">
        <f>'Loan Schedule'!E34</f>
        <v>0</v>
      </c>
      <c r="I91" s="217">
        <f>'Loan Schedule'!F34</f>
        <v>0</v>
      </c>
      <c r="J91" s="217">
        <f>'Loan Schedule'!G34</f>
        <v>0</v>
      </c>
      <c r="K91" s="217">
        <f>'Loan Schedule'!H34</f>
        <v>0</v>
      </c>
      <c r="L91" s="217">
        <f>'Loan Schedule'!I34</f>
        <v>0</v>
      </c>
      <c r="M91" s="217">
        <f>'Loan Schedule'!J34</f>
        <v>0</v>
      </c>
      <c r="N91" s="217">
        <f>'Loan Schedule'!K34</f>
        <v>0</v>
      </c>
      <c r="O91" s="217">
        <f>'Loan Schedule'!L34</f>
        <v>0</v>
      </c>
      <c r="P91" s="217">
        <f>'Loan Schedule'!M34</f>
        <v>0</v>
      </c>
      <c r="Q91" s="217">
        <f>'Loan Schedule'!N34</f>
        <v>0</v>
      </c>
      <c r="R91" s="217">
        <f>'Loan Schedule'!O34</f>
        <v>0</v>
      </c>
      <c r="S91" s="217">
        <f>'Loan Schedule'!P34</f>
        <v>0</v>
      </c>
      <c r="T91" s="217">
        <f>'Loan Schedule'!Q34</f>
        <v>0</v>
      </c>
      <c r="U91" s="217">
        <f>'Loan Schedule'!R34</f>
        <v>0</v>
      </c>
      <c r="V91" s="217">
        <f>'Loan Schedule'!S34</f>
        <v>0</v>
      </c>
      <c r="W91" s="217">
        <f>'Loan Schedule'!T34</f>
        <v>0</v>
      </c>
      <c r="X91" s="217">
        <f>'Loan Schedule'!U34</f>
        <v>0</v>
      </c>
      <c r="Y91" s="217">
        <f>'Loan Schedule'!V34</f>
        <v>0</v>
      </c>
      <c r="Z91" s="217">
        <f>'Loan Schedule'!W34</f>
        <v>0</v>
      </c>
      <c r="AA91" s="217">
        <f>'Loan Schedule'!X34</f>
        <v>0</v>
      </c>
      <c r="AB91" s="217">
        <f>'Loan Schedule'!Y34</f>
        <v>0</v>
      </c>
      <c r="AC91" s="217">
        <f>'Loan Schedule'!Z34</f>
        <v>0</v>
      </c>
      <c r="AD91" s="217">
        <f>'Loan Schedule'!AA34</f>
        <v>0</v>
      </c>
      <c r="AE91" s="217">
        <f>'Loan Schedule'!AB34</f>
        <v>0</v>
      </c>
      <c r="AF91" s="217">
        <f>'Loan Schedule'!AC34</f>
        <v>0</v>
      </c>
      <c r="AG91" s="217">
        <f>'Loan Schedule'!AD34</f>
        <v>0</v>
      </c>
      <c r="AH91" s="217">
        <f>'Loan Schedule'!AE34</f>
        <v>0</v>
      </c>
      <c r="AI91" s="217">
        <f>'Loan Schedule'!AF34</f>
        <v>0</v>
      </c>
      <c r="AJ91" s="217">
        <f>'Loan Schedule'!AG34</f>
        <v>0</v>
      </c>
      <c r="AK91" s="217">
        <f>'Loan Schedule'!AH34</f>
        <v>0</v>
      </c>
      <c r="AL91" s="217">
        <f>'Loan Schedule'!AI34</f>
        <v>0</v>
      </c>
      <c r="AM91" s="217">
        <f>'Loan Schedule'!AJ34</f>
        <v>0</v>
      </c>
      <c r="AN91" s="217">
        <f>'Loan Schedule'!AK34</f>
        <v>0</v>
      </c>
      <c r="AO91" s="217">
        <f>'Loan Schedule'!AL34</f>
        <v>0</v>
      </c>
      <c r="AP91" s="217">
        <f ca="1">'Loan Schedule'!AM34</f>
        <v>49291943.027310237</v>
      </c>
      <c r="AQ91" s="217">
        <f>'Loan Schedule'!AN34</f>
        <v>0</v>
      </c>
      <c r="AR91" s="217">
        <f>'Loan Schedule'!AO34</f>
        <v>0</v>
      </c>
      <c r="AS91" s="217">
        <f>'Loan Schedule'!AP34</f>
        <v>0</v>
      </c>
      <c r="AT91" s="217">
        <f>'Loan Schedule'!AQ34</f>
        <v>0</v>
      </c>
      <c r="AU91" s="217">
        <f>'Loan Schedule'!AR34</f>
        <v>0</v>
      </c>
      <c r="AV91" s="217">
        <f>'Loan Schedule'!AS34</f>
        <v>0</v>
      </c>
      <c r="AW91" s="217">
        <f>'Loan Schedule'!AT34</f>
        <v>0</v>
      </c>
      <c r="AX91" s="217">
        <f>'Loan Schedule'!AU34</f>
        <v>0</v>
      </c>
      <c r="AY91" s="217">
        <f>'Loan Schedule'!AV34</f>
        <v>0</v>
      </c>
      <c r="AZ91" s="217">
        <f>'Loan Schedule'!AW34</f>
        <v>0</v>
      </c>
      <c r="BA91" s="217">
        <f>'Loan Schedule'!AX34</f>
        <v>0</v>
      </c>
      <c r="BB91" s="217">
        <f>'Loan Schedule'!AY34</f>
        <v>0</v>
      </c>
      <c r="BC91" s="217">
        <f>'Loan Schedule'!AZ34</f>
        <v>0</v>
      </c>
      <c r="BD91" s="217">
        <f>'Loan Schedule'!BA34</f>
        <v>0</v>
      </c>
      <c r="BE91" s="217">
        <f>'Loan Schedule'!BB34</f>
        <v>0</v>
      </c>
      <c r="BF91" s="217">
        <f>'Loan Schedule'!BC34</f>
        <v>0</v>
      </c>
      <c r="BG91" s="217">
        <f>'Loan Schedule'!BD34</f>
        <v>0</v>
      </c>
      <c r="BH91" s="217">
        <f>'Loan Schedule'!BE34</f>
        <v>0</v>
      </c>
      <c r="BI91" s="217">
        <f>'Loan Schedule'!BF34</f>
        <v>0</v>
      </c>
      <c r="BJ91" s="217">
        <f>'Loan Schedule'!BG34</f>
        <v>0</v>
      </c>
      <c r="BK91" s="217">
        <f>'Loan Schedule'!BH34</f>
        <v>0</v>
      </c>
      <c r="BL91" s="217">
        <f>'Loan Schedule'!BI34</f>
        <v>0</v>
      </c>
      <c r="BM91" s="217">
        <f>'Loan Schedule'!BJ34</f>
        <v>0</v>
      </c>
      <c r="BN91" s="217">
        <f>'Loan Schedule'!BK34</f>
        <v>0</v>
      </c>
      <c r="BO91" s="217">
        <f>'Loan Schedule'!BL34</f>
        <v>0</v>
      </c>
      <c r="BP91" s="217">
        <f>'Loan Schedule'!BM34</f>
        <v>0</v>
      </c>
      <c r="BQ91" s="217">
        <f>'Loan Schedule'!BN34</f>
        <v>0</v>
      </c>
      <c r="BR91" s="217">
        <f>'Loan Schedule'!BO34</f>
        <v>0</v>
      </c>
      <c r="BS91" s="217">
        <f>'Loan Schedule'!BP34</f>
        <v>0</v>
      </c>
      <c r="BT91" s="217">
        <f>'Loan Schedule'!BQ34</f>
        <v>0</v>
      </c>
      <c r="BU91" s="217">
        <f>'Loan Schedule'!BR34</f>
        <v>0</v>
      </c>
      <c r="BV91" s="217">
        <f>'Loan Schedule'!BS34</f>
        <v>0</v>
      </c>
      <c r="BW91" s="217">
        <f>'Loan Schedule'!BT34</f>
        <v>0</v>
      </c>
      <c r="BX91" s="217">
        <f>'Loan Schedule'!BU34</f>
        <v>0</v>
      </c>
      <c r="BY91" s="217">
        <f>'Loan Schedule'!BV34</f>
        <v>0</v>
      </c>
      <c r="BZ91" s="217">
        <f>'Loan Schedule'!BW34</f>
        <v>0</v>
      </c>
      <c r="CA91" s="217">
        <f>'Loan Schedule'!BX34</f>
        <v>0</v>
      </c>
      <c r="CB91" s="217">
        <f>'Loan Schedule'!BY34</f>
        <v>0</v>
      </c>
      <c r="CC91" s="217">
        <f>'Loan Schedule'!BZ34</f>
        <v>0</v>
      </c>
      <c r="CD91" s="217">
        <f>'Loan Schedule'!CA34</f>
        <v>0</v>
      </c>
      <c r="CE91" s="217">
        <f>'Loan Schedule'!CB34</f>
        <v>0</v>
      </c>
      <c r="CF91" s="217">
        <f>'Loan Schedule'!CC34</f>
        <v>0</v>
      </c>
      <c r="CG91" s="217">
        <f>'Loan Schedule'!CD34</f>
        <v>0</v>
      </c>
      <c r="CH91" s="217">
        <f>'Loan Schedule'!CE34</f>
        <v>0</v>
      </c>
      <c r="CI91" s="217">
        <f>'Loan Schedule'!CF34</f>
        <v>0</v>
      </c>
      <c r="CJ91" s="217">
        <f>'Loan Schedule'!CG34</f>
        <v>0</v>
      </c>
      <c r="CK91" s="217">
        <f>'Loan Schedule'!CH34</f>
        <v>0</v>
      </c>
      <c r="CL91" s="217">
        <f>'Loan Schedule'!CI34</f>
        <v>0</v>
      </c>
      <c r="CM91" s="217">
        <f>'Loan Schedule'!CJ34</f>
        <v>0</v>
      </c>
      <c r="CN91" s="217">
        <f>'Loan Schedule'!CK34</f>
        <v>0</v>
      </c>
      <c r="CO91" s="217">
        <f>'Loan Schedule'!CL34</f>
        <v>0</v>
      </c>
      <c r="CP91" s="217">
        <f>'Loan Schedule'!CM34</f>
        <v>0</v>
      </c>
      <c r="CQ91" s="217">
        <f>'Loan Schedule'!CN34</f>
        <v>0</v>
      </c>
      <c r="CR91" s="217">
        <f>'Loan Schedule'!CO34</f>
        <v>0</v>
      </c>
      <c r="CS91" s="217">
        <f>'Loan Schedule'!CP34</f>
        <v>0</v>
      </c>
      <c r="CT91" s="217">
        <f>'Loan Schedule'!CQ34</f>
        <v>0</v>
      </c>
      <c r="CU91" s="217">
        <f>'Loan Schedule'!CR34</f>
        <v>0</v>
      </c>
      <c r="CV91" s="217">
        <f>'Loan Schedule'!CS34</f>
        <v>0</v>
      </c>
      <c r="CW91" s="217">
        <f>'Loan Schedule'!CT34</f>
        <v>0</v>
      </c>
      <c r="CX91" s="217">
        <f>'Loan Schedule'!CU34</f>
        <v>0</v>
      </c>
      <c r="CY91" s="217">
        <f>'Loan Schedule'!CV34</f>
        <v>0</v>
      </c>
      <c r="CZ91" s="217">
        <f>'Loan Schedule'!CW34</f>
        <v>0</v>
      </c>
      <c r="DA91" s="217">
        <f>'Loan Schedule'!CX34</f>
        <v>0</v>
      </c>
      <c r="DB91" s="217">
        <f>'Loan Schedule'!CY34</f>
        <v>0</v>
      </c>
      <c r="DC91" s="217">
        <f>'Loan Schedule'!CZ34</f>
        <v>0</v>
      </c>
      <c r="DD91" s="217">
        <f>'Loan Schedule'!DA34</f>
        <v>0</v>
      </c>
      <c r="DE91" s="217">
        <f>'Loan Schedule'!DB34</f>
        <v>0</v>
      </c>
      <c r="DF91" s="217">
        <f>'Loan Schedule'!DC34</f>
        <v>0</v>
      </c>
      <c r="DG91" s="217">
        <f>'Loan Schedule'!DD34</f>
        <v>0</v>
      </c>
      <c r="DH91" s="217">
        <f>'Loan Schedule'!DE34</f>
        <v>0</v>
      </c>
      <c r="DI91" s="217">
        <f>'Loan Schedule'!DF34</f>
        <v>0</v>
      </c>
      <c r="DJ91" s="217">
        <f>'Loan Schedule'!DG34</f>
        <v>0</v>
      </c>
      <c r="DK91" s="217">
        <f>'Loan Schedule'!DH34</f>
        <v>0</v>
      </c>
      <c r="DL91" s="217">
        <f>'Loan Schedule'!DI34</f>
        <v>0</v>
      </c>
      <c r="DM91" s="217">
        <f>'Loan Schedule'!DJ34</f>
        <v>0</v>
      </c>
      <c r="DN91" s="217">
        <f>'Loan Schedule'!DK34</f>
        <v>0</v>
      </c>
      <c r="DO91" s="217">
        <f>'Loan Schedule'!DL34</f>
        <v>0</v>
      </c>
      <c r="DP91" s="217">
        <f>'Loan Schedule'!DM34</f>
        <v>0</v>
      </c>
      <c r="DQ91" s="217">
        <f>'Loan Schedule'!DN34</f>
        <v>0</v>
      </c>
      <c r="DR91" s="217">
        <f>'Loan Schedule'!DO34</f>
        <v>0</v>
      </c>
      <c r="DS91" s="217">
        <f>'Loan Schedule'!DP34</f>
        <v>0</v>
      </c>
      <c r="DT91" s="217">
        <f>'Loan Schedule'!DQ34</f>
        <v>0</v>
      </c>
      <c r="DU91" s="217">
        <f>'Loan Schedule'!DR34</f>
        <v>0</v>
      </c>
      <c r="DV91" s="217">
        <f>'Loan Schedule'!DS34</f>
        <v>0</v>
      </c>
      <c r="DW91" s="217">
        <f>'Loan Schedule'!DT34</f>
        <v>0</v>
      </c>
      <c r="DX91" s="217">
        <f>'Loan Schedule'!DU34</f>
        <v>0</v>
      </c>
      <c r="DY91" s="217">
        <f>'Loan Schedule'!DV34</f>
        <v>0</v>
      </c>
      <c r="DZ91" s="217">
        <f>'Loan Schedule'!DW34</f>
        <v>0</v>
      </c>
      <c r="EA91" s="217">
        <f>'Loan Schedule'!DX34</f>
        <v>0</v>
      </c>
      <c r="EB91" s="217">
        <f>'Loan Schedule'!DY34</f>
        <v>0</v>
      </c>
      <c r="EC91" s="217">
        <f>'Loan Schedule'!DZ34</f>
        <v>0</v>
      </c>
      <c r="ED91" s="217">
        <f>'Loan Schedule'!EA34</f>
        <v>0</v>
      </c>
      <c r="EE91" s="217">
        <f>'Loan Schedule'!EB34</f>
        <v>0</v>
      </c>
      <c r="EF91" s="217">
        <f>'Loan Schedule'!EC34</f>
        <v>0</v>
      </c>
      <c r="EG91" s="217">
        <f>'Loan Schedule'!ED34</f>
        <v>0</v>
      </c>
      <c r="EH91" s="217">
        <f>'Loan Schedule'!EE34</f>
        <v>0</v>
      </c>
      <c r="EI91" s="158" t="s">
        <v>243</v>
      </c>
    </row>
    <row r="92" spans="1:139" s="312" customFormat="1" x14ac:dyDescent="0.2">
      <c r="A92" s="282"/>
      <c r="B92" s="322" t="s">
        <v>775</v>
      </c>
      <c r="C92" s="323"/>
      <c r="D92" s="324">
        <f ca="1">SUMIF($F$4:$EH$4,"&lt;="&amp;HoldPeriod,$F92:$EH92)</f>
        <v>-492919.43027310236</v>
      </c>
      <c r="E92" s="324"/>
      <c r="F92" s="180">
        <f>'Loan Schedule'!C40</f>
        <v>0</v>
      </c>
      <c r="G92" s="180">
        <f>'Loan Schedule'!D40</f>
        <v>0</v>
      </c>
      <c r="H92" s="180">
        <f>'Loan Schedule'!E40</f>
        <v>0</v>
      </c>
      <c r="I92" s="180">
        <f>'Loan Schedule'!F40</f>
        <v>0</v>
      </c>
      <c r="J92" s="180">
        <f>'Loan Schedule'!G40</f>
        <v>0</v>
      </c>
      <c r="K92" s="180">
        <f>'Loan Schedule'!H40</f>
        <v>0</v>
      </c>
      <c r="L92" s="180">
        <f>'Loan Schedule'!I40</f>
        <v>0</v>
      </c>
      <c r="M92" s="180">
        <f>'Loan Schedule'!J40</f>
        <v>0</v>
      </c>
      <c r="N92" s="180">
        <f>'Loan Schedule'!K40</f>
        <v>0</v>
      </c>
      <c r="O92" s="180">
        <f>'Loan Schedule'!L40</f>
        <v>0</v>
      </c>
      <c r="P92" s="180">
        <f>'Loan Schedule'!M40</f>
        <v>0</v>
      </c>
      <c r="Q92" s="180">
        <f>'Loan Schedule'!N40</f>
        <v>0</v>
      </c>
      <c r="R92" s="180">
        <f>'Loan Schedule'!O40</f>
        <v>0</v>
      </c>
      <c r="S92" s="180">
        <f>'Loan Schedule'!P40</f>
        <v>0</v>
      </c>
      <c r="T92" s="180">
        <f>'Loan Schedule'!Q40</f>
        <v>0</v>
      </c>
      <c r="U92" s="180">
        <f>'Loan Schedule'!R40</f>
        <v>0</v>
      </c>
      <c r="V92" s="180">
        <f>'Loan Schedule'!S40</f>
        <v>0</v>
      </c>
      <c r="W92" s="180">
        <f>'Loan Schedule'!T40</f>
        <v>0</v>
      </c>
      <c r="X92" s="180">
        <f>'Loan Schedule'!U40</f>
        <v>0</v>
      </c>
      <c r="Y92" s="180">
        <f>'Loan Schedule'!V40</f>
        <v>0</v>
      </c>
      <c r="Z92" s="180">
        <f>'Loan Schedule'!W40</f>
        <v>0</v>
      </c>
      <c r="AA92" s="180">
        <f>'Loan Schedule'!X40</f>
        <v>0</v>
      </c>
      <c r="AB92" s="180">
        <f>'Loan Schedule'!Y40</f>
        <v>0</v>
      </c>
      <c r="AC92" s="180">
        <f>'Loan Schedule'!Z40</f>
        <v>0</v>
      </c>
      <c r="AD92" s="180">
        <f>'Loan Schedule'!AA40</f>
        <v>0</v>
      </c>
      <c r="AE92" s="180">
        <f>'Loan Schedule'!AB40</f>
        <v>0</v>
      </c>
      <c r="AF92" s="180">
        <f>'Loan Schedule'!AC40</f>
        <v>0</v>
      </c>
      <c r="AG92" s="180">
        <f>'Loan Schedule'!AD40</f>
        <v>0</v>
      </c>
      <c r="AH92" s="180">
        <f>'Loan Schedule'!AE40</f>
        <v>0</v>
      </c>
      <c r="AI92" s="180">
        <f>'Loan Schedule'!AF40</f>
        <v>0</v>
      </c>
      <c r="AJ92" s="180">
        <f>'Loan Schedule'!AG40</f>
        <v>0</v>
      </c>
      <c r="AK92" s="180">
        <f>'Loan Schedule'!AH40</f>
        <v>0</v>
      </c>
      <c r="AL92" s="180">
        <f>'Loan Schedule'!AI40</f>
        <v>0</v>
      </c>
      <c r="AM92" s="180">
        <f>'Loan Schedule'!AJ40</f>
        <v>0</v>
      </c>
      <c r="AN92" s="180">
        <f>'Loan Schedule'!AK40</f>
        <v>0</v>
      </c>
      <c r="AO92" s="180">
        <f>'Loan Schedule'!AL40</f>
        <v>0</v>
      </c>
      <c r="AP92" s="180">
        <f ca="1">'Loan Schedule'!AM40</f>
        <v>-492919.43027310236</v>
      </c>
      <c r="AQ92" s="180">
        <f>'Loan Schedule'!AN40</f>
        <v>0</v>
      </c>
      <c r="AR92" s="180">
        <f>'Loan Schedule'!AO40</f>
        <v>0</v>
      </c>
      <c r="AS92" s="180">
        <f>'Loan Schedule'!AP40</f>
        <v>0</v>
      </c>
      <c r="AT92" s="180">
        <f>'Loan Schedule'!AQ40</f>
        <v>0</v>
      </c>
      <c r="AU92" s="180">
        <f>'Loan Schedule'!AR40</f>
        <v>0</v>
      </c>
      <c r="AV92" s="180">
        <f>'Loan Schedule'!AS40</f>
        <v>0</v>
      </c>
      <c r="AW92" s="180">
        <f>'Loan Schedule'!AT40</f>
        <v>0</v>
      </c>
      <c r="AX92" s="180">
        <f>'Loan Schedule'!AU40</f>
        <v>0</v>
      </c>
      <c r="AY92" s="180">
        <f>'Loan Schedule'!AV40</f>
        <v>0</v>
      </c>
      <c r="AZ92" s="180">
        <f>'Loan Schedule'!AW40</f>
        <v>0</v>
      </c>
      <c r="BA92" s="180">
        <f>'Loan Schedule'!AX40</f>
        <v>0</v>
      </c>
      <c r="BB92" s="180">
        <f>'Loan Schedule'!AY40</f>
        <v>0</v>
      </c>
      <c r="BC92" s="180">
        <f>'Loan Schedule'!AZ40</f>
        <v>0</v>
      </c>
      <c r="BD92" s="180">
        <f>'Loan Schedule'!BA40</f>
        <v>0</v>
      </c>
      <c r="BE92" s="180">
        <f>'Loan Schedule'!BB40</f>
        <v>0</v>
      </c>
      <c r="BF92" s="180">
        <f>'Loan Schedule'!BC40</f>
        <v>0</v>
      </c>
      <c r="BG92" s="180">
        <f>'Loan Schedule'!BD40</f>
        <v>0</v>
      </c>
      <c r="BH92" s="180">
        <f>'Loan Schedule'!BE40</f>
        <v>0</v>
      </c>
      <c r="BI92" s="180">
        <f>'Loan Schedule'!BF40</f>
        <v>0</v>
      </c>
      <c r="BJ92" s="180">
        <f>'Loan Schedule'!BG40</f>
        <v>0</v>
      </c>
      <c r="BK92" s="180">
        <f>'Loan Schedule'!BH40</f>
        <v>0</v>
      </c>
      <c r="BL92" s="180">
        <f>'Loan Schedule'!BI40</f>
        <v>0</v>
      </c>
      <c r="BM92" s="180">
        <f>'Loan Schedule'!BJ40</f>
        <v>0</v>
      </c>
      <c r="BN92" s="180">
        <f>'Loan Schedule'!BK40</f>
        <v>0</v>
      </c>
      <c r="BO92" s="180">
        <f>'Loan Schedule'!BL40</f>
        <v>0</v>
      </c>
      <c r="BP92" s="180">
        <f>'Loan Schedule'!BM40</f>
        <v>0</v>
      </c>
      <c r="BQ92" s="180">
        <f>'Loan Schedule'!BN40</f>
        <v>0</v>
      </c>
      <c r="BR92" s="180">
        <f>'Loan Schedule'!BO40</f>
        <v>0</v>
      </c>
      <c r="BS92" s="180">
        <f>'Loan Schedule'!BP40</f>
        <v>0</v>
      </c>
      <c r="BT92" s="180">
        <f>'Loan Schedule'!BQ40</f>
        <v>0</v>
      </c>
      <c r="BU92" s="180">
        <f>'Loan Schedule'!BR40</f>
        <v>0</v>
      </c>
      <c r="BV92" s="180">
        <f>'Loan Schedule'!BS40</f>
        <v>0</v>
      </c>
      <c r="BW92" s="180">
        <f>'Loan Schedule'!BT40</f>
        <v>0</v>
      </c>
      <c r="BX92" s="180">
        <f>'Loan Schedule'!BU40</f>
        <v>0</v>
      </c>
      <c r="BY92" s="180">
        <f>'Loan Schedule'!BV40</f>
        <v>0</v>
      </c>
      <c r="BZ92" s="180">
        <f>'Loan Schedule'!BW40</f>
        <v>0</v>
      </c>
      <c r="CA92" s="180">
        <f>'Loan Schedule'!BX40</f>
        <v>0</v>
      </c>
      <c r="CB92" s="180">
        <f>'Loan Schedule'!BY40</f>
        <v>0</v>
      </c>
      <c r="CC92" s="180">
        <f>'Loan Schedule'!BZ40</f>
        <v>0</v>
      </c>
      <c r="CD92" s="180">
        <f>'Loan Schedule'!CA40</f>
        <v>0</v>
      </c>
      <c r="CE92" s="180">
        <f>'Loan Schedule'!CB40</f>
        <v>0</v>
      </c>
      <c r="CF92" s="180">
        <f>'Loan Schedule'!CC40</f>
        <v>0</v>
      </c>
      <c r="CG92" s="180">
        <f>'Loan Schedule'!CD40</f>
        <v>0</v>
      </c>
      <c r="CH92" s="180">
        <f>'Loan Schedule'!CE40</f>
        <v>0</v>
      </c>
      <c r="CI92" s="180">
        <f>'Loan Schedule'!CF40</f>
        <v>0</v>
      </c>
      <c r="CJ92" s="180">
        <f>'Loan Schedule'!CG40</f>
        <v>0</v>
      </c>
      <c r="CK92" s="180">
        <f>'Loan Schedule'!CH40</f>
        <v>0</v>
      </c>
      <c r="CL92" s="180">
        <f>'Loan Schedule'!CI40</f>
        <v>0</v>
      </c>
      <c r="CM92" s="180">
        <f>'Loan Schedule'!CJ40</f>
        <v>0</v>
      </c>
      <c r="CN92" s="180">
        <f>'Loan Schedule'!CK40</f>
        <v>0</v>
      </c>
      <c r="CO92" s="180">
        <f>'Loan Schedule'!CL40</f>
        <v>0</v>
      </c>
      <c r="CP92" s="180">
        <f>'Loan Schedule'!CM40</f>
        <v>0</v>
      </c>
      <c r="CQ92" s="180">
        <f>'Loan Schedule'!CN40</f>
        <v>0</v>
      </c>
      <c r="CR92" s="180">
        <f>'Loan Schedule'!CO40</f>
        <v>0</v>
      </c>
      <c r="CS92" s="180">
        <f>'Loan Schedule'!CP40</f>
        <v>0</v>
      </c>
      <c r="CT92" s="180">
        <f>'Loan Schedule'!CQ40</f>
        <v>0</v>
      </c>
      <c r="CU92" s="180">
        <f>'Loan Schedule'!CR40</f>
        <v>0</v>
      </c>
      <c r="CV92" s="180">
        <f>'Loan Schedule'!CS40</f>
        <v>0</v>
      </c>
      <c r="CW92" s="180">
        <f>'Loan Schedule'!CT40</f>
        <v>0</v>
      </c>
      <c r="CX92" s="180">
        <f>'Loan Schedule'!CU40</f>
        <v>0</v>
      </c>
      <c r="CY92" s="180">
        <f>'Loan Schedule'!CV40</f>
        <v>0</v>
      </c>
      <c r="CZ92" s="180">
        <f>'Loan Schedule'!CW40</f>
        <v>0</v>
      </c>
      <c r="DA92" s="180">
        <f>'Loan Schedule'!CX40</f>
        <v>0</v>
      </c>
      <c r="DB92" s="180">
        <f>'Loan Schedule'!CY40</f>
        <v>0</v>
      </c>
      <c r="DC92" s="180">
        <f>'Loan Schedule'!CZ40</f>
        <v>0</v>
      </c>
      <c r="DD92" s="180">
        <f>'Loan Schedule'!DA40</f>
        <v>0</v>
      </c>
      <c r="DE92" s="180">
        <f>'Loan Schedule'!DB40</f>
        <v>0</v>
      </c>
      <c r="DF92" s="180">
        <f>'Loan Schedule'!DC40</f>
        <v>0</v>
      </c>
      <c r="DG92" s="180">
        <f>'Loan Schedule'!DD40</f>
        <v>0</v>
      </c>
      <c r="DH92" s="180">
        <f>'Loan Schedule'!DE40</f>
        <v>0</v>
      </c>
      <c r="DI92" s="180">
        <f>'Loan Schedule'!DF40</f>
        <v>0</v>
      </c>
      <c r="DJ92" s="180">
        <f>'Loan Schedule'!DG40</f>
        <v>0</v>
      </c>
      <c r="DK92" s="180">
        <f>'Loan Schedule'!DH40</f>
        <v>0</v>
      </c>
      <c r="DL92" s="180">
        <f>'Loan Schedule'!DI40</f>
        <v>0</v>
      </c>
      <c r="DM92" s="180">
        <f>'Loan Schedule'!DJ40</f>
        <v>0</v>
      </c>
      <c r="DN92" s="180">
        <f>'Loan Schedule'!DK40</f>
        <v>0</v>
      </c>
      <c r="DO92" s="180">
        <f>'Loan Schedule'!DL40</f>
        <v>0</v>
      </c>
      <c r="DP92" s="180">
        <f>'Loan Schedule'!DM40</f>
        <v>0</v>
      </c>
      <c r="DQ92" s="180">
        <f>'Loan Schedule'!DN40</f>
        <v>0</v>
      </c>
      <c r="DR92" s="180">
        <f>'Loan Schedule'!DO40</f>
        <v>0</v>
      </c>
      <c r="DS92" s="180">
        <f>'Loan Schedule'!DP40</f>
        <v>0</v>
      </c>
      <c r="DT92" s="180">
        <f>'Loan Schedule'!DQ40</f>
        <v>0</v>
      </c>
      <c r="DU92" s="180">
        <f>'Loan Schedule'!DR40</f>
        <v>0</v>
      </c>
      <c r="DV92" s="180">
        <f>'Loan Schedule'!DS40</f>
        <v>0</v>
      </c>
      <c r="DW92" s="180">
        <f>'Loan Schedule'!DT40</f>
        <v>0</v>
      </c>
      <c r="DX92" s="180">
        <f>'Loan Schedule'!DU40</f>
        <v>0</v>
      </c>
      <c r="DY92" s="180">
        <f>'Loan Schedule'!DV40</f>
        <v>0</v>
      </c>
      <c r="DZ92" s="180">
        <f>'Loan Schedule'!DW40</f>
        <v>0</v>
      </c>
      <c r="EA92" s="180">
        <f>'Loan Schedule'!DX40</f>
        <v>0</v>
      </c>
      <c r="EB92" s="180">
        <f>'Loan Schedule'!DY40</f>
        <v>0</v>
      </c>
      <c r="EC92" s="180">
        <f>'Loan Schedule'!DZ40</f>
        <v>0</v>
      </c>
      <c r="ED92" s="180">
        <f>'Loan Schedule'!EA40</f>
        <v>0</v>
      </c>
      <c r="EE92" s="180">
        <f>'Loan Schedule'!EB40</f>
        <v>0</v>
      </c>
      <c r="EF92" s="180">
        <f>'Loan Schedule'!EC40</f>
        <v>0</v>
      </c>
      <c r="EG92" s="180">
        <f>'Loan Schedule'!ED40</f>
        <v>0</v>
      </c>
      <c r="EH92" s="180">
        <f>'Loan Schedule'!EE40</f>
        <v>0</v>
      </c>
      <c r="EI92" s="158" t="s">
        <v>243</v>
      </c>
    </row>
    <row r="93" spans="1:139" s="312" customFormat="1" x14ac:dyDescent="0.2">
      <c r="A93" s="282"/>
      <c r="B93" s="258" t="s">
        <v>796</v>
      </c>
      <c r="C93" s="209"/>
      <c r="D93" s="324">
        <f t="shared" ca="1" si="120"/>
        <v>-492919.43027310236</v>
      </c>
      <c r="E93" s="324"/>
      <c r="F93" s="217">
        <f>'Loan Schedule'!C41</f>
        <v>0</v>
      </c>
      <c r="G93" s="217">
        <f>'Loan Schedule'!D41</f>
        <v>0</v>
      </c>
      <c r="H93" s="217">
        <f>'Loan Schedule'!E41</f>
        <v>0</v>
      </c>
      <c r="I93" s="217">
        <f>'Loan Schedule'!F41</f>
        <v>0</v>
      </c>
      <c r="J93" s="217">
        <f>'Loan Schedule'!G41</f>
        <v>0</v>
      </c>
      <c r="K93" s="217">
        <f>'Loan Schedule'!H41</f>
        <v>0</v>
      </c>
      <c r="L93" s="217">
        <f>'Loan Schedule'!I41</f>
        <v>0</v>
      </c>
      <c r="M93" s="217">
        <f>'Loan Schedule'!J41</f>
        <v>0</v>
      </c>
      <c r="N93" s="217">
        <f>'Loan Schedule'!K41</f>
        <v>0</v>
      </c>
      <c r="O93" s="217">
        <f>'Loan Schedule'!L41</f>
        <v>0</v>
      </c>
      <c r="P93" s="217">
        <f>'Loan Schedule'!M41</f>
        <v>0</v>
      </c>
      <c r="Q93" s="217">
        <f>'Loan Schedule'!N41</f>
        <v>0</v>
      </c>
      <c r="R93" s="217">
        <f>'Loan Schedule'!O41</f>
        <v>0</v>
      </c>
      <c r="S93" s="217">
        <f>'Loan Schedule'!P41</f>
        <v>0</v>
      </c>
      <c r="T93" s="217">
        <f>'Loan Schedule'!Q41</f>
        <v>0</v>
      </c>
      <c r="U93" s="217">
        <f>'Loan Schedule'!R41</f>
        <v>0</v>
      </c>
      <c r="V93" s="217">
        <f>'Loan Schedule'!S41</f>
        <v>0</v>
      </c>
      <c r="W93" s="217">
        <f>'Loan Schedule'!T41</f>
        <v>0</v>
      </c>
      <c r="X93" s="217">
        <f>'Loan Schedule'!U41</f>
        <v>0</v>
      </c>
      <c r="Y93" s="217">
        <f>'Loan Schedule'!V41</f>
        <v>0</v>
      </c>
      <c r="Z93" s="217">
        <f>'Loan Schedule'!W41</f>
        <v>0</v>
      </c>
      <c r="AA93" s="217">
        <f>'Loan Schedule'!X41</f>
        <v>0</v>
      </c>
      <c r="AB93" s="217">
        <f>'Loan Schedule'!Y41</f>
        <v>0</v>
      </c>
      <c r="AC93" s="217">
        <f>'Loan Schedule'!Z41</f>
        <v>0</v>
      </c>
      <c r="AD93" s="217">
        <f>'Loan Schedule'!AA41</f>
        <v>0</v>
      </c>
      <c r="AE93" s="217">
        <f>'Loan Schedule'!AB41</f>
        <v>0</v>
      </c>
      <c r="AF93" s="217">
        <f>'Loan Schedule'!AC41</f>
        <v>0</v>
      </c>
      <c r="AG93" s="217">
        <f>'Loan Schedule'!AD41</f>
        <v>0</v>
      </c>
      <c r="AH93" s="217">
        <f>'Loan Schedule'!AE41</f>
        <v>0</v>
      </c>
      <c r="AI93" s="217">
        <f>'Loan Schedule'!AF41</f>
        <v>0</v>
      </c>
      <c r="AJ93" s="217">
        <f>'Loan Schedule'!AG41</f>
        <v>0</v>
      </c>
      <c r="AK93" s="217">
        <f>'Loan Schedule'!AH41</f>
        <v>0</v>
      </c>
      <c r="AL93" s="217">
        <f>'Loan Schedule'!AI41</f>
        <v>0</v>
      </c>
      <c r="AM93" s="217">
        <f>'Loan Schedule'!AJ41</f>
        <v>0</v>
      </c>
      <c r="AN93" s="217">
        <f>'Loan Schedule'!AK41</f>
        <v>0</v>
      </c>
      <c r="AO93" s="217">
        <f>'Loan Schedule'!AL41</f>
        <v>0</v>
      </c>
      <c r="AP93" s="217">
        <f>'Loan Schedule'!AM41</f>
        <v>0</v>
      </c>
      <c r="AQ93" s="217">
        <f>'Loan Schedule'!AN41</f>
        <v>0</v>
      </c>
      <c r="AR93" s="217">
        <f>'Loan Schedule'!AO41</f>
        <v>0</v>
      </c>
      <c r="AS93" s="217">
        <f>'Loan Schedule'!AP41</f>
        <v>0</v>
      </c>
      <c r="AT93" s="217">
        <f>'Loan Schedule'!AQ41</f>
        <v>0</v>
      </c>
      <c r="AU93" s="217">
        <f>'Loan Schedule'!AR41</f>
        <v>0</v>
      </c>
      <c r="AV93" s="217">
        <f>'Loan Schedule'!AS41</f>
        <v>0</v>
      </c>
      <c r="AW93" s="217">
        <f>'Loan Schedule'!AT41</f>
        <v>0</v>
      </c>
      <c r="AX93" s="217">
        <f>'Loan Schedule'!AU41</f>
        <v>0</v>
      </c>
      <c r="AY93" s="217">
        <f>'Loan Schedule'!AV41</f>
        <v>0</v>
      </c>
      <c r="AZ93" s="217">
        <f>'Loan Schedule'!AW41</f>
        <v>0</v>
      </c>
      <c r="BA93" s="217">
        <f>'Loan Schedule'!AX41</f>
        <v>0</v>
      </c>
      <c r="BB93" s="217">
        <f>'Loan Schedule'!AY41</f>
        <v>0</v>
      </c>
      <c r="BC93" s="217">
        <f>'Loan Schedule'!AZ41</f>
        <v>0</v>
      </c>
      <c r="BD93" s="217">
        <f>'Loan Schedule'!BA41</f>
        <v>0</v>
      </c>
      <c r="BE93" s="217">
        <f>'Loan Schedule'!BB41</f>
        <v>0</v>
      </c>
      <c r="BF93" s="217">
        <f>'Loan Schedule'!BC41</f>
        <v>0</v>
      </c>
      <c r="BG93" s="217">
        <f>'Loan Schedule'!BD41</f>
        <v>0</v>
      </c>
      <c r="BH93" s="217">
        <f>'Loan Schedule'!BE41</f>
        <v>0</v>
      </c>
      <c r="BI93" s="217">
        <f>'Loan Schedule'!BF41</f>
        <v>0</v>
      </c>
      <c r="BJ93" s="217">
        <f>'Loan Schedule'!BG41</f>
        <v>0</v>
      </c>
      <c r="BK93" s="217">
        <f>'Loan Schedule'!BH41</f>
        <v>0</v>
      </c>
      <c r="BL93" s="217">
        <f>'Loan Schedule'!BI41</f>
        <v>0</v>
      </c>
      <c r="BM93" s="217">
        <f>'Loan Schedule'!BJ41</f>
        <v>0</v>
      </c>
      <c r="BN93" s="217">
        <f ca="1">'Loan Schedule'!BK41</f>
        <v>-492919.43027310236</v>
      </c>
      <c r="BO93" s="217">
        <f>'Loan Schedule'!BL41</f>
        <v>0</v>
      </c>
      <c r="BP93" s="217">
        <f>'Loan Schedule'!BM41</f>
        <v>0</v>
      </c>
      <c r="BQ93" s="217">
        <f>'Loan Schedule'!BN41</f>
        <v>0</v>
      </c>
      <c r="BR93" s="217">
        <f>'Loan Schedule'!BO41</f>
        <v>0</v>
      </c>
      <c r="BS93" s="217">
        <f>'Loan Schedule'!BP41</f>
        <v>0</v>
      </c>
      <c r="BT93" s="217">
        <f>'Loan Schedule'!BQ41</f>
        <v>0</v>
      </c>
      <c r="BU93" s="217">
        <f>'Loan Schedule'!BR41</f>
        <v>0</v>
      </c>
      <c r="BV93" s="217">
        <f>'Loan Schedule'!BS41</f>
        <v>0</v>
      </c>
      <c r="BW93" s="217">
        <f>'Loan Schedule'!BT41</f>
        <v>0</v>
      </c>
      <c r="BX93" s="217">
        <f>'Loan Schedule'!BU41</f>
        <v>0</v>
      </c>
      <c r="BY93" s="217">
        <f>'Loan Schedule'!BV41</f>
        <v>0</v>
      </c>
      <c r="BZ93" s="217">
        <f>'Loan Schedule'!BW41</f>
        <v>0</v>
      </c>
      <c r="CA93" s="217">
        <f>'Loan Schedule'!BX41</f>
        <v>0</v>
      </c>
      <c r="CB93" s="217">
        <f>'Loan Schedule'!BY41</f>
        <v>0</v>
      </c>
      <c r="CC93" s="217">
        <f>'Loan Schedule'!BZ41</f>
        <v>0</v>
      </c>
      <c r="CD93" s="217">
        <f>'Loan Schedule'!CA41</f>
        <v>0</v>
      </c>
      <c r="CE93" s="217">
        <f>'Loan Schedule'!CB41</f>
        <v>0</v>
      </c>
      <c r="CF93" s="217">
        <f>'Loan Schedule'!CC41</f>
        <v>0</v>
      </c>
      <c r="CG93" s="217">
        <f>'Loan Schedule'!CD41</f>
        <v>0</v>
      </c>
      <c r="CH93" s="217">
        <f>'Loan Schedule'!CE41</f>
        <v>0</v>
      </c>
      <c r="CI93" s="217">
        <f>'Loan Schedule'!CF41</f>
        <v>0</v>
      </c>
      <c r="CJ93" s="217">
        <f>'Loan Schedule'!CG41</f>
        <v>0</v>
      </c>
      <c r="CK93" s="217">
        <f>'Loan Schedule'!CH41</f>
        <v>0</v>
      </c>
      <c r="CL93" s="217">
        <f>'Loan Schedule'!CI41</f>
        <v>0</v>
      </c>
      <c r="CM93" s="217">
        <f>'Loan Schedule'!CJ41</f>
        <v>0</v>
      </c>
      <c r="CN93" s="217">
        <f>'Loan Schedule'!CK41</f>
        <v>0</v>
      </c>
      <c r="CO93" s="217">
        <f>'Loan Schedule'!CL41</f>
        <v>0</v>
      </c>
      <c r="CP93" s="217">
        <f>'Loan Schedule'!CM41</f>
        <v>0</v>
      </c>
      <c r="CQ93" s="217">
        <f>'Loan Schedule'!CN41</f>
        <v>0</v>
      </c>
      <c r="CR93" s="217">
        <f>'Loan Schedule'!CO41</f>
        <v>0</v>
      </c>
      <c r="CS93" s="217">
        <f>'Loan Schedule'!CP41</f>
        <v>0</v>
      </c>
      <c r="CT93" s="217">
        <f>'Loan Schedule'!CQ41</f>
        <v>0</v>
      </c>
      <c r="CU93" s="217">
        <f>'Loan Schedule'!CR41</f>
        <v>0</v>
      </c>
      <c r="CV93" s="217">
        <f>'Loan Schedule'!CS41</f>
        <v>0</v>
      </c>
      <c r="CW93" s="217">
        <f>'Loan Schedule'!CT41</f>
        <v>0</v>
      </c>
      <c r="CX93" s="217">
        <f>'Loan Schedule'!CU41</f>
        <v>0</v>
      </c>
      <c r="CY93" s="217">
        <f>'Loan Schedule'!CV41</f>
        <v>0</v>
      </c>
      <c r="CZ93" s="217">
        <f>'Loan Schedule'!CW41</f>
        <v>0</v>
      </c>
      <c r="DA93" s="217">
        <f>'Loan Schedule'!CX41</f>
        <v>0</v>
      </c>
      <c r="DB93" s="217">
        <f>'Loan Schedule'!CY41</f>
        <v>0</v>
      </c>
      <c r="DC93" s="217">
        <f>'Loan Schedule'!CZ41</f>
        <v>0</v>
      </c>
      <c r="DD93" s="217">
        <f>'Loan Schedule'!DA41</f>
        <v>0</v>
      </c>
      <c r="DE93" s="217">
        <f>'Loan Schedule'!DB41</f>
        <v>0</v>
      </c>
      <c r="DF93" s="217">
        <f>'Loan Schedule'!DC41</f>
        <v>0</v>
      </c>
      <c r="DG93" s="217">
        <f>'Loan Schedule'!DD41</f>
        <v>0</v>
      </c>
      <c r="DH93" s="217">
        <f>'Loan Schedule'!DE41</f>
        <v>0</v>
      </c>
      <c r="DI93" s="217">
        <f>'Loan Schedule'!DF41</f>
        <v>0</v>
      </c>
      <c r="DJ93" s="217">
        <f>'Loan Schedule'!DG41</f>
        <v>0</v>
      </c>
      <c r="DK93" s="217">
        <f>'Loan Schedule'!DH41</f>
        <v>0</v>
      </c>
      <c r="DL93" s="217">
        <f>'Loan Schedule'!DI41</f>
        <v>0</v>
      </c>
      <c r="DM93" s="217">
        <f>'Loan Schedule'!DJ41</f>
        <v>0</v>
      </c>
      <c r="DN93" s="217">
        <f>'Loan Schedule'!DK41</f>
        <v>0</v>
      </c>
      <c r="DO93" s="217">
        <f>'Loan Schedule'!DL41</f>
        <v>0</v>
      </c>
      <c r="DP93" s="217">
        <f>'Loan Schedule'!DM41</f>
        <v>0</v>
      </c>
      <c r="DQ93" s="217">
        <f>'Loan Schedule'!DN41</f>
        <v>0</v>
      </c>
      <c r="DR93" s="217">
        <f>'Loan Schedule'!DO41</f>
        <v>0</v>
      </c>
      <c r="DS93" s="217">
        <f>'Loan Schedule'!DP41</f>
        <v>0</v>
      </c>
      <c r="DT93" s="217">
        <f>'Loan Schedule'!DQ41</f>
        <v>0</v>
      </c>
      <c r="DU93" s="217">
        <f>'Loan Schedule'!DR41</f>
        <v>0</v>
      </c>
      <c r="DV93" s="217">
        <f>'Loan Schedule'!DS41</f>
        <v>0</v>
      </c>
      <c r="DW93" s="217">
        <f>'Loan Schedule'!DT41</f>
        <v>0</v>
      </c>
      <c r="DX93" s="217">
        <f>'Loan Schedule'!DU41</f>
        <v>0</v>
      </c>
      <c r="DY93" s="217">
        <f>'Loan Schedule'!DV41</f>
        <v>0</v>
      </c>
      <c r="DZ93" s="217">
        <f>'Loan Schedule'!DW41</f>
        <v>0</v>
      </c>
      <c r="EA93" s="217">
        <f>'Loan Schedule'!DX41</f>
        <v>0</v>
      </c>
      <c r="EB93" s="217">
        <f>'Loan Schedule'!DY41</f>
        <v>0</v>
      </c>
      <c r="EC93" s="217">
        <f>'Loan Schedule'!DZ41</f>
        <v>0</v>
      </c>
      <c r="ED93" s="217">
        <f>'Loan Schedule'!EA41</f>
        <v>0</v>
      </c>
      <c r="EE93" s="217">
        <f>'Loan Schedule'!EB41</f>
        <v>0</v>
      </c>
      <c r="EF93" s="217">
        <f>'Loan Schedule'!EC41</f>
        <v>0</v>
      </c>
      <c r="EG93" s="217">
        <f>'Loan Schedule'!ED41</f>
        <v>0</v>
      </c>
      <c r="EH93" s="217">
        <f>'Loan Schedule'!EE41</f>
        <v>0</v>
      </c>
      <c r="EI93" s="158" t="s">
        <v>243</v>
      </c>
    </row>
    <row r="94" spans="1:139" s="312" customFormat="1" x14ac:dyDescent="0.2">
      <c r="A94" s="282"/>
      <c r="B94" s="258" t="s">
        <v>781</v>
      </c>
      <c r="C94" s="209"/>
      <c r="D94" s="324">
        <f t="shared" ca="1" si="120"/>
        <v>-49291943.027310237</v>
      </c>
      <c r="E94" s="324"/>
      <c r="F94" s="217">
        <f>'Loan Schedule'!C38</f>
        <v>0</v>
      </c>
      <c r="G94" s="217">
        <f>'Loan Schedule'!D38</f>
        <v>0</v>
      </c>
      <c r="H94" s="217">
        <f>'Loan Schedule'!E38</f>
        <v>0</v>
      </c>
      <c r="I94" s="217">
        <f>'Loan Schedule'!F38</f>
        <v>0</v>
      </c>
      <c r="J94" s="217">
        <f>'Loan Schedule'!G38</f>
        <v>0</v>
      </c>
      <c r="K94" s="217">
        <f>'Loan Schedule'!H38</f>
        <v>0</v>
      </c>
      <c r="L94" s="217">
        <f>'Loan Schedule'!I38</f>
        <v>0</v>
      </c>
      <c r="M94" s="217">
        <f>'Loan Schedule'!J38</f>
        <v>0</v>
      </c>
      <c r="N94" s="217">
        <f>'Loan Schedule'!K38</f>
        <v>0</v>
      </c>
      <c r="O94" s="217">
        <f>'Loan Schedule'!L38</f>
        <v>0</v>
      </c>
      <c r="P94" s="217">
        <f>'Loan Schedule'!M38</f>
        <v>0</v>
      </c>
      <c r="Q94" s="217">
        <f>'Loan Schedule'!N38</f>
        <v>0</v>
      </c>
      <c r="R94" s="217">
        <f>'Loan Schedule'!O38</f>
        <v>0</v>
      </c>
      <c r="S94" s="217">
        <f>'Loan Schedule'!P38</f>
        <v>0</v>
      </c>
      <c r="T94" s="217">
        <f>'Loan Schedule'!Q38</f>
        <v>0</v>
      </c>
      <c r="U94" s="217">
        <f>'Loan Schedule'!R38</f>
        <v>0</v>
      </c>
      <c r="V94" s="217">
        <f>'Loan Schedule'!S38</f>
        <v>0</v>
      </c>
      <c r="W94" s="217">
        <f>'Loan Schedule'!T38</f>
        <v>0</v>
      </c>
      <c r="X94" s="217">
        <f>'Loan Schedule'!U38</f>
        <v>0</v>
      </c>
      <c r="Y94" s="217">
        <f>'Loan Schedule'!V38</f>
        <v>0</v>
      </c>
      <c r="Z94" s="217">
        <f>'Loan Schedule'!W38</f>
        <v>0</v>
      </c>
      <c r="AA94" s="217">
        <f>'Loan Schedule'!X38</f>
        <v>0</v>
      </c>
      <c r="AB94" s="217">
        <f>'Loan Schedule'!Y38</f>
        <v>0</v>
      </c>
      <c r="AC94" s="217">
        <f>'Loan Schedule'!Z38</f>
        <v>0</v>
      </c>
      <c r="AD94" s="217">
        <f>'Loan Schedule'!AA38</f>
        <v>0</v>
      </c>
      <c r="AE94" s="217">
        <f>'Loan Schedule'!AB38</f>
        <v>0</v>
      </c>
      <c r="AF94" s="217">
        <f>'Loan Schedule'!AC38</f>
        <v>0</v>
      </c>
      <c r="AG94" s="217">
        <f>'Loan Schedule'!AD38</f>
        <v>0</v>
      </c>
      <c r="AH94" s="217">
        <f>'Loan Schedule'!AE38</f>
        <v>0</v>
      </c>
      <c r="AI94" s="217">
        <f>'Loan Schedule'!AF38</f>
        <v>0</v>
      </c>
      <c r="AJ94" s="217">
        <f>'Loan Schedule'!AG38</f>
        <v>0</v>
      </c>
      <c r="AK94" s="217">
        <f>'Loan Schedule'!AH38</f>
        <v>0</v>
      </c>
      <c r="AL94" s="217">
        <f>'Loan Schedule'!AI38</f>
        <v>0</v>
      </c>
      <c r="AM94" s="217">
        <f>'Loan Schedule'!AJ38</f>
        <v>0</v>
      </c>
      <c r="AN94" s="217">
        <f>'Loan Schedule'!AK38</f>
        <v>0</v>
      </c>
      <c r="AO94" s="217">
        <f>'Loan Schedule'!AL38</f>
        <v>0</v>
      </c>
      <c r="AP94" s="217">
        <f>'Loan Schedule'!AM38</f>
        <v>0</v>
      </c>
      <c r="AQ94" s="217">
        <f>'Loan Schedule'!AN38</f>
        <v>0</v>
      </c>
      <c r="AR94" s="217">
        <f>'Loan Schedule'!AO38</f>
        <v>0</v>
      </c>
      <c r="AS94" s="217">
        <f>'Loan Schedule'!AP38</f>
        <v>0</v>
      </c>
      <c r="AT94" s="217">
        <f>'Loan Schedule'!AQ38</f>
        <v>0</v>
      </c>
      <c r="AU94" s="217">
        <f>'Loan Schedule'!AR38</f>
        <v>0</v>
      </c>
      <c r="AV94" s="217">
        <f>'Loan Schedule'!AS38</f>
        <v>0</v>
      </c>
      <c r="AW94" s="217">
        <f>'Loan Schedule'!AT38</f>
        <v>0</v>
      </c>
      <c r="AX94" s="217">
        <f>'Loan Schedule'!AU38</f>
        <v>0</v>
      </c>
      <c r="AY94" s="217">
        <f>'Loan Schedule'!AV38</f>
        <v>0</v>
      </c>
      <c r="AZ94" s="217">
        <f>'Loan Schedule'!AW38</f>
        <v>0</v>
      </c>
      <c r="BA94" s="217">
        <f>'Loan Schedule'!AX38</f>
        <v>0</v>
      </c>
      <c r="BB94" s="217">
        <f>'Loan Schedule'!AY38</f>
        <v>0</v>
      </c>
      <c r="BC94" s="217">
        <f>'Loan Schedule'!AZ38</f>
        <v>0</v>
      </c>
      <c r="BD94" s="217">
        <f>'Loan Schedule'!BA38</f>
        <v>0</v>
      </c>
      <c r="BE94" s="217">
        <f>'Loan Schedule'!BB38</f>
        <v>0</v>
      </c>
      <c r="BF94" s="217">
        <f>'Loan Schedule'!BC38</f>
        <v>0</v>
      </c>
      <c r="BG94" s="217">
        <f>'Loan Schedule'!BD38</f>
        <v>0</v>
      </c>
      <c r="BH94" s="217">
        <f>'Loan Schedule'!BE38</f>
        <v>0</v>
      </c>
      <c r="BI94" s="217">
        <f>'Loan Schedule'!BF38</f>
        <v>0</v>
      </c>
      <c r="BJ94" s="217">
        <f>'Loan Schedule'!BG38</f>
        <v>0</v>
      </c>
      <c r="BK94" s="217">
        <f>'Loan Schedule'!BH38</f>
        <v>0</v>
      </c>
      <c r="BL94" s="217">
        <f>'Loan Schedule'!BI38</f>
        <v>0</v>
      </c>
      <c r="BM94" s="217">
        <f>'Loan Schedule'!BJ38</f>
        <v>0</v>
      </c>
      <c r="BN94" s="217">
        <f ca="1">'Loan Schedule'!BK38</f>
        <v>-49291943.027310237</v>
      </c>
      <c r="BO94" s="217">
        <f>'Loan Schedule'!BL38</f>
        <v>0</v>
      </c>
      <c r="BP94" s="217">
        <f>'Loan Schedule'!BM38</f>
        <v>0</v>
      </c>
      <c r="BQ94" s="217">
        <f>'Loan Schedule'!BN38</f>
        <v>0</v>
      </c>
      <c r="BR94" s="217">
        <f>'Loan Schedule'!BO38</f>
        <v>0</v>
      </c>
      <c r="BS94" s="217">
        <f>'Loan Schedule'!BP38</f>
        <v>0</v>
      </c>
      <c r="BT94" s="217">
        <f>'Loan Schedule'!BQ38</f>
        <v>0</v>
      </c>
      <c r="BU94" s="217">
        <f>'Loan Schedule'!BR38</f>
        <v>0</v>
      </c>
      <c r="BV94" s="217">
        <f>'Loan Schedule'!BS38</f>
        <v>0</v>
      </c>
      <c r="BW94" s="217">
        <f>'Loan Schedule'!BT38</f>
        <v>0</v>
      </c>
      <c r="BX94" s="217">
        <f>'Loan Schedule'!BU38</f>
        <v>0</v>
      </c>
      <c r="BY94" s="217">
        <f>'Loan Schedule'!BV38</f>
        <v>0</v>
      </c>
      <c r="BZ94" s="217">
        <f>'Loan Schedule'!BW38</f>
        <v>0</v>
      </c>
      <c r="CA94" s="217">
        <f>'Loan Schedule'!BX38</f>
        <v>0</v>
      </c>
      <c r="CB94" s="217">
        <f>'Loan Schedule'!BY38</f>
        <v>0</v>
      </c>
      <c r="CC94" s="217">
        <f>'Loan Schedule'!BZ38</f>
        <v>0</v>
      </c>
      <c r="CD94" s="217">
        <f>'Loan Schedule'!CA38</f>
        <v>0</v>
      </c>
      <c r="CE94" s="217">
        <f>'Loan Schedule'!CB38</f>
        <v>0</v>
      </c>
      <c r="CF94" s="217">
        <f>'Loan Schedule'!CC38</f>
        <v>0</v>
      </c>
      <c r="CG94" s="217">
        <f>'Loan Schedule'!CD38</f>
        <v>0</v>
      </c>
      <c r="CH94" s="217">
        <f>'Loan Schedule'!CE38</f>
        <v>0</v>
      </c>
      <c r="CI94" s="217">
        <f>'Loan Schedule'!CF38</f>
        <v>0</v>
      </c>
      <c r="CJ94" s="217">
        <f>'Loan Schedule'!CG38</f>
        <v>0</v>
      </c>
      <c r="CK94" s="217">
        <f>'Loan Schedule'!CH38</f>
        <v>0</v>
      </c>
      <c r="CL94" s="217">
        <f>'Loan Schedule'!CI38</f>
        <v>0</v>
      </c>
      <c r="CM94" s="217">
        <f>'Loan Schedule'!CJ38</f>
        <v>0</v>
      </c>
      <c r="CN94" s="217">
        <f>'Loan Schedule'!CK38</f>
        <v>0</v>
      </c>
      <c r="CO94" s="217">
        <f>'Loan Schedule'!CL38</f>
        <v>0</v>
      </c>
      <c r="CP94" s="217">
        <f>'Loan Schedule'!CM38</f>
        <v>0</v>
      </c>
      <c r="CQ94" s="217">
        <f>'Loan Schedule'!CN38</f>
        <v>0</v>
      </c>
      <c r="CR94" s="217">
        <f>'Loan Schedule'!CO38</f>
        <v>0</v>
      </c>
      <c r="CS94" s="217">
        <f>'Loan Schedule'!CP38</f>
        <v>0</v>
      </c>
      <c r="CT94" s="217">
        <f>'Loan Schedule'!CQ38</f>
        <v>0</v>
      </c>
      <c r="CU94" s="217">
        <f>'Loan Schedule'!CR38</f>
        <v>0</v>
      </c>
      <c r="CV94" s="217">
        <f>'Loan Schedule'!CS38</f>
        <v>0</v>
      </c>
      <c r="CW94" s="217">
        <f>'Loan Schedule'!CT38</f>
        <v>0</v>
      </c>
      <c r="CX94" s="217">
        <f>'Loan Schedule'!CU38</f>
        <v>0</v>
      </c>
      <c r="CY94" s="217">
        <f>'Loan Schedule'!CV38</f>
        <v>0</v>
      </c>
      <c r="CZ94" s="217">
        <f>'Loan Schedule'!CW38</f>
        <v>0</v>
      </c>
      <c r="DA94" s="217">
        <f>'Loan Schedule'!CX38</f>
        <v>0</v>
      </c>
      <c r="DB94" s="217">
        <f>'Loan Schedule'!CY38</f>
        <v>0</v>
      </c>
      <c r="DC94" s="217">
        <f>'Loan Schedule'!CZ38</f>
        <v>0</v>
      </c>
      <c r="DD94" s="217">
        <f>'Loan Schedule'!DA38</f>
        <v>0</v>
      </c>
      <c r="DE94" s="217">
        <f>'Loan Schedule'!DB38</f>
        <v>0</v>
      </c>
      <c r="DF94" s="217">
        <f>'Loan Schedule'!DC38</f>
        <v>0</v>
      </c>
      <c r="DG94" s="217">
        <f>'Loan Schedule'!DD38</f>
        <v>0</v>
      </c>
      <c r="DH94" s="217">
        <f>'Loan Schedule'!DE38</f>
        <v>0</v>
      </c>
      <c r="DI94" s="217">
        <f>'Loan Schedule'!DF38</f>
        <v>0</v>
      </c>
      <c r="DJ94" s="217">
        <f>'Loan Schedule'!DG38</f>
        <v>0</v>
      </c>
      <c r="DK94" s="217">
        <f>'Loan Schedule'!DH38</f>
        <v>0</v>
      </c>
      <c r="DL94" s="217">
        <f>'Loan Schedule'!DI38</f>
        <v>0</v>
      </c>
      <c r="DM94" s="217">
        <f>'Loan Schedule'!DJ38</f>
        <v>0</v>
      </c>
      <c r="DN94" s="217">
        <f>'Loan Schedule'!DK38</f>
        <v>0</v>
      </c>
      <c r="DO94" s="217">
        <f>'Loan Schedule'!DL38</f>
        <v>0</v>
      </c>
      <c r="DP94" s="217">
        <f>'Loan Schedule'!DM38</f>
        <v>0</v>
      </c>
      <c r="DQ94" s="217">
        <f>'Loan Schedule'!DN38</f>
        <v>0</v>
      </c>
      <c r="DR94" s="217">
        <f>'Loan Schedule'!DO38</f>
        <v>0</v>
      </c>
      <c r="DS94" s="217">
        <f>'Loan Schedule'!DP38</f>
        <v>0</v>
      </c>
      <c r="DT94" s="217">
        <f>'Loan Schedule'!DQ38</f>
        <v>0</v>
      </c>
      <c r="DU94" s="217">
        <f>'Loan Schedule'!DR38</f>
        <v>0</v>
      </c>
      <c r="DV94" s="217">
        <f>'Loan Schedule'!DS38</f>
        <v>0</v>
      </c>
      <c r="DW94" s="217">
        <f>'Loan Schedule'!DT38</f>
        <v>0</v>
      </c>
      <c r="DX94" s="217">
        <f>'Loan Schedule'!DU38</f>
        <v>0</v>
      </c>
      <c r="DY94" s="217">
        <f>'Loan Schedule'!DV38</f>
        <v>0</v>
      </c>
      <c r="DZ94" s="217">
        <f>'Loan Schedule'!DW38</f>
        <v>0</v>
      </c>
      <c r="EA94" s="217">
        <f>'Loan Schedule'!DX38</f>
        <v>0</v>
      </c>
      <c r="EB94" s="217">
        <f>'Loan Schedule'!DY38</f>
        <v>0</v>
      </c>
      <c r="EC94" s="217">
        <f>'Loan Schedule'!DZ38</f>
        <v>0</v>
      </c>
      <c r="ED94" s="217">
        <f>'Loan Schedule'!EA38</f>
        <v>0</v>
      </c>
      <c r="EE94" s="217">
        <f>'Loan Schedule'!EB38</f>
        <v>0</v>
      </c>
      <c r="EF94" s="217">
        <f>'Loan Schedule'!EC38</f>
        <v>0</v>
      </c>
      <c r="EG94" s="217">
        <f>'Loan Schedule'!ED38</f>
        <v>0</v>
      </c>
      <c r="EH94" s="217">
        <f>'Loan Schedule'!EE38</f>
        <v>0</v>
      </c>
      <c r="EI94" s="158" t="s">
        <v>243</v>
      </c>
    </row>
    <row r="95" spans="1:139" s="282" customFormat="1" x14ac:dyDescent="0.2">
      <c r="B95" s="261" t="s">
        <v>917</v>
      </c>
      <c r="C95" s="261"/>
      <c r="D95" s="327">
        <f ca="1">SUMIF($F$4:$EH$4,"&lt;="&amp;HoldPeriod,$F95:$EH95)</f>
        <v>-5027250.2826426551</v>
      </c>
      <c r="E95" s="327"/>
      <c r="F95" s="264">
        <f>SUM(F84:F94)</f>
        <v>40977862.649612993</v>
      </c>
      <c r="G95" s="264">
        <f t="shared" ref="G95:BR95" si="121">SUM(G84:G94)</f>
        <v>0</v>
      </c>
      <c r="H95" s="264">
        <f t="shared" si="121"/>
        <v>78205.127955073374</v>
      </c>
      <c r="I95" s="264">
        <f t="shared" si="121"/>
        <v>78205.128455183032</v>
      </c>
      <c r="J95" s="264">
        <f t="shared" si="121"/>
        <v>78205.128455113459</v>
      </c>
      <c r="K95" s="264">
        <f t="shared" si="121"/>
        <v>78205.127955073374</v>
      </c>
      <c r="L95" s="264">
        <f t="shared" si="121"/>
        <v>28205.128205128203</v>
      </c>
      <c r="M95" s="264">
        <f t="shared" si="121"/>
        <v>28205.128205128203</v>
      </c>
      <c r="N95" s="264">
        <f t="shared" si="121"/>
        <v>28205.128205128203</v>
      </c>
      <c r="O95" s="264">
        <f t="shared" si="121"/>
        <v>28205.128205128203</v>
      </c>
      <c r="P95" s="264">
        <f t="shared" si="121"/>
        <v>28205.128205128203</v>
      </c>
      <c r="Q95" s="264">
        <f t="shared" si="121"/>
        <v>28205.128205128203</v>
      </c>
      <c r="R95" s="264">
        <f t="shared" si="121"/>
        <v>28205.128205128203</v>
      </c>
      <c r="S95" s="264">
        <f t="shared" si="121"/>
        <v>28205.128205128203</v>
      </c>
      <c r="T95" s="264">
        <f t="shared" si="121"/>
        <v>45128.205128205125</v>
      </c>
      <c r="U95" s="264">
        <f t="shared" si="121"/>
        <v>45128.205128205125</v>
      </c>
      <c r="V95" s="264">
        <f t="shared" si="121"/>
        <v>45128.205128205125</v>
      </c>
      <c r="W95" s="264">
        <f t="shared" si="121"/>
        <v>45128.205128205125</v>
      </c>
      <c r="X95" s="264">
        <f t="shared" si="121"/>
        <v>45128.205128205125</v>
      </c>
      <c r="Y95" s="264">
        <f t="shared" si="121"/>
        <v>45128.205128205125</v>
      </c>
      <c r="Z95" s="264">
        <f t="shared" si="121"/>
        <v>45128.205128205125</v>
      </c>
      <c r="AA95" s="264">
        <f t="shared" si="121"/>
        <v>39487.179487179485</v>
      </c>
      <c r="AB95" s="264">
        <f t="shared" si="121"/>
        <v>39487.179487179485</v>
      </c>
      <c r="AC95" s="264">
        <f t="shared" si="121"/>
        <v>39487.179487179485</v>
      </c>
      <c r="AD95" s="264">
        <f t="shared" si="121"/>
        <v>39487.179487179485</v>
      </c>
      <c r="AE95" s="264">
        <f t="shared" si="121"/>
        <v>39487.179487179485</v>
      </c>
      <c r="AF95" s="264">
        <f t="shared" si="121"/>
        <v>39487.179487179485</v>
      </c>
      <c r="AG95" s="264">
        <f t="shared" si="121"/>
        <v>39487.179487179485</v>
      </c>
      <c r="AH95" s="264">
        <f t="shared" si="121"/>
        <v>28205.128205128203</v>
      </c>
      <c r="AI95" s="264">
        <f t="shared" si="121"/>
        <v>28205.128205128203</v>
      </c>
      <c r="AJ95" s="264">
        <f t="shared" si="121"/>
        <v>28205.128205128203</v>
      </c>
      <c r="AK95" s="264">
        <f t="shared" si="121"/>
        <v>28205.128205128203</v>
      </c>
      <c r="AL95" s="264">
        <f t="shared" si="121"/>
        <v>28205.128205128203</v>
      </c>
      <c r="AM95" s="264">
        <f t="shared" si="121"/>
        <v>28205.128205128203</v>
      </c>
      <c r="AN95" s="264">
        <f t="shared" si="121"/>
        <v>0</v>
      </c>
      <c r="AO95" s="264">
        <f t="shared" si="121"/>
        <v>0</v>
      </c>
      <c r="AP95" s="264">
        <f t="shared" ca="1" si="121"/>
        <v>2479749.52532777</v>
      </c>
      <c r="AQ95" s="264">
        <f t="shared" si="121"/>
        <v>0</v>
      </c>
      <c r="AR95" s="264">
        <f t="shared" si="121"/>
        <v>0</v>
      </c>
      <c r="AS95" s="264">
        <f t="shared" si="121"/>
        <v>0</v>
      </c>
      <c r="AT95" s="264">
        <f t="shared" si="121"/>
        <v>0</v>
      </c>
      <c r="AU95" s="264">
        <f t="shared" si="121"/>
        <v>0</v>
      </c>
      <c r="AV95" s="264">
        <f t="shared" si="121"/>
        <v>0</v>
      </c>
      <c r="AW95" s="264">
        <f t="shared" si="121"/>
        <v>0</v>
      </c>
      <c r="AX95" s="264">
        <f t="shared" si="121"/>
        <v>0</v>
      </c>
      <c r="AY95" s="264">
        <f t="shared" si="121"/>
        <v>0</v>
      </c>
      <c r="AZ95" s="264">
        <f t="shared" si="121"/>
        <v>0</v>
      </c>
      <c r="BA95" s="264">
        <f t="shared" si="121"/>
        <v>0</v>
      </c>
      <c r="BB95" s="264">
        <f t="shared" si="121"/>
        <v>0</v>
      </c>
      <c r="BC95" s="264">
        <f t="shared" si="121"/>
        <v>0</v>
      </c>
      <c r="BD95" s="264">
        <f t="shared" si="121"/>
        <v>0</v>
      </c>
      <c r="BE95" s="264">
        <f t="shared" si="121"/>
        <v>0</v>
      </c>
      <c r="BF95" s="264">
        <f t="shared" si="121"/>
        <v>0</v>
      </c>
      <c r="BG95" s="264">
        <f t="shared" si="121"/>
        <v>0</v>
      </c>
      <c r="BH95" s="264">
        <f t="shared" si="121"/>
        <v>0</v>
      </c>
      <c r="BI95" s="264">
        <f t="shared" si="121"/>
        <v>0</v>
      </c>
      <c r="BJ95" s="264">
        <f t="shared" si="121"/>
        <v>0</v>
      </c>
      <c r="BK95" s="264">
        <f t="shared" si="121"/>
        <v>0</v>
      </c>
      <c r="BL95" s="264">
        <f t="shared" si="121"/>
        <v>0</v>
      </c>
      <c r="BM95" s="264">
        <f t="shared" si="121"/>
        <v>0</v>
      </c>
      <c r="BN95" s="264">
        <f t="shared" ca="1" si="121"/>
        <v>-49784862.457583338</v>
      </c>
      <c r="BO95" s="264">
        <f t="shared" si="121"/>
        <v>0</v>
      </c>
      <c r="BP95" s="264">
        <f t="shared" si="121"/>
        <v>0</v>
      </c>
      <c r="BQ95" s="264">
        <f t="shared" si="121"/>
        <v>0</v>
      </c>
      <c r="BR95" s="264">
        <f t="shared" si="121"/>
        <v>0</v>
      </c>
      <c r="BS95" s="264">
        <f t="shared" ref="BS95:ED95" si="122">SUM(BS84:BS94)</f>
        <v>0</v>
      </c>
      <c r="BT95" s="264">
        <f t="shared" si="122"/>
        <v>0</v>
      </c>
      <c r="BU95" s="264">
        <f t="shared" si="122"/>
        <v>0</v>
      </c>
      <c r="BV95" s="264">
        <f t="shared" si="122"/>
        <v>0</v>
      </c>
      <c r="BW95" s="264">
        <f t="shared" si="122"/>
        <v>0</v>
      </c>
      <c r="BX95" s="264">
        <f t="shared" si="122"/>
        <v>0</v>
      </c>
      <c r="BY95" s="264">
        <f t="shared" si="122"/>
        <v>0</v>
      </c>
      <c r="BZ95" s="264">
        <f t="shared" si="122"/>
        <v>0</v>
      </c>
      <c r="CA95" s="264">
        <f t="shared" si="122"/>
        <v>0</v>
      </c>
      <c r="CB95" s="264">
        <f t="shared" si="122"/>
        <v>0</v>
      </c>
      <c r="CC95" s="264">
        <f t="shared" si="122"/>
        <v>0</v>
      </c>
      <c r="CD95" s="264">
        <f t="shared" si="122"/>
        <v>0</v>
      </c>
      <c r="CE95" s="264">
        <f t="shared" si="122"/>
        <v>0</v>
      </c>
      <c r="CF95" s="264">
        <f t="shared" si="122"/>
        <v>0</v>
      </c>
      <c r="CG95" s="264">
        <f t="shared" si="122"/>
        <v>0</v>
      </c>
      <c r="CH95" s="264">
        <f t="shared" si="122"/>
        <v>0</v>
      </c>
      <c r="CI95" s="264">
        <f t="shared" si="122"/>
        <v>0</v>
      </c>
      <c r="CJ95" s="264">
        <f t="shared" si="122"/>
        <v>0</v>
      </c>
      <c r="CK95" s="264">
        <f t="shared" si="122"/>
        <v>0</v>
      </c>
      <c r="CL95" s="264">
        <f t="shared" si="122"/>
        <v>0</v>
      </c>
      <c r="CM95" s="264">
        <f t="shared" si="122"/>
        <v>0</v>
      </c>
      <c r="CN95" s="264">
        <f t="shared" si="122"/>
        <v>0</v>
      </c>
      <c r="CO95" s="264">
        <f t="shared" si="122"/>
        <v>0</v>
      </c>
      <c r="CP95" s="264">
        <f t="shared" si="122"/>
        <v>0</v>
      </c>
      <c r="CQ95" s="264">
        <f t="shared" si="122"/>
        <v>0</v>
      </c>
      <c r="CR95" s="264">
        <f t="shared" si="122"/>
        <v>0</v>
      </c>
      <c r="CS95" s="264">
        <f t="shared" si="122"/>
        <v>0</v>
      </c>
      <c r="CT95" s="264">
        <f t="shared" si="122"/>
        <v>0</v>
      </c>
      <c r="CU95" s="264">
        <f t="shared" si="122"/>
        <v>0</v>
      </c>
      <c r="CV95" s="264">
        <f t="shared" si="122"/>
        <v>0</v>
      </c>
      <c r="CW95" s="264">
        <f t="shared" si="122"/>
        <v>0</v>
      </c>
      <c r="CX95" s="264">
        <f t="shared" si="122"/>
        <v>0</v>
      </c>
      <c r="CY95" s="264">
        <f t="shared" si="122"/>
        <v>0</v>
      </c>
      <c r="CZ95" s="264">
        <f t="shared" si="122"/>
        <v>0</v>
      </c>
      <c r="DA95" s="264">
        <f t="shared" si="122"/>
        <v>0</v>
      </c>
      <c r="DB95" s="264">
        <f t="shared" si="122"/>
        <v>0</v>
      </c>
      <c r="DC95" s="264">
        <f t="shared" si="122"/>
        <v>0</v>
      </c>
      <c r="DD95" s="264">
        <f t="shared" si="122"/>
        <v>0</v>
      </c>
      <c r="DE95" s="264">
        <f t="shared" si="122"/>
        <v>0</v>
      </c>
      <c r="DF95" s="264">
        <f t="shared" si="122"/>
        <v>0</v>
      </c>
      <c r="DG95" s="264">
        <f t="shared" si="122"/>
        <v>0</v>
      </c>
      <c r="DH95" s="264">
        <f t="shared" si="122"/>
        <v>0</v>
      </c>
      <c r="DI95" s="264">
        <f t="shared" si="122"/>
        <v>0</v>
      </c>
      <c r="DJ95" s="264">
        <f t="shared" si="122"/>
        <v>0</v>
      </c>
      <c r="DK95" s="264">
        <f t="shared" si="122"/>
        <v>0</v>
      </c>
      <c r="DL95" s="264">
        <f t="shared" si="122"/>
        <v>0</v>
      </c>
      <c r="DM95" s="264">
        <f t="shared" si="122"/>
        <v>0</v>
      </c>
      <c r="DN95" s="264">
        <f t="shared" si="122"/>
        <v>0</v>
      </c>
      <c r="DO95" s="264">
        <f t="shared" si="122"/>
        <v>0</v>
      </c>
      <c r="DP95" s="264">
        <f t="shared" si="122"/>
        <v>0</v>
      </c>
      <c r="DQ95" s="264">
        <f t="shared" si="122"/>
        <v>0</v>
      </c>
      <c r="DR95" s="264">
        <f t="shared" si="122"/>
        <v>0</v>
      </c>
      <c r="DS95" s="264">
        <f t="shared" si="122"/>
        <v>0</v>
      </c>
      <c r="DT95" s="264">
        <f t="shared" si="122"/>
        <v>0</v>
      </c>
      <c r="DU95" s="264">
        <f t="shared" si="122"/>
        <v>0</v>
      </c>
      <c r="DV95" s="264">
        <f t="shared" si="122"/>
        <v>0</v>
      </c>
      <c r="DW95" s="264">
        <f t="shared" si="122"/>
        <v>0</v>
      </c>
      <c r="DX95" s="264">
        <f t="shared" si="122"/>
        <v>0</v>
      </c>
      <c r="DY95" s="264">
        <f t="shared" si="122"/>
        <v>0</v>
      </c>
      <c r="DZ95" s="264">
        <f t="shared" si="122"/>
        <v>0</v>
      </c>
      <c r="EA95" s="264">
        <f t="shared" si="122"/>
        <v>0</v>
      </c>
      <c r="EB95" s="264">
        <f t="shared" si="122"/>
        <v>0</v>
      </c>
      <c r="EC95" s="264">
        <f t="shared" si="122"/>
        <v>0</v>
      </c>
      <c r="ED95" s="264">
        <f t="shared" si="122"/>
        <v>0</v>
      </c>
      <c r="EE95" s="264">
        <f t="shared" ref="EE95:EH95" si="123">SUM(EE84:EE94)</f>
        <v>0</v>
      </c>
      <c r="EF95" s="264">
        <f t="shared" si="123"/>
        <v>0</v>
      </c>
      <c r="EG95" s="264">
        <f t="shared" si="123"/>
        <v>0</v>
      </c>
      <c r="EH95" s="264">
        <f t="shared" si="123"/>
        <v>0</v>
      </c>
      <c r="EI95" s="158" t="s">
        <v>243</v>
      </c>
    </row>
    <row r="96" spans="1:139" s="312" customFormat="1" x14ac:dyDescent="0.2">
      <c r="A96" s="282"/>
      <c r="B96" s="258"/>
      <c r="C96" s="209"/>
      <c r="D96" s="324"/>
      <c r="E96" s="324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  <c r="BB96" s="217"/>
      <c r="BC96" s="217"/>
      <c r="BD96" s="217"/>
      <c r="BE96" s="217"/>
      <c r="BF96" s="217"/>
      <c r="BG96" s="217"/>
      <c r="BH96" s="217"/>
      <c r="BI96" s="217"/>
      <c r="BJ96" s="217"/>
      <c r="BK96" s="217"/>
      <c r="BL96" s="217"/>
      <c r="BM96" s="217"/>
      <c r="BN96" s="217"/>
      <c r="BO96" s="217"/>
      <c r="BP96" s="217"/>
      <c r="BQ96" s="217"/>
      <c r="BR96" s="217"/>
      <c r="BS96" s="217"/>
      <c r="BT96" s="217"/>
      <c r="BU96" s="217"/>
      <c r="BV96" s="217"/>
      <c r="BW96" s="217"/>
      <c r="BX96" s="217"/>
      <c r="BY96" s="217"/>
      <c r="BZ96" s="217"/>
      <c r="CA96" s="217"/>
      <c r="CB96" s="217"/>
      <c r="CC96" s="217"/>
      <c r="CD96" s="217"/>
      <c r="CE96" s="217"/>
      <c r="CF96" s="217"/>
      <c r="CG96" s="217"/>
      <c r="CH96" s="217"/>
      <c r="CI96" s="217"/>
      <c r="CJ96" s="217"/>
      <c r="CK96" s="217"/>
      <c r="CL96" s="217"/>
      <c r="CM96" s="217"/>
      <c r="CN96" s="217"/>
      <c r="CO96" s="217"/>
      <c r="CP96" s="217"/>
      <c r="CQ96" s="217"/>
      <c r="CR96" s="217"/>
      <c r="CS96" s="217"/>
      <c r="CT96" s="217"/>
      <c r="CU96" s="217"/>
      <c r="CV96" s="217"/>
      <c r="CW96" s="217"/>
      <c r="CX96" s="217"/>
      <c r="CY96" s="217"/>
      <c r="CZ96" s="217"/>
      <c r="DA96" s="217"/>
      <c r="DB96" s="217"/>
      <c r="DC96" s="217"/>
      <c r="DD96" s="217"/>
      <c r="DE96" s="217"/>
      <c r="DF96" s="217"/>
      <c r="DG96" s="217"/>
      <c r="DH96" s="217"/>
      <c r="DI96" s="217"/>
      <c r="DJ96" s="217"/>
      <c r="DK96" s="217"/>
      <c r="DL96" s="217"/>
      <c r="DM96" s="217"/>
      <c r="DN96" s="217"/>
      <c r="DO96" s="217"/>
      <c r="DP96" s="217"/>
      <c r="DQ96" s="217"/>
      <c r="DR96" s="217"/>
      <c r="DS96" s="217"/>
      <c r="DT96" s="217"/>
      <c r="DU96" s="217"/>
      <c r="DV96" s="217"/>
      <c r="DW96" s="217"/>
      <c r="DX96" s="217"/>
      <c r="DY96" s="217"/>
      <c r="DZ96" s="217"/>
      <c r="EA96" s="217"/>
      <c r="EB96" s="217"/>
      <c r="EC96" s="217"/>
      <c r="ED96" s="217"/>
      <c r="EE96" s="217"/>
      <c r="EF96" s="217"/>
      <c r="EG96" s="217"/>
      <c r="EH96" s="217"/>
      <c r="EI96" s="158" t="s">
        <v>243</v>
      </c>
    </row>
    <row r="97" spans="1:139" s="312" customFormat="1" x14ac:dyDescent="0.2">
      <c r="A97" s="282"/>
      <c r="B97" s="258"/>
      <c r="C97" s="209"/>
      <c r="D97" s="324"/>
      <c r="E97" s="324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  <c r="AF97" s="217"/>
      <c r="AG97" s="217"/>
      <c r="AH97" s="217"/>
      <c r="AI97" s="217"/>
      <c r="AJ97" s="217"/>
      <c r="AK97" s="217"/>
      <c r="AL97" s="217"/>
      <c r="AM97" s="217"/>
      <c r="AN97" s="217"/>
      <c r="AO97" s="217"/>
      <c r="AP97" s="217"/>
      <c r="AQ97" s="217"/>
      <c r="AR97" s="217"/>
      <c r="AS97" s="217"/>
      <c r="AT97" s="217"/>
      <c r="AU97" s="217"/>
      <c r="AV97" s="217"/>
      <c r="AW97" s="217"/>
      <c r="AX97" s="217"/>
      <c r="AY97" s="217"/>
      <c r="AZ97" s="217"/>
      <c r="BA97" s="217"/>
      <c r="BB97" s="217"/>
      <c r="BC97" s="217"/>
      <c r="BD97" s="217"/>
      <c r="BE97" s="217"/>
      <c r="BF97" s="217"/>
      <c r="BG97" s="217"/>
      <c r="BH97" s="217"/>
      <c r="BI97" s="217"/>
      <c r="BJ97" s="217"/>
      <c r="BK97" s="217"/>
      <c r="BL97" s="217"/>
      <c r="BM97" s="217"/>
      <c r="BN97" s="217"/>
      <c r="BO97" s="217"/>
      <c r="BP97" s="217"/>
      <c r="BQ97" s="217"/>
      <c r="BR97" s="217"/>
      <c r="BS97" s="217"/>
      <c r="BT97" s="217"/>
      <c r="BU97" s="217"/>
      <c r="BV97" s="217"/>
      <c r="BW97" s="217"/>
      <c r="BX97" s="217"/>
      <c r="BY97" s="217"/>
      <c r="BZ97" s="217"/>
      <c r="CA97" s="217"/>
      <c r="CB97" s="217"/>
      <c r="CC97" s="217"/>
      <c r="CD97" s="217"/>
      <c r="CE97" s="217"/>
      <c r="CF97" s="217"/>
      <c r="CG97" s="217"/>
      <c r="CH97" s="217"/>
      <c r="CI97" s="217"/>
      <c r="CJ97" s="217"/>
      <c r="CK97" s="217"/>
      <c r="CL97" s="217"/>
      <c r="CM97" s="217"/>
      <c r="CN97" s="217"/>
      <c r="CO97" s="217"/>
      <c r="CP97" s="217"/>
      <c r="CQ97" s="217"/>
      <c r="CR97" s="217"/>
      <c r="CS97" s="217"/>
      <c r="CT97" s="217"/>
      <c r="CU97" s="217"/>
      <c r="CV97" s="217"/>
      <c r="CW97" s="217"/>
      <c r="CX97" s="217"/>
      <c r="CY97" s="217"/>
      <c r="CZ97" s="217"/>
      <c r="DA97" s="217"/>
      <c r="DB97" s="217"/>
      <c r="DC97" s="217"/>
      <c r="DD97" s="217"/>
      <c r="DE97" s="217"/>
      <c r="DF97" s="217"/>
      <c r="DG97" s="217"/>
      <c r="DH97" s="217"/>
      <c r="DI97" s="217"/>
      <c r="DJ97" s="217"/>
      <c r="DK97" s="217"/>
      <c r="DL97" s="217"/>
      <c r="DM97" s="217"/>
      <c r="DN97" s="217"/>
      <c r="DO97" s="217"/>
      <c r="DP97" s="217"/>
      <c r="DQ97" s="217"/>
      <c r="DR97" s="217"/>
      <c r="DS97" s="217"/>
      <c r="DT97" s="217"/>
      <c r="DU97" s="217"/>
      <c r="DV97" s="217"/>
      <c r="DW97" s="217"/>
      <c r="DX97" s="217"/>
      <c r="DY97" s="217"/>
      <c r="DZ97" s="217"/>
      <c r="EA97" s="217"/>
      <c r="EB97" s="217"/>
      <c r="EC97" s="217"/>
      <c r="ED97" s="217"/>
      <c r="EE97" s="217"/>
      <c r="EF97" s="217"/>
      <c r="EG97" s="217"/>
      <c r="EH97" s="217"/>
      <c r="EI97" s="158" t="s">
        <v>243</v>
      </c>
    </row>
    <row r="98" spans="1:139" s="282" customFormat="1" ht="15" thickBot="1" x14ac:dyDescent="0.25">
      <c r="B98" s="218" t="s">
        <v>31</v>
      </c>
      <c r="C98" s="284"/>
      <c r="D98" s="315">
        <f t="shared" ca="1" si="120"/>
        <v>30413469.594332919</v>
      </c>
      <c r="E98" s="315"/>
      <c r="F98" s="331">
        <f>F71+F81+F95</f>
        <v>-9883037.350387007</v>
      </c>
      <c r="G98" s="331">
        <f t="shared" ref="G98:BR98" ca="1" si="124">G71+G81+G95</f>
        <v>-8697.5806657179492</v>
      </c>
      <c r="H98" s="331">
        <f t="shared" ca="1" si="124"/>
        <v>-6877.1255721829366</v>
      </c>
      <c r="I98" s="331">
        <f ca="1">I71+I81+I95</f>
        <v>-5059.0785893279244</v>
      </c>
      <c r="J98" s="331">
        <f t="shared" ca="1" si="124"/>
        <v>-3243.4397171529854</v>
      </c>
      <c r="K98" s="331">
        <f t="shared" ca="1" si="124"/>
        <v>-1430.2089556581341</v>
      </c>
      <c r="L98" s="331">
        <f t="shared" ca="1" si="124"/>
        <v>380.61369515668775</v>
      </c>
      <c r="M98" s="331">
        <f t="shared" ca="1" si="124"/>
        <v>2189.0282352913491</v>
      </c>
      <c r="N98" s="331">
        <f t="shared" ca="1" si="124"/>
        <v>3995.0346647460101</v>
      </c>
      <c r="O98" s="331">
        <f t="shared" ca="1" si="124"/>
        <v>5798.6329835206125</v>
      </c>
      <c r="P98" s="331">
        <f t="shared" ca="1" si="124"/>
        <v>7599.8231916151562</v>
      </c>
      <c r="Q98" s="331">
        <f t="shared" ca="1" si="124"/>
        <v>9398.6052890295832</v>
      </c>
      <c r="R98" s="331">
        <f t="shared" ca="1" si="124"/>
        <v>11194.979275763893</v>
      </c>
      <c r="S98" s="331">
        <f t="shared" ca="1" si="124"/>
        <v>25525.300878173628</v>
      </c>
      <c r="T98" s="331">
        <f t="shared" ca="1" si="124"/>
        <v>27910.344547190063</v>
      </c>
      <c r="U98" s="331">
        <f t="shared" ca="1" si="124"/>
        <v>30290.870258301205</v>
      </c>
      <c r="V98" s="331">
        <f t="shared" ca="1" si="124"/>
        <v>32666.878011506982</v>
      </c>
      <c r="W98" s="331">
        <f t="shared" ca="1" si="124"/>
        <v>35038.36780680751</v>
      </c>
      <c r="X98" s="331">
        <f t="shared" ca="1" si="124"/>
        <v>37405.339644202555</v>
      </c>
      <c r="Y98" s="331">
        <f t="shared" ca="1" si="124"/>
        <v>39767.793523692351</v>
      </c>
      <c r="Z98" s="331">
        <f t="shared" ca="1" si="124"/>
        <v>42125.729445276782</v>
      </c>
      <c r="AA98" s="331">
        <f t="shared" ca="1" si="124"/>
        <v>44180.875764144163</v>
      </c>
      <c r="AB98" s="331">
        <f t="shared" ca="1" si="124"/>
        <v>46232.068869844472</v>
      </c>
      <c r="AC98" s="331">
        <f t="shared" ca="1" si="124"/>
        <v>48279.308762377521</v>
      </c>
      <c r="AD98" s="331">
        <f t="shared" ca="1" si="124"/>
        <v>50322.595441743426</v>
      </c>
      <c r="AE98" s="331">
        <f t="shared" ca="1" si="124"/>
        <v>43335.488012826492</v>
      </c>
      <c r="AF98" s="331">
        <f t="shared" ca="1" si="124"/>
        <v>45544.316819862594</v>
      </c>
      <c r="AG98" s="331">
        <f t="shared" ca="1" si="124"/>
        <v>47753.145626898753</v>
      </c>
      <c r="AH98" s="331">
        <f t="shared" ca="1" si="124"/>
        <v>49330.880489067364</v>
      </c>
      <c r="AI98" s="331">
        <f t="shared" ca="1" si="124"/>
        <v>50908.615351236032</v>
      </c>
      <c r="AJ98" s="331">
        <f t="shared" ca="1" si="124"/>
        <v>52486.350213404672</v>
      </c>
      <c r="AK98" s="331">
        <f t="shared" ca="1" si="124"/>
        <v>54064.085075573283</v>
      </c>
      <c r="AL98" s="331">
        <f t="shared" ca="1" si="124"/>
        <v>55641.819937742068</v>
      </c>
      <c r="AM98" s="331">
        <f t="shared" ca="1" si="124"/>
        <v>57219.554799910678</v>
      </c>
      <c r="AN98" s="331">
        <f t="shared" ca="1" si="124"/>
        <v>57219.554799910664</v>
      </c>
      <c r="AO98" s="331">
        <f t="shared" ca="1" si="124"/>
        <v>57219.554799910664</v>
      </c>
      <c r="AP98" s="331">
        <f t="shared" ca="1" si="124"/>
        <v>2536969.0801276807</v>
      </c>
      <c r="AQ98" s="331">
        <f t="shared" ca="1" si="124"/>
        <v>96016.841993282113</v>
      </c>
      <c r="AR98" s="331">
        <f t="shared" ca="1" si="124"/>
        <v>96016.841993282113</v>
      </c>
      <c r="AS98" s="331">
        <f t="shared" ca="1" si="124"/>
        <v>96016.841993282113</v>
      </c>
      <c r="AT98" s="331">
        <f t="shared" ca="1" si="124"/>
        <v>96016.841993282113</v>
      </c>
      <c r="AU98" s="331">
        <f t="shared" ca="1" si="124"/>
        <v>96016.841993282113</v>
      </c>
      <c r="AV98" s="331">
        <f t="shared" ca="1" si="124"/>
        <v>96016.841993282113</v>
      </c>
      <c r="AW98" s="331">
        <f t="shared" ca="1" si="124"/>
        <v>96016.841993282113</v>
      </c>
      <c r="AX98" s="331">
        <f t="shared" ca="1" si="124"/>
        <v>96016.841993282113</v>
      </c>
      <c r="AY98" s="331">
        <f t="shared" ca="1" si="124"/>
        <v>96016.841993282113</v>
      </c>
      <c r="AZ98" s="331">
        <f t="shared" ca="1" si="124"/>
        <v>96016.841993282113</v>
      </c>
      <c r="BA98" s="331">
        <f t="shared" ca="1" si="124"/>
        <v>96016.841993282113</v>
      </c>
      <c r="BB98" s="331">
        <f t="shared" ca="1" si="124"/>
        <v>96016.841993282113</v>
      </c>
      <c r="BC98" s="331">
        <f t="shared" ca="1" si="124"/>
        <v>110420.11318762365</v>
      </c>
      <c r="BD98" s="331">
        <f t="shared" ca="1" si="124"/>
        <v>110420.11318762365</v>
      </c>
      <c r="BE98" s="331">
        <f t="shared" ca="1" si="124"/>
        <v>110420.11318762365</v>
      </c>
      <c r="BF98" s="331">
        <f t="shared" ca="1" si="124"/>
        <v>110420.11318762365</v>
      </c>
      <c r="BG98" s="331">
        <f t="shared" ca="1" si="124"/>
        <v>110420.11318762365</v>
      </c>
      <c r="BH98" s="331">
        <f t="shared" ca="1" si="124"/>
        <v>110420.11318762365</v>
      </c>
      <c r="BI98" s="331">
        <f t="shared" ca="1" si="124"/>
        <v>110420.11318762365</v>
      </c>
      <c r="BJ98" s="331">
        <f t="shared" ca="1" si="124"/>
        <v>110420.11318762365</v>
      </c>
      <c r="BK98" s="331">
        <f t="shared" ca="1" si="124"/>
        <v>110420.11318762365</v>
      </c>
      <c r="BL98" s="331">
        <f t="shared" ca="1" si="124"/>
        <v>110420.11318762365</v>
      </c>
      <c r="BM98" s="331">
        <f t="shared" ca="1" si="124"/>
        <v>110420.11318762365</v>
      </c>
      <c r="BN98" s="331">
        <f t="shared" ca="1" si="124"/>
        <v>34346996.392894313</v>
      </c>
      <c r="BO98" s="331">
        <f t="shared" si="124"/>
        <v>0</v>
      </c>
      <c r="BP98" s="331">
        <f t="shared" si="124"/>
        <v>0</v>
      </c>
      <c r="BQ98" s="331">
        <f t="shared" si="124"/>
        <v>0</v>
      </c>
      <c r="BR98" s="331">
        <f t="shared" si="124"/>
        <v>0</v>
      </c>
      <c r="BS98" s="331">
        <f t="shared" ref="BS98:ED98" si="125">BS71+BS81+BS95</f>
        <v>0</v>
      </c>
      <c r="BT98" s="331">
        <f t="shared" si="125"/>
        <v>0</v>
      </c>
      <c r="BU98" s="331">
        <f t="shared" si="125"/>
        <v>0</v>
      </c>
      <c r="BV98" s="331">
        <f t="shared" si="125"/>
        <v>0</v>
      </c>
      <c r="BW98" s="331">
        <f t="shared" si="125"/>
        <v>0</v>
      </c>
      <c r="BX98" s="331">
        <f t="shared" si="125"/>
        <v>0</v>
      </c>
      <c r="BY98" s="331">
        <f t="shared" si="125"/>
        <v>0</v>
      </c>
      <c r="BZ98" s="331">
        <f t="shared" si="125"/>
        <v>0</v>
      </c>
      <c r="CA98" s="331">
        <f t="shared" si="125"/>
        <v>0</v>
      </c>
      <c r="CB98" s="331">
        <f t="shared" si="125"/>
        <v>0</v>
      </c>
      <c r="CC98" s="331">
        <f t="shared" si="125"/>
        <v>0</v>
      </c>
      <c r="CD98" s="331">
        <f t="shared" si="125"/>
        <v>0</v>
      </c>
      <c r="CE98" s="331">
        <f t="shared" si="125"/>
        <v>0</v>
      </c>
      <c r="CF98" s="331">
        <f t="shared" si="125"/>
        <v>0</v>
      </c>
      <c r="CG98" s="331">
        <f t="shared" si="125"/>
        <v>0</v>
      </c>
      <c r="CH98" s="331">
        <f t="shared" si="125"/>
        <v>0</v>
      </c>
      <c r="CI98" s="331">
        <f t="shared" si="125"/>
        <v>0</v>
      </c>
      <c r="CJ98" s="331">
        <f t="shared" si="125"/>
        <v>0</v>
      </c>
      <c r="CK98" s="331">
        <f t="shared" si="125"/>
        <v>0</v>
      </c>
      <c r="CL98" s="331">
        <f t="shared" si="125"/>
        <v>0</v>
      </c>
      <c r="CM98" s="331">
        <f t="shared" si="125"/>
        <v>0</v>
      </c>
      <c r="CN98" s="331">
        <f t="shared" si="125"/>
        <v>0</v>
      </c>
      <c r="CO98" s="331">
        <f t="shared" si="125"/>
        <v>0</v>
      </c>
      <c r="CP98" s="331">
        <f t="shared" si="125"/>
        <v>0</v>
      </c>
      <c r="CQ98" s="331">
        <f t="shared" si="125"/>
        <v>0</v>
      </c>
      <c r="CR98" s="331">
        <f t="shared" si="125"/>
        <v>0</v>
      </c>
      <c r="CS98" s="331">
        <f t="shared" si="125"/>
        <v>0</v>
      </c>
      <c r="CT98" s="331">
        <f t="shared" si="125"/>
        <v>0</v>
      </c>
      <c r="CU98" s="331">
        <f t="shared" si="125"/>
        <v>0</v>
      </c>
      <c r="CV98" s="331">
        <f t="shared" si="125"/>
        <v>0</v>
      </c>
      <c r="CW98" s="331">
        <f t="shared" si="125"/>
        <v>0</v>
      </c>
      <c r="CX98" s="331">
        <f t="shared" si="125"/>
        <v>0</v>
      </c>
      <c r="CY98" s="331">
        <f t="shared" si="125"/>
        <v>0</v>
      </c>
      <c r="CZ98" s="331">
        <f t="shared" si="125"/>
        <v>0</v>
      </c>
      <c r="DA98" s="331">
        <f t="shared" si="125"/>
        <v>0</v>
      </c>
      <c r="DB98" s="331">
        <f t="shared" si="125"/>
        <v>0</v>
      </c>
      <c r="DC98" s="331">
        <f t="shared" si="125"/>
        <v>0</v>
      </c>
      <c r="DD98" s="331">
        <f t="shared" si="125"/>
        <v>0</v>
      </c>
      <c r="DE98" s="331">
        <f t="shared" si="125"/>
        <v>0</v>
      </c>
      <c r="DF98" s="331">
        <f t="shared" si="125"/>
        <v>0</v>
      </c>
      <c r="DG98" s="331">
        <f t="shared" si="125"/>
        <v>0</v>
      </c>
      <c r="DH98" s="331">
        <f t="shared" si="125"/>
        <v>0</v>
      </c>
      <c r="DI98" s="331">
        <f t="shared" si="125"/>
        <v>0</v>
      </c>
      <c r="DJ98" s="331">
        <f t="shared" si="125"/>
        <v>0</v>
      </c>
      <c r="DK98" s="331">
        <f t="shared" si="125"/>
        <v>0</v>
      </c>
      <c r="DL98" s="331">
        <f t="shared" si="125"/>
        <v>0</v>
      </c>
      <c r="DM98" s="331">
        <f t="shared" si="125"/>
        <v>0</v>
      </c>
      <c r="DN98" s="331">
        <f t="shared" si="125"/>
        <v>0</v>
      </c>
      <c r="DO98" s="331">
        <f t="shared" si="125"/>
        <v>0</v>
      </c>
      <c r="DP98" s="331">
        <f t="shared" si="125"/>
        <v>0</v>
      </c>
      <c r="DQ98" s="331">
        <f t="shared" si="125"/>
        <v>0</v>
      </c>
      <c r="DR98" s="331">
        <f t="shared" si="125"/>
        <v>0</v>
      </c>
      <c r="DS98" s="331">
        <f t="shared" si="125"/>
        <v>0</v>
      </c>
      <c r="DT98" s="331">
        <f t="shared" si="125"/>
        <v>0</v>
      </c>
      <c r="DU98" s="331">
        <f t="shared" si="125"/>
        <v>0</v>
      </c>
      <c r="DV98" s="331">
        <f t="shared" si="125"/>
        <v>0</v>
      </c>
      <c r="DW98" s="331">
        <f t="shared" si="125"/>
        <v>0</v>
      </c>
      <c r="DX98" s="331">
        <f t="shared" si="125"/>
        <v>0</v>
      </c>
      <c r="DY98" s="331">
        <f t="shared" si="125"/>
        <v>0</v>
      </c>
      <c r="DZ98" s="331">
        <f t="shared" si="125"/>
        <v>0</v>
      </c>
      <c r="EA98" s="331">
        <f t="shared" si="125"/>
        <v>0</v>
      </c>
      <c r="EB98" s="331">
        <f t="shared" si="125"/>
        <v>0</v>
      </c>
      <c r="EC98" s="331">
        <f t="shared" si="125"/>
        <v>0</v>
      </c>
      <c r="ED98" s="331">
        <f t="shared" si="125"/>
        <v>0</v>
      </c>
      <c r="EE98" s="331">
        <f t="shared" ref="EE98:EH98" si="126">EE71+EE81+EE95</f>
        <v>0</v>
      </c>
      <c r="EF98" s="331">
        <f t="shared" si="126"/>
        <v>0</v>
      </c>
      <c r="EG98" s="331">
        <f t="shared" si="126"/>
        <v>0</v>
      </c>
      <c r="EH98" s="331">
        <f t="shared" si="126"/>
        <v>0</v>
      </c>
      <c r="EI98" s="158" t="s">
        <v>243</v>
      </c>
    </row>
    <row r="99" spans="1:139" s="282" customFormat="1" x14ac:dyDescent="0.2">
      <c r="B99" s="274" t="s">
        <v>782</v>
      </c>
      <c r="C99" s="275">
        <f ca="1">-SUMIF(F98:EH98,"&lt;0")</f>
        <v>9908344.7838870473</v>
      </c>
      <c r="D99" s="332"/>
      <c r="E99" s="332"/>
      <c r="F99" s="333"/>
      <c r="G99" s="333"/>
      <c r="H99" s="333"/>
      <c r="I99" s="333"/>
      <c r="J99" s="333"/>
      <c r="K99" s="333"/>
      <c r="L99" s="333"/>
      <c r="M99" s="333"/>
      <c r="N99" s="333"/>
      <c r="O99" s="333"/>
      <c r="P99" s="333"/>
      <c r="Q99" s="333"/>
      <c r="R99" s="333"/>
      <c r="S99" s="333"/>
      <c r="T99" s="333"/>
      <c r="U99" s="333"/>
      <c r="V99" s="333"/>
      <c r="W99" s="333"/>
      <c r="X99" s="333"/>
      <c r="Y99" s="333"/>
      <c r="Z99" s="333"/>
      <c r="AA99" s="333"/>
      <c r="AB99" s="333"/>
      <c r="AC99" s="333"/>
      <c r="AD99" s="333"/>
      <c r="AE99" s="333"/>
      <c r="AF99" s="333"/>
      <c r="AG99" s="333"/>
      <c r="AH99" s="333"/>
      <c r="AI99" s="333"/>
      <c r="AJ99" s="333"/>
      <c r="AK99" s="333"/>
      <c r="AL99" s="333"/>
      <c r="AM99" s="333"/>
      <c r="AN99" s="333"/>
      <c r="AO99" s="333"/>
      <c r="AP99" s="333"/>
      <c r="AQ99" s="333"/>
      <c r="AR99" s="333"/>
      <c r="AS99" s="333"/>
      <c r="AT99" s="333"/>
      <c r="AU99" s="333"/>
      <c r="AV99" s="333"/>
      <c r="AW99" s="333"/>
      <c r="AX99" s="333"/>
      <c r="AY99" s="333"/>
      <c r="AZ99" s="333"/>
      <c r="BA99" s="333"/>
      <c r="BB99" s="333"/>
      <c r="BC99" s="333"/>
      <c r="BD99" s="333"/>
      <c r="BE99" s="333"/>
      <c r="BF99" s="333"/>
      <c r="BG99" s="333"/>
      <c r="BH99" s="333"/>
      <c r="BI99" s="333"/>
      <c r="BJ99" s="333"/>
      <c r="BK99" s="333"/>
      <c r="BL99" s="333"/>
      <c r="BM99" s="333"/>
      <c r="BN99" s="333"/>
      <c r="BO99" s="334"/>
      <c r="BP99" s="334"/>
      <c r="BQ99" s="334"/>
      <c r="BR99" s="334"/>
      <c r="BS99" s="334"/>
      <c r="BT99" s="334"/>
      <c r="BU99" s="334"/>
      <c r="BV99" s="334"/>
      <c r="BW99" s="334"/>
      <c r="BX99" s="334"/>
      <c r="BY99" s="334"/>
      <c r="BZ99" s="334"/>
      <c r="CA99" s="334"/>
      <c r="CB99" s="334"/>
      <c r="CC99" s="334"/>
      <c r="CD99" s="334"/>
      <c r="CE99" s="334"/>
      <c r="CF99" s="334"/>
      <c r="CG99" s="334"/>
      <c r="CH99" s="334"/>
      <c r="CI99" s="334"/>
      <c r="CJ99" s="334"/>
      <c r="CK99" s="334"/>
      <c r="CL99" s="334"/>
      <c r="CM99" s="334"/>
      <c r="CN99" s="334"/>
      <c r="CO99" s="334"/>
      <c r="CP99" s="334"/>
      <c r="CQ99" s="334"/>
      <c r="CR99" s="334"/>
      <c r="CS99" s="334"/>
      <c r="CT99" s="334"/>
      <c r="CU99" s="334"/>
      <c r="CV99" s="334"/>
      <c r="CW99" s="334"/>
      <c r="CX99" s="334"/>
      <c r="CY99" s="334"/>
      <c r="CZ99" s="334"/>
      <c r="DA99" s="334"/>
      <c r="DB99" s="334"/>
      <c r="DC99" s="334"/>
      <c r="DD99" s="334"/>
      <c r="DE99" s="334"/>
      <c r="DF99" s="334"/>
      <c r="DG99" s="334"/>
      <c r="DH99" s="334"/>
      <c r="DI99" s="334"/>
      <c r="DJ99" s="334"/>
      <c r="DK99" s="334"/>
      <c r="DL99" s="334"/>
      <c r="DM99" s="334"/>
      <c r="DN99" s="334"/>
      <c r="DO99" s="334"/>
      <c r="DP99" s="334"/>
      <c r="DQ99" s="334"/>
      <c r="DR99" s="334"/>
      <c r="DS99" s="334"/>
      <c r="DT99" s="334"/>
      <c r="DU99" s="334"/>
      <c r="DV99" s="334"/>
      <c r="DW99" s="334"/>
      <c r="DX99" s="334"/>
      <c r="DY99" s="334"/>
      <c r="DZ99" s="334"/>
      <c r="EA99" s="334"/>
      <c r="EB99" s="334"/>
      <c r="EC99" s="334"/>
      <c r="ED99" s="334"/>
      <c r="EE99" s="334"/>
      <c r="EF99" s="334"/>
      <c r="EG99" s="334"/>
      <c r="EH99" s="334"/>
      <c r="EI99" s="158" t="s">
        <v>243</v>
      </c>
    </row>
    <row r="100" spans="1:139" s="282" customFormat="1" x14ac:dyDescent="0.2">
      <c r="B100" s="276" t="s">
        <v>702</v>
      </c>
      <c r="C100" s="277">
        <f ca="1">SUM(F98:EH98)</f>
        <v>30413469.594332919</v>
      </c>
      <c r="D100" s="332"/>
      <c r="E100" s="317" t="s">
        <v>44</v>
      </c>
      <c r="F100" s="301"/>
      <c r="G100" s="335">
        <f t="shared" ref="G100:AL100" ca="1" si="127">IF(G4&gt;HoldPeriod,"",IFERROR(G56/-G81,0))</f>
        <v>0.97910865865089647</v>
      </c>
      <c r="H100" s="335">
        <f t="shared" ca="1" si="127"/>
        <v>0.98732123802022731</v>
      </c>
      <c r="I100" s="335">
        <f t="shared" ca="1" si="127"/>
        <v>0.99552295373235522</v>
      </c>
      <c r="J100" s="335">
        <f t="shared" ca="1" si="127"/>
        <v>1.0037138057872799</v>
      </c>
      <c r="K100" s="335">
        <f t="shared" ca="1" si="127"/>
        <v>1.0118937941850008</v>
      </c>
      <c r="L100" s="335">
        <f t="shared" ca="1" si="127"/>
        <v>1.0200629189255188</v>
      </c>
      <c r="M100" s="335">
        <f t="shared" ca="1" si="127"/>
        <v>1.0282211800088332</v>
      </c>
      <c r="N100" s="335">
        <f t="shared" ca="1" si="127"/>
        <v>1.0363685774349445</v>
      </c>
      <c r="O100" s="335">
        <f t="shared" ca="1" si="127"/>
        <v>1.0445051112038524</v>
      </c>
      <c r="P100" s="335">
        <f t="shared" ca="1" si="127"/>
        <v>1.0526307813155571</v>
      </c>
      <c r="Q100" s="335">
        <f t="shared" ca="1" si="127"/>
        <v>1.0607455877700582</v>
      </c>
      <c r="R100" s="335">
        <f t="shared" ca="1" si="127"/>
        <v>1.068849530567356</v>
      </c>
      <c r="S100" s="335">
        <f t="shared" ca="1" si="127"/>
        <v>1.133497597946648</v>
      </c>
      <c r="T100" s="335">
        <f t="shared" ca="1" si="127"/>
        <v>1.1442571934459702</v>
      </c>
      <c r="U100" s="335">
        <f t="shared" ca="1" si="127"/>
        <v>1.1549964071803061</v>
      </c>
      <c r="V100" s="335">
        <f t="shared" ca="1" si="127"/>
        <v>1.1657152391496555</v>
      </c>
      <c r="W100" s="335">
        <f t="shared" ca="1" si="127"/>
        <v>1.1764136893540189</v>
      </c>
      <c r="X100" s="335">
        <f t="shared" ca="1" si="127"/>
        <v>1.187091757793395</v>
      </c>
      <c r="Y100" s="335">
        <f t="shared" ca="1" si="127"/>
        <v>1.197749444467785</v>
      </c>
      <c r="Z100" s="335">
        <f t="shared" ca="1" si="127"/>
        <v>1.2083867493771885</v>
      </c>
      <c r="AA100" s="335">
        <f t="shared" ca="1" si="127"/>
        <v>1.2176580861540338</v>
      </c>
      <c r="AB100" s="335">
        <f t="shared" ca="1" si="127"/>
        <v>1.2269115888865165</v>
      </c>
      <c r="AC100" s="335">
        <f t="shared" ca="1" si="127"/>
        <v>1.2361472575746355</v>
      </c>
      <c r="AD100" s="335">
        <f t="shared" ca="1" si="127"/>
        <v>1.2453650922183914</v>
      </c>
      <c r="AE100" s="335">
        <f t="shared" ca="1" si="127"/>
        <v>1.1889281751503238</v>
      </c>
      <c r="AF100" s="335">
        <f t="shared" ca="1" si="127"/>
        <v>1.1977317833102146</v>
      </c>
      <c r="AG100" s="335">
        <f t="shared" ca="1" si="127"/>
        <v>1.2065353914701058</v>
      </c>
      <c r="AH100" s="335">
        <f t="shared" ca="1" si="127"/>
        <v>1.2128236830128849</v>
      </c>
      <c r="AI100" s="335">
        <f t="shared" ca="1" si="127"/>
        <v>1.2191119745556642</v>
      </c>
      <c r="AJ100" s="335">
        <f t="shared" ca="1" si="127"/>
        <v>1.2254002660984433</v>
      </c>
      <c r="AK100" s="335">
        <f t="shared" ca="1" si="127"/>
        <v>1.2316885576412224</v>
      </c>
      <c r="AL100" s="335">
        <f t="shared" ca="1" si="127"/>
        <v>1.2379768491840022</v>
      </c>
      <c r="AM100" s="335">
        <f t="shared" ref="AM100:BR100" ca="1" si="128">IF(AM4&gt;HoldPeriod,"",IFERROR(AM56/-AM81,0))</f>
        <v>1.2442651407267813</v>
      </c>
      <c r="AN100" s="335">
        <f t="shared" ca="1" si="128"/>
        <v>1.2442651407267813</v>
      </c>
      <c r="AO100" s="335">
        <f t="shared" ca="1" si="128"/>
        <v>1.2442651407267813</v>
      </c>
      <c r="AP100" s="335">
        <f t="shared" ca="1" si="128"/>
        <v>1.2442651407267813</v>
      </c>
      <c r="AQ100" s="335">
        <f t="shared" ca="1" si="128"/>
        <v>1.4430014430014435</v>
      </c>
      <c r="AR100" s="335">
        <f t="shared" ca="1" si="128"/>
        <v>1.4430014430014435</v>
      </c>
      <c r="AS100" s="335">
        <f t="shared" ca="1" si="128"/>
        <v>1.4430014430014435</v>
      </c>
      <c r="AT100" s="335">
        <f t="shared" ca="1" si="128"/>
        <v>1.4430014430014435</v>
      </c>
      <c r="AU100" s="335">
        <f t="shared" ca="1" si="128"/>
        <v>1.4430014430014435</v>
      </c>
      <c r="AV100" s="335">
        <f t="shared" ca="1" si="128"/>
        <v>1.4430014430014435</v>
      </c>
      <c r="AW100" s="335">
        <f t="shared" ca="1" si="128"/>
        <v>1.4430014430014435</v>
      </c>
      <c r="AX100" s="335">
        <f t="shared" ca="1" si="128"/>
        <v>1.4430014430014435</v>
      </c>
      <c r="AY100" s="335">
        <f t="shared" ca="1" si="128"/>
        <v>1.4430014430014435</v>
      </c>
      <c r="AZ100" s="335">
        <f t="shared" ca="1" si="128"/>
        <v>1.4430014430014435</v>
      </c>
      <c r="BA100" s="335">
        <f t="shared" ca="1" si="128"/>
        <v>1.4430014430014435</v>
      </c>
      <c r="BB100" s="335">
        <f t="shared" ca="1" si="128"/>
        <v>1.4430014430014435</v>
      </c>
      <c r="BC100" s="335">
        <f t="shared" ca="1" si="128"/>
        <v>1.5067549025720293</v>
      </c>
      <c r="BD100" s="335">
        <f t="shared" ca="1" si="128"/>
        <v>1.5067549025720293</v>
      </c>
      <c r="BE100" s="335">
        <f t="shared" ca="1" si="128"/>
        <v>1.5067549025720293</v>
      </c>
      <c r="BF100" s="335">
        <f t="shared" ca="1" si="128"/>
        <v>1.5067549025720293</v>
      </c>
      <c r="BG100" s="335">
        <f t="shared" ca="1" si="128"/>
        <v>1.5067549025720293</v>
      </c>
      <c r="BH100" s="335">
        <f t="shared" ca="1" si="128"/>
        <v>1.5067549025720293</v>
      </c>
      <c r="BI100" s="335">
        <f t="shared" ca="1" si="128"/>
        <v>1.5067549025720293</v>
      </c>
      <c r="BJ100" s="335">
        <f t="shared" ca="1" si="128"/>
        <v>1.5067549025720293</v>
      </c>
      <c r="BK100" s="335">
        <f t="shared" ca="1" si="128"/>
        <v>1.5067549025720293</v>
      </c>
      <c r="BL100" s="335">
        <f t="shared" ca="1" si="128"/>
        <v>1.5067549025720293</v>
      </c>
      <c r="BM100" s="335">
        <f t="shared" ca="1" si="128"/>
        <v>1.5067549025720293</v>
      </c>
      <c r="BN100" s="335">
        <f t="shared" ca="1" si="128"/>
        <v>1.5067549025720293</v>
      </c>
      <c r="BO100" s="335" t="str">
        <f t="shared" si="128"/>
        <v/>
      </c>
      <c r="BP100" s="335" t="str">
        <f t="shared" si="128"/>
        <v/>
      </c>
      <c r="BQ100" s="335" t="str">
        <f t="shared" si="128"/>
        <v/>
      </c>
      <c r="BR100" s="335" t="str">
        <f t="shared" si="128"/>
        <v/>
      </c>
      <c r="BS100" s="335" t="str">
        <f t="shared" ref="BS100:CX100" si="129">IF(BS4&gt;HoldPeriod,"",IFERROR(BS56/-BS81,0))</f>
        <v/>
      </c>
      <c r="BT100" s="335" t="str">
        <f t="shared" si="129"/>
        <v/>
      </c>
      <c r="BU100" s="335" t="str">
        <f t="shared" si="129"/>
        <v/>
      </c>
      <c r="BV100" s="335" t="str">
        <f t="shared" si="129"/>
        <v/>
      </c>
      <c r="BW100" s="335" t="str">
        <f t="shared" si="129"/>
        <v/>
      </c>
      <c r="BX100" s="335" t="str">
        <f t="shared" si="129"/>
        <v/>
      </c>
      <c r="BY100" s="335" t="str">
        <f t="shared" si="129"/>
        <v/>
      </c>
      <c r="BZ100" s="335" t="str">
        <f t="shared" si="129"/>
        <v/>
      </c>
      <c r="CA100" s="335" t="str">
        <f t="shared" si="129"/>
        <v/>
      </c>
      <c r="CB100" s="335" t="str">
        <f t="shared" si="129"/>
        <v/>
      </c>
      <c r="CC100" s="335" t="str">
        <f t="shared" si="129"/>
        <v/>
      </c>
      <c r="CD100" s="335" t="str">
        <f t="shared" si="129"/>
        <v/>
      </c>
      <c r="CE100" s="335" t="str">
        <f t="shared" si="129"/>
        <v/>
      </c>
      <c r="CF100" s="335" t="str">
        <f t="shared" si="129"/>
        <v/>
      </c>
      <c r="CG100" s="335" t="str">
        <f t="shared" si="129"/>
        <v/>
      </c>
      <c r="CH100" s="335" t="str">
        <f t="shared" si="129"/>
        <v/>
      </c>
      <c r="CI100" s="335" t="str">
        <f t="shared" si="129"/>
        <v/>
      </c>
      <c r="CJ100" s="335" t="str">
        <f t="shared" si="129"/>
        <v/>
      </c>
      <c r="CK100" s="335" t="str">
        <f t="shared" si="129"/>
        <v/>
      </c>
      <c r="CL100" s="335" t="str">
        <f t="shared" si="129"/>
        <v/>
      </c>
      <c r="CM100" s="335" t="str">
        <f t="shared" si="129"/>
        <v/>
      </c>
      <c r="CN100" s="335" t="str">
        <f t="shared" si="129"/>
        <v/>
      </c>
      <c r="CO100" s="335" t="str">
        <f t="shared" si="129"/>
        <v/>
      </c>
      <c r="CP100" s="335" t="str">
        <f t="shared" si="129"/>
        <v/>
      </c>
      <c r="CQ100" s="335" t="str">
        <f t="shared" si="129"/>
        <v/>
      </c>
      <c r="CR100" s="335" t="str">
        <f t="shared" si="129"/>
        <v/>
      </c>
      <c r="CS100" s="335" t="str">
        <f t="shared" si="129"/>
        <v/>
      </c>
      <c r="CT100" s="335" t="str">
        <f t="shared" si="129"/>
        <v/>
      </c>
      <c r="CU100" s="335" t="str">
        <f t="shared" si="129"/>
        <v/>
      </c>
      <c r="CV100" s="335" t="str">
        <f t="shared" si="129"/>
        <v/>
      </c>
      <c r="CW100" s="335" t="str">
        <f t="shared" si="129"/>
        <v/>
      </c>
      <c r="CX100" s="335" t="str">
        <f t="shared" si="129"/>
        <v/>
      </c>
      <c r="CY100" s="335" t="str">
        <f t="shared" ref="CY100:EH100" si="130">IF(CY4&gt;HoldPeriod,"",IFERROR(CY56/-CY81,0))</f>
        <v/>
      </c>
      <c r="CZ100" s="335" t="str">
        <f t="shared" si="130"/>
        <v/>
      </c>
      <c r="DA100" s="335" t="str">
        <f t="shared" si="130"/>
        <v/>
      </c>
      <c r="DB100" s="335" t="str">
        <f t="shared" si="130"/>
        <v/>
      </c>
      <c r="DC100" s="335" t="str">
        <f t="shared" si="130"/>
        <v/>
      </c>
      <c r="DD100" s="335" t="str">
        <f t="shared" si="130"/>
        <v/>
      </c>
      <c r="DE100" s="335" t="str">
        <f t="shared" si="130"/>
        <v/>
      </c>
      <c r="DF100" s="335" t="str">
        <f t="shared" si="130"/>
        <v/>
      </c>
      <c r="DG100" s="335" t="str">
        <f t="shared" si="130"/>
        <v/>
      </c>
      <c r="DH100" s="335" t="str">
        <f t="shared" si="130"/>
        <v/>
      </c>
      <c r="DI100" s="335" t="str">
        <f t="shared" si="130"/>
        <v/>
      </c>
      <c r="DJ100" s="335" t="str">
        <f t="shared" si="130"/>
        <v/>
      </c>
      <c r="DK100" s="335" t="str">
        <f t="shared" si="130"/>
        <v/>
      </c>
      <c r="DL100" s="335" t="str">
        <f t="shared" si="130"/>
        <v/>
      </c>
      <c r="DM100" s="335" t="str">
        <f t="shared" si="130"/>
        <v/>
      </c>
      <c r="DN100" s="335" t="str">
        <f t="shared" si="130"/>
        <v/>
      </c>
      <c r="DO100" s="335" t="str">
        <f t="shared" si="130"/>
        <v/>
      </c>
      <c r="DP100" s="335" t="str">
        <f t="shared" si="130"/>
        <v/>
      </c>
      <c r="DQ100" s="335" t="str">
        <f t="shared" si="130"/>
        <v/>
      </c>
      <c r="DR100" s="335" t="str">
        <f t="shared" si="130"/>
        <v/>
      </c>
      <c r="DS100" s="335" t="str">
        <f t="shared" si="130"/>
        <v/>
      </c>
      <c r="DT100" s="335" t="str">
        <f t="shared" si="130"/>
        <v/>
      </c>
      <c r="DU100" s="335" t="str">
        <f t="shared" si="130"/>
        <v/>
      </c>
      <c r="DV100" s="335" t="str">
        <f t="shared" si="130"/>
        <v/>
      </c>
      <c r="DW100" s="335" t="str">
        <f t="shared" si="130"/>
        <v/>
      </c>
      <c r="DX100" s="335" t="str">
        <f t="shared" si="130"/>
        <v/>
      </c>
      <c r="DY100" s="335" t="str">
        <f t="shared" si="130"/>
        <v/>
      </c>
      <c r="DZ100" s="335" t="str">
        <f t="shared" si="130"/>
        <v/>
      </c>
      <c r="EA100" s="335" t="str">
        <f t="shared" si="130"/>
        <v/>
      </c>
      <c r="EB100" s="335" t="str">
        <f t="shared" si="130"/>
        <v/>
      </c>
      <c r="EC100" s="335" t="str">
        <f t="shared" si="130"/>
        <v/>
      </c>
      <c r="ED100" s="335" t="str">
        <f t="shared" si="130"/>
        <v/>
      </c>
      <c r="EE100" s="335" t="str">
        <f t="shared" si="130"/>
        <v/>
      </c>
      <c r="EF100" s="335" t="str">
        <f t="shared" si="130"/>
        <v/>
      </c>
      <c r="EG100" s="335" t="str">
        <f t="shared" si="130"/>
        <v/>
      </c>
      <c r="EH100" s="335" t="str">
        <f t="shared" si="130"/>
        <v/>
      </c>
      <c r="EI100" s="158" t="s">
        <v>243</v>
      </c>
    </row>
    <row r="101" spans="1:139" s="282" customFormat="1" x14ac:dyDescent="0.2">
      <c r="B101" s="276" t="s">
        <v>120</v>
      </c>
      <c r="C101" s="320">
        <f ca="1">XIRR(F98:EH98,F6:EH6)</f>
        <v>0.35231075882911678</v>
      </c>
      <c r="D101" s="332"/>
      <c r="E101" s="317" t="s">
        <v>797</v>
      </c>
      <c r="F101" s="306"/>
      <c r="G101" s="336">
        <f t="shared" ref="G101:AL101" ca="1" si="131">IFERROR(IF(G4&gt;HoldPeriod,"",-(G30+G33+G34+G54+G59+G62+G78+G79+G80)/(G27+G28+G40)),0)</f>
        <v>0.96885191115608515</v>
      </c>
      <c r="H101" s="336">
        <f t="shared" ca="1" si="131"/>
        <v>0.96391925762795339</v>
      </c>
      <c r="I101" s="336">
        <f t="shared" ca="1" si="131"/>
        <v>0.95903455834208706</v>
      </c>
      <c r="J101" s="336">
        <f t="shared" ca="1" si="131"/>
        <v>0.95419720894810667</v>
      </c>
      <c r="K101" s="336">
        <f t="shared" ca="1" si="131"/>
        <v>0.94940661520836966</v>
      </c>
      <c r="L101" s="336">
        <f t="shared" ca="1" si="131"/>
        <v>0.94466219278732766</v>
      </c>
      <c r="M101" s="336">
        <f t="shared" ca="1" si="131"/>
        <v>0.93996336704612782</v>
      </c>
      <c r="N101" s="336">
        <f t="shared" ca="1" si="131"/>
        <v>0.93530957284230565</v>
      </c>
      <c r="O101" s="336">
        <f t="shared" ca="1" si="131"/>
        <v>0.93070025433442061</v>
      </c>
      <c r="P101" s="336">
        <f t="shared" ca="1" si="131"/>
        <v>0.92613486479149953</v>
      </c>
      <c r="Q101" s="336">
        <f t="shared" ca="1" si="131"/>
        <v>0.92161286640714046</v>
      </c>
      <c r="R101" s="336">
        <f t="shared" ca="1" si="131"/>
        <v>0.91713373011815413</v>
      </c>
      <c r="S101" s="336">
        <f t="shared" ca="1" si="131"/>
        <v>0.88398461918147531</v>
      </c>
      <c r="T101" s="336">
        <f t="shared" ca="1" si="131"/>
        <v>0.87864109538151358</v>
      </c>
      <c r="U101" s="336">
        <f t="shared" ca="1" si="131"/>
        <v>0.87337671372946912</v>
      </c>
      <c r="V101" s="336">
        <f t="shared" ca="1" si="131"/>
        <v>0.86818996417322403</v>
      </c>
      <c r="W101" s="336">
        <f t="shared" ca="1" si="131"/>
        <v>0.86307937483410546</v>
      </c>
      <c r="X101" s="336">
        <f t="shared" ca="1" si="131"/>
        <v>0.85804351080820429</v>
      </c>
      <c r="Y101" s="336">
        <f t="shared" ca="1" si="131"/>
        <v>0.8530809730125759</v>
      </c>
      <c r="Z101" s="336">
        <f t="shared" ca="1" si="131"/>
        <v>0.84819039707437793</v>
      </c>
      <c r="AA101" s="336">
        <f t="shared" ca="1" si="131"/>
        <v>0.84397907065335187</v>
      </c>
      <c r="AB101" s="336">
        <f t="shared" ca="1" si="131"/>
        <v>0.83982196864377812</v>
      </c>
      <c r="AC101" s="336">
        <f t="shared" ca="1" si="131"/>
        <v>0.83571822235972115</v>
      </c>
      <c r="AD101" s="336">
        <f t="shared" ca="1" si="131"/>
        <v>0.83166698157204799</v>
      </c>
      <c r="AE101" s="336">
        <f t="shared" ca="1" si="131"/>
        <v>0.86150483204788697</v>
      </c>
      <c r="AF101" s="336">
        <f t="shared" ca="1" si="131"/>
        <v>0.85727305261642439</v>
      </c>
      <c r="AG101" s="336">
        <f t="shared" ca="1" si="131"/>
        <v>0.85308558168176296</v>
      </c>
      <c r="AH101" s="336">
        <f t="shared" ca="1" si="131"/>
        <v>0.85012127462144649</v>
      </c>
      <c r="AI101" s="336">
        <f t="shared" ca="1" si="131"/>
        <v>0.84717897265369191</v>
      </c>
      <c r="AJ101" s="336">
        <f t="shared" ca="1" si="131"/>
        <v>0.84425843165730019</v>
      </c>
      <c r="AK101" s="336">
        <f t="shared" ca="1" si="131"/>
        <v>0.84135941110876067</v>
      </c>
      <c r="AL101" s="336">
        <f t="shared" ca="1" si="131"/>
        <v>0.83848167401621831</v>
      </c>
      <c r="AM101" s="336">
        <f t="shared" ref="AM101:BR101" ca="1" si="132">IFERROR(IF(AM4&gt;HoldPeriod,"",-(AM30+AM33+AM34+AM54+AM59+AM62+AM78+AM79+AM80)/(AM27+AM28+AM40)),0)</f>
        <v>0.83562498685489106</v>
      </c>
      <c r="AN101" s="336">
        <f t="shared" ca="1" si="132"/>
        <v>0.83562498685489106</v>
      </c>
      <c r="AO101" s="336">
        <f t="shared" ca="1" si="132"/>
        <v>0.83562498685489106</v>
      </c>
      <c r="AP101" s="336">
        <f t="shared" ca="1" si="132"/>
        <v>0.83562498685489106</v>
      </c>
      <c r="AQ101" s="336">
        <f t="shared" ca="1" si="132"/>
        <v>0.76287195047444878</v>
      </c>
      <c r="AR101" s="336">
        <f t="shared" ca="1" si="132"/>
        <v>0.76287195047444878</v>
      </c>
      <c r="AS101" s="336">
        <f t="shared" ca="1" si="132"/>
        <v>0.76287195047444878</v>
      </c>
      <c r="AT101" s="336">
        <f t="shared" ca="1" si="132"/>
        <v>0.76287195047444878</v>
      </c>
      <c r="AU101" s="336">
        <f t="shared" ca="1" si="132"/>
        <v>0.76287195047444878</v>
      </c>
      <c r="AV101" s="336">
        <f t="shared" ca="1" si="132"/>
        <v>0.76287195047444878</v>
      </c>
      <c r="AW101" s="336">
        <f t="shared" ca="1" si="132"/>
        <v>0.76287195047444878</v>
      </c>
      <c r="AX101" s="336">
        <f t="shared" ca="1" si="132"/>
        <v>0.76287195047444878</v>
      </c>
      <c r="AY101" s="336">
        <f t="shared" ca="1" si="132"/>
        <v>0.76287195047444878</v>
      </c>
      <c r="AZ101" s="336">
        <f t="shared" ca="1" si="132"/>
        <v>0.76287195047444878</v>
      </c>
      <c r="BA101" s="336">
        <f t="shared" ca="1" si="132"/>
        <v>0.76287195047444878</v>
      </c>
      <c r="BB101" s="336">
        <f t="shared" ca="1" si="132"/>
        <v>0.76287195047444878</v>
      </c>
      <c r="BC101" s="336">
        <f t="shared" ca="1" si="132"/>
        <v>0.74252876569109183</v>
      </c>
      <c r="BD101" s="336">
        <f t="shared" ca="1" si="132"/>
        <v>0.74252876569109183</v>
      </c>
      <c r="BE101" s="336">
        <f t="shared" ca="1" si="132"/>
        <v>0.74252876569109183</v>
      </c>
      <c r="BF101" s="336">
        <f t="shared" ca="1" si="132"/>
        <v>0.74252876569109183</v>
      </c>
      <c r="BG101" s="336">
        <f t="shared" ca="1" si="132"/>
        <v>0.74252876569109183</v>
      </c>
      <c r="BH101" s="336">
        <f t="shared" ca="1" si="132"/>
        <v>0.74252876569109183</v>
      </c>
      <c r="BI101" s="336">
        <f t="shared" ca="1" si="132"/>
        <v>0.74252876569109183</v>
      </c>
      <c r="BJ101" s="336">
        <f t="shared" ca="1" si="132"/>
        <v>0.74252876569109183</v>
      </c>
      <c r="BK101" s="336">
        <f t="shared" ca="1" si="132"/>
        <v>0.74252876569109183</v>
      </c>
      <c r="BL101" s="336">
        <f t="shared" ca="1" si="132"/>
        <v>0.74252876569109183</v>
      </c>
      <c r="BM101" s="336">
        <f t="shared" ca="1" si="132"/>
        <v>0.74252876569109183</v>
      </c>
      <c r="BN101" s="336">
        <f t="shared" ca="1" si="132"/>
        <v>0.74252876569109183</v>
      </c>
      <c r="BO101" s="336" t="str">
        <f t="shared" si="132"/>
        <v/>
      </c>
      <c r="BP101" s="336" t="str">
        <f t="shared" si="132"/>
        <v/>
      </c>
      <c r="BQ101" s="336" t="str">
        <f t="shared" si="132"/>
        <v/>
      </c>
      <c r="BR101" s="336" t="str">
        <f t="shared" si="132"/>
        <v/>
      </c>
      <c r="BS101" s="336" t="str">
        <f t="shared" ref="BS101:CX101" si="133">IFERROR(IF(BS4&gt;HoldPeriod,"",-(BS30+BS33+BS34+BS54+BS59+BS62+BS78+BS79+BS80)/(BS27+BS28+BS40)),0)</f>
        <v/>
      </c>
      <c r="BT101" s="336" t="str">
        <f t="shared" si="133"/>
        <v/>
      </c>
      <c r="BU101" s="336" t="str">
        <f t="shared" si="133"/>
        <v/>
      </c>
      <c r="BV101" s="336" t="str">
        <f t="shared" si="133"/>
        <v/>
      </c>
      <c r="BW101" s="336" t="str">
        <f t="shared" si="133"/>
        <v/>
      </c>
      <c r="BX101" s="336" t="str">
        <f t="shared" si="133"/>
        <v/>
      </c>
      <c r="BY101" s="336" t="str">
        <f t="shared" si="133"/>
        <v/>
      </c>
      <c r="BZ101" s="336" t="str">
        <f t="shared" si="133"/>
        <v/>
      </c>
      <c r="CA101" s="336" t="str">
        <f t="shared" si="133"/>
        <v/>
      </c>
      <c r="CB101" s="336" t="str">
        <f t="shared" si="133"/>
        <v/>
      </c>
      <c r="CC101" s="336" t="str">
        <f t="shared" si="133"/>
        <v/>
      </c>
      <c r="CD101" s="336" t="str">
        <f t="shared" si="133"/>
        <v/>
      </c>
      <c r="CE101" s="336" t="str">
        <f t="shared" si="133"/>
        <v/>
      </c>
      <c r="CF101" s="336" t="str">
        <f t="shared" si="133"/>
        <v/>
      </c>
      <c r="CG101" s="336" t="str">
        <f t="shared" si="133"/>
        <v/>
      </c>
      <c r="CH101" s="336" t="str">
        <f t="shared" si="133"/>
        <v/>
      </c>
      <c r="CI101" s="336" t="str">
        <f t="shared" si="133"/>
        <v/>
      </c>
      <c r="CJ101" s="336" t="str">
        <f t="shared" si="133"/>
        <v/>
      </c>
      <c r="CK101" s="336" t="str">
        <f t="shared" si="133"/>
        <v/>
      </c>
      <c r="CL101" s="336" t="str">
        <f t="shared" si="133"/>
        <v/>
      </c>
      <c r="CM101" s="336" t="str">
        <f t="shared" si="133"/>
        <v/>
      </c>
      <c r="CN101" s="336" t="str">
        <f t="shared" si="133"/>
        <v/>
      </c>
      <c r="CO101" s="336" t="str">
        <f t="shared" si="133"/>
        <v/>
      </c>
      <c r="CP101" s="336" t="str">
        <f t="shared" si="133"/>
        <v/>
      </c>
      <c r="CQ101" s="336" t="str">
        <f t="shared" si="133"/>
        <v/>
      </c>
      <c r="CR101" s="336" t="str">
        <f t="shared" si="133"/>
        <v/>
      </c>
      <c r="CS101" s="336" t="str">
        <f t="shared" si="133"/>
        <v/>
      </c>
      <c r="CT101" s="336" t="str">
        <f t="shared" si="133"/>
        <v/>
      </c>
      <c r="CU101" s="336" t="str">
        <f t="shared" si="133"/>
        <v/>
      </c>
      <c r="CV101" s="336" t="str">
        <f t="shared" si="133"/>
        <v/>
      </c>
      <c r="CW101" s="336" t="str">
        <f t="shared" si="133"/>
        <v/>
      </c>
      <c r="CX101" s="336" t="str">
        <f t="shared" si="133"/>
        <v/>
      </c>
      <c r="CY101" s="336" t="str">
        <f t="shared" ref="CY101:EH101" si="134">IFERROR(IF(CY4&gt;HoldPeriod,"",-(CY30+CY33+CY34+CY54+CY59+CY62+CY78+CY79+CY80)/(CY27+CY28+CY40)),0)</f>
        <v/>
      </c>
      <c r="CZ101" s="336" t="str">
        <f t="shared" si="134"/>
        <v/>
      </c>
      <c r="DA101" s="336" t="str">
        <f t="shared" si="134"/>
        <v/>
      </c>
      <c r="DB101" s="336" t="str">
        <f t="shared" si="134"/>
        <v/>
      </c>
      <c r="DC101" s="336" t="str">
        <f t="shared" si="134"/>
        <v/>
      </c>
      <c r="DD101" s="336" t="str">
        <f t="shared" si="134"/>
        <v/>
      </c>
      <c r="DE101" s="336" t="str">
        <f t="shared" si="134"/>
        <v/>
      </c>
      <c r="DF101" s="336" t="str">
        <f t="shared" si="134"/>
        <v/>
      </c>
      <c r="DG101" s="336" t="str">
        <f t="shared" si="134"/>
        <v/>
      </c>
      <c r="DH101" s="336" t="str">
        <f t="shared" si="134"/>
        <v/>
      </c>
      <c r="DI101" s="336" t="str">
        <f t="shared" si="134"/>
        <v/>
      </c>
      <c r="DJ101" s="336" t="str">
        <f t="shared" si="134"/>
        <v/>
      </c>
      <c r="DK101" s="336" t="str">
        <f t="shared" si="134"/>
        <v/>
      </c>
      <c r="DL101" s="336" t="str">
        <f t="shared" si="134"/>
        <v/>
      </c>
      <c r="DM101" s="336" t="str">
        <f t="shared" si="134"/>
        <v/>
      </c>
      <c r="DN101" s="336" t="str">
        <f t="shared" si="134"/>
        <v/>
      </c>
      <c r="DO101" s="336" t="str">
        <f t="shared" si="134"/>
        <v/>
      </c>
      <c r="DP101" s="336" t="str">
        <f t="shared" si="134"/>
        <v/>
      </c>
      <c r="DQ101" s="336" t="str">
        <f t="shared" si="134"/>
        <v/>
      </c>
      <c r="DR101" s="336" t="str">
        <f t="shared" si="134"/>
        <v/>
      </c>
      <c r="DS101" s="336" t="str">
        <f t="shared" si="134"/>
        <v/>
      </c>
      <c r="DT101" s="336" t="str">
        <f t="shared" si="134"/>
        <v/>
      </c>
      <c r="DU101" s="336" t="str">
        <f t="shared" si="134"/>
        <v/>
      </c>
      <c r="DV101" s="336" t="str">
        <f t="shared" si="134"/>
        <v/>
      </c>
      <c r="DW101" s="336" t="str">
        <f t="shared" si="134"/>
        <v/>
      </c>
      <c r="DX101" s="336" t="str">
        <f t="shared" si="134"/>
        <v/>
      </c>
      <c r="DY101" s="336" t="str">
        <f t="shared" si="134"/>
        <v/>
      </c>
      <c r="DZ101" s="336" t="str">
        <f t="shared" si="134"/>
        <v/>
      </c>
      <c r="EA101" s="336" t="str">
        <f t="shared" si="134"/>
        <v/>
      </c>
      <c r="EB101" s="336" t="str">
        <f t="shared" si="134"/>
        <v/>
      </c>
      <c r="EC101" s="336" t="str">
        <f t="shared" si="134"/>
        <v/>
      </c>
      <c r="ED101" s="336" t="str">
        <f t="shared" si="134"/>
        <v/>
      </c>
      <c r="EE101" s="336" t="str">
        <f t="shared" si="134"/>
        <v/>
      </c>
      <c r="EF101" s="336" t="str">
        <f t="shared" si="134"/>
        <v/>
      </c>
      <c r="EG101" s="336" t="str">
        <f t="shared" si="134"/>
        <v/>
      </c>
      <c r="EH101" s="336" t="str">
        <f t="shared" si="134"/>
        <v/>
      </c>
      <c r="EI101" s="158" t="s">
        <v>243</v>
      </c>
    </row>
    <row r="102" spans="1:139" s="282" customFormat="1" ht="15" thickBot="1" x14ac:dyDescent="0.25">
      <c r="B102" s="279" t="s">
        <v>64</v>
      </c>
      <c r="C102" s="289">
        <f ca="1">C100/C99+1</f>
        <v>4.0694803478973913</v>
      </c>
      <c r="D102" s="332"/>
      <c r="E102" s="317"/>
      <c r="F102" s="301"/>
      <c r="G102" s="336"/>
      <c r="H102" s="336"/>
      <c r="I102" s="336"/>
      <c r="J102" s="336"/>
      <c r="K102" s="336"/>
      <c r="L102" s="336"/>
      <c r="M102" s="336"/>
      <c r="N102" s="336"/>
      <c r="O102" s="336"/>
      <c r="P102" s="336"/>
      <c r="Q102" s="336"/>
      <c r="R102" s="336"/>
      <c r="S102" s="336"/>
      <c r="T102" s="336"/>
      <c r="U102" s="336"/>
      <c r="V102" s="336"/>
      <c r="W102" s="336"/>
      <c r="X102" s="336"/>
      <c r="Y102" s="336"/>
      <c r="Z102" s="336"/>
      <c r="AA102" s="336"/>
      <c r="AB102" s="336"/>
      <c r="AC102" s="336"/>
      <c r="AD102" s="336"/>
      <c r="AE102" s="336"/>
      <c r="AF102" s="336"/>
      <c r="AG102" s="336"/>
      <c r="AH102" s="336"/>
      <c r="AI102" s="336"/>
      <c r="AJ102" s="336"/>
      <c r="AK102" s="336"/>
      <c r="AL102" s="336"/>
      <c r="AM102" s="336"/>
      <c r="AN102" s="336"/>
      <c r="AO102" s="336"/>
      <c r="AP102" s="336"/>
      <c r="AQ102" s="336"/>
      <c r="AR102" s="336"/>
      <c r="AS102" s="336"/>
      <c r="AT102" s="336"/>
      <c r="AU102" s="336"/>
      <c r="AV102" s="336"/>
      <c r="AW102" s="336"/>
      <c r="AX102" s="336"/>
      <c r="AY102" s="336"/>
      <c r="AZ102" s="336"/>
      <c r="BA102" s="336"/>
      <c r="BB102" s="336"/>
      <c r="BC102" s="336"/>
      <c r="BD102" s="336"/>
      <c r="BE102" s="336"/>
      <c r="BF102" s="336"/>
      <c r="BG102" s="336"/>
      <c r="BH102" s="336"/>
      <c r="BI102" s="336"/>
      <c r="BJ102" s="336"/>
      <c r="BK102" s="336"/>
      <c r="BL102" s="336"/>
      <c r="BM102" s="336"/>
      <c r="BN102" s="336"/>
      <c r="BO102" s="336"/>
      <c r="BP102" s="336"/>
      <c r="BQ102" s="336"/>
      <c r="BR102" s="336"/>
      <c r="BS102" s="336"/>
      <c r="BT102" s="336"/>
      <c r="BU102" s="336"/>
      <c r="BV102" s="336"/>
      <c r="BW102" s="336"/>
      <c r="BX102" s="336"/>
      <c r="BY102" s="336"/>
      <c r="BZ102" s="336"/>
      <c r="CA102" s="336"/>
      <c r="CB102" s="336"/>
      <c r="CC102" s="336"/>
      <c r="CD102" s="336"/>
      <c r="CE102" s="336"/>
      <c r="CF102" s="336"/>
      <c r="CG102" s="336"/>
      <c r="CH102" s="336"/>
      <c r="CI102" s="336"/>
      <c r="CJ102" s="336"/>
      <c r="CK102" s="336"/>
      <c r="CL102" s="336"/>
      <c r="CM102" s="336"/>
      <c r="CN102" s="336"/>
      <c r="CO102" s="336"/>
      <c r="CP102" s="336"/>
      <c r="CQ102" s="336"/>
      <c r="CR102" s="336"/>
      <c r="CS102" s="336"/>
      <c r="CT102" s="336"/>
      <c r="CU102" s="336"/>
      <c r="CV102" s="336"/>
      <c r="CW102" s="336"/>
      <c r="CX102" s="336"/>
      <c r="CY102" s="336"/>
      <c r="CZ102" s="336"/>
      <c r="DA102" s="336"/>
      <c r="DB102" s="336"/>
      <c r="DC102" s="336"/>
      <c r="DD102" s="336"/>
      <c r="DE102" s="336"/>
      <c r="DF102" s="336"/>
      <c r="DG102" s="336"/>
      <c r="DH102" s="336"/>
      <c r="DI102" s="336"/>
      <c r="DJ102" s="336"/>
      <c r="DK102" s="336"/>
      <c r="DL102" s="336"/>
      <c r="DM102" s="336"/>
      <c r="DN102" s="336"/>
      <c r="DO102" s="336"/>
      <c r="DP102" s="336"/>
      <c r="DQ102" s="336"/>
      <c r="DR102" s="336"/>
      <c r="DS102" s="336"/>
      <c r="DT102" s="336"/>
      <c r="DU102" s="336"/>
      <c r="DV102" s="336"/>
      <c r="DW102" s="336"/>
      <c r="DX102" s="336"/>
      <c r="DY102" s="336"/>
      <c r="DZ102" s="336"/>
      <c r="EA102" s="336"/>
      <c r="EB102" s="336"/>
      <c r="EC102" s="336"/>
      <c r="ED102" s="336"/>
      <c r="EE102" s="336"/>
      <c r="EF102" s="336"/>
      <c r="EG102" s="336"/>
      <c r="EH102" s="336"/>
      <c r="EI102" s="158" t="s">
        <v>243</v>
      </c>
    </row>
    <row r="103" spans="1:139" s="282" customFormat="1" x14ac:dyDescent="0.2">
      <c r="B103" s="322"/>
      <c r="C103" s="227"/>
      <c r="D103" s="332"/>
      <c r="E103" s="317"/>
      <c r="F103" s="301"/>
      <c r="G103" s="336"/>
      <c r="H103" s="336"/>
      <c r="I103" s="336"/>
      <c r="J103" s="336"/>
      <c r="K103" s="336"/>
      <c r="L103" s="336"/>
      <c r="M103" s="336"/>
      <c r="N103" s="336"/>
      <c r="O103" s="336"/>
      <c r="P103" s="336"/>
      <c r="Q103" s="336"/>
      <c r="R103" s="336"/>
      <c r="S103" s="336"/>
      <c r="T103" s="336"/>
      <c r="U103" s="336"/>
      <c r="V103" s="336"/>
      <c r="W103" s="336"/>
      <c r="X103" s="336"/>
      <c r="Y103" s="336"/>
      <c r="Z103" s="336"/>
      <c r="AA103" s="336"/>
      <c r="AB103" s="336"/>
      <c r="AC103" s="336"/>
      <c r="AD103" s="336"/>
      <c r="AE103" s="336"/>
      <c r="AF103" s="336"/>
      <c r="AG103" s="336"/>
      <c r="AH103" s="336"/>
      <c r="AI103" s="336"/>
      <c r="AJ103" s="336"/>
      <c r="AK103" s="336"/>
      <c r="AL103" s="336"/>
      <c r="AM103" s="336"/>
      <c r="AN103" s="336"/>
      <c r="AO103" s="336"/>
      <c r="AP103" s="336"/>
      <c r="AQ103" s="336"/>
      <c r="AR103" s="336"/>
      <c r="AS103" s="336"/>
      <c r="AT103" s="336"/>
      <c r="AU103" s="336"/>
      <c r="AV103" s="336"/>
      <c r="AW103" s="336"/>
      <c r="AX103" s="336"/>
      <c r="AY103" s="336"/>
      <c r="AZ103" s="336"/>
      <c r="BA103" s="336"/>
      <c r="BB103" s="336"/>
      <c r="BC103" s="336"/>
      <c r="BD103" s="336"/>
      <c r="BE103" s="336"/>
      <c r="BF103" s="336"/>
      <c r="BG103" s="336"/>
      <c r="BH103" s="336"/>
      <c r="BI103" s="336"/>
      <c r="BJ103" s="336"/>
      <c r="BK103" s="336"/>
      <c r="BL103" s="336"/>
      <c r="BM103" s="336"/>
      <c r="BN103" s="336"/>
      <c r="BO103" s="336"/>
      <c r="BP103" s="336"/>
      <c r="BQ103" s="336"/>
      <c r="BR103" s="336"/>
      <c r="BS103" s="336"/>
      <c r="BT103" s="336"/>
      <c r="BU103" s="336"/>
      <c r="BV103" s="336"/>
      <c r="BW103" s="336"/>
      <c r="BX103" s="336"/>
      <c r="BY103" s="336"/>
      <c r="BZ103" s="336"/>
      <c r="CA103" s="336"/>
      <c r="CB103" s="336"/>
      <c r="CC103" s="336"/>
      <c r="CD103" s="336"/>
      <c r="CE103" s="336"/>
      <c r="CF103" s="336"/>
      <c r="CG103" s="336"/>
      <c r="CH103" s="336"/>
      <c r="CI103" s="336"/>
      <c r="CJ103" s="336"/>
      <c r="CK103" s="336"/>
      <c r="CL103" s="336"/>
      <c r="CM103" s="336"/>
      <c r="CN103" s="336"/>
      <c r="CO103" s="336"/>
      <c r="CP103" s="336"/>
      <c r="CQ103" s="336"/>
      <c r="CR103" s="336"/>
      <c r="CS103" s="336"/>
      <c r="CT103" s="336"/>
      <c r="CU103" s="336"/>
      <c r="CV103" s="336"/>
      <c r="CW103" s="336"/>
      <c r="CX103" s="336"/>
      <c r="CY103" s="336"/>
      <c r="CZ103" s="336"/>
      <c r="DA103" s="336"/>
      <c r="DB103" s="336"/>
      <c r="DC103" s="336"/>
      <c r="DD103" s="336"/>
      <c r="DE103" s="336"/>
      <c r="DF103" s="336"/>
      <c r="DG103" s="336"/>
      <c r="DH103" s="336"/>
      <c r="DI103" s="336"/>
      <c r="DJ103" s="336"/>
      <c r="DK103" s="336"/>
      <c r="DL103" s="336"/>
      <c r="DM103" s="336"/>
      <c r="DN103" s="336"/>
      <c r="DO103" s="336"/>
      <c r="DP103" s="336"/>
      <c r="DQ103" s="336"/>
      <c r="DR103" s="336"/>
      <c r="DS103" s="336"/>
      <c r="DT103" s="336"/>
      <c r="DU103" s="336"/>
      <c r="DV103" s="336"/>
      <c r="DW103" s="336"/>
      <c r="DX103" s="336"/>
      <c r="DY103" s="336"/>
      <c r="DZ103" s="336"/>
      <c r="EA103" s="336"/>
      <c r="EB103" s="336"/>
      <c r="EC103" s="336"/>
      <c r="ED103" s="336"/>
      <c r="EE103" s="336"/>
      <c r="EF103" s="336"/>
      <c r="EG103" s="336"/>
      <c r="EH103" s="336"/>
      <c r="EI103" s="158" t="s">
        <v>243</v>
      </c>
    </row>
    <row r="104" spans="1:139" s="282" customFormat="1" x14ac:dyDescent="0.2">
      <c r="B104" s="322"/>
      <c r="C104" s="227"/>
      <c r="D104" s="332"/>
      <c r="E104" s="317"/>
      <c r="F104" s="301"/>
      <c r="G104" s="336"/>
      <c r="H104" s="336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6"/>
      <c r="T104" s="336"/>
      <c r="U104" s="336"/>
      <c r="V104" s="336"/>
      <c r="W104" s="336"/>
      <c r="X104" s="336"/>
      <c r="Y104" s="336"/>
      <c r="Z104" s="336"/>
      <c r="AA104" s="336"/>
      <c r="AB104" s="336"/>
      <c r="AC104" s="336"/>
      <c r="AD104" s="336"/>
      <c r="AE104" s="336"/>
      <c r="AF104" s="336"/>
      <c r="AG104" s="336"/>
      <c r="AH104" s="336"/>
      <c r="AI104" s="336"/>
      <c r="AJ104" s="336"/>
      <c r="AK104" s="336"/>
      <c r="AL104" s="336"/>
      <c r="AM104" s="336"/>
      <c r="AN104" s="336"/>
      <c r="AO104" s="336"/>
      <c r="AP104" s="336"/>
      <c r="AQ104" s="336"/>
      <c r="AR104" s="336"/>
      <c r="AS104" s="336"/>
      <c r="AT104" s="336"/>
      <c r="AU104" s="336"/>
      <c r="AV104" s="336"/>
      <c r="AW104" s="336"/>
      <c r="AX104" s="336"/>
      <c r="AY104" s="336"/>
      <c r="AZ104" s="336"/>
      <c r="BA104" s="336"/>
      <c r="BB104" s="336"/>
      <c r="BC104" s="336"/>
      <c r="BD104" s="336"/>
      <c r="BE104" s="336"/>
      <c r="BF104" s="336"/>
      <c r="BG104" s="336"/>
      <c r="BH104" s="336"/>
      <c r="BI104" s="336"/>
      <c r="BJ104" s="336"/>
      <c r="BK104" s="336"/>
      <c r="BL104" s="336"/>
      <c r="BM104" s="336"/>
      <c r="BN104" s="336"/>
      <c r="BO104" s="336"/>
      <c r="BP104" s="336"/>
      <c r="BQ104" s="336"/>
      <c r="BR104" s="336"/>
      <c r="BS104" s="336"/>
      <c r="BT104" s="336"/>
      <c r="BU104" s="336"/>
      <c r="BV104" s="336"/>
      <c r="BW104" s="336"/>
      <c r="BX104" s="336"/>
      <c r="BY104" s="336"/>
      <c r="BZ104" s="336"/>
      <c r="CA104" s="336"/>
      <c r="CB104" s="336"/>
      <c r="CC104" s="336"/>
      <c r="CD104" s="336"/>
      <c r="CE104" s="336"/>
      <c r="CF104" s="336"/>
      <c r="CG104" s="336"/>
      <c r="CH104" s="336"/>
      <c r="CI104" s="336"/>
      <c r="CJ104" s="336"/>
      <c r="CK104" s="336"/>
      <c r="CL104" s="336"/>
      <c r="CM104" s="336"/>
      <c r="CN104" s="336"/>
      <c r="CO104" s="336"/>
      <c r="CP104" s="336"/>
      <c r="CQ104" s="336"/>
      <c r="CR104" s="336"/>
      <c r="CS104" s="336"/>
      <c r="CT104" s="336"/>
      <c r="CU104" s="336"/>
      <c r="CV104" s="336"/>
      <c r="CW104" s="336"/>
      <c r="CX104" s="336"/>
      <c r="CY104" s="336"/>
      <c r="CZ104" s="336"/>
      <c r="DA104" s="336"/>
      <c r="DB104" s="336"/>
      <c r="DC104" s="336"/>
      <c r="DD104" s="336"/>
      <c r="DE104" s="336"/>
      <c r="DF104" s="336"/>
      <c r="DG104" s="336"/>
      <c r="DH104" s="336"/>
      <c r="DI104" s="336"/>
      <c r="DJ104" s="336"/>
      <c r="DK104" s="336"/>
      <c r="DL104" s="336"/>
      <c r="DM104" s="336"/>
      <c r="DN104" s="336"/>
      <c r="DO104" s="336"/>
      <c r="DP104" s="336"/>
      <c r="DQ104" s="336"/>
      <c r="DR104" s="336"/>
      <c r="DS104" s="336"/>
      <c r="DT104" s="336"/>
      <c r="DU104" s="336"/>
      <c r="DV104" s="336"/>
      <c r="DW104" s="336"/>
      <c r="DX104" s="336"/>
      <c r="DY104" s="336"/>
      <c r="DZ104" s="336"/>
      <c r="EA104" s="336"/>
      <c r="EB104" s="336"/>
      <c r="EC104" s="336"/>
      <c r="ED104" s="336"/>
      <c r="EE104" s="336"/>
      <c r="EF104" s="336"/>
      <c r="EG104" s="336"/>
      <c r="EH104" s="336"/>
      <c r="EI104" s="158" t="s">
        <v>243</v>
      </c>
    </row>
    <row r="105" spans="1:139" s="282" customFormat="1" x14ac:dyDescent="0.2">
      <c r="B105" s="322" t="s">
        <v>918</v>
      </c>
      <c r="C105" s="227"/>
      <c r="D105" s="332"/>
      <c r="E105" s="317"/>
      <c r="F105" s="301"/>
      <c r="G105" s="336"/>
      <c r="H105" s="336"/>
      <c r="I105" s="336"/>
      <c r="J105" s="336"/>
      <c r="K105" s="336"/>
      <c r="L105" s="336"/>
      <c r="M105" s="336"/>
      <c r="N105" s="336"/>
      <c r="O105" s="336"/>
      <c r="P105" s="336"/>
      <c r="Q105" s="336"/>
      <c r="R105" s="336"/>
      <c r="S105" s="336"/>
      <c r="T105" s="336"/>
      <c r="U105" s="336"/>
      <c r="V105" s="336"/>
      <c r="W105" s="336"/>
      <c r="X105" s="336"/>
      <c r="Y105" s="336"/>
      <c r="Z105" s="336"/>
      <c r="AA105" s="336"/>
      <c r="AB105" s="336"/>
      <c r="AC105" s="336"/>
      <c r="AD105" s="336"/>
      <c r="AE105" s="336"/>
      <c r="AF105" s="336"/>
      <c r="AG105" s="336"/>
      <c r="AH105" s="336"/>
      <c r="AI105" s="336"/>
      <c r="AJ105" s="336"/>
      <c r="AK105" s="336"/>
      <c r="AL105" s="336"/>
      <c r="AM105" s="336"/>
      <c r="AN105" s="336"/>
      <c r="AO105" s="336"/>
      <c r="AP105" s="336"/>
      <c r="AQ105" s="336"/>
      <c r="AR105" s="336"/>
      <c r="AS105" s="336"/>
      <c r="AT105" s="336"/>
      <c r="AU105" s="336"/>
      <c r="AV105" s="336"/>
      <c r="AW105" s="336"/>
      <c r="AX105" s="336"/>
      <c r="AY105" s="336"/>
      <c r="AZ105" s="336"/>
      <c r="BA105" s="336"/>
      <c r="BB105" s="336"/>
      <c r="BC105" s="336"/>
      <c r="BD105" s="336"/>
      <c r="BE105" s="336"/>
      <c r="BF105" s="336"/>
      <c r="BG105" s="336"/>
      <c r="BH105" s="336"/>
      <c r="BI105" s="336"/>
      <c r="BJ105" s="336"/>
      <c r="BK105" s="336"/>
      <c r="BL105" s="336"/>
      <c r="BM105" s="336"/>
      <c r="BN105" s="336"/>
      <c r="BO105" s="336"/>
      <c r="BP105" s="336"/>
      <c r="BQ105" s="336"/>
      <c r="BR105" s="336"/>
      <c r="BS105" s="336"/>
      <c r="BT105" s="336"/>
      <c r="BU105" s="336"/>
      <c r="BV105" s="336"/>
      <c r="BW105" s="336"/>
      <c r="BX105" s="336"/>
      <c r="BY105" s="336"/>
      <c r="BZ105" s="336"/>
      <c r="CA105" s="336"/>
      <c r="CB105" s="336"/>
      <c r="CC105" s="336"/>
      <c r="CD105" s="336"/>
      <c r="CE105" s="336"/>
      <c r="CF105" s="336"/>
      <c r="CG105" s="336"/>
      <c r="CH105" s="336"/>
      <c r="CI105" s="336"/>
      <c r="CJ105" s="336"/>
      <c r="CK105" s="336"/>
      <c r="CL105" s="336"/>
      <c r="CM105" s="336"/>
      <c r="CN105" s="336"/>
      <c r="CO105" s="336"/>
      <c r="CP105" s="336"/>
      <c r="CQ105" s="336"/>
      <c r="CR105" s="336"/>
      <c r="CS105" s="336"/>
      <c r="CT105" s="336"/>
      <c r="CU105" s="336"/>
      <c r="CV105" s="336"/>
      <c r="CW105" s="336"/>
      <c r="CX105" s="336"/>
      <c r="CY105" s="336"/>
      <c r="CZ105" s="336"/>
      <c r="DA105" s="336"/>
      <c r="DB105" s="336"/>
      <c r="DC105" s="336"/>
      <c r="DD105" s="336"/>
      <c r="DE105" s="336"/>
      <c r="DF105" s="336"/>
      <c r="DG105" s="336"/>
      <c r="DH105" s="336"/>
      <c r="DI105" s="336"/>
      <c r="DJ105" s="336"/>
      <c r="DK105" s="336"/>
      <c r="DL105" s="336"/>
      <c r="DM105" s="336"/>
      <c r="DN105" s="336"/>
      <c r="DO105" s="336"/>
      <c r="DP105" s="336"/>
      <c r="DQ105" s="336"/>
      <c r="DR105" s="336"/>
      <c r="DS105" s="336"/>
      <c r="DT105" s="336"/>
      <c r="DU105" s="336"/>
      <c r="DV105" s="336"/>
      <c r="DW105" s="336"/>
      <c r="DX105" s="336"/>
      <c r="DY105" s="336"/>
      <c r="DZ105" s="336"/>
      <c r="EA105" s="336"/>
      <c r="EB105" s="336"/>
      <c r="EC105" s="336"/>
      <c r="ED105" s="336"/>
      <c r="EE105" s="336"/>
      <c r="EF105" s="336"/>
      <c r="EG105" s="336"/>
      <c r="EH105" s="336"/>
      <c r="EI105" s="158" t="s">
        <v>243</v>
      </c>
    </row>
    <row r="106" spans="1:139" s="282" customFormat="1" x14ac:dyDescent="0.2">
      <c r="B106" s="322" t="s">
        <v>919</v>
      </c>
      <c r="C106" s="227"/>
      <c r="D106" s="337">
        <f ca="1">SUM(F106:EH106)</f>
        <v>-9908344.7838870473</v>
      </c>
      <c r="E106" s="317"/>
      <c r="F106" s="301">
        <f>MIN(F98,0)</f>
        <v>-9883037.350387007</v>
      </c>
      <c r="G106" s="301">
        <f t="shared" ref="G106:BR106" ca="1" si="135">MIN(G98,0)</f>
        <v>-8697.5806657179492</v>
      </c>
      <c r="H106" s="301">
        <f t="shared" ca="1" si="135"/>
        <v>-6877.1255721829366</v>
      </c>
      <c r="I106" s="301">
        <f t="shared" ca="1" si="135"/>
        <v>-5059.0785893279244</v>
      </c>
      <c r="J106" s="301">
        <f t="shared" ca="1" si="135"/>
        <v>-3243.4397171529854</v>
      </c>
      <c r="K106" s="301">
        <f t="shared" ca="1" si="135"/>
        <v>-1430.2089556581341</v>
      </c>
      <c r="L106" s="301">
        <f t="shared" ca="1" si="135"/>
        <v>0</v>
      </c>
      <c r="M106" s="301">
        <f t="shared" ca="1" si="135"/>
        <v>0</v>
      </c>
      <c r="N106" s="301">
        <f t="shared" ca="1" si="135"/>
        <v>0</v>
      </c>
      <c r="O106" s="301">
        <f t="shared" ca="1" si="135"/>
        <v>0</v>
      </c>
      <c r="P106" s="301">
        <f t="shared" ca="1" si="135"/>
        <v>0</v>
      </c>
      <c r="Q106" s="301">
        <f t="shared" ca="1" si="135"/>
        <v>0</v>
      </c>
      <c r="R106" s="301">
        <f t="shared" ca="1" si="135"/>
        <v>0</v>
      </c>
      <c r="S106" s="301">
        <f t="shared" ca="1" si="135"/>
        <v>0</v>
      </c>
      <c r="T106" s="301">
        <f t="shared" ca="1" si="135"/>
        <v>0</v>
      </c>
      <c r="U106" s="301">
        <f t="shared" ca="1" si="135"/>
        <v>0</v>
      </c>
      <c r="V106" s="301">
        <f t="shared" ca="1" si="135"/>
        <v>0</v>
      </c>
      <c r="W106" s="301">
        <f t="shared" ca="1" si="135"/>
        <v>0</v>
      </c>
      <c r="X106" s="301">
        <f t="shared" ca="1" si="135"/>
        <v>0</v>
      </c>
      <c r="Y106" s="301">
        <f t="shared" ca="1" si="135"/>
        <v>0</v>
      </c>
      <c r="Z106" s="301">
        <f t="shared" ca="1" si="135"/>
        <v>0</v>
      </c>
      <c r="AA106" s="301">
        <f t="shared" ca="1" si="135"/>
        <v>0</v>
      </c>
      <c r="AB106" s="301">
        <f t="shared" ca="1" si="135"/>
        <v>0</v>
      </c>
      <c r="AC106" s="301">
        <f t="shared" ca="1" si="135"/>
        <v>0</v>
      </c>
      <c r="AD106" s="301">
        <f t="shared" ca="1" si="135"/>
        <v>0</v>
      </c>
      <c r="AE106" s="301">
        <f t="shared" ca="1" si="135"/>
        <v>0</v>
      </c>
      <c r="AF106" s="301">
        <f t="shared" ca="1" si="135"/>
        <v>0</v>
      </c>
      <c r="AG106" s="301">
        <f t="shared" ca="1" si="135"/>
        <v>0</v>
      </c>
      <c r="AH106" s="301">
        <f t="shared" ca="1" si="135"/>
        <v>0</v>
      </c>
      <c r="AI106" s="301">
        <f t="shared" ca="1" si="135"/>
        <v>0</v>
      </c>
      <c r="AJ106" s="301">
        <f t="shared" ca="1" si="135"/>
        <v>0</v>
      </c>
      <c r="AK106" s="301">
        <f t="shared" ca="1" si="135"/>
        <v>0</v>
      </c>
      <c r="AL106" s="301">
        <f t="shared" ca="1" si="135"/>
        <v>0</v>
      </c>
      <c r="AM106" s="301">
        <f t="shared" ca="1" si="135"/>
        <v>0</v>
      </c>
      <c r="AN106" s="301">
        <f t="shared" ca="1" si="135"/>
        <v>0</v>
      </c>
      <c r="AO106" s="301">
        <f t="shared" ca="1" si="135"/>
        <v>0</v>
      </c>
      <c r="AP106" s="301">
        <f t="shared" ca="1" si="135"/>
        <v>0</v>
      </c>
      <c r="AQ106" s="301">
        <f t="shared" ca="1" si="135"/>
        <v>0</v>
      </c>
      <c r="AR106" s="301">
        <f t="shared" ca="1" si="135"/>
        <v>0</v>
      </c>
      <c r="AS106" s="301">
        <f t="shared" ca="1" si="135"/>
        <v>0</v>
      </c>
      <c r="AT106" s="301">
        <f t="shared" ca="1" si="135"/>
        <v>0</v>
      </c>
      <c r="AU106" s="301">
        <f t="shared" ca="1" si="135"/>
        <v>0</v>
      </c>
      <c r="AV106" s="301">
        <f t="shared" ca="1" si="135"/>
        <v>0</v>
      </c>
      <c r="AW106" s="301">
        <f t="shared" ca="1" si="135"/>
        <v>0</v>
      </c>
      <c r="AX106" s="301">
        <f t="shared" ca="1" si="135"/>
        <v>0</v>
      </c>
      <c r="AY106" s="301">
        <f t="shared" ca="1" si="135"/>
        <v>0</v>
      </c>
      <c r="AZ106" s="301">
        <f t="shared" ca="1" si="135"/>
        <v>0</v>
      </c>
      <c r="BA106" s="301">
        <f t="shared" ca="1" si="135"/>
        <v>0</v>
      </c>
      <c r="BB106" s="301">
        <f t="shared" ca="1" si="135"/>
        <v>0</v>
      </c>
      <c r="BC106" s="301">
        <f t="shared" ca="1" si="135"/>
        <v>0</v>
      </c>
      <c r="BD106" s="301">
        <f t="shared" ca="1" si="135"/>
        <v>0</v>
      </c>
      <c r="BE106" s="301">
        <f t="shared" ca="1" si="135"/>
        <v>0</v>
      </c>
      <c r="BF106" s="301">
        <f t="shared" ca="1" si="135"/>
        <v>0</v>
      </c>
      <c r="BG106" s="301">
        <f t="shared" ca="1" si="135"/>
        <v>0</v>
      </c>
      <c r="BH106" s="301">
        <f t="shared" ca="1" si="135"/>
        <v>0</v>
      </c>
      <c r="BI106" s="301">
        <f t="shared" ca="1" si="135"/>
        <v>0</v>
      </c>
      <c r="BJ106" s="301">
        <f t="shared" ca="1" si="135"/>
        <v>0</v>
      </c>
      <c r="BK106" s="301">
        <f t="shared" ca="1" si="135"/>
        <v>0</v>
      </c>
      <c r="BL106" s="301">
        <f t="shared" ca="1" si="135"/>
        <v>0</v>
      </c>
      <c r="BM106" s="301">
        <f t="shared" ca="1" si="135"/>
        <v>0</v>
      </c>
      <c r="BN106" s="301">
        <f t="shared" ca="1" si="135"/>
        <v>0</v>
      </c>
      <c r="BO106" s="301">
        <f t="shared" si="135"/>
        <v>0</v>
      </c>
      <c r="BP106" s="301">
        <f t="shared" si="135"/>
        <v>0</v>
      </c>
      <c r="BQ106" s="301">
        <f t="shared" si="135"/>
        <v>0</v>
      </c>
      <c r="BR106" s="301">
        <f t="shared" si="135"/>
        <v>0</v>
      </c>
      <c r="BS106" s="301">
        <f t="shared" ref="BS106:ED106" si="136">MIN(BS98,0)</f>
        <v>0</v>
      </c>
      <c r="BT106" s="301">
        <f t="shared" si="136"/>
        <v>0</v>
      </c>
      <c r="BU106" s="301">
        <f t="shared" si="136"/>
        <v>0</v>
      </c>
      <c r="BV106" s="301">
        <f t="shared" si="136"/>
        <v>0</v>
      </c>
      <c r="BW106" s="301">
        <f t="shared" si="136"/>
        <v>0</v>
      </c>
      <c r="BX106" s="301">
        <f t="shared" si="136"/>
        <v>0</v>
      </c>
      <c r="BY106" s="301">
        <f t="shared" si="136"/>
        <v>0</v>
      </c>
      <c r="BZ106" s="301">
        <f t="shared" si="136"/>
        <v>0</v>
      </c>
      <c r="CA106" s="301">
        <f t="shared" si="136"/>
        <v>0</v>
      </c>
      <c r="CB106" s="301">
        <f t="shared" si="136"/>
        <v>0</v>
      </c>
      <c r="CC106" s="301">
        <f t="shared" si="136"/>
        <v>0</v>
      </c>
      <c r="CD106" s="301">
        <f t="shared" si="136"/>
        <v>0</v>
      </c>
      <c r="CE106" s="301">
        <f t="shared" si="136"/>
        <v>0</v>
      </c>
      <c r="CF106" s="301">
        <f t="shared" si="136"/>
        <v>0</v>
      </c>
      <c r="CG106" s="301">
        <f t="shared" si="136"/>
        <v>0</v>
      </c>
      <c r="CH106" s="301">
        <f t="shared" si="136"/>
        <v>0</v>
      </c>
      <c r="CI106" s="301">
        <f t="shared" si="136"/>
        <v>0</v>
      </c>
      <c r="CJ106" s="301">
        <f t="shared" si="136"/>
        <v>0</v>
      </c>
      <c r="CK106" s="301">
        <f t="shared" si="136"/>
        <v>0</v>
      </c>
      <c r="CL106" s="301">
        <f t="shared" si="136"/>
        <v>0</v>
      </c>
      <c r="CM106" s="301">
        <f t="shared" si="136"/>
        <v>0</v>
      </c>
      <c r="CN106" s="301">
        <f t="shared" si="136"/>
        <v>0</v>
      </c>
      <c r="CO106" s="301">
        <f t="shared" si="136"/>
        <v>0</v>
      </c>
      <c r="CP106" s="301">
        <f t="shared" si="136"/>
        <v>0</v>
      </c>
      <c r="CQ106" s="301">
        <f t="shared" si="136"/>
        <v>0</v>
      </c>
      <c r="CR106" s="301">
        <f t="shared" si="136"/>
        <v>0</v>
      </c>
      <c r="CS106" s="301">
        <f t="shared" si="136"/>
        <v>0</v>
      </c>
      <c r="CT106" s="301">
        <f t="shared" si="136"/>
        <v>0</v>
      </c>
      <c r="CU106" s="301">
        <f t="shared" si="136"/>
        <v>0</v>
      </c>
      <c r="CV106" s="301">
        <f t="shared" si="136"/>
        <v>0</v>
      </c>
      <c r="CW106" s="301">
        <f t="shared" si="136"/>
        <v>0</v>
      </c>
      <c r="CX106" s="301">
        <f t="shared" si="136"/>
        <v>0</v>
      </c>
      <c r="CY106" s="301">
        <f t="shared" si="136"/>
        <v>0</v>
      </c>
      <c r="CZ106" s="301">
        <f t="shared" si="136"/>
        <v>0</v>
      </c>
      <c r="DA106" s="301">
        <f t="shared" si="136"/>
        <v>0</v>
      </c>
      <c r="DB106" s="301">
        <f t="shared" si="136"/>
        <v>0</v>
      </c>
      <c r="DC106" s="301">
        <f t="shared" si="136"/>
        <v>0</v>
      </c>
      <c r="DD106" s="301">
        <f t="shared" si="136"/>
        <v>0</v>
      </c>
      <c r="DE106" s="301">
        <f t="shared" si="136"/>
        <v>0</v>
      </c>
      <c r="DF106" s="301">
        <f t="shared" si="136"/>
        <v>0</v>
      </c>
      <c r="DG106" s="301">
        <f t="shared" si="136"/>
        <v>0</v>
      </c>
      <c r="DH106" s="301">
        <f t="shared" si="136"/>
        <v>0</v>
      </c>
      <c r="DI106" s="301">
        <f t="shared" si="136"/>
        <v>0</v>
      </c>
      <c r="DJ106" s="301">
        <f t="shared" si="136"/>
        <v>0</v>
      </c>
      <c r="DK106" s="301">
        <f t="shared" si="136"/>
        <v>0</v>
      </c>
      <c r="DL106" s="301">
        <f t="shared" si="136"/>
        <v>0</v>
      </c>
      <c r="DM106" s="301">
        <f t="shared" si="136"/>
        <v>0</v>
      </c>
      <c r="DN106" s="301">
        <f t="shared" si="136"/>
        <v>0</v>
      </c>
      <c r="DO106" s="301">
        <f t="shared" si="136"/>
        <v>0</v>
      </c>
      <c r="DP106" s="301">
        <f t="shared" si="136"/>
        <v>0</v>
      </c>
      <c r="DQ106" s="301">
        <f t="shared" si="136"/>
        <v>0</v>
      </c>
      <c r="DR106" s="301">
        <f t="shared" si="136"/>
        <v>0</v>
      </c>
      <c r="DS106" s="301">
        <f t="shared" si="136"/>
        <v>0</v>
      </c>
      <c r="DT106" s="301">
        <f t="shared" si="136"/>
        <v>0</v>
      </c>
      <c r="DU106" s="301">
        <f t="shared" si="136"/>
        <v>0</v>
      </c>
      <c r="DV106" s="301">
        <f t="shared" si="136"/>
        <v>0</v>
      </c>
      <c r="DW106" s="301">
        <f t="shared" si="136"/>
        <v>0</v>
      </c>
      <c r="DX106" s="301">
        <f t="shared" si="136"/>
        <v>0</v>
      </c>
      <c r="DY106" s="301">
        <f t="shared" si="136"/>
        <v>0</v>
      </c>
      <c r="DZ106" s="301">
        <f t="shared" si="136"/>
        <v>0</v>
      </c>
      <c r="EA106" s="301">
        <f t="shared" si="136"/>
        <v>0</v>
      </c>
      <c r="EB106" s="301">
        <f t="shared" si="136"/>
        <v>0</v>
      </c>
      <c r="EC106" s="301">
        <f t="shared" si="136"/>
        <v>0</v>
      </c>
      <c r="ED106" s="301">
        <f t="shared" si="136"/>
        <v>0</v>
      </c>
      <c r="EE106" s="301">
        <f t="shared" ref="EE106:EH106" si="137">MIN(EE98,0)</f>
        <v>0</v>
      </c>
      <c r="EF106" s="301">
        <f t="shared" si="137"/>
        <v>0</v>
      </c>
      <c r="EG106" s="301">
        <f t="shared" si="137"/>
        <v>0</v>
      </c>
      <c r="EH106" s="301">
        <f t="shared" si="137"/>
        <v>0</v>
      </c>
      <c r="EI106" s="158" t="s">
        <v>243</v>
      </c>
    </row>
    <row r="107" spans="1:139" s="282" customFormat="1" x14ac:dyDescent="0.2">
      <c r="B107" s="322" t="s">
        <v>920</v>
      </c>
      <c r="C107" s="227"/>
      <c r="D107" s="337">
        <f t="shared" ref="D107:D109" ca="1" si="138">SUM(F107:EH107)</f>
        <v>3580181.1396854674</v>
      </c>
      <c r="E107" s="317"/>
      <c r="F107" s="301">
        <f>IF(F4&gt;HoldPeriod,0,F56+F63+F81)</f>
        <v>0</v>
      </c>
      <c r="G107" s="301">
        <f t="shared" ref="G107:AL107" ca="1" si="139">IF(G4&gt;HoldPeriod,0,G56+G63+G81+G89)</f>
        <v>-8697.5806657179492</v>
      </c>
      <c r="H107" s="301">
        <f t="shared" ca="1" si="139"/>
        <v>-6877.1255721829366</v>
      </c>
      <c r="I107" s="301">
        <f t="shared" ca="1" si="139"/>
        <v>-5059.0785893279244</v>
      </c>
      <c r="J107" s="301">
        <f t="shared" ca="1" si="139"/>
        <v>-3243.4397171529854</v>
      </c>
      <c r="K107" s="301">
        <f t="shared" ca="1" si="139"/>
        <v>-1430.2089556581341</v>
      </c>
      <c r="L107" s="301">
        <f t="shared" ca="1" si="139"/>
        <v>380.61369515668775</v>
      </c>
      <c r="M107" s="301">
        <f t="shared" ca="1" si="139"/>
        <v>2189.0282352913491</v>
      </c>
      <c r="N107" s="301">
        <f t="shared" ca="1" si="139"/>
        <v>3995.0346647460101</v>
      </c>
      <c r="O107" s="301">
        <f t="shared" ca="1" si="139"/>
        <v>5798.6329835206125</v>
      </c>
      <c r="P107" s="301">
        <f t="shared" ca="1" si="139"/>
        <v>7599.8231916151562</v>
      </c>
      <c r="Q107" s="301">
        <f t="shared" ca="1" si="139"/>
        <v>9398.6052890295832</v>
      </c>
      <c r="R107" s="301">
        <f t="shared" ca="1" si="139"/>
        <v>11194.979275763893</v>
      </c>
      <c r="S107" s="301">
        <f t="shared" ca="1" si="139"/>
        <v>25525.300878173628</v>
      </c>
      <c r="T107" s="301">
        <f t="shared" ca="1" si="139"/>
        <v>27910.344547190063</v>
      </c>
      <c r="U107" s="301">
        <f t="shared" ca="1" si="139"/>
        <v>30290.870258301205</v>
      </c>
      <c r="V107" s="301">
        <f t="shared" ca="1" si="139"/>
        <v>32666.878011506982</v>
      </c>
      <c r="W107" s="301">
        <f t="shared" ca="1" si="139"/>
        <v>35038.36780680751</v>
      </c>
      <c r="X107" s="301">
        <f t="shared" ca="1" si="139"/>
        <v>37405.339644202555</v>
      </c>
      <c r="Y107" s="301">
        <f t="shared" ca="1" si="139"/>
        <v>39767.793523692351</v>
      </c>
      <c r="Z107" s="301">
        <f t="shared" ca="1" si="139"/>
        <v>42125.729445276782</v>
      </c>
      <c r="AA107" s="301">
        <f t="shared" ca="1" si="139"/>
        <v>44180.875764144163</v>
      </c>
      <c r="AB107" s="301">
        <f t="shared" ca="1" si="139"/>
        <v>46232.068869844472</v>
      </c>
      <c r="AC107" s="301">
        <f t="shared" ca="1" si="139"/>
        <v>48279.308762377521</v>
      </c>
      <c r="AD107" s="301">
        <f t="shared" ca="1" si="139"/>
        <v>50322.595441743426</v>
      </c>
      <c r="AE107" s="301">
        <f t="shared" ca="1" si="139"/>
        <v>43335.488012826492</v>
      </c>
      <c r="AF107" s="301">
        <f t="shared" ca="1" si="139"/>
        <v>45544.316819862594</v>
      </c>
      <c r="AG107" s="301">
        <f t="shared" ca="1" si="139"/>
        <v>47753.145626898753</v>
      </c>
      <c r="AH107" s="301">
        <f t="shared" ca="1" si="139"/>
        <v>49330.880489067364</v>
      </c>
      <c r="AI107" s="301">
        <f t="shared" ca="1" si="139"/>
        <v>50908.615351236032</v>
      </c>
      <c r="AJ107" s="301">
        <f t="shared" ca="1" si="139"/>
        <v>52486.350213404672</v>
      </c>
      <c r="AK107" s="301">
        <f t="shared" ca="1" si="139"/>
        <v>54064.085075573283</v>
      </c>
      <c r="AL107" s="301">
        <f t="shared" ca="1" si="139"/>
        <v>55641.819937742068</v>
      </c>
      <c r="AM107" s="301">
        <f t="shared" ref="AM107:BR107" ca="1" si="140">IF(AM4&gt;HoldPeriod,0,AM56+AM63+AM81+AM89)</f>
        <v>57219.554799910678</v>
      </c>
      <c r="AN107" s="301">
        <f t="shared" ca="1" si="140"/>
        <v>57219.554799910664</v>
      </c>
      <c r="AO107" s="301">
        <f t="shared" ca="1" si="140"/>
        <v>57219.554799910664</v>
      </c>
      <c r="AP107" s="301">
        <f t="shared" ca="1" si="140"/>
        <v>57219.554799910664</v>
      </c>
      <c r="AQ107" s="301">
        <f t="shared" ca="1" si="140"/>
        <v>96016.841993282113</v>
      </c>
      <c r="AR107" s="301">
        <f t="shared" ca="1" si="140"/>
        <v>96016.841993282113</v>
      </c>
      <c r="AS107" s="301">
        <f t="shared" ca="1" si="140"/>
        <v>96016.841993282113</v>
      </c>
      <c r="AT107" s="301">
        <f t="shared" ca="1" si="140"/>
        <v>96016.841993282113</v>
      </c>
      <c r="AU107" s="301">
        <f t="shared" ca="1" si="140"/>
        <v>96016.841993282113</v>
      </c>
      <c r="AV107" s="301">
        <f t="shared" ca="1" si="140"/>
        <v>96016.841993282113</v>
      </c>
      <c r="AW107" s="301">
        <f t="shared" ca="1" si="140"/>
        <v>96016.841993282113</v>
      </c>
      <c r="AX107" s="301">
        <f t="shared" ca="1" si="140"/>
        <v>96016.841993282113</v>
      </c>
      <c r="AY107" s="301">
        <f t="shared" ca="1" si="140"/>
        <v>96016.841993282113</v>
      </c>
      <c r="AZ107" s="301">
        <f t="shared" ca="1" si="140"/>
        <v>96016.841993282113</v>
      </c>
      <c r="BA107" s="301">
        <f t="shared" ca="1" si="140"/>
        <v>96016.841993282113</v>
      </c>
      <c r="BB107" s="301">
        <f t="shared" ca="1" si="140"/>
        <v>96016.841993282113</v>
      </c>
      <c r="BC107" s="301">
        <f t="shared" ca="1" si="140"/>
        <v>110420.11318762365</v>
      </c>
      <c r="BD107" s="301">
        <f t="shared" ca="1" si="140"/>
        <v>110420.11318762365</v>
      </c>
      <c r="BE107" s="301">
        <f t="shared" ca="1" si="140"/>
        <v>110420.11318762365</v>
      </c>
      <c r="BF107" s="301">
        <f t="shared" ca="1" si="140"/>
        <v>110420.11318762365</v>
      </c>
      <c r="BG107" s="301">
        <f t="shared" ca="1" si="140"/>
        <v>110420.11318762365</v>
      </c>
      <c r="BH107" s="301">
        <f t="shared" ca="1" si="140"/>
        <v>110420.11318762365</v>
      </c>
      <c r="BI107" s="301">
        <f t="shared" ca="1" si="140"/>
        <v>110420.11318762365</v>
      </c>
      <c r="BJ107" s="301">
        <f t="shared" ca="1" si="140"/>
        <v>110420.11318762365</v>
      </c>
      <c r="BK107" s="301">
        <f t="shared" ca="1" si="140"/>
        <v>110420.11318762365</v>
      </c>
      <c r="BL107" s="301">
        <f t="shared" ca="1" si="140"/>
        <v>110420.11318762365</v>
      </c>
      <c r="BM107" s="301">
        <f t="shared" ca="1" si="140"/>
        <v>110420.11318762365</v>
      </c>
      <c r="BN107" s="301">
        <f t="shared" ca="1" si="140"/>
        <v>110420.11318762365</v>
      </c>
      <c r="BO107" s="301">
        <f t="shared" si="140"/>
        <v>0</v>
      </c>
      <c r="BP107" s="301">
        <f t="shared" si="140"/>
        <v>0</v>
      </c>
      <c r="BQ107" s="301">
        <f t="shared" si="140"/>
        <v>0</v>
      </c>
      <c r="BR107" s="301">
        <f t="shared" si="140"/>
        <v>0</v>
      </c>
      <c r="BS107" s="301">
        <f t="shared" ref="BS107:CX107" si="141">IF(BS4&gt;HoldPeriod,0,BS56+BS63+BS81+BS89)</f>
        <v>0</v>
      </c>
      <c r="BT107" s="301">
        <f t="shared" si="141"/>
        <v>0</v>
      </c>
      <c r="BU107" s="301">
        <f t="shared" si="141"/>
        <v>0</v>
      </c>
      <c r="BV107" s="301">
        <f t="shared" si="141"/>
        <v>0</v>
      </c>
      <c r="BW107" s="301">
        <f t="shared" si="141"/>
        <v>0</v>
      </c>
      <c r="BX107" s="301">
        <f t="shared" si="141"/>
        <v>0</v>
      </c>
      <c r="BY107" s="301">
        <f t="shared" si="141"/>
        <v>0</v>
      </c>
      <c r="BZ107" s="301">
        <f t="shared" si="141"/>
        <v>0</v>
      </c>
      <c r="CA107" s="301">
        <f t="shared" si="141"/>
        <v>0</v>
      </c>
      <c r="CB107" s="301">
        <f t="shared" si="141"/>
        <v>0</v>
      </c>
      <c r="CC107" s="301">
        <f t="shared" si="141"/>
        <v>0</v>
      </c>
      <c r="CD107" s="301">
        <f t="shared" si="141"/>
        <v>0</v>
      </c>
      <c r="CE107" s="301">
        <f t="shared" si="141"/>
        <v>0</v>
      </c>
      <c r="CF107" s="301">
        <f t="shared" si="141"/>
        <v>0</v>
      </c>
      <c r="CG107" s="301">
        <f t="shared" si="141"/>
        <v>0</v>
      </c>
      <c r="CH107" s="301">
        <f t="shared" si="141"/>
        <v>0</v>
      </c>
      <c r="CI107" s="301">
        <f t="shared" si="141"/>
        <v>0</v>
      </c>
      <c r="CJ107" s="301">
        <f t="shared" si="141"/>
        <v>0</v>
      </c>
      <c r="CK107" s="301">
        <f t="shared" si="141"/>
        <v>0</v>
      </c>
      <c r="CL107" s="301">
        <f t="shared" si="141"/>
        <v>0</v>
      </c>
      <c r="CM107" s="301">
        <f t="shared" si="141"/>
        <v>0</v>
      </c>
      <c r="CN107" s="301">
        <f t="shared" si="141"/>
        <v>0</v>
      </c>
      <c r="CO107" s="301">
        <f t="shared" si="141"/>
        <v>0</v>
      </c>
      <c r="CP107" s="301">
        <f t="shared" si="141"/>
        <v>0</v>
      </c>
      <c r="CQ107" s="301">
        <f t="shared" si="141"/>
        <v>0</v>
      </c>
      <c r="CR107" s="301">
        <f t="shared" si="141"/>
        <v>0</v>
      </c>
      <c r="CS107" s="301">
        <f t="shared" si="141"/>
        <v>0</v>
      </c>
      <c r="CT107" s="301">
        <f t="shared" si="141"/>
        <v>0</v>
      </c>
      <c r="CU107" s="301">
        <f t="shared" si="141"/>
        <v>0</v>
      </c>
      <c r="CV107" s="301">
        <f t="shared" si="141"/>
        <v>0</v>
      </c>
      <c r="CW107" s="301">
        <f t="shared" si="141"/>
        <v>0</v>
      </c>
      <c r="CX107" s="301">
        <f t="shared" si="141"/>
        <v>0</v>
      </c>
      <c r="CY107" s="301">
        <f t="shared" ref="CY107:EH107" si="142">IF(CY4&gt;HoldPeriod,0,CY56+CY63+CY81+CY89)</f>
        <v>0</v>
      </c>
      <c r="CZ107" s="301">
        <f t="shared" si="142"/>
        <v>0</v>
      </c>
      <c r="DA107" s="301">
        <f t="shared" si="142"/>
        <v>0</v>
      </c>
      <c r="DB107" s="301">
        <f t="shared" si="142"/>
        <v>0</v>
      </c>
      <c r="DC107" s="301">
        <f t="shared" si="142"/>
        <v>0</v>
      </c>
      <c r="DD107" s="301">
        <f t="shared" si="142"/>
        <v>0</v>
      </c>
      <c r="DE107" s="301">
        <f t="shared" si="142"/>
        <v>0</v>
      </c>
      <c r="DF107" s="301">
        <f t="shared" si="142"/>
        <v>0</v>
      </c>
      <c r="DG107" s="301">
        <f t="shared" si="142"/>
        <v>0</v>
      </c>
      <c r="DH107" s="301">
        <f t="shared" si="142"/>
        <v>0</v>
      </c>
      <c r="DI107" s="301">
        <f t="shared" si="142"/>
        <v>0</v>
      </c>
      <c r="DJ107" s="301">
        <f t="shared" si="142"/>
        <v>0</v>
      </c>
      <c r="DK107" s="301">
        <f t="shared" si="142"/>
        <v>0</v>
      </c>
      <c r="DL107" s="301">
        <f t="shared" si="142"/>
        <v>0</v>
      </c>
      <c r="DM107" s="301">
        <f t="shared" si="142"/>
        <v>0</v>
      </c>
      <c r="DN107" s="301">
        <f t="shared" si="142"/>
        <v>0</v>
      </c>
      <c r="DO107" s="301">
        <f t="shared" si="142"/>
        <v>0</v>
      </c>
      <c r="DP107" s="301">
        <f t="shared" si="142"/>
        <v>0</v>
      </c>
      <c r="DQ107" s="301">
        <f t="shared" si="142"/>
        <v>0</v>
      </c>
      <c r="DR107" s="301">
        <f t="shared" si="142"/>
        <v>0</v>
      </c>
      <c r="DS107" s="301">
        <f t="shared" si="142"/>
        <v>0</v>
      </c>
      <c r="DT107" s="301">
        <f t="shared" si="142"/>
        <v>0</v>
      </c>
      <c r="DU107" s="301">
        <f t="shared" si="142"/>
        <v>0</v>
      </c>
      <c r="DV107" s="301">
        <f t="shared" si="142"/>
        <v>0</v>
      </c>
      <c r="DW107" s="301">
        <f t="shared" si="142"/>
        <v>0</v>
      </c>
      <c r="DX107" s="301">
        <f t="shared" si="142"/>
        <v>0</v>
      </c>
      <c r="DY107" s="301">
        <f t="shared" si="142"/>
        <v>0</v>
      </c>
      <c r="DZ107" s="301">
        <f t="shared" si="142"/>
        <v>0</v>
      </c>
      <c r="EA107" s="301">
        <f t="shared" si="142"/>
        <v>0</v>
      </c>
      <c r="EB107" s="301">
        <f t="shared" si="142"/>
        <v>0</v>
      </c>
      <c r="EC107" s="301">
        <f t="shared" si="142"/>
        <v>0</v>
      </c>
      <c r="ED107" s="301">
        <f t="shared" si="142"/>
        <v>0</v>
      </c>
      <c r="EE107" s="301">
        <f t="shared" si="142"/>
        <v>0</v>
      </c>
      <c r="EF107" s="301">
        <f t="shared" si="142"/>
        <v>0</v>
      </c>
      <c r="EG107" s="301">
        <f t="shared" si="142"/>
        <v>0</v>
      </c>
      <c r="EH107" s="301">
        <f t="shared" si="142"/>
        <v>0</v>
      </c>
      <c r="EI107" s="158" t="s">
        <v>243</v>
      </c>
    </row>
    <row r="108" spans="1:139" s="282" customFormat="1" x14ac:dyDescent="0.2">
      <c r="B108" s="322" t="s">
        <v>921</v>
      </c>
      <c r="C108" s="227"/>
      <c r="D108" s="337">
        <f t="shared" ca="1" si="138"/>
        <v>36716325.805034451</v>
      </c>
      <c r="E108" s="317"/>
      <c r="F108" s="301">
        <f>F68+F69+F91+F92+F93+F94+F86+F87+F90</f>
        <v>0</v>
      </c>
      <c r="G108" s="301">
        <f t="shared" ref="G108:BR108" si="143">G68+G69+G91+G92+G93+G94+G86+G87+G90</f>
        <v>0</v>
      </c>
      <c r="H108" s="301">
        <f t="shared" si="143"/>
        <v>0</v>
      </c>
      <c r="I108" s="301">
        <f t="shared" si="143"/>
        <v>0</v>
      </c>
      <c r="J108" s="301">
        <f t="shared" si="143"/>
        <v>0</v>
      </c>
      <c r="K108" s="301">
        <f t="shared" si="143"/>
        <v>0</v>
      </c>
      <c r="L108" s="301">
        <f t="shared" si="143"/>
        <v>0</v>
      </c>
      <c r="M108" s="301">
        <f t="shared" si="143"/>
        <v>0</v>
      </c>
      <c r="N108" s="301">
        <f t="shared" si="143"/>
        <v>0</v>
      </c>
      <c r="O108" s="301">
        <f t="shared" si="143"/>
        <v>0</v>
      </c>
      <c r="P108" s="301">
        <f t="shared" si="143"/>
        <v>0</v>
      </c>
      <c r="Q108" s="301">
        <f t="shared" si="143"/>
        <v>0</v>
      </c>
      <c r="R108" s="301">
        <f t="shared" si="143"/>
        <v>0</v>
      </c>
      <c r="S108" s="301">
        <f t="shared" si="143"/>
        <v>0</v>
      </c>
      <c r="T108" s="301">
        <f t="shared" si="143"/>
        <v>0</v>
      </c>
      <c r="U108" s="301">
        <f t="shared" si="143"/>
        <v>0</v>
      </c>
      <c r="V108" s="301">
        <f t="shared" si="143"/>
        <v>0</v>
      </c>
      <c r="W108" s="301">
        <f t="shared" si="143"/>
        <v>0</v>
      </c>
      <c r="X108" s="301">
        <f t="shared" si="143"/>
        <v>0</v>
      </c>
      <c r="Y108" s="301">
        <f t="shared" si="143"/>
        <v>0</v>
      </c>
      <c r="Z108" s="301">
        <f t="shared" si="143"/>
        <v>0</v>
      </c>
      <c r="AA108" s="301">
        <f t="shared" si="143"/>
        <v>0</v>
      </c>
      <c r="AB108" s="301">
        <f t="shared" si="143"/>
        <v>0</v>
      </c>
      <c r="AC108" s="301">
        <f t="shared" si="143"/>
        <v>0</v>
      </c>
      <c r="AD108" s="301">
        <f t="shared" si="143"/>
        <v>0</v>
      </c>
      <c r="AE108" s="301">
        <f t="shared" si="143"/>
        <v>0</v>
      </c>
      <c r="AF108" s="301">
        <f t="shared" si="143"/>
        <v>0</v>
      </c>
      <c r="AG108" s="301">
        <f t="shared" si="143"/>
        <v>0</v>
      </c>
      <c r="AH108" s="301">
        <f t="shared" si="143"/>
        <v>0</v>
      </c>
      <c r="AI108" s="301">
        <f t="shared" si="143"/>
        <v>0</v>
      </c>
      <c r="AJ108" s="301">
        <f t="shared" si="143"/>
        <v>0</v>
      </c>
      <c r="AK108" s="301">
        <f t="shared" si="143"/>
        <v>0</v>
      </c>
      <c r="AL108" s="301">
        <f t="shared" si="143"/>
        <v>0</v>
      </c>
      <c r="AM108" s="301">
        <f t="shared" si="143"/>
        <v>0</v>
      </c>
      <c r="AN108" s="301">
        <f t="shared" si="143"/>
        <v>0</v>
      </c>
      <c r="AO108" s="301">
        <f t="shared" si="143"/>
        <v>0</v>
      </c>
      <c r="AP108" s="301">
        <f t="shared" ca="1" si="143"/>
        <v>2479749.5253277645</v>
      </c>
      <c r="AQ108" s="301">
        <f t="shared" si="143"/>
        <v>0</v>
      </c>
      <c r="AR108" s="301">
        <f t="shared" si="143"/>
        <v>0</v>
      </c>
      <c r="AS108" s="301">
        <f t="shared" si="143"/>
        <v>0</v>
      </c>
      <c r="AT108" s="301">
        <f t="shared" si="143"/>
        <v>0</v>
      </c>
      <c r="AU108" s="301">
        <f t="shared" si="143"/>
        <v>0</v>
      </c>
      <c r="AV108" s="301">
        <f t="shared" si="143"/>
        <v>0</v>
      </c>
      <c r="AW108" s="301">
        <f t="shared" si="143"/>
        <v>0</v>
      </c>
      <c r="AX108" s="301">
        <f t="shared" si="143"/>
        <v>0</v>
      </c>
      <c r="AY108" s="301">
        <f t="shared" si="143"/>
        <v>0</v>
      </c>
      <c r="AZ108" s="301">
        <f t="shared" si="143"/>
        <v>0</v>
      </c>
      <c r="BA108" s="301">
        <f t="shared" si="143"/>
        <v>0</v>
      </c>
      <c r="BB108" s="301">
        <f t="shared" si="143"/>
        <v>0</v>
      </c>
      <c r="BC108" s="301">
        <f t="shared" si="143"/>
        <v>0</v>
      </c>
      <c r="BD108" s="301">
        <f t="shared" si="143"/>
        <v>0</v>
      </c>
      <c r="BE108" s="301">
        <f t="shared" si="143"/>
        <v>0</v>
      </c>
      <c r="BF108" s="301">
        <f t="shared" si="143"/>
        <v>0</v>
      </c>
      <c r="BG108" s="301">
        <f t="shared" si="143"/>
        <v>0</v>
      </c>
      <c r="BH108" s="301">
        <f t="shared" si="143"/>
        <v>0</v>
      </c>
      <c r="BI108" s="301">
        <f t="shared" si="143"/>
        <v>0</v>
      </c>
      <c r="BJ108" s="301">
        <f t="shared" si="143"/>
        <v>0</v>
      </c>
      <c r="BK108" s="301">
        <f t="shared" si="143"/>
        <v>0</v>
      </c>
      <c r="BL108" s="301">
        <f t="shared" si="143"/>
        <v>0</v>
      </c>
      <c r="BM108" s="301">
        <f t="shared" si="143"/>
        <v>0</v>
      </c>
      <c r="BN108" s="301">
        <f t="shared" ca="1" si="143"/>
        <v>34236576.279706687</v>
      </c>
      <c r="BO108" s="301">
        <f t="shared" si="143"/>
        <v>0</v>
      </c>
      <c r="BP108" s="301">
        <f t="shared" si="143"/>
        <v>0</v>
      </c>
      <c r="BQ108" s="301">
        <f t="shared" si="143"/>
        <v>0</v>
      </c>
      <c r="BR108" s="301">
        <f t="shared" si="143"/>
        <v>0</v>
      </c>
      <c r="BS108" s="301">
        <f t="shared" ref="BS108:ED108" si="144">BS68+BS69+BS91+BS92+BS93+BS94+BS86+BS87+BS90</f>
        <v>0</v>
      </c>
      <c r="BT108" s="301">
        <f t="shared" si="144"/>
        <v>0</v>
      </c>
      <c r="BU108" s="301">
        <f t="shared" si="144"/>
        <v>0</v>
      </c>
      <c r="BV108" s="301">
        <f t="shared" si="144"/>
        <v>0</v>
      </c>
      <c r="BW108" s="301">
        <f t="shared" si="144"/>
        <v>0</v>
      </c>
      <c r="BX108" s="301">
        <f t="shared" si="144"/>
        <v>0</v>
      </c>
      <c r="BY108" s="301">
        <f t="shared" si="144"/>
        <v>0</v>
      </c>
      <c r="BZ108" s="301">
        <f t="shared" si="144"/>
        <v>0</v>
      </c>
      <c r="CA108" s="301">
        <f t="shared" si="144"/>
        <v>0</v>
      </c>
      <c r="CB108" s="301">
        <f t="shared" si="144"/>
        <v>0</v>
      </c>
      <c r="CC108" s="301">
        <f t="shared" si="144"/>
        <v>0</v>
      </c>
      <c r="CD108" s="301">
        <f t="shared" si="144"/>
        <v>0</v>
      </c>
      <c r="CE108" s="301">
        <f t="shared" si="144"/>
        <v>0</v>
      </c>
      <c r="CF108" s="301">
        <f t="shared" si="144"/>
        <v>0</v>
      </c>
      <c r="CG108" s="301">
        <f t="shared" si="144"/>
        <v>0</v>
      </c>
      <c r="CH108" s="301">
        <f t="shared" si="144"/>
        <v>0</v>
      </c>
      <c r="CI108" s="301">
        <f t="shared" si="144"/>
        <v>0</v>
      </c>
      <c r="CJ108" s="301">
        <f t="shared" si="144"/>
        <v>0</v>
      </c>
      <c r="CK108" s="301">
        <f t="shared" si="144"/>
        <v>0</v>
      </c>
      <c r="CL108" s="301">
        <f t="shared" si="144"/>
        <v>0</v>
      </c>
      <c r="CM108" s="301">
        <f t="shared" si="144"/>
        <v>0</v>
      </c>
      <c r="CN108" s="301">
        <f t="shared" si="144"/>
        <v>0</v>
      </c>
      <c r="CO108" s="301">
        <f t="shared" si="144"/>
        <v>0</v>
      </c>
      <c r="CP108" s="301">
        <f t="shared" si="144"/>
        <v>0</v>
      </c>
      <c r="CQ108" s="301">
        <f t="shared" si="144"/>
        <v>0</v>
      </c>
      <c r="CR108" s="301">
        <f t="shared" si="144"/>
        <v>0</v>
      </c>
      <c r="CS108" s="301">
        <f t="shared" si="144"/>
        <v>0</v>
      </c>
      <c r="CT108" s="301">
        <f t="shared" si="144"/>
        <v>0</v>
      </c>
      <c r="CU108" s="301">
        <f t="shared" si="144"/>
        <v>0</v>
      </c>
      <c r="CV108" s="301">
        <f t="shared" si="144"/>
        <v>0</v>
      </c>
      <c r="CW108" s="301">
        <f t="shared" si="144"/>
        <v>0</v>
      </c>
      <c r="CX108" s="301">
        <f t="shared" si="144"/>
        <v>0</v>
      </c>
      <c r="CY108" s="301">
        <f t="shared" si="144"/>
        <v>0</v>
      </c>
      <c r="CZ108" s="301">
        <f t="shared" si="144"/>
        <v>0</v>
      </c>
      <c r="DA108" s="301">
        <f t="shared" si="144"/>
        <v>0</v>
      </c>
      <c r="DB108" s="301">
        <f t="shared" si="144"/>
        <v>0</v>
      </c>
      <c r="DC108" s="301">
        <f t="shared" si="144"/>
        <v>0</v>
      </c>
      <c r="DD108" s="301">
        <f t="shared" si="144"/>
        <v>0</v>
      </c>
      <c r="DE108" s="301">
        <f t="shared" si="144"/>
        <v>0</v>
      </c>
      <c r="DF108" s="301">
        <f t="shared" si="144"/>
        <v>0</v>
      </c>
      <c r="DG108" s="301">
        <f t="shared" si="144"/>
        <v>0</v>
      </c>
      <c r="DH108" s="301">
        <f t="shared" si="144"/>
        <v>0</v>
      </c>
      <c r="DI108" s="301">
        <f t="shared" si="144"/>
        <v>0</v>
      </c>
      <c r="DJ108" s="301">
        <f t="shared" si="144"/>
        <v>0</v>
      </c>
      <c r="DK108" s="301">
        <f t="shared" si="144"/>
        <v>0</v>
      </c>
      <c r="DL108" s="301">
        <f t="shared" si="144"/>
        <v>0</v>
      </c>
      <c r="DM108" s="301">
        <f t="shared" si="144"/>
        <v>0</v>
      </c>
      <c r="DN108" s="301">
        <f t="shared" si="144"/>
        <v>0</v>
      </c>
      <c r="DO108" s="301">
        <f t="shared" si="144"/>
        <v>0</v>
      </c>
      <c r="DP108" s="301">
        <f t="shared" si="144"/>
        <v>0</v>
      </c>
      <c r="DQ108" s="301">
        <f t="shared" si="144"/>
        <v>0</v>
      </c>
      <c r="DR108" s="301">
        <f t="shared" si="144"/>
        <v>0</v>
      </c>
      <c r="DS108" s="301">
        <f t="shared" si="144"/>
        <v>0</v>
      </c>
      <c r="DT108" s="301">
        <f t="shared" si="144"/>
        <v>0</v>
      </c>
      <c r="DU108" s="301">
        <f t="shared" si="144"/>
        <v>0</v>
      </c>
      <c r="DV108" s="301">
        <f t="shared" si="144"/>
        <v>0</v>
      </c>
      <c r="DW108" s="301">
        <f t="shared" si="144"/>
        <v>0</v>
      </c>
      <c r="DX108" s="301">
        <f t="shared" si="144"/>
        <v>0</v>
      </c>
      <c r="DY108" s="301">
        <f t="shared" si="144"/>
        <v>0</v>
      </c>
      <c r="DZ108" s="301">
        <f t="shared" si="144"/>
        <v>0</v>
      </c>
      <c r="EA108" s="301">
        <f t="shared" si="144"/>
        <v>0</v>
      </c>
      <c r="EB108" s="301">
        <f t="shared" si="144"/>
        <v>0</v>
      </c>
      <c r="EC108" s="301">
        <f t="shared" si="144"/>
        <v>0</v>
      </c>
      <c r="ED108" s="301">
        <f t="shared" si="144"/>
        <v>0</v>
      </c>
      <c r="EE108" s="301">
        <f t="shared" ref="EE108:EH108" si="145">EE68+EE69+EE91+EE92+EE93+EE94+EE86+EE87+EE90</f>
        <v>0</v>
      </c>
      <c r="EF108" s="301">
        <f t="shared" si="145"/>
        <v>0</v>
      </c>
      <c r="EG108" s="301">
        <f t="shared" si="145"/>
        <v>0</v>
      </c>
      <c r="EH108" s="301">
        <f t="shared" si="145"/>
        <v>0</v>
      </c>
      <c r="EI108" s="158" t="s">
        <v>243</v>
      </c>
    </row>
    <row r="109" spans="1:139" s="282" customFormat="1" x14ac:dyDescent="0.2">
      <c r="B109" s="326" t="s">
        <v>922</v>
      </c>
      <c r="C109" s="338"/>
      <c r="D109" s="339">
        <f t="shared" ca="1" si="138"/>
        <v>30388162.160832871</v>
      </c>
      <c r="E109" s="340"/>
      <c r="F109" s="341">
        <f>SUM(F106:F108)</f>
        <v>-9883037.350387007</v>
      </c>
      <c r="G109" s="341">
        <f t="shared" ref="G109:BR109" ca="1" si="146">SUM(G106:G108)</f>
        <v>-17395.161331435898</v>
      </c>
      <c r="H109" s="341">
        <f t="shared" ca="1" si="146"/>
        <v>-13754.251144365873</v>
      </c>
      <c r="I109" s="341">
        <f t="shared" ca="1" si="146"/>
        <v>-10118.157178655849</v>
      </c>
      <c r="J109" s="341">
        <f t="shared" ca="1" si="146"/>
        <v>-6486.8794343059708</v>
      </c>
      <c r="K109" s="341">
        <f t="shared" ca="1" si="146"/>
        <v>-2860.4179113162681</v>
      </c>
      <c r="L109" s="341">
        <f t="shared" ca="1" si="146"/>
        <v>380.61369515668775</v>
      </c>
      <c r="M109" s="341">
        <f t="shared" ca="1" si="146"/>
        <v>2189.0282352913491</v>
      </c>
      <c r="N109" s="341">
        <f t="shared" ca="1" si="146"/>
        <v>3995.0346647460101</v>
      </c>
      <c r="O109" s="341">
        <f t="shared" ca="1" si="146"/>
        <v>5798.6329835206125</v>
      </c>
      <c r="P109" s="341">
        <f t="shared" ca="1" si="146"/>
        <v>7599.8231916151562</v>
      </c>
      <c r="Q109" s="341">
        <f t="shared" ca="1" si="146"/>
        <v>9398.6052890295832</v>
      </c>
      <c r="R109" s="341">
        <f t="shared" ca="1" si="146"/>
        <v>11194.979275763893</v>
      </c>
      <c r="S109" s="341">
        <f t="shared" ca="1" si="146"/>
        <v>25525.300878173628</v>
      </c>
      <c r="T109" s="341">
        <f t="shared" ca="1" si="146"/>
        <v>27910.344547190063</v>
      </c>
      <c r="U109" s="341">
        <f t="shared" ca="1" si="146"/>
        <v>30290.870258301205</v>
      </c>
      <c r="V109" s="341">
        <f t="shared" ca="1" si="146"/>
        <v>32666.878011506982</v>
      </c>
      <c r="W109" s="341">
        <f t="shared" ca="1" si="146"/>
        <v>35038.36780680751</v>
      </c>
      <c r="X109" s="341">
        <f t="shared" ca="1" si="146"/>
        <v>37405.339644202555</v>
      </c>
      <c r="Y109" s="341">
        <f t="shared" ca="1" si="146"/>
        <v>39767.793523692351</v>
      </c>
      <c r="Z109" s="341">
        <f t="shared" ca="1" si="146"/>
        <v>42125.729445276782</v>
      </c>
      <c r="AA109" s="341">
        <f t="shared" ca="1" si="146"/>
        <v>44180.875764144163</v>
      </c>
      <c r="AB109" s="341">
        <f t="shared" ca="1" si="146"/>
        <v>46232.068869844472</v>
      </c>
      <c r="AC109" s="341">
        <f t="shared" ca="1" si="146"/>
        <v>48279.308762377521</v>
      </c>
      <c r="AD109" s="341">
        <f t="shared" ca="1" si="146"/>
        <v>50322.595441743426</v>
      </c>
      <c r="AE109" s="341">
        <f t="shared" ca="1" si="146"/>
        <v>43335.488012826492</v>
      </c>
      <c r="AF109" s="341">
        <f t="shared" ca="1" si="146"/>
        <v>45544.316819862594</v>
      </c>
      <c r="AG109" s="341">
        <f t="shared" ca="1" si="146"/>
        <v>47753.145626898753</v>
      </c>
      <c r="AH109" s="341">
        <f t="shared" ca="1" si="146"/>
        <v>49330.880489067364</v>
      </c>
      <c r="AI109" s="341">
        <f t="shared" ca="1" si="146"/>
        <v>50908.615351236032</v>
      </c>
      <c r="AJ109" s="341">
        <f t="shared" ca="1" si="146"/>
        <v>52486.350213404672</v>
      </c>
      <c r="AK109" s="341">
        <f t="shared" ca="1" si="146"/>
        <v>54064.085075573283</v>
      </c>
      <c r="AL109" s="341">
        <f t="shared" ca="1" si="146"/>
        <v>55641.819937742068</v>
      </c>
      <c r="AM109" s="341">
        <f t="shared" ca="1" si="146"/>
        <v>57219.554799910678</v>
      </c>
      <c r="AN109" s="341">
        <f t="shared" ca="1" si="146"/>
        <v>57219.554799910664</v>
      </c>
      <c r="AO109" s="341">
        <f t="shared" ca="1" si="146"/>
        <v>57219.554799910664</v>
      </c>
      <c r="AP109" s="341">
        <f t="shared" ca="1" si="146"/>
        <v>2536969.0801276751</v>
      </c>
      <c r="AQ109" s="341">
        <f t="shared" ca="1" si="146"/>
        <v>96016.841993282113</v>
      </c>
      <c r="AR109" s="341">
        <f t="shared" ca="1" si="146"/>
        <v>96016.841993282113</v>
      </c>
      <c r="AS109" s="341">
        <f t="shared" ca="1" si="146"/>
        <v>96016.841993282113</v>
      </c>
      <c r="AT109" s="341">
        <f t="shared" ca="1" si="146"/>
        <v>96016.841993282113</v>
      </c>
      <c r="AU109" s="341">
        <f t="shared" ca="1" si="146"/>
        <v>96016.841993282113</v>
      </c>
      <c r="AV109" s="341">
        <f t="shared" ca="1" si="146"/>
        <v>96016.841993282113</v>
      </c>
      <c r="AW109" s="341">
        <f t="shared" ca="1" si="146"/>
        <v>96016.841993282113</v>
      </c>
      <c r="AX109" s="341">
        <f t="shared" ca="1" si="146"/>
        <v>96016.841993282113</v>
      </c>
      <c r="AY109" s="341">
        <f t="shared" ca="1" si="146"/>
        <v>96016.841993282113</v>
      </c>
      <c r="AZ109" s="341">
        <f t="shared" ca="1" si="146"/>
        <v>96016.841993282113</v>
      </c>
      <c r="BA109" s="341">
        <f t="shared" ca="1" si="146"/>
        <v>96016.841993282113</v>
      </c>
      <c r="BB109" s="341">
        <f t="shared" ca="1" si="146"/>
        <v>96016.841993282113</v>
      </c>
      <c r="BC109" s="341">
        <f t="shared" ca="1" si="146"/>
        <v>110420.11318762365</v>
      </c>
      <c r="BD109" s="341">
        <f t="shared" ca="1" si="146"/>
        <v>110420.11318762365</v>
      </c>
      <c r="BE109" s="341">
        <f t="shared" ca="1" si="146"/>
        <v>110420.11318762365</v>
      </c>
      <c r="BF109" s="341">
        <f t="shared" ca="1" si="146"/>
        <v>110420.11318762365</v>
      </c>
      <c r="BG109" s="341">
        <f t="shared" ca="1" si="146"/>
        <v>110420.11318762365</v>
      </c>
      <c r="BH109" s="341">
        <f t="shared" ca="1" si="146"/>
        <v>110420.11318762365</v>
      </c>
      <c r="BI109" s="341">
        <f t="shared" ca="1" si="146"/>
        <v>110420.11318762365</v>
      </c>
      <c r="BJ109" s="341">
        <f t="shared" ca="1" si="146"/>
        <v>110420.11318762365</v>
      </c>
      <c r="BK109" s="341">
        <f t="shared" ca="1" si="146"/>
        <v>110420.11318762365</v>
      </c>
      <c r="BL109" s="341">
        <f t="shared" ca="1" si="146"/>
        <v>110420.11318762365</v>
      </c>
      <c r="BM109" s="341">
        <f t="shared" ca="1" si="146"/>
        <v>110420.11318762365</v>
      </c>
      <c r="BN109" s="341">
        <f t="shared" ca="1" si="146"/>
        <v>34346996.392894313</v>
      </c>
      <c r="BO109" s="341">
        <f t="shared" si="146"/>
        <v>0</v>
      </c>
      <c r="BP109" s="341">
        <f t="shared" si="146"/>
        <v>0</v>
      </c>
      <c r="BQ109" s="341">
        <f t="shared" si="146"/>
        <v>0</v>
      </c>
      <c r="BR109" s="341">
        <f t="shared" si="146"/>
        <v>0</v>
      </c>
      <c r="BS109" s="341">
        <f t="shared" ref="BS109:ED109" si="147">SUM(BS106:BS108)</f>
        <v>0</v>
      </c>
      <c r="BT109" s="341">
        <f t="shared" si="147"/>
        <v>0</v>
      </c>
      <c r="BU109" s="341">
        <f t="shared" si="147"/>
        <v>0</v>
      </c>
      <c r="BV109" s="341">
        <f t="shared" si="147"/>
        <v>0</v>
      </c>
      <c r="BW109" s="341">
        <f t="shared" si="147"/>
        <v>0</v>
      </c>
      <c r="BX109" s="341">
        <f t="shared" si="147"/>
        <v>0</v>
      </c>
      <c r="BY109" s="341">
        <f t="shared" si="147"/>
        <v>0</v>
      </c>
      <c r="BZ109" s="341">
        <f t="shared" si="147"/>
        <v>0</v>
      </c>
      <c r="CA109" s="341">
        <f t="shared" si="147"/>
        <v>0</v>
      </c>
      <c r="CB109" s="341">
        <f t="shared" si="147"/>
        <v>0</v>
      </c>
      <c r="CC109" s="341">
        <f t="shared" si="147"/>
        <v>0</v>
      </c>
      <c r="CD109" s="341">
        <f t="shared" si="147"/>
        <v>0</v>
      </c>
      <c r="CE109" s="341">
        <f t="shared" si="147"/>
        <v>0</v>
      </c>
      <c r="CF109" s="341">
        <f t="shared" si="147"/>
        <v>0</v>
      </c>
      <c r="CG109" s="341">
        <f t="shared" si="147"/>
        <v>0</v>
      </c>
      <c r="CH109" s="341">
        <f t="shared" si="147"/>
        <v>0</v>
      </c>
      <c r="CI109" s="341">
        <f t="shared" si="147"/>
        <v>0</v>
      </c>
      <c r="CJ109" s="341">
        <f t="shared" si="147"/>
        <v>0</v>
      </c>
      <c r="CK109" s="341">
        <f t="shared" si="147"/>
        <v>0</v>
      </c>
      <c r="CL109" s="341">
        <f t="shared" si="147"/>
        <v>0</v>
      </c>
      <c r="CM109" s="341">
        <f t="shared" si="147"/>
        <v>0</v>
      </c>
      <c r="CN109" s="341">
        <f t="shared" si="147"/>
        <v>0</v>
      </c>
      <c r="CO109" s="341">
        <f t="shared" si="147"/>
        <v>0</v>
      </c>
      <c r="CP109" s="341">
        <f t="shared" si="147"/>
        <v>0</v>
      </c>
      <c r="CQ109" s="341">
        <f t="shared" si="147"/>
        <v>0</v>
      </c>
      <c r="CR109" s="341">
        <f t="shared" si="147"/>
        <v>0</v>
      </c>
      <c r="CS109" s="341">
        <f t="shared" si="147"/>
        <v>0</v>
      </c>
      <c r="CT109" s="341">
        <f t="shared" si="147"/>
        <v>0</v>
      </c>
      <c r="CU109" s="341">
        <f t="shared" si="147"/>
        <v>0</v>
      </c>
      <c r="CV109" s="341">
        <f t="shared" si="147"/>
        <v>0</v>
      </c>
      <c r="CW109" s="341">
        <f t="shared" si="147"/>
        <v>0</v>
      </c>
      <c r="CX109" s="341">
        <f t="shared" si="147"/>
        <v>0</v>
      </c>
      <c r="CY109" s="341">
        <f t="shared" si="147"/>
        <v>0</v>
      </c>
      <c r="CZ109" s="341">
        <f t="shared" si="147"/>
        <v>0</v>
      </c>
      <c r="DA109" s="341">
        <f t="shared" si="147"/>
        <v>0</v>
      </c>
      <c r="DB109" s="341">
        <f t="shared" si="147"/>
        <v>0</v>
      </c>
      <c r="DC109" s="341">
        <f t="shared" si="147"/>
        <v>0</v>
      </c>
      <c r="DD109" s="341">
        <f t="shared" si="147"/>
        <v>0</v>
      </c>
      <c r="DE109" s="341">
        <f t="shared" si="147"/>
        <v>0</v>
      </c>
      <c r="DF109" s="341">
        <f t="shared" si="147"/>
        <v>0</v>
      </c>
      <c r="DG109" s="341">
        <f t="shared" si="147"/>
        <v>0</v>
      </c>
      <c r="DH109" s="341">
        <f t="shared" si="147"/>
        <v>0</v>
      </c>
      <c r="DI109" s="341">
        <f t="shared" si="147"/>
        <v>0</v>
      </c>
      <c r="DJ109" s="341">
        <f t="shared" si="147"/>
        <v>0</v>
      </c>
      <c r="DK109" s="341">
        <f t="shared" si="147"/>
        <v>0</v>
      </c>
      <c r="DL109" s="341">
        <f t="shared" si="147"/>
        <v>0</v>
      </c>
      <c r="DM109" s="341">
        <f t="shared" si="147"/>
        <v>0</v>
      </c>
      <c r="DN109" s="341">
        <f t="shared" si="147"/>
        <v>0</v>
      </c>
      <c r="DO109" s="341">
        <f t="shared" si="147"/>
        <v>0</v>
      </c>
      <c r="DP109" s="341">
        <f t="shared" si="147"/>
        <v>0</v>
      </c>
      <c r="DQ109" s="341">
        <f t="shared" si="147"/>
        <v>0</v>
      </c>
      <c r="DR109" s="341">
        <f t="shared" si="147"/>
        <v>0</v>
      </c>
      <c r="DS109" s="341">
        <f t="shared" si="147"/>
        <v>0</v>
      </c>
      <c r="DT109" s="341">
        <f t="shared" si="147"/>
        <v>0</v>
      </c>
      <c r="DU109" s="341">
        <f t="shared" si="147"/>
        <v>0</v>
      </c>
      <c r="DV109" s="341">
        <f t="shared" si="147"/>
        <v>0</v>
      </c>
      <c r="DW109" s="341">
        <f t="shared" si="147"/>
        <v>0</v>
      </c>
      <c r="DX109" s="341">
        <f t="shared" si="147"/>
        <v>0</v>
      </c>
      <c r="DY109" s="341">
        <f t="shared" si="147"/>
        <v>0</v>
      </c>
      <c r="DZ109" s="341">
        <f t="shared" si="147"/>
        <v>0</v>
      </c>
      <c r="EA109" s="341">
        <f t="shared" si="147"/>
        <v>0</v>
      </c>
      <c r="EB109" s="341">
        <f t="shared" si="147"/>
        <v>0</v>
      </c>
      <c r="EC109" s="341">
        <f t="shared" si="147"/>
        <v>0</v>
      </c>
      <c r="ED109" s="341">
        <f t="shared" si="147"/>
        <v>0</v>
      </c>
      <c r="EE109" s="341">
        <f t="shared" ref="EE109:EH109" si="148">SUM(EE106:EE108)</f>
        <v>0</v>
      </c>
      <c r="EF109" s="341">
        <f t="shared" si="148"/>
        <v>0</v>
      </c>
      <c r="EG109" s="341">
        <f t="shared" si="148"/>
        <v>0</v>
      </c>
      <c r="EH109" s="341">
        <f t="shared" si="148"/>
        <v>0</v>
      </c>
      <c r="EI109" s="316" t="s">
        <v>243</v>
      </c>
    </row>
    <row r="110" spans="1:139" s="282" customFormat="1" x14ac:dyDescent="0.2">
      <c r="B110" s="322"/>
      <c r="C110" s="227"/>
      <c r="D110" s="332"/>
      <c r="E110" s="317"/>
      <c r="F110" s="301"/>
      <c r="G110" s="336"/>
      <c r="H110" s="336"/>
      <c r="I110" s="336"/>
      <c r="J110" s="336"/>
      <c r="K110" s="336"/>
      <c r="L110" s="336"/>
      <c r="M110" s="336"/>
      <c r="N110" s="336"/>
      <c r="O110" s="336"/>
      <c r="P110" s="336"/>
      <c r="Q110" s="336"/>
      <c r="R110" s="336"/>
      <c r="S110" s="336"/>
      <c r="T110" s="336"/>
      <c r="U110" s="336"/>
      <c r="V110" s="336"/>
      <c r="W110" s="336"/>
      <c r="X110" s="336"/>
      <c r="Y110" s="336"/>
      <c r="Z110" s="336"/>
      <c r="AA110" s="336"/>
      <c r="AB110" s="336"/>
      <c r="AC110" s="336"/>
      <c r="AD110" s="336"/>
      <c r="AE110" s="336"/>
      <c r="AF110" s="336"/>
      <c r="AG110" s="336"/>
      <c r="AH110" s="336"/>
      <c r="AI110" s="336"/>
      <c r="AJ110" s="336"/>
      <c r="AK110" s="336"/>
      <c r="AL110" s="336"/>
      <c r="AM110" s="336"/>
      <c r="AN110" s="336"/>
      <c r="AO110" s="336"/>
      <c r="AP110" s="336"/>
      <c r="AQ110" s="336"/>
      <c r="AR110" s="336"/>
      <c r="AS110" s="336"/>
      <c r="AT110" s="336"/>
      <c r="AU110" s="336"/>
      <c r="AV110" s="336"/>
      <c r="AW110" s="336"/>
      <c r="AX110" s="336"/>
      <c r="AY110" s="336"/>
      <c r="AZ110" s="336"/>
      <c r="BA110" s="336"/>
      <c r="BB110" s="336"/>
      <c r="BC110" s="336"/>
      <c r="BD110" s="336"/>
      <c r="BE110" s="336"/>
      <c r="BF110" s="336"/>
      <c r="BG110" s="336"/>
      <c r="BH110" s="336"/>
      <c r="BI110" s="336"/>
      <c r="BJ110" s="336"/>
      <c r="BK110" s="336"/>
      <c r="BL110" s="336"/>
      <c r="BM110" s="336"/>
      <c r="BN110" s="336"/>
      <c r="BO110" s="336"/>
      <c r="BP110" s="336"/>
      <c r="BQ110" s="336"/>
      <c r="BR110" s="336"/>
      <c r="BS110" s="336"/>
      <c r="BT110" s="336"/>
      <c r="BU110" s="336"/>
      <c r="BV110" s="336"/>
      <c r="BW110" s="336"/>
      <c r="BX110" s="336"/>
      <c r="BY110" s="336"/>
      <c r="BZ110" s="336"/>
      <c r="CA110" s="336"/>
      <c r="CB110" s="336"/>
      <c r="CC110" s="336"/>
      <c r="CD110" s="336"/>
      <c r="CE110" s="336"/>
      <c r="CF110" s="336"/>
      <c r="CG110" s="336"/>
      <c r="CH110" s="336"/>
      <c r="CI110" s="336"/>
      <c r="CJ110" s="336"/>
      <c r="CK110" s="336"/>
      <c r="CL110" s="336"/>
      <c r="CM110" s="336"/>
      <c r="CN110" s="336"/>
      <c r="CO110" s="336"/>
      <c r="CP110" s="336"/>
      <c r="CQ110" s="336"/>
      <c r="CR110" s="336"/>
      <c r="CS110" s="336"/>
      <c r="CT110" s="336"/>
      <c r="CU110" s="336"/>
      <c r="CV110" s="336"/>
      <c r="CW110" s="336"/>
      <c r="CX110" s="336"/>
      <c r="CY110" s="336"/>
      <c r="CZ110" s="336"/>
      <c r="DA110" s="336"/>
      <c r="DB110" s="336"/>
      <c r="DC110" s="336"/>
      <c r="DD110" s="336"/>
      <c r="DE110" s="336"/>
      <c r="DF110" s="336"/>
      <c r="DG110" s="336"/>
      <c r="DH110" s="336"/>
      <c r="DI110" s="336"/>
      <c r="DJ110" s="336"/>
      <c r="DK110" s="336"/>
      <c r="DL110" s="336"/>
      <c r="DM110" s="336"/>
      <c r="DN110" s="336"/>
      <c r="DO110" s="336"/>
      <c r="DP110" s="336"/>
      <c r="DQ110" s="336"/>
      <c r="DR110" s="336"/>
      <c r="DS110" s="336"/>
      <c r="DT110" s="336"/>
      <c r="DU110" s="336"/>
      <c r="DV110" s="336"/>
      <c r="DW110" s="336"/>
      <c r="DX110" s="336"/>
      <c r="DY110" s="336"/>
      <c r="DZ110" s="336"/>
      <c r="EA110" s="336"/>
      <c r="EB110" s="336"/>
      <c r="EC110" s="336"/>
      <c r="ED110" s="336"/>
      <c r="EE110" s="336"/>
      <c r="EF110" s="336"/>
      <c r="EG110" s="336"/>
      <c r="EH110" s="336"/>
      <c r="EI110" s="158" t="s">
        <v>243</v>
      </c>
    </row>
    <row r="111" spans="1:139" s="282" customFormat="1" x14ac:dyDescent="0.2">
      <c r="B111" s="322"/>
      <c r="C111" s="227"/>
      <c r="D111" s="332"/>
      <c r="E111" s="317"/>
      <c r="F111" s="301"/>
      <c r="G111" s="336"/>
      <c r="H111" s="336"/>
      <c r="I111" s="336"/>
      <c r="J111" s="336"/>
      <c r="K111" s="336"/>
      <c r="L111" s="336"/>
      <c r="M111" s="336"/>
      <c r="N111" s="336"/>
      <c r="O111" s="336"/>
      <c r="P111" s="336"/>
      <c r="Q111" s="336"/>
      <c r="R111" s="336"/>
      <c r="S111" s="336"/>
      <c r="T111" s="336"/>
      <c r="U111" s="336"/>
      <c r="V111" s="336"/>
      <c r="W111" s="336"/>
      <c r="X111" s="336"/>
      <c r="Y111" s="336"/>
      <c r="Z111" s="336"/>
      <c r="AA111" s="336"/>
      <c r="AB111" s="336"/>
      <c r="AC111" s="336"/>
      <c r="AD111" s="336"/>
      <c r="AE111" s="336"/>
      <c r="AF111" s="336"/>
      <c r="AG111" s="336"/>
      <c r="AH111" s="336"/>
      <c r="AI111" s="336"/>
      <c r="AJ111" s="336"/>
      <c r="AK111" s="336"/>
      <c r="AL111" s="336"/>
      <c r="AM111" s="336"/>
      <c r="AN111" s="336"/>
      <c r="AO111" s="336"/>
      <c r="AP111" s="336"/>
      <c r="AQ111" s="336"/>
      <c r="AR111" s="336"/>
      <c r="AS111" s="336"/>
      <c r="AT111" s="336"/>
      <c r="AU111" s="336"/>
      <c r="AV111" s="336"/>
      <c r="AW111" s="336"/>
      <c r="AX111" s="336"/>
      <c r="AY111" s="336"/>
      <c r="AZ111" s="336"/>
      <c r="BA111" s="336"/>
      <c r="BB111" s="336"/>
      <c r="BC111" s="336"/>
      <c r="BD111" s="336"/>
      <c r="BE111" s="336"/>
      <c r="BF111" s="336"/>
      <c r="BG111" s="336"/>
      <c r="BH111" s="336"/>
      <c r="BI111" s="336"/>
      <c r="BJ111" s="336"/>
      <c r="BK111" s="336"/>
      <c r="BL111" s="336"/>
      <c r="BM111" s="336"/>
      <c r="BN111" s="336"/>
      <c r="BO111" s="336"/>
      <c r="BP111" s="336"/>
      <c r="BQ111" s="336"/>
      <c r="BR111" s="336"/>
      <c r="BS111" s="336"/>
      <c r="BT111" s="336"/>
      <c r="BU111" s="336"/>
      <c r="BV111" s="336"/>
      <c r="BW111" s="336"/>
      <c r="BX111" s="336"/>
      <c r="BY111" s="336"/>
      <c r="BZ111" s="336"/>
      <c r="CA111" s="336"/>
      <c r="CB111" s="336"/>
      <c r="CC111" s="336"/>
      <c r="CD111" s="336"/>
      <c r="CE111" s="336"/>
      <c r="CF111" s="336"/>
      <c r="CG111" s="336"/>
      <c r="CH111" s="336"/>
      <c r="CI111" s="336"/>
      <c r="CJ111" s="336"/>
      <c r="CK111" s="336"/>
      <c r="CL111" s="336"/>
      <c r="CM111" s="336"/>
      <c r="CN111" s="336"/>
      <c r="CO111" s="336"/>
      <c r="CP111" s="336"/>
      <c r="CQ111" s="336"/>
      <c r="CR111" s="336"/>
      <c r="CS111" s="336"/>
      <c r="CT111" s="336"/>
      <c r="CU111" s="336"/>
      <c r="CV111" s="336"/>
      <c r="CW111" s="336"/>
      <c r="CX111" s="336"/>
      <c r="CY111" s="336"/>
      <c r="CZ111" s="336"/>
      <c r="DA111" s="336"/>
      <c r="DB111" s="336"/>
      <c r="DC111" s="336"/>
      <c r="DD111" s="336"/>
      <c r="DE111" s="336"/>
      <c r="DF111" s="336"/>
      <c r="DG111" s="336"/>
      <c r="DH111" s="336"/>
      <c r="DI111" s="336"/>
      <c r="DJ111" s="336"/>
      <c r="DK111" s="336"/>
      <c r="DL111" s="336"/>
      <c r="DM111" s="336"/>
      <c r="DN111" s="336"/>
      <c r="DO111" s="336"/>
      <c r="DP111" s="336"/>
      <c r="DQ111" s="336"/>
      <c r="DR111" s="336"/>
      <c r="DS111" s="336"/>
      <c r="DT111" s="336"/>
      <c r="DU111" s="336"/>
      <c r="DV111" s="336"/>
      <c r="DW111" s="336"/>
      <c r="DX111" s="336"/>
      <c r="DY111" s="336"/>
      <c r="DZ111" s="336"/>
      <c r="EA111" s="336"/>
      <c r="EB111" s="336"/>
      <c r="EC111" s="336"/>
      <c r="ED111" s="336"/>
      <c r="EE111" s="336"/>
      <c r="EF111" s="336"/>
      <c r="EG111" s="336"/>
      <c r="EH111" s="336"/>
      <c r="EI111" s="158" t="s">
        <v>243</v>
      </c>
    </row>
    <row r="112" spans="1:139" s="282" customFormat="1" x14ac:dyDescent="0.2">
      <c r="B112" s="322"/>
      <c r="C112" s="227"/>
      <c r="D112" s="332"/>
      <c r="E112" s="317"/>
      <c r="F112" s="301"/>
      <c r="G112" s="336"/>
      <c r="H112" s="336"/>
      <c r="I112" s="336"/>
      <c r="J112" s="336"/>
      <c r="K112" s="336"/>
      <c r="L112" s="336"/>
      <c r="M112" s="336"/>
      <c r="N112" s="336"/>
      <c r="O112" s="336"/>
      <c r="P112" s="336"/>
      <c r="Q112" s="336"/>
      <c r="R112" s="336"/>
      <c r="S112" s="336"/>
      <c r="T112" s="336"/>
      <c r="U112" s="336"/>
      <c r="V112" s="336"/>
      <c r="W112" s="336"/>
      <c r="X112" s="336"/>
      <c r="Y112" s="336"/>
      <c r="Z112" s="336"/>
      <c r="AA112" s="336"/>
      <c r="AB112" s="336"/>
      <c r="AC112" s="336"/>
      <c r="AD112" s="336"/>
      <c r="AE112" s="336"/>
      <c r="AF112" s="336"/>
      <c r="AG112" s="336"/>
      <c r="AH112" s="336"/>
      <c r="AI112" s="336"/>
      <c r="AJ112" s="336"/>
      <c r="AK112" s="336"/>
      <c r="AL112" s="336"/>
      <c r="AM112" s="336"/>
      <c r="AN112" s="336"/>
      <c r="AO112" s="336"/>
      <c r="AP112" s="336"/>
      <c r="AQ112" s="336"/>
      <c r="AR112" s="336"/>
      <c r="AS112" s="336"/>
      <c r="AT112" s="336"/>
      <c r="AU112" s="336"/>
      <c r="AV112" s="336"/>
      <c r="AW112" s="336"/>
      <c r="AX112" s="336"/>
      <c r="AY112" s="336"/>
      <c r="AZ112" s="336"/>
      <c r="BA112" s="336"/>
      <c r="BB112" s="336"/>
      <c r="BC112" s="336"/>
      <c r="BD112" s="336"/>
      <c r="BE112" s="336"/>
      <c r="BF112" s="336"/>
      <c r="BG112" s="336"/>
      <c r="BH112" s="336"/>
      <c r="BI112" s="336"/>
      <c r="BJ112" s="336"/>
      <c r="BK112" s="336"/>
      <c r="BL112" s="336"/>
      <c r="BM112" s="336"/>
      <c r="BN112" s="336"/>
      <c r="BO112" s="336"/>
      <c r="BP112" s="336"/>
      <c r="BQ112" s="336"/>
      <c r="BR112" s="336"/>
      <c r="BS112" s="336"/>
      <c r="BT112" s="336"/>
      <c r="BU112" s="336"/>
      <c r="BV112" s="336"/>
      <c r="BW112" s="336"/>
      <c r="BX112" s="336"/>
      <c r="BY112" s="336"/>
      <c r="BZ112" s="336"/>
      <c r="CA112" s="336"/>
      <c r="CB112" s="336"/>
      <c r="CC112" s="336"/>
      <c r="CD112" s="336"/>
      <c r="CE112" s="336"/>
      <c r="CF112" s="336"/>
      <c r="CG112" s="336"/>
      <c r="CH112" s="336"/>
      <c r="CI112" s="336"/>
      <c r="CJ112" s="336"/>
      <c r="CK112" s="336"/>
      <c r="CL112" s="336"/>
      <c r="CM112" s="336"/>
      <c r="CN112" s="336"/>
      <c r="CO112" s="336"/>
      <c r="CP112" s="336"/>
      <c r="CQ112" s="336"/>
      <c r="CR112" s="336"/>
      <c r="CS112" s="336"/>
      <c r="CT112" s="336"/>
      <c r="CU112" s="336"/>
      <c r="CV112" s="336"/>
      <c r="CW112" s="336"/>
      <c r="CX112" s="336"/>
      <c r="CY112" s="336"/>
      <c r="CZ112" s="336"/>
      <c r="DA112" s="336"/>
      <c r="DB112" s="336"/>
      <c r="DC112" s="336"/>
      <c r="DD112" s="336"/>
      <c r="DE112" s="336"/>
      <c r="DF112" s="336"/>
      <c r="DG112" s="336"/>
      <c r="DH112" s="336"/>
      <c r="DI112" s="336"/>
      <c r="DJ112" s="336"/>
      <c r="DK112" s="336"/>
      <c r="DL112" s="336"/>
      <c r="DM112" s="336"/>
      <c r="DN112" s="336"/>
      <c r="DO112" s="336"/>
      <c r="DP112" s="336"/>
      <c r="DQ112" s="336"/>
      <c r="DR112" s="336"/>
      <c r="DS112" s="336"/>
      <c r="DT112" s="336"/>
      <c r="DU112" s="336"/>
      <c r="DV112" s="336"/>
      <c r="DW112" s="336"/>
      <c r="DX112" s="336"/>
      <c r="DY112" s="336"/>
      <c r="DZ112" s="336"/>
      <c r="EA112" s="336"/>
      <c r="EB112" s="336"/>
      <c r="EC112" s="336"/>
      <c r="ED112" s="336"/>
      <c r="EE112" s="336"/>
      <c r="EF112" s="336"/>
      <c r="EG112" s="336"/>
      <c r="EH112" s="336"/>
      <c r="EI112" s="158" t="s">
        <v>243</v>
      </c>
    </row>
    <row r="113" spans="2:139" x14ac:dyDescent="0.2">
      <c r="B113" s="342" t="s">
        <v>914</v>
      </c>
      <c r="C113" s="218"/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  <c r="AF113" s="218"/>
      <c r="AG113" s="218"/>
      <c r="AH113" s="218"/>
      <c r="AI113" s="218"/>
      <c r="AJ113" s="218"/>
      <c r="AK113" s="218"/>
      <c r="AL113" s="218"/>
      <c r="AM113" s="218"/>
      <c r="AN113" s="218"/>
      <c r="AO113" s="218"/>
      <c r="AP113" s="218"/>
      <c r="AQ113" s="218"/>
      <c r="AR113" s="218"/>
      <c r="AS113" s="218"/>
      <c r="AT113" s="218"/>
      <c r="AU113" s="218"/>
      <c r="AV113" s="218"/>
      <c r="AW113" s="218"/>
      <c r="AX113" s="218"/>
      <c r="AY113" s="218"/>
      <c r="AZ113" s="218"/>
      <c r="BA113" s="218"/>
      <c r="BB113" s="218"/>
      <c r="BC113" s="218"/>
      <c r="BD113" s="218"/>
      <c r="BE113" s="218"/>
      <c r="BF113" s="218"/>
      <c r="BG113" s="218"/>
      <c r="BH113" s="218"/>
      <c r="BI113" s="218"/>
      <c r="BJ113" s="218"/>
      <c r="BK113" s="218"/>
      <c r="BL113" s="218"/>
      <c r="BM113" s="218"/>
      <c r="BN113" s="218"/>
      <c r="BO113" s="218"/>
      <c r="BP113" s="218"/>
      <c r="BQ113" s="218"/>
      <c r="BR113" s="218"/>
      <c r="BS113" s="218"/>
      <c r="BT113" s="218"/>
      <c r="BU113" s="218"/>
      <c r="BV113" s="218"/>
      <c r="BW113" s="218"/>
      <c r="BX113" s="218"/>
      <c r="BY113" s="218"/>
      <c r="BZ113" s="218"/>
      <c r="CA113" s="218"/>
      <c r="CB113" s="218"/>
      <c r="CC113" s="218"/>
      <c r="CD113" s="218"/>
      <c r="CE113" s="218"/>
      <c r="CF113" s="218"/>
      <c r="CG113" s="218"/>
      <c r="CH113" s="218"/>
      <c r="CI113" s="218"/>
      <c r="CJ113" s="218"/>
      <c r="CK113" s="218"/>
      <c r="CL113" s="218"/>
      <c r="CM113" s="218"/>
      <c r="CN113" s="218"/>
      <c r="CO113" s="218"/>
      <c r="CP113" s="218"/>
      <c r="CQ113" s="218"/>
      <c r="CR113" s="218"/>
      <c r="CS113" s="218"/>
      <c r="CT113" s="218"/>
      <c r="CU113" s="218"/>
      <c r="CV113" s="218"/>
      <c r="CW113" s="218"/>
      <c r="CX113" s="218"/>
      <c r="CY113" s="218"/>
      <c r="CZ113" s="218"/>
      <c r="DA113" s="218"/>
      <c r="DB113" s="218"/>
      <c r="DC113" s="218"/>
      <c r="DD113" s="218"/>
      <c r="DE113" s="218"/>
      <c r="DF113" s="218"/>
      <c r="DG113" s="218"/>
      <c r="DH113" s="218"/>
      <c r="DI113" s="218"/>
      <c r="DJ113" s="218"/>
      <c r="DK113" s="218"/>
      <c r="DL113" s="218"/>
      <c r="DM113" s="218"/>
      <c r="DN113" s="218"/>
      <c r="DO113" s="218"/>
      <c r="DP113" s="218"/>
      <c r="DQ113" s="218"/>
      <c r="DR113" s="218"/>
      <c r="DS113" s="218"/>
      <c r="DT113" s="218"/>
      <c r="DU113" s="218"/>
      <c r="DV113" s="218"/>
      <c r="DW113" s="218"/>
      <c r="DX113" s="218"/>
      <c r="DY113" s="218"/>
      <c r="DZ113" s="218"/>
      <c r="EA113" s="218"/>
      <c r="EB113" s="218"/>
      <c r="EC113" s="218"/>
      <c r="ED113" s="218"/>
      <c r="EE113" s="218"/>
      <c r="EF113" s="218"/>
      <c r="EG113" s="218"/>
      <c r="EH113" s="218"/>
      <c r="EI113" s="316" t="s">
        <v>243</v>
      </c>
    </row>
    <row r="114" spans="2:139" x14ac:dyDescent="0.2">
      <c r="B114" s="343"/>
      <c r="C114" s="343"/>
      <c r="D114" s="343"/>
      <c r="E114" s="343"/>
      <c r="F114" s="343"/>
      <c r="G114" s="343"/>
      <c r="H114" s="343"/>
      <c r="I114" s="343"/>
      <c r="J114" s="343"/>
      <c r="K114" s="343"/>
      <c r="L114" s="343"/>
      <c r="M114" s="343"/>
      <c r="N114" s="343"/>
      <c r="O114" s="343"/>
      <c r="P114" s="343"/>
      <c r="Q114" s="343"/>
      <c r="R114" s="343"/>
      <c r="S114" s="343"/>
      <c r="T114" s="343"/>
      <c r="U114" s="343"/>
      <c r="V114" s="343"/>
      <c r="W114" s="343"/>
      <c r="X114" s="343"/>
      <c r="Y114" s="343"/>
      <c r="Z114" s="343"/>
      <c r="AA114" s="343"/>
      <c r="AB114" s="343"/>
      <c r="AC114" s="343"/>
      <c r="AD114" s="343"/>
      <c r="AE114" s="343"/>
      <c r="AF114" s="343"/>
      <c r="AG114" s="343"/>
      <c r="AH114" s="343"/>
      <c r="AI114" s="343"/>
      <c r="AJ114" s="343"/>
      <c r="AK114" s="343"/>
      <c r="AL114" s="343"/>
      <c r="AM114" s="343"/>
      <c r="AN114" s="343"/>
      <c r="AO114" s="343"/>
      <c r="AP114" s="343"/>
      <c r="AQ114" s="343"/>
      <c r="AR114" s="343"/>
      <c r="AS114" s="343"/>
      <c r="AT114" s="343"/>
      <c r="AU114" s="343"/>
      <c r="AV114" s="343"/>
      <c r="AW114" s="343"/>
      <c r="AX114" s="343"/>
      <c r="AY114" s="343"/>
      <c r="AZ114" s="343"/>
      <c r="BA114" s="343"/>
      <c r="BB114" s="343"/>
      <c r="BC114" s="343"/>
      <c r="BD114" s="343"/>
      <c r="BE114" s="343"/>
      <c r="BF114" s="343"/>
      <c r="BG114" s="343"/>
      <c r="BH114" s="343"/>
      <c r="BI114" s="343"/>
      <c r="BJ114" s="343"/>
      <c r="BK114" s="343"/>
      <c r="BL114" s="343"/>
      <c r="BM114" s="343"/>
      <c r="BN114" s="343"/>
      <c r="BO114" s="343"/>
      <c r="BP114" s="343"/>
      <c r="BQ114" s="343"/>
      <c r="BR114" s="343"/>
      <c r="BS114" s="343"/>
      <c r="BT114" s="343"/>
      <c r="BU114" s="343"/>
      <c r="BV114" s="343"/>
      <c r="BW114" s="343"/>
      <c r="BX114" s="343"/>
      <c r="BY114" s="343"/>
      <c r="BZ114" s="343"/>
      <c r="CA114" s="343"/>
      <c r="CB114" s="343"/>
      <c r="CC114" s="343"/>
      <c r="CD114" s="343"/>
      <c r="CE114" s="343"/>
      <c r="CF114" s="343"/>
      <c r="CG114" s="343"/>
      <c r="CH114" s="343"/>
      <c r="CI114" s="343"/>
      <c r="CJ114" s="343"/>
      <c r="CK114" s="343"/>
      <c r="CL114" s="343"/>
      <c r="CM114" s="343"/>
      <c r="CN114" s="343"/>
      <c r="CO114" s="343"/>
      <c r="CP114" s="343"/>
      <c r="CQ114" s="343"/>
      <c r="CR114" s="343"/>
      <c r="CS114" s="343"/>
      <c r="CT114" s="343"/>
      <c r="CU114" s="343"/>
      <c r="CV114" s="343"/>
      <c r="CW114" s="343"/>
      <c r="CX114" s="343"/>
      <c r="CY114" s="343"/>
      <c r="CZ114" s="343"/>
      <c r="DA114" s="343"/>
      <c r="DB114" s="343"/>
      <c r="DC114" s="343"/>
      <c r="DD114" s="343"/>
      <c r="DE114" s="343"/>
      <c r="DF114" s="343"/>
      <c r="DG114" s="343"/>
      <c r="DH114" s="343"/>
      <c r="DI114" s="343"/>
      <c r="DJ114" s="343"/>
      <c r="DK114" s="343"/>
      <c r="DL114" s="343"/>
      <c r="DM114" s="343"/>
      <c r="DN114" s="343"/>
      <c r="DO114" s="343"/>
      <c r="DP114" s="343"/>
      <c r="DQ114" s="343"/>
      <c r="DR114" s="343"/>
      <c r="DS114" s="343"/>
      <c r="DT114" s="343"/>
      <c r="DU114" s="343"/>
      <c r="DV114" s="343"/>
      <c r="DW114" s="343"/>
      <c r="DX114" s="343"/>
      <c r="DY114" s="343"/>
      <c r="DZ114" s="343"/>
      <c r="EA114" s="343"/>
      <c r="EB114" s="343"/>
      <c r="EC114" s="343"/>
      <c r="ED114" s="343"/>
      <c r="EE114" s="343"/>
      <c r="EF114" s="343"/>
      <c r="EG114" s="343"/>
      <c r="EH114" s="343"/>
      <c r="EI114" s="316" t="s">
        <v>243</v>
      </c>
    </row>
    <row r="115" spans="2:139" ht="15" thickBot="1" x14ac:dyDescent="0.25">
      <c r="B115" s="299" t="s">
        <v>803</v>
      </c>
      <c r="C115" s="299"/>
      <c r="D115" s="299"/>
      <c r="E115" s="299"/>
      <c r="F115" s="299"/>
      <c r="G115" s="299"/>
      <c r="H115" s="299"/>
      <c r="I115" s="299"/>
      <c r="J115" s="299"/>
      <c r="K115" s="299"/>
      <c r="L115" s="299"/>
      <c r="M115" s="299"/>
      <c r="N115" s="299"/>
      <c r="O115" s="299"/>
      <c r="P115" s="299"/>
      <c r="Q115" s="299"/>
      <c r="R115" s="299"/>
      <c r="S115" s="299"/>
      <c r="T115" s="299"/>
      <c r="U115" s="299"/>
      <c r="V115" s="299"/>
      <c r="W115" s="299"/>
      <c r="X115" s="299"/>
      <c r="Y115" s="299"/>
      <c r="Z115" s="299"/>
      <c r="AA115" s="299"/>
      <c r="AB115" s="299"/>
      <c r="AC115" s="299"/>
      <c r="AD115" s="299"/>
      <c r="AE115" s="299"/>
      <c r="AF115" s="299"/>
      <c r="AG115" s="299"/>
      <c r="AH115" s="299"/>
      <c r="AI115" s="299"/>
      <c r="AJ115" s="299"/>
      <c r="AK115" s="299"/>
      <c r="AL115" s="299"/>
      <c r="AM115" s="299"/>
      <c r="AN115" s="299"/>
      <c r="AO115" s="299"/>
      <c r="AP115" s="299"/>
      <c r="AQ115" s="299"/>
      <c r="AR115" s="299"/>
      <c r="AS115" s="299"/>
      <c r="AT115" s="299"/>
      <c r="AU115" s="299"/>
      <c r="AV115" s="299"/>
      <c r="AW115" s="299"/>
      <c r="AX115" s="299"/>
      <c r="AY115" s="299"/>
      <c r="AZ115" s="299"/>
      <c r="BA115" s="299"/>
      <c r="BB115" s="299"/>
      <c r="BC115" s="299"/>
      <c r="BD115" s="299"/>
      <c r="BE115" s="299"/>
      <c r="BF115" s="299"/>
      <c r="BG115" s="299"/>
      <c r="BH115" s="299"/>
      <c r="BI115" s="299"/>
      <c r="BJ115" s="299"/>
      <c r="BK115" s="299"/>
      <c r="BL115" s="299"/>
      <c r="BM115" s="299"/>
      <c r="BN115" s="299"/>
      <c r="BO115" s="299"/>
      <c r="BP115" s="299"/>
      <c r="BQ115" s="299"/>
      <c r="BR115" s="299"/>
      <c r="BS115" s="299"/>
      <c r="BT115" s="299"/>
      <c r="BU115" s="299"/>
      <c r="BV115" s="299"/>
      <c r="BW115" s="299"/>
      <c r="BX115" s="299"/>
      <c r="BY115" s="299"/>
      <c r="BZ115" s="299"/>
      <c r="CA115" s="299"/>
      <c r="CB115" s="299"/>
      <c r="CC115" s="299"/>
      <c r="CD115" s="299"/>
      <c r="CE115" s="299"/>
      <c r="CF115" s="299"/>
      <c r="CG115" s="299"/>
      <c r="CH115" s="299"/>
      <c r="CI115" s="299"/>
      <c r="CJ115" s="299"/>
      <c r="CK115" s="299"/>
      <c r="CL115" s="299"/>
      <c r="CM115" s="299"/>
      <c r="CN115" s="299"/>
      <c r="CO115" s="299"/>
      <c r="CP115" s="299"/>
      <c r="CQ115" s="299"/>
      <c r="CR115" s="299"/>
      <c r="CS115" s="299"/>
      <c r="CT115" s="299"/>
      <c r="CU115" s="299"/>
      <c r="CV115" s="299"/>
      <c r="CW115" s="299"/>
      <c r="CX115" s="299"/>
      <c r="CY115" s="299"/>
      <c r="CZ115" s="299"/>
      <c r="DA115" s="299"/>
      <c r="DB115" s="299"/>
      <c r="DC115" s="299"/>
      <c r="DD115" s="299"/>
      <c r="DE115" s="299"/>
      <c r="DF115" s="299"/>
      <c r="DG115" s="299"/>
      <c r="DH115" s="299"/>
      <c r="DI115" s="299"/>
      <c r="DJ115" s="299"/>
      <c r="DK115" s="299"/>
      <c r="DL115" s="299"/>
      <c r="DM115" s="299"/>
      <c r="DN115" s="299"/>
      <c r="DO115" s="299"/>
      <c r="DP115" s="299"/>
      <c r="DQ115" s="299"/>
      <c r="DR115" s="299"/>
      <c r="DS115" s="299"/>
      <c r="DT115" s="299"/>
      <c r="DU115" s="299"/>
      <c r="DV115" s="299"/>
      <c r="DW115" s="299"/>
      <c r="DX115" s="299"/>
      <c r="DY115" s="299"/>
      <c r="DZ115" s="299"/>
      <c r="EA115" s="299"/>
      <c r="EB115" s="299"/>
      <c r="EC115" s="299"/>
      <c r="ED115" s="299"/>
      <c r="EE115" s="299"/>
      <c r="EF115" s="299"/>
      <c r="EG115" s="299"/>
      <c r="EH115" s="299"/>
      <c r="EI115" s="316" t="s">
        <v>243</v>
      </c>
    </row>
    <row r="116" spans="2:139" x14ac:dyDescent="0.2">
      <c r="B116" s="344" t="s">
        <v>782</v>
      </c>
      <c r="C116" s="345"/>
      <c r="D116" s="346">
        <f ca="1">SUM(F116:EH116)</f>
        <v>-9966098.6551120188</v>
      </c>
      <c r="E116" s="347"/>
      <c r="F116" s="348">
        <f ca="1">SUMIF(F98:EH98,"&lt;0")</f>
        <v>-9908344.7838870473</v>
      </c>
      <c r="G116" s="348">
        <f t="shared" ref="G116:BR116" ca="1" si="149">SUMIF(G98:EI98,"&lt;0")</f>
        <v>-25307.43350003993</v>
      </c>
      <c r="H116" s="348">
        <f t="shared" ca="1" si="149"/>
        <v>-16609.85283432198</v>
      </c>
      <c r="I116" s="348">
        <f t="shared" ca="1" si="149"/>
        <v>-9732.7272621390439</v>
      </c>
      <c r="J116" s="348">
        <f t="shared" ca="1" si="149"/>
        <v>-4673.6486728111195</v>
      </c>
      <c r="K116" s="348">
        <f t="shared" ca="1" si="149"/>
        <v>-1430.2089556581341</v>
      </c>
      <c r="L116" s="348">
        <f t="shared" ca="1" si="149"/>
        <v>0</v>
      </c>
      <c r="M116" s="348">
        <f t="shared" ca="1" si="149"/>
        <v>0</v>
      </c>
      <c r="N116" s="348">
        <f t="shared" ca="1" si="149"/>
        <v>0</v>
      </c>
      <c r="O116" s="348">
        <f t="shared" ca="1" si="149"/>
        <v>0</v>
      </c>
      <c r="P116" s="348">
        <f t="shared" ca="1" si="149"/>
        <v>0</v>
      </c>
      <c r="Q116" s="348">
        <f t="shared" ca="1" si="149"/>
        <v>0</v>
      </c>
      <c r="R116" s="348">
        <f t="shared" ca="1" si="149"/>
        <v>0</v>
      </c>
      <c r="S116" s="348">
        <f t="shared" ca="1" si="149"/>
        <v>0</v>
      </c>
      <c r="T116" s="348">
        <f t="shared" ca="1" si="149"/>
        <v>0</v>
      </c>
      <c r="U116" s="348">
        <f t="shared" ca="1" si="149"/>
        <v>0</v>
      </c>
      <c r="V116" s="348">
        <f t="shared" ca="1" si="149"/>
        <v>0</v>
      </c>
      <c r="W116" s="348">
        <f t="shared" ca="1" si="149"/>
        <v>0</v>
      </c>
      <c r="X116" s="348">
        <f t="shared" ca="1" si="149"/>
        <v>0</v>
      </c>
      <c r="Y116" s="348">
        <f t="shared" ca="1" si="149"/>
        <v>0</v>
      </c>
      <c r="Z116" s="348">
        <f t="shared" ca="1" si="149"/>
        <v>0</v>
      </c>
      <c r="AA116" s="348">
        <f t="shared" ca="1" si="149"/>
        <v>0</v>
      </c>
      <c r="AB116" s="348">
        <f t="shared" ca="1" si="149"/>
        <v>0</v>
      </c>
      <c r="AC116" s="348">
        <f t="shared" ca="1" si="149"/>
        <v>0</v>
      </c>
      <c r="AD116" s="348">
        <f t="shared" ca="1" si="149"/>
        <v>0</v>
      </c>
      <c r="AE116" s="348">
        <f t="shared" ca="1" si="149"/>
        <v>0</v>
      </c>
      <c r="AF116" s="348">
        <f t="shared" ca="1" si="149"/>
        <v>0</v>
      </c>
      <c r="AG116" s="348">
        <f t="shared" ca="1" si="149"/>
        <v>0</v>
      </c>
      <c r="AH116" s="348">
        <f t="shared" ca="1" si="149"/>
        <v>0</v>
      </c>
      <c r="AI116" s="348">
        <f t="shared" ca="1" si="149"/>
        <v>0</v>
      </c>
      <c r="AJ116" s="348">
        <f t="shared" ca="1" si="149"/>
        <v>0</v>
      </c>
      <c r="AK116" s="348">
        <f t="shared" ca="1" si="149"/>
        <v>0</v>
      </c>
      <c r="AL116" s="348">
        <f t="shared" ca="1" si="149"/>
        <v>0</v>
      </c>
      <c r="AM116" s="348">
        <f t="shared" ca="1" si="149"/>
        <v>0</v>
      </c>
      <c r="AN116" s="348">
        <f t="shared" ca="1" si="149"/>
        <v>0</v>
      </c>
      <c r="AO116" s="348">
        <f t="shared" ca="1" si="149"/>
        <v>0</v>
      </c>
      <c r="AP116" s="348">
        <f t="shared" ca="1" si="149"/>
        <v>0</v>
      </c>
      <c r="AQ116" s="348">
        <f t="shared" ca="1" si="149"/>
        <v>0</v>
      </c>
      <c r="AR116" s="348">
        <f t="shared" ca="1" si="149"/>
        <v>0</v>
      </c>
      <c r="AS116" s="348">
        <f t="shared" ca="1" si="149"/>
        <v>0</v>
      </c>
      <c r="AT116" s="348">
        <f t="shared" ca="1" si="149"/>
        <v>0</v>
      </c>
      <c r="AU116" s="348">
        <f t="shared" ca="1" si="149"/>
        <v>0</v>
      </c>
      <c r="AV116" s="348">
        <f t="shared" ca="1" si="149"/>
        <v>0</v>
      </c>
      <c r="AW116" s="348">
        <f t="shared" ca="1" si="149"/>
        <v>0</v>
      </c>
      <c r="AX116" s="348">
        <f t="shared" ca="1" si="149"/>
        <v>0</v>
      </c>
      <c r="AY116" s="348">
        <f t="shared" ca="1" si="149"/>
        <v>0</v>
      </c>
      <c r="AZ116" s="348">
        <f t="shared" ca="1" si="149"/>
        <v>0</v>
      </c>
      <c r="BA116" s="348">
        <f t="shared" ca="1" si="149"/>
        <v>0</v>
      </c>
      <c r="BB116" s="348">
        <f t="shared" ca="1" si="149"/>
        <v>0</v>
      </c>
      <c r="BC116" s="348">
        <f t="shared" ca="1" si="149"/>
        <v>0</v>
      </c>
      <c r="BD116" s="348">
        <f t="shared" ca="1" si="149"/>
        <v>0</v>
      </c>
      <c r="BE116" s="348">
        <f t="shared" ca="1" si="149"/>
        <v>0</v>
      </c>
      <c r="BF116" s="348">
        <f t="shared" ca="1" si="149"/>
        <v>0</v>
      </c>
      <c r="BG116" s="348">
        <f t="shared" ca="1" si="149"/>
        <v>0</v>
      </c>
      <c r="BH116" s="348">
        <f t="shared" ca="1" si="149"/>
        <v>0</v>
      </c>
      <c r="BI116" s="348">
        <f t="shared" ca="1" si="149"/>
        <v>0</v>
      </c>
      <c r="BJ116" s="348">
        <f t="shared" ca="1" si="149"/>
        <v>0</v>
      </c>
      <c r="BK116" s="348">
        <f t="shared" ca="1" si="149"/>
        <v>0</v>
      </c>
      <c r="BL116" s="348">
        <f t="shared" ca="1" si="149"/>
        <v>0</v>
      </c>
      <c r="BM116" s="348">
        <f t="shared" ca="1" si="149"/>
        <v>0</v>
      </c>
      <c r="BN116" s="348">
        <f t="shared" ca="1" si="149"/>
        <v>0</v>
      </c>
      <c r="BO116" s="348">
        <f t="shared" si="149"/>
        <v>0</v>
      </c>
      <c r="BP116" s="348">
        <f t="shared" si="149"/>
        <v>0</v>
      </c>
      <c r="BQ116" s="348">
        <f t="shared" si="149"/>
        <v>0</v>
      </c>
      <c r="BR116" s="348">
        <f t="shared" si="149"/>
        <v>0</v>
      </c>
      <c r="BS116" s="348">
        <f t="shared" ref="BS116:ED116" si="150">SUMIF(BS98:GU98,"&lt;0")</f>
        <v>0</v>
      </c>
      <c r="BT116" s="348">
        <f t="shared" si="150"/>
        <v>0</v>
      </c>
      <c r="BU116" s="348">
        <f t="shared" si="150"/>
        <v>0</v>
      </c>
      <c r="BV116" s="348">
        <f t="shared" si="150"/>
        <v>0</v>
      </c>
      <c r="BW116" s="348">
        <f t="shared" si="150"/>
        <v>0</v>
      </c>
      <c r="BX116" s="348">
        <f t="shared" si="150"/>
        <v>0</v>
      </c>
      <c r="BY116" s="348">
        <f t="shared" si="150"/>
        <v>0</v>
      </c>
      <c r="BZ116" s="348">
        <f t="shared" si="150"/>
        <v>0</v>
      </c>
      <c r="CA116" s="348">
        <f t="shared" si="150"/>
        <v>0</v>
      </c>
      <c r="CB116" s="348">
        <f t="shared" si="150"/>
        <v>0</v>
      </c>
      <c r="CC116" s="348">
        <f t="shared" si="150"/>
        <v>0</v>
      </c>
      <c r="CD116" s="348">
        <f t="shared" si="150"/>
        <v>0</v>
      </c>
      <c r="CE116" s="348">
        <f t="shared" si="150"/>
        <v>0</v>
      </c>
      <c r="CF116" s="348">
        <f t="shared" si="150"/>
        <v>0</v>
      </c>
      <c r="CG116" s="348">
        <f t="shared" si="150"/>
        <v>0</v>
      </c>
      <c r="CH116" s="348">
        <f t="shared" si="150"/>
        <v>0</v>
      </c>
      <c r="CI116" s="348">
        <f t="shared" si="150"/>
        <v>0</v>
      </c>
      <c r="CJ116" s="348">
        <f t="shared" si="150"/>
        <v>0</v>
      </c>
      <c r="CK116" s="348">
        <f t="shared" si="150"/>
        <v>0</v>
      </c>
      <c r="CL116" s="348">
        <f t="shared" si="150"/>
        <v>0</v>
      </c>
      <c r="CM116" s="348">
        <f t="shared" si="150"/>
        <v>0</v>
      </c>
      <c r="CN116" s="348">
        <f t="shared" si="150"/>
        <v>0</v>
      </c>
      <c r="CO116" s="348">
        <f t="shared" si="150"/>
        <v>0</v>
      </c>
      <c r="CP116" s="348">
        <f t="shared" si="150"/>
        <v>0</v>
      </c>
      <c r="CQ116" s="348">
        <f t="shared" si="150"/>
        <v>0</v>
      </c>
      <c r="CR116" s="348">
        <f t="shared" si="150"/>
        <v>0</v>
      </c>
      <c r="CS116" s="348">
        <f t="shared" si="150"/>
        <v>0</v>
      </c>
      <c r="CT116" s="348">
        <f t="shared" si="150"/>
        <v>0</v>
      </c>
      <c r="CU116" s="348">
        <f t="shared" si="150"/>
        <v>0</v>
      </c>
      <c r="CV116" s="348">
        <f t="shared" si="150"/>
        <v>0</v>
      </c>
      <c r="CW116" s="348">
        <f t="shared" si="150"/>
        <v>0</v>
      </c>
      <c r="CX116" s="348">
        <f t="shared" si="150"/>
        <v>0</v>
      </c>
      <c r="CY116" s="348">
        <f t="shared" si="150"/>
        <v>0</v>
      </c>
      <c r="CZ116" s="348">
        <f t="shared" si="150"/>
        <v>0</v>
      </c>
      <c r="DA116" s="348">
        <f t="shared" si="150"/>
        <v>0</v>
      </c>
      <c r="DB116" s="348">
        <f t="shared" si="150"/>
        <v>0</v>
      </c>
      <c r="DC116" s="348">
        <f t="shared" si="150"/>
        <v>0</v>
      </c>
      <c r="DD116" s="348">
        <f t="shared" si="150"/>
        <v>0</v>
      </c>
      <c r="DE116" s="348">
        <f t="shared" si="150"/>
        <v>0</v>
      </c>
      <c r="DF116" s="348">
        <f t="shared" si="150"/>
        <v>0</v>
      </c>
      <c r="DG116" s="348">
        <f t="shared" si="150"/>
        <v>0</v>
      </c>
      <c r="DH116" s="348">
        <f t="shared" si="150"/>
        <v>0</v>
      </c>
      <c r="DI116" s="348">
        <f t="shared" si="150"/>
        <v>0</v>
      </c>
      <c r="DJ116" s="348">
        <f t="shared" si="150"/>
        <v>0</v>
      </c>
      <c r="DK116" s="348">
        <f t="shared" si="150"/>
        <v>0</v>
      </c>
      <c r="DL116" s="348">
        <f t="shared" si="150"/>
        <v>0</v>
      </c>
      <c r="DM116" s="348">
        <f t="shared" si="150"/>
        <v>0</v>
      </c>
      <c r="DN116" s="348">
        <f t="shared" si="150"/>
        <v>0</v>
      </c>
      <c r="DO116" s="348">
        <f t="shared" si="150"/>
        <v>0</v>
      </c>
      <c r="DP116" s="348">
        <f t="shared" si="150"/>
        <v>0</v>
      </c>
      <c r="DQ116" s="348">
        <f t="shared" si="150"/>
        <v>0</v>
      </c>
      <c r="DR116" s="348">
        <f t="shared" si="150"/>
        <v>0</v>
      </c>
      <c r="DS116" s="348">
        <f t="shared" si="150"/>
        <v>0</v>
      </c>
      <c r="DT116" s="348">
        <f t="shared" si="150"/>
        <v>0</v>
      </c>
      <c r="DU116" s="348">
        <f t="shared" si="150"/>
        <v>0</v>
      </c>
      <c r="DV116" s="348">
        <f t="shared" si="150"/>
        <v>0</v>
      </c>
      <c r="DW116" s="348">
        <f t="shared" si="150"/>
        <v>0</v>
      </c>
      <c r="DX116" s="348">
        <f t="shared" si="150"/>
        <v>0</v>
      </c>
      <c r="DY116" s="348">
        <f t="shared" si="150"/>
        <v>0</v>
      </c>
      <c r="DZ116" s="348">
        <f t="shared" si="150"/>
        <v>0</v>
      </c>
      <c r="EA116" s="348">
        <f t="shared" si="150"/>
        <v>0</v>
      </c>
      <c r="EB116" s="348">
        <f t="shared" si="150"/>
        <v>0</v>
      </c>
      <c r="EC116" s="348">
        <f t="shared" si="150"/>
        <v>0</v>
      </c>
      <c r="ED116" s="348">
        <f t="shared" si="150"/>
        <v>0</v>
      </c>
      <c r="EE116" s="348">
        <f t="shared" ref="EE116:EH116" si="151">SUMIF(EE98:JG98,"&lt;0")</f>
        <v>0</v>
      </c>
      <c r="EF116" s="348">
        <f t="shared" si="151"/>
        <v>0</v>
      </c>
      <c r="EG116" s="348">
        <f t="shared" si="151"/>
        <v>0</v>
      </c>
      <c r="EH116" s="348">
        <f t="shared" si="151"/>
        <v>0</v>
      </c>
      <c r="EI116" s="316" t="s">
        <v>243</v>
      </c>
    </row>
    <row r="117" spans="2:139" x14ac:dyDescent="0.2">
      <c r="B117" s="349" t="s">
        <v>792</v>
      </c>
      <c r="C117" s="350"/>
      <c r="D117" s="351">
        <f ca="1">SUM(F117:EH117)</f>
        <v>40321814.378219962</v>
      </c>
      <c r="E117" s="347"/>
      <c r="F117" s="348"/>
      <c r="G117" s="352">
        <f ca="1">MAX(G98,0)</f>
        <v>0</v>
      </c>
      <c r="H117" s="352">
        <f t="shared" ref="H117:BS117" ca="1" si="152">MAX(H98,0)</f>
        <v>0</v>
      </c>
      <c r="I117" s="352">
        <f t="shared" ca="1" si="152"/>
        <v>0</v>
      </c>
      <c r="J117" s="352">
        <f t="shared" ca="1" si="152"/>
        <v>0</v>
      </c>
      <c r="K117" s="352">
        <f t="shared" ca="1" si="152"/>
        <v>0</v>
      </c>
      <c r="L117" s="352">
        <f t="shared" ca="1" si="152"/>
        <v>380.61369515668775</v>
      </c>
      <c r="M117" s="352">
        <f t="shared" ca="1" si="152"/>
        <v>2189.0282352913491</v>
      </c>
      <c r="N117" s="352">
        <f t="shared" ca="1" si="152"/>
        <v>3995.0346647460101</v>
      </c>
      <c r="O117" s="352">
        <f t="shared" ca="1" si="152"/>
        <v>5798.6329835206125</v>
      </c>
      <c r="P117" s="352">
        <f t="shared" ca="1" si="152"/>
        <v>7599.8231916151562</v>
      </c>
      <c r="Q117" s="352">
        <f t="shared" ca="1" si="152"/>
        <v>9398.6052890295832</v>
      </c>
      <c r="R117" s="352">
        <f t="shared" ca="1" si="152"/>
        <v>11194.979275763893</v>
      </c>
      <c r="S117" s="352">
        <f t="shared" ca="1" si="152"/>
        <v>25525.300878173628</v>
      </c>
      <c r="T117" s="352">
        <f t="shared" ca="1" si="152"/>
        <v>27910.344547190063</v>
      </c>
      <c r="U117" s="352">
        <f t="shared" ca="1" si="152"/>
        <v>30290.870258301205</v>
      </c>
      <c r="V117" s="352">
        <f t="shared" ca="1" si="152"/>
        <v>32666.878011506982</v>
      </c>
      <c r="W117" s="352">
        <f t="shared" ca="1" si="152"/>
        <v>35038.36780680751</v>
      </c>
      <c r="X117" s="352">
        <f t="shared" ca="1" si="152"/>
        <v>37405.339644202555</v>
      </c>
      <c r="Y117" s="352">
        <f t="shared" ca="1" si="152"/>
        <v>39767.793523692351</v>
      </c>
      <c r="Z117" s="352">
        <f t="shared" ca="1" si="152"/>
        <v>42125.729445276782</v>
      </c>
      <c r="AA117" s="352">
        <f t="shared" ca="1" si="152"/>
        <v>44180.875764144163</v>
      </c>
      <c r="AB117" s="352">
        <f t="shared" ca="1" si="152"/>
        <v>46232.068869844472</v>
      </c>
      <c r="AC117" s="352">
        <f t="shared" ca="1" si="152"/>
        <v>48279.308762377521</v>
      </c>
      <c r="AD117" s="352">
        <f t="shared" ca="1" si="152"/>
        <v>50322.595441743426</v>
      </c>
      <c r="AE117" s="352">
        <f t="shared" ca="1" si="152"/>
        <v>43335.488012826492</v>
      </c>
      <c r="AF117" s="352">
        <f t="shared" ca="1" si="152"/>
        <v>45544.316819862594</v>
      </c>
      <c r="AG117" s="352">
        <f t="shared" ca="1" si="152"/>
        <v>47753.145626898753</v>
      </c>
      <c r="AH117" s="352">
        <f t="shared" ca="1" si="152"/>
        <v>49330.880489067364</v>
      </c>
      <c r="AI117" s="352">
        <f t="shared" ca="1" si="152"/>
        <v>50908.615351236032</v>
      </c>
      <c r="AJ117" s="352">
        <f t="shared" ca="1" si="152"/>
        <v>52486.350213404672</v>
      </c>
      <c r="AK117" s="352">
        <f t="shared" ca="1" si="152"/>
        <v>54064.085075573283</v>
      </c>
      <c r="AL117" s="352">
        <f t="shared" ca="1" si="152"/>
        <v>55641.819937742068</v>
      </c>
      <c r="AM117" s="352">
        <f t="shared" ca="1" si="152"/>
        <v>57219.554799910678</v>
      </c>
      <c r="AN117" s="352">
        <f t="shared" ca="1" si="152"/>
        <v>57219.554799910664</v>
      </c>
      <c r="AO117" s="352">
        <f t="shared" ca="1" si="152"/>
        <v>57219.554799910664</v>
      </c>
      <c r="AP117" s="352">
        <f t="shared" ca="1" si="152"/>
        <v>2536969.0801276807</v>
      </c>
      <c r="AQ117" s="352">
        <f t="shared" ca="1" si="152"/>
        <v>96016.841993282113</v>
      </c>
      <c r="AR117" s="352">
        <f t="shared" ca="1" si="152"/>
        <v>96016.841993282113</v>
      </c>
      <c r="AS117" s="352">
        <f t="shared" ca="1" si="152"/>
        <v>96016.841993282113</v>
      </c>
      <c r="AT117" s="352">
        <f t="shared" ca="1" si="152"/>
        <v>96016.841993282113</v>
      </c>
      <c r="AU117" s="352">
        <f t="shared" ca="1" si="152"/>
        <v>96016.841993282113</v>
      </c>
      <c r="AV117" s="352">
        <f t="shared" ca="1" si="152"/>
        <v>96016.841993282113</v>
      </c>
      <c r="AW117" s="352">
        <f t="shared" ca="1" si="152"/>
        <v>96016.841993282113</v>
      </c>
      <c r="AX117" s="352">
        <f t="shared" ca="1" si="152"/>
        <v>96016.841993282113</v>
      </c>
      <c r="AY117" s="352">
        <f t="shared" ca="1" si="152"/>
        <v>96016.841993282113</v>
      </c>
      <c r="AZ117" s="352">
        <f t="shared" ca="1" si="152"/>
        <v>96016.841993282113</v>
      </c>
      <c r="BA117" s="352">
        <f t="shared" ca="1" si="152"/>
        <v>96016.841993282113</v>
      </c>
      <c r="BB117" s="352">
        <f t="shared" ca="1" si="152"/>
        <v>96016.841993282113</v>
      </c>
      <c r="BC117" s="352">
        <f t="shared" ca="1" si="152"/>
        <v>110420.11318762365</v>
      </c>
      <c r="BD117" s="352">
        <f t="shared" ca="1" si="152"/>
        <v>110420.11318762365</v>
      </c>
      <c r="BE117" s="352">
        <f t="shared" ca="1" si="152"/>
        <v>110420.11318762365</v>
      </c>
      <c r="BF117" s="352">
        <f t="shared" ca="1" si="152"/>
        <v>110420.11318762365</v>
      </c>
      <c r="BG117" s="352">
        <f t="shared" ca="1" si="152"/>
        <v>110420.11318762365</v>
      </c>
      <c r="BH117" s="352">
        <f t="shared" ca="1" si="152"/>
        <v>110420.11318762365</v>
      </c>
      <c r="BI117" s="352">
        <f t="shared" ca="1" si="152"/>
        <v>110420.11318762365</v>
      </c>
      <c r="BJ117" s="352">
        <f t="shared" ca="1" si="152"/>
        <v>110420.11318762365</v>
      </c>
      <c r="BK117" s="352">
        <f t="shared" ca="1" si="152"/>
        <v>110420.11318762365</v>
      </c>
      <c r="BL117" s="352">
        <f t="shared" ca="1" si="152"/>
        <v>110420.11318762365</v>
      </c>
      <c r="BM117" s="352">
        <f t="shared" ca="1" si="152"/>
        <v>110420.11318762365</v>
      </c>
      <c r="BN117" s="352">
        <f t="shared" ca="1" si="152"/>
        <v>34346996.392894313</v>
      </c>
      <c r="BO117" s="352">
        <f t="shared" si="152"/>
        <v>0</v>
      </c>
      <c r="BP117" s="352">
        <f t="shared" si="152"/>
        <v>0</v>
      </c>
      <c r="BQ117" s="352">
        <f t="shared" si="152"/>
        <v>0</v>
      </c>
      <c r="BR117" s="352">
        <f t="shared" si="152"/>
        <v>0</v>
      </c>
      <c r="BS117" s="352">
        <f t="shared" si="152"/>
        <v>0</v>
      </c>
      <c r="BT117" s="352">
        <f t="shared" ref="BT117:EE117" si="153">MAX(BT98,0)</f>
        <v>0</v>
      </c>
      <c r="BU117" s="352">
        <f t="shared" si="153"/>
        <v>0</v>
      </c>
      <c r="BV117" s="352">
        <f t="shared" si="153"/>
        <v>0</v>
      </c>
      <c r="BW117" s="352">
        <f t="shared" si="153"/>
        <v>0</v>
      </c>
      <c r="BX117" s="352">
        <f t="shared" si="153"/>
        <v>0</v>
      </c>
      <c r="BY117" s="352">
        <f t="shared" si="153"/>
        <v>0</v>
      </c>
      <c r="BZ117" s="352">
        <f t="shared" si="153"/>
        <v>0</v>
      </c>
      <c r="CA117" s="352">
        <f t="shared" si="153"/>
        <v>0</v>
      </c>
      <c r="CB117" s="352">
        <f t="shared" si="153"/>
        <v>0</v>
      </c>
      <c r="CC117" s="352">
        <f t="shared" si="153"/>
        <v>0</v>
      </c>
      <c r="CD117" s="352">
        <f t="shared" si="153"/>
        <v>0</v>
      </c>
      <c r="CE117" s="352">
        <f t="shared" si="153"/>
        <v>0</v>
      </c>
      <c r="CF117" s="352">
        <f t="shared" si="153"/>
        <v>0</v>
      </c>
      <c r="CG117" s="352">
        <f t="shared" si="153"/>
        <v>0</v>
      </c>
      <c r="CH117" s="352">
        <f t="shared" si="153"/>
        <v>0</v>
      </c>
      <c r="CI117" s="352">
        <f t="shared" si="153"/>
        <v>0</v>
      </c>
      <c r="CJ117" s="352">
        <f t="shared" si="153"/>
        <v>0</v>
      </c>
      <c r="CK117" s="352">
        <f t="shared" si="153"/>
        <v>0</v>
      </c>
      <c r="CL117" s="352">
        <f t="shared" si="153"/>
        <v>0</v>
      </c>
      <c r="CM117" s="352">
        <f t="shared" si="153"/>
        <v>0</v>
      </c>
      <c r="CN117" s="352">
        <f t="shared" si="153"/>
        <v>0</v>
      </c>
      <c r="CO117" s="352">
        <f t="shared" si="153"/>
        <v>0</v>
      </c>
      <c r="CP117" s="352">
        <f t="shared" si="153"/>
        <v>0</v>
      </c>
      <c r="CQ117" s="352">
        <f t="shared" si="153"/>
        <v>0</v>
      </c>
      <c r="CR117" s="352">
        <f t="shared" si="153"/>
        <v>0</v>
      </c>
      <c r="CS117" s="352">
        <f t="shared" si="153"/>
        <v>0</v>
      </c>
      <c r="CT117" s="352">
        <f t="shared" si="153"/>
        <v>0</v>
      </c>
      <c r="CU117" s="352">
        <f t="shared" si="153"/>
        <v>0</v>
      </c>
      <c r="CV117" s="352">
        <f t="shared" si="153"/>
        <v>0</v>
      </c>
      <c r="CW117" s="352">
        <f t="shared" si="153"/>
        <v>0</v>
      </c>
      <c r="CX117" s="352">
        <f t="shared" si="153"/>
        <v>0</v>
      </c>
      <c r="CY117" s="352">
        <f t="shared" si="153"/>
        <v>0</v>
      </c>
      <c r="CZ117" s="352">
        <f t="shared" si="153"/>
        <v>0</v>
      </c>
      <c r="DA117" s="352">
        <f t="shared" si="153"/>
        <v>0</v>
      </c>
      <c r="DB117" s="352">
        <f t="shared" si="153"/>
        <v>0</v>
      </c>
      <c r="DC117" s="352">
        <f t="shared" si="153"/>
        <v>0</v>
      </c>
      <c r="DD117" s="352">
        <f t="shared" si="153"/>
        <v>0</v>
      </c>
      <c r="DE117" s="352">
        <f t="shared" si="153"/>
        <v>0</v>
      </c>
      <c r="DF117" s="352">
        <f t="shared" si="153"/>
        <v>0</v>
      </c>
      <c r="DG117" s="352">
        <f t="shared" si="153"/>
        <v>0</v>
      </c>
      <c r="DH117" s="352">
        <f t="shared" si="153"/>
        <v>0</v>
      </c>
      <c r="DI117" s="352">
        <f t="shared" si="153"/>
        <v>0</v>
      </c>
      <c r="DJ117" s="352">
        <f t="shared" si="153"/>
        <v>0</v>
      </c>
      <c r="DK117" s="352">
        <f t="shared" si="153"/>
        <v>0</v>
      </c>
      <c r="DL117" s="352">
        <f t="shared" si="153"/>
        <v>0</v>
      </c>
      <c r="DM117" s="352">
        <f t="shared" si="153"/>
        <v>0</v>
      </c>
      <c r="DN117" s="352">
        <f t="shared" si="153"/>
        <v>0</v>
      </c>
      <c r="DO117" s="352">
        <f t="shared" si="153"/>
        <v>0</v>
      </c>
      <c r="DP117" s="352">
        <f t="shared" si="153"/>
        <v>0</v>
      </c>
      <c r="DQ117" s="352">
        <f t="shared" si="153"/>
        <v>0</v>
      </c>
      <c r="DR117" s="352">
        <f t="shared" si="153"/>
        <v>0</v>
      </c>
      <c r="DS117" s="352">
        <f t="shared" si="153"/>
        <v>0</v>
      </c>
      <c r="DT117" s="352">
        <f t="shared" si="153"/>
        <v>0</v>
      </c>
      <c r="DU117" s="352">
        <f t="shared" si="153"/>
        <v>0</v>
      </c>
      <c r="DV117" s="352">
        <f t="shared" si="153"/>
        <v>0</v>
      </c>
      <c r="DW117" s="352">
        <f t="shared" si="153"/>
        <v>0</v>
      </c>
      <c r="DX117" s="352">
        <f t="shared" si="153"/>
        <v>0</v>
      </c>
      <c r="DY117" s="352">
        <f t="shared" si="153"/>
        <v>0</v>
      </c>
      <c r="DZ117" s="352">
        <f t="shared" si="153"/>
        <v>0</v>
      </c>
      <c r="EA117" s="352">
        <f t="shared" si="153"/>
        <v>0</v>
      </c>
      <c r="EB117" s="352">
        <f t="shared" si="153"/>
        <v>0</v>
      </c>
      <c r="EC117" s="352">
        <f t="shared" si="153"/>
        <v>0</v>
      </c>
      <c r="ED117" s="352">
        <f t="shared" si="153"/>
        <v>0</v>
      </c>
      <c r="EE117" s="352">
        <f t="shared" si="153"/>
        <v>0</v>
      </c>
      <c r="EF117" s="352">
        <f t="shared" ref="EF117:EH117" si="154">MAX(EF98,0)</f>
        <v>0</v>
      </c>
      <c r="EG117" s="352">
        <f t="shared" si="154"/>
        <v>0</v>
      </c>
      <c r="EH117" s="352">
        <f t="shared" si="154"/>
        <v>0</v>
      </c>
      <c r="EI117" s="316" t="s">
        <v>243</v>
      </c>
    </row>
    <row r="118" spans="2:139" s="316" customFormat="1" x14ac:dyDescent="0.2">
      <c r="B118" s="353" t="s">
        <v>793</v>
      </c>
      <c r="C118" s="354"/>
      <c r="D118" s="355">
        <f ca="1">SUM(F118:EH118)</f>
        <v>30355715.723107949</v>
      </c>
      <c r="E118" s="356"/>
      <c r="F118" s="357">
        <f ca="1">SUM(F116:F117)</f>
        <v>-9908344.7838870473</v>
      </c>
      <c r="G118" s="358">
        <f ca="1">SUM(G116:G117)</f>
        <v>-25307.43350003993</v>
      </c>
      <c r="H118" s="358">
        <f t="shared" ref="H118:BS118" ca="1" si="155">SUM(H116:H117)</f>
        <v>-16609.85283432198</v>
      </c>
      <c r="I118" s="358">
        <f ca="1">SUM(I116:I117)</f>
        <v>-9732.7272621390439</v>
      </c>
      <c r="J118" s="358">
        <f t="shared" ca="1" si="155"/>
        <v>-4673.6486728111195</v>
      </c>
      <c r="K118" s="358">
        <f t="shared" ca="1" si="155"/>
        <v>-1430.2089556581341</v>
      </c>
      <c r="L118" s="358">
        <f t="shared" ca="1" si="155"/>
        <v>380.61369515668775</v>
      </c>
      <c r="M118" s="358">
        <f t="shared" ca="1" si="155"/>
        <v>2189.0282352913491</v>
      </c>
      <c r="N118" s="358">
        <f t="shared" ca="1" si="155"/>
        <v>3995.0346647460101</v>
      </c>
      <c r="O118" s="358">
        <f t="shared" ca="1" si="155"/>
        <v>5798.6329835206125</v>
      </c>
      <c r="P118" s="358">
        <f t="shared" ca="1" si="155"/>
        <v>7599.8231916151562</v>
      </c>
      <c r="Q118" s="358">
        <f t="shared" ca="1" si="155"/>
        <v>9398.6052890295832</v>
      </c>
      <c r="R118" s="358">
        <f t="shared" ca="1" si="155"/>
        <v>11194.979275763893</v>
      </c>
      <c r="S118" s="358">
        <f t="shared" ca="1" si="155"/>
        <v>25525.300878173628</v>
      </c>
      <c r="T118" s="358">
        <f t="shared" ca="1" si="155"/>
        <v>27910.344547190063</v>
      </c>
      <c r="U118" s="358">
        <f t="shared" ca="1" si="155"/>
        <v>30290.870258301205</v>
      </c>
      <c r="V118" s="358">
        <f t="shared" ca="1" si="155"/>
        <v>32666.878011506982</v>
      </c>
      <c r="W118" s="358">
        <f t="shared" ca="1" si="155"/>
        <v>35038.36780680751</v>
      </c>
      <c r="X118" s="358">
        <f t="shared" ca="1" si="155"/>
        <v>37405.339644202555</v>
      </c>
      <c r="Y118" s="358">
        <f t="shared" ca="1" si="155"/>
        <v>39767.793523692351</v>
      </c>
      <c r="Z118" s="358">
        <f t="shared" ca="1" si="155"/>
        <v>42125.729445276782</v>
      </c>
      <c r="AA118" s="358">
        <f t="shared" ca="1" si="155"/>
        <v>44180.875764144163</v>
      </c>
      <c r="AB118" s="358">
        <f t="shared" ca="1" si="155"/>
        <v>46232.068869844472</v>
      </c>
      <c r="AC118" s="358">
        <f t="shared" ca="1" si="155"/>
        <v>48279.308762377521</v>
      </c>
      <c r="AD118" s="358">
        <f t="shared" ca="1" si="155"/>
        <v>50322.595441743426</v>
      </c>
      <c r="AE118" s="358">
        <f t="shared" ca="1" si="155"/>
        <v>43335.488012826492</v>
      </c>
      <c r="AF118" s="358">
        <f t="shared" ca="1" si="155"/>
        <v>45544.316819862594</v>
      </c>
      <c r="AG118" s="358">
        <f t="shared" ca="1" si="155"/>
        <v>47753.145626898753</v>
      </c>
      <c r="AH118" s="358">
        <f t="shared" ca="1" si="155"/>
        <v>49330.880489067364</v>
      </c>
      <c r="AI118" s="358">
        <f t="shared" ca="1" si="155"/>
        <v>50908.615351236032</v>
      </c>
      <c r="AJ118" s="358">
        <f t="shared" ca="1" si="155"/>
        <v>52486.350213404672</v>
      </c>
      <c r="AK118" s="358">
        <f t="shared" ca="1" si="155"/>
        <v>54064.085075573283</v>
      </c>
      <c r="AL118" s="358">
        <f t="shared" ca="1" si="155"/>
        <v>55641.819937742068</v>
      </c>
      <c r="AM118" s="358">
        <f t="shared" ca="1" si="155"/>
        <v>57219.554799910678</v>
      </c>
      <c r="AN118" s="358">
        <f t="shared" ca="1" si="155"/>
        <v>57219.554799910664</v>
      </c>
      <c r="AO118" s="358">
        <f t="shared" ca="1" si="155"/>
        <v>57219.554799910664</v>
      </c>
      <c r="AP118" s="358">
        <f t="shared" ca="1" si="155"/>
        <v>2536969.0801276807</v>
      </c>
      <c r="AQ118" s="358">
        <f t="shared" ca="1" si="155"/>
        <v>96016.841993282113</v>
      </c>
      <c r="AR118" s="358">
        <f t="shared" ca="1" si="155"/>
        <v>96016.841993282113</v>
      </c>
      <c r="AS118" s="358">
        <f t="shared" ca="1" si="155"/>
        <v>96016.841993282113</v>
      </c>
      <c r="AT118" s="358">
        <f t="shared" ca="1" si="155"/>
        <v>96016.841993282113</v>
      </c>
      <c r="AU118" s="358">
        <f t="shared" ca="1" si="155"/>
        <v>96016.841993282113</v>
      </c>
      <c r="AV118" s="358">
        <f t="shared" ca="1" si="155"/>
        <v>96016.841993282113</v>
      </c>
      <c r="AW118" s="358">
        <f t="shared" ca="1" si="155"/>
        <v>96016.841993282113</v>
      </c>
      <c r="AX118" s="358">
        <f t="shared" ca="1" si="155"/>
        <v>96016.841993282113</v>
      </c>
      <c r="AY118" s="358">
        <f t="shared" ca="1" si="155"/>
        <v>96016.841993282113</v>
      </c>
      <c r="AZ118" s="358">
        <f t="shared" ca="1" si="155"/>
        <v>96016.841993282113</v>
      </c>
      <c r="BA118" s="358">
        <f t="shared" ca="1" si="155"/>
        <v>96016.841993282113</v>
      </c>
      <c r="BB118" s="358">
        <f t="shared" ca="1" si="155"/>
        <v>96016.841993282113</v>
      </c>
      <c r="BC118" s="358">
        <f t="shared" ca="1" si="155"/>
        <v>110420.11318762365</v>
      </c>
      <c r="BD118" s="358">
        <f t="shared" ca="1" si="155"/>
        <v>110420.11318762365</v>
      </c>
      <c r="BE118" s="358">
        <f t="shared" ca="1" si="155"/>
        <v>110420.11318762365</v>
      </c>
      <c r="BF118" s="358">
        <f t="shared" ca="1" si="155"/>
        <v>110420.11318762365</v>
      </c>
      <c r="BG118" s="358">
        <f t="shared" ca="1" si="155"/>
        <v>110420.11318762365</v>
      </c>
      <c r="BH118" s="358">
        <f t="shared" ca="1" si="155"/>
        <v>110420.11318762365</v>
      </c>
      <c r="BI118" s="358">
        <f t="shared" ca="1" si="155"/>
        <v>110420.11318762365</v>
      </c>
      <c r="BJ118" s="358">
        <f t="shared" ca="1" si="155"/>
        <v>110420.11318762365</v>
      </c>
      <c r="BK118" s="358">
        <f t="shared" ca="1" si="155"/>
        <v>110420.11318762365</v>
      </c>
      <c r="BL118" s="358">
        <f t="shared" ca="1" si="155"/>
        <v>110420.11318762365</v>
      </c>
      <c r="BM118" s="358">
        <f t="shared" ca="1" si="155"/>
        <v>110420.11318762365</v>
      </c>
      <c r="BN118" s="358">
        <f t="shared" ca="1" si="155"/>
        <v>34346996.392894313</v>
      </c>
      <c r="BO118" s="358">
        <f t="shared" si="155"/>
        <v>0</v>
      </c>
      <c r="BP118" s="358">
        <f t="shared" si="155"/>
        <v>0</v>
      </c>
      <c r="BQ118" s="358">
        <f t="shared" si="155"/>
        <v>0</v>
      </c>
      <c r="BR118" s="358">
        <f t="shared" si="155"/>
        <v>0</v>
      </c>
      <c r="BS118" s="358">
        <f t="shared" si="155"/>
        <v>0</v>
      </c>
      <c r="BT118" s="358">
        <f t="shared" ref="BT118:EE118" si="156">SUM(BT116:BT117)</f>
        <v>0</v>
      </c>
      <c r="BU118" s="358">
        <f t="shared" si="156"/>
        <v>0</v>
      </c>
      <c r="BV118" s="358">
        <f t="shared" si="156"/>
        <v>0</v>
      </c>
      <c r="BW118" s="358">
        <f t="shared" si="156"/>
        <v>0</v>
      </c>
      <c r="BX118" s="358">
        <f t="shared" si="156"/>
        <v>0</v>
      </c>
      <c r="BY118" s="358">
        <f t="shared" si="156"/>
        <v>0</v>
      </c>
      <c r="BZ118" s="358">
        <f t="shared" si="156"/>
        <v>0</v>
      </c>
      <c r="CA118" s="358">
        <f t="shared" si="156"/>
        <v>0</v>
      </c>
      <c r="CB118" s="358">
        <f t="shared" si="156"/>
        <v>0</v>
      </c>
      <c r="CC118" s="358">
        <f t="shared" si="156"/>
        <v>0</v>
      </c>
      <c r="CD118" s="358">
        <f t="shared" si="156"/>
        <v>0</v>
      </c>
      <c r="CE118" s="358">
        <f t="shared" si="156"/>
        <v>0</v>
      </c>
      <c r="CF118" s="358">
        <f t="shared" si="156"/>
        <v>0</v>
      </c>
      <c r="CG118" s="358">
        <f t="shared" si="156"/>
        <v>0</v>
      </c>
      <c r="CH118" s="358">
        <f t="shared" si="156"/>
        <v>0</v>
      </c>
      <c r="CI118" s="358">
        <f t="shared" si="156"/>
        <v>0</v>
      </c>
      <c r="CJ118" s="358">
        <f t="shared" si="156"/>
        <v>0</v>
      </c>
      <c r="CK118" s="358">
        <f t="shared" si="156"/>
        <v>0</v>
      </c>
      <c r="CL118" s="358">
        <f t="shared" si="156"/>
        <v>0</v>
      </c>
      <c r="CM118" s="358">
        <f t="shared" si="156"/>
        <v>0</v>
      </c>
      <c r="CN118" s="358">
        <f t="shared" si="156"/>
        <v>0</v>
      </c>
      <c r="CO118" s="358">
        <f t="shared" si="156"/>
        <v>0</v>
      </c>
      <c r="CP118" s="358">
        <f t="shared" si="156"/>
        <v>0</v>
      </c>
      <c r="CQ118" s="358">
        <f t="shared" si="156"/>
        <v>0</v>
      </c>
      <c r="CR118" s="358">
        <f t="shared" si="156"/>
        <v>0</v>
      </c>
      <c r="CS118" s="358">
        <f t="shared" si="156"/>
        <v>0</v>
      </c>
      <c r="CT118" s="358">
        <f t="shared" si="156"/>
        <v>0</v>
      </c>
      <c r="CU118" s="358">
        <f t="shared" si="156"/>
        <v>0</v>
      </c>
      <c r="CV118" s="358">
        <f t="shared" si="156"/>
        <v>0</v>
      </c>
      <c r="CW118" s="358">
        <f t="shared" si="156"/>
        <v>0</v>
      </c>
      <c r="CX118" s="358">
        <f t="shared" si="156"/>
        <v>0</v>
      </c>
      <c r="CY118" s="358">
        <f t="shared" si="156"/>
        <v>0</v>
      </c>
      <c r="CZ118" s="358">
        <f t="shared" si="156"/>
        <v>0</v>
      </c>
      <c r="DA118" s="358">
        <f t="shared" si="156"/>
        <v>0</v>
      </c>
      <c r="DB118" s="358">
        <f t="shared" si="156"/>
        <v>0</v>
      </c>
      <c r="DC118" s="358">
        <f t="shared" si="156"/>
        <v>0</v>
      </c>
      <c r="DD118" s="358">
        <f t="shared" si="156"/>
        <v>0</v>
      </c>
      <c r="DE118" s="358">
        <f t="shared" si="156"/>
        <v>0</v>
      </c>
      <c r="DF118" s="358">
        <f t="shared" si="156"/>
        <v>0</v>
      </c>
      <c r="DG118" s="358">
        <f t="shared" si="156"/>
        <v>0</v>
      </c>
      <c r="DH118" s="358">
        <f t="shared" si="156"/>
        <v>0</v>
      </c>
      <c r="DI118" s="358">
        <f t="shared" si="156"/>
        <v>0</v>
      </c>
      <c r="DJ118" s="358">
        <f t="shared" si="156"/>
        <v>0</v>
      </c>
      <c r="DK118" s="358">
        <f t="shared" si="156"/>
        <v>0</v>
      </c>
      <c r="DL118" s="358">
        <f t="shared" si="156"/>
        <v>0</v>
      </c>
      <c r="DM118" s="358">
        <f t="shared" si="156"/>
        <v>0</v>
      </c>
      <c r="DN118" s="358">
        <f t="shared" si="156"/>
        <v>0</v>
      </c>
      <c r="DO118" s="358">
        <f t="shared" si="156"/>
        <v>0</v>
      </c>
      <c r="DP118" s="358">
        <f t="shared" si="156"/>
        <v>0</v>
      </c>
      <c r="DQ118" s="358">
        <f t="shared" si="156"/>
        <v>0</v>
      </c>
      <c r="DR118" s="358">
        <f t="shared" si="156"/>
        <v>0</v>
      </c>
      <c r="DS118" s="358">
        <f t="shared" si="156"/>
        <v>0</v>
      </c>
      <c r="DT118" s="358">
        <f t="shared" si="156"/>
        <v>0</v>
      </c>
      <c r="DU118" s="358">
        <f t="shared" si="156"/>
        <v>0</v>
      </c>
      <c r="DV118" s="358">
        <f t="shared" si="156"/>
        <v>0</v>
      </c>
      <c r="DW118" s="358">
        <f t="shared" si="156"/>
        <v>0</v>
      </c>
      <c r="DX118" s="358">
        <f t="shared" si="156"/>
        <v>0</v>
      </c>
      <c r="DY118" s="358">
        <f t="shared" si="156"/>
        <v>0</v>
      </c>
      <c r="DZ118" s="358">
        <f t="shared" si="156"/>
        <v>0</v>
      </c>
      <c r="EA118" s="358">
        <f t="shared" si="156"/>
        <v>0</v>
      </c>
      <c r="EB118" s="358">
        <f t="shared" si="156"/>
        <v>0</v>
      </c>
      <c r="EC118" s="358">
        <f t="shared" si="156"/>
        <v>0</v>
      </c>
      <c r="ED118" s="358">
        <f t="shared" si="156"/>
        <v>0</v>
      </c>
      <c r="EE118" s="358">
        <f t="shared" si="156"/>
        <v>0</v>
      </c>
      <c r="EF118" s="358">
        <f t="shared" ref="EF118:EH118" si="157">SUM(EF116:EF117)</f>
        <v>0</v>
      </c>
      <c r="EG118" s="358">
        <f t="shared" si="157"/>
        <v>0</v>
      </c>
      <c r="EH118" s="358">
        <f t="shared" si="157"/>
        <v>0</v>
      </c>
      <c r="EI118" s="316" t="s">
        <v>243</v>
      </c>
    </row>
    <row r="119" spans="2:139" x14ac:dyDescent="0.2">
      <c r="B119" s="359" t="s">
        <v>120</v>
      </c>
      <c r="C119" s="360"/>
      <c r="D119" s="361">
        <f ca="1">XIRR(F118:EH118,F6:EH6)</f>
        <v>0.35062102675437934</v>
      </c>
      <c r="E119" s="362"/>
      <c r="F119" s="301"/>
      <c r="G119" s="301"/>
      <c r="H119" s="301"/>
      <c r="I119" s="301"/>
      <c r="J119" s="301"/>
      <c r="K119" s="301"/>
      <c r="L119" s="301"/>
      <c r="M119" s="301"/>
      <c r="N119" s="301"/>
      <c r="O119" s="301"/>
      <c r="P119" s="301"/>
      <c r="Q119" s="301"/>
      <c r="R119" s="301"/>
      <c r="S119" s="301"/>
      <c r="T119" s="301"/>
      <c r="U119" s="301"/>
      <c r="V119" s="301"/>
      <c r="W119" s="301"/>
      <c r="X119" s="301"/>
      <c r="Y119" s="301"/>
      <c r="Z119" s="301"/>
      <c r="AA119" s="301"/>
      <c r="AB119" s="301"/>
      <c r="AC119" s="301"/>
      <c r="AD119" s="301"/>
      <c r="AE119" s="301"/>
      <c r="AF119" s="301"/>
      <c r="AG119" s="301"/>
      <c r="AH119" s="301"/>
      <c r="AI119" s="301"/>
      <c r="AJ119" s="301"/>
      <c r="AK119" s="301"/>
      <c r="AL119" s="301"/>
      <c r="AM119" s="301"/>
      <c r="AN119" s="301"/>
      <c r="AO119" s="301"/>
      <c r="AP119" s="301"/>
      <c r="AQ119" s="301"/>
      <c r="AR119" s="301"/>
      <c r="AS119" s="301"/>
      <c r="AT119" s="301"/>
      <c r="AU119" s="301"/>
      <c r="AV119" s="301"/>
      <c r="AW119" s="301"/>
      <c r="AX119" s="301"/>
      <c r="AY119" s="301"/>
      <c r="AZ119" s="301"/>
      <c r="BA119" s="301"/>
      <c r="BB119" s="301"/>
      <c r="BC119" s="301"/>
      <c r="BD119" s="301"/>
      <c r="BE119" s="301"/>
      <c r="BF119" s="301"/>
      <c r="BG119" s="301"/>
      <c r="BH119" s="301"/>
      <c r="BI119" s="301"/>
      <c r="BJ119" s="301"/>
      <c r="BK119" s="301"/>
      <c r="BL119" s="301"/>
      <c r="BM119" s="301"/>
      <c r="BN119" s="301"/>
      <c r="BO119" s="301"/>
      <c r="BP119" s="301"/>
      <c r="BQ119" s="301"/>
      <c r="BR119" s="301"/>
      <c r="BS119" s="301"/>
      <c r="BT119" s="301"/>
      <c r="BU119" s="301"/>
      <c r="BV119" s="301"/>
      <c r="BW119" s="301"/>
      <c r="BX119" s="301"/>
      <c r="BY119" s="301"/>
      <c r="BZ119" s="301"/>
      <c r="CA119" s="301"/>
      <c r="CB119" s="301"/>
      <c r="CC119" s="301"/>
      <c r="CD119" s="301"/>
      <c r="CE119" s="301"/>
      <c r="CF119" s="301"/>
      <c r="CG119" s="301"/>
      <c r="CH119" s="301"/>
      <c r="CI119" s="301"/>
      <c r="CJ119" s="301"/>
      <c r="CK119" s="301"/>
      <c r="CL119" s="301"/>
      <c r="CM119" s="301"/>
      <c r="CN119" s="301"/>
      <c r="CO119" s="301"/>
      <c r="CP119" s="301"/>
      <c r="CQ119" s="301"/>
      <c r="CR119" s="301"/>
      <c r="CS119" s="301"/>
      <c r="CT119" s="301"/>
      <c r="CU119" s="301"/>
      <c r="CV119" s="301"/>
      <c r="CW119" s="301"/>
      <c r="CX119" s="301"/>
      <c r="CY119" s="301"/>
      <c r="CZ119" s="301"/>
      <c r="DA119" s="301"/>
      <c r="DB119" s="301"/>
      <c r="DC119" s="301"/>
      <c r="DD119" s="301"/>
      <c r="DE119" s="301"/>
      <c r="DF119" s="301"/>
      <c r="DG119" s="301"/>
      <c r="DH119" s="301"/>
      <c r="DI119" s="301"/>
      <c r="DJ119" s="301"/>
      <c r="DK119" s="301"/>
      <c r="DL119" s="301"/>
      <c r="DM119" s="301"/>
      <c r="DN119" s="301"/>
      <c r="DO119" s="301"/>
      <c r="DP119" s="301"/>
      <c r="DQ119" s="301"/>
      <c r="DR119" s="301"/>
      <c r="DS119" s="301"/>
      <c r="DT119" s="301"/>
      <c r="DU119" s="301"/>
      <c r="DV119" s="301"/>
      <c r="DW119" s="301"/>
      <c r="DX119" s="301"/>
      <c r="DY119" s="301"/>
      <c r="DZ119" s="301"/>
      <c r="EA119" s="301"/>
      <c r="EB119" s="301"/>
      <c r="EC119" s="301"/>
      <c r="ED119" s="301"/>
      <c r="EE119" s="301"/>
      <c r="EF119" s="301"/>
      <c r="EG119" s="301"/>
      <c r="EH119" s="301"/>
      <c r="EI119" s="316" t="s">
        <v>243</v>
      </c>
    </row>
    <row r="120" spans="2:139" x14ac:dyDescent="0.2">
      <c r="B120" s="363" t="s">
        <v>783</v>
      </c>
      <c r="C120" s="364"/>
      <c r="D120" s="365">
        <f ca="1">D117/-D116</f>
        <v>4.0458975747282269</v>
      </c>
      <c r="E120" s="366"/>
      <c r="F120" s="367"/>
      <c r="G120" s="301"/>
      <c r="H120" s="301"/>
      <c r="I120" s="301"/>
      <c r="J120" s="301"/>
      <c r="K120" s="301"/>
      <c r="L120" s="301"/>
      <c r="M120" s="301"/>
      <c r="N120" s="301"/>
      <c r="O120" s="301"/>
      <c r="P120" s="301"/>
      <c r="Q120" s="301"/>
      <c r="R120" s="301"/>
      <c r="S120" s="301"/>
      <c r="T120" s="301"/>
      <c r="U120" s="301"/>
      <c r="V120" s="301"/>
      <c r="W120" s="301"/>
      <c r="X120" s="301"/>
      <c r="Y120" s="301"/>
      <c r="Z120" s="301"/>
      <c r="AA120" s="301"/>
      <c r="AB120" s="301"/>
      <c r="AC120" s="301"/>
      <c r="AD120" s="301"/>
      <c r="AE120" s="301"/>
      <c r="AF120" s="301"/>
      <c r="AG120" s="301"/>
      <c r="AH120" s="301"/>
      <c r="AI120" s="301"/>
      <c r="AJ120" s="301"/>
      <c r="AK120" s="301"/>
      <c r="AL120" s="301"/>
      <c r="AM120" s="301"/>
      <c r="AN120" s="301"/>
      <c r="AO120" s="301"/>
      <c r="AP120" s="301"/>
      <c r="AQ120" s="301"/>
      <c r="AR120" s="301"/>
      <c r="AS120" s="301"/>
      <c r="AT120" s="301"/>
      <c r="AU120" s="301"/>
      <c r="AV120" s="301"/>
      <c r="AW120" s="301"/>
      <c r="AX120" s="301"/>
      <c r="AY120" s="301"/>
      <c r="AZ120" s="301"/>
      <c r="BA120" s="301"/>
      <c r="BB120" s="301"/>
      <c r="BC120" s="301"/>
      <c r="BD120" s="301"/>
      <c r="BE120" s="301"/>
      <c r="BF120" s="301"/>
      <c r="BG120" s="301"/>
      <c r="BH120" s="301"/>
      <c r="BI120" s="301"/>
      <c r="BJ120" s="301"/>
      <c r="BK120" s="301"/>
      <c r="BL120" s="301"/>
      <c r="BM120" s="301"/>
      <c r="BN120" s="301"/>
      <c r="BO120" s="301"/>
      <c r="BP120" s="301"/>
      <c r="BQ120" s="301"/>
      <c r="BR120" s="301"/>
      <c r="BS120" s="301"/>
      <c r="BT120" s="301"/>
      <c r="BU120" s="301"/>
      <c r="BV120" s="301"/>
      <c r="BW120" s="301"/>
      <c r="BX120" s="301"/>
      <c r="BY120" s="301"/>
      <c r="BZ120" s="301"/>
      <c r="CA120" s="301"/>
      <c r="CB120" s="301"/>
      <c r="CC120" s="301"/>
      <c r="CD120" s="301"/>
      <c r="CE120" s="301"/>
      <c r="CF120" s="301"/>
      <c r="CG120" s="301"/>
      <c r="CH120" s="301"/>
      <c r="CI120" s="301"/>
      <c r="CJ120" s="301"/>
      <c r="CK120" s="301"/>
      <c r="CL120" s="301"/>
      <c r="CM120" s="301"/>
      <c r="CN120" s="301"/>
      <c r="CO120" s="301"/>
      <c r="CP120" s="301"/>
      <c r="CQ120" s="301"/>
      <c r="CR120" s="301"/>
      <c r="CS120" s="301"/>
      <c r="CT120" s="301"/>
      <c r="CU120" s="301"/>
      <c r="CV120" s="301"/>
      <c r="CW120" s="301"/>
      <c r="CX120" s="301"/>
      <c r="CY120" s="301"/>
      <c r="CZ120" s="301"/>
      <c r="DA120" s="301"/>
      <c r="DB120" s="301"/>
      <c r="DC120" s="301"/>
      <c r="DD120" s="301"/>
      <c r="DE120" s="301"/>
      <c r="DF120" s="301"/>
      <c r="DG120" s="301"/>
      <c r="DH120" s="301"/>
      <c r="DI120" s="301"/>
      <c r="DJ120" s="301"/>
      <c r="DK120" s="301"/>
      <c r="DL120" s="301"/>
      <c r="DM120" s="301"/>
      <c r="DN120" s="301"/>
      <c r="DO120" s="301"/>
      <c r="DP120" s="301"/>
      <c r="DQ120" s="301"/>
      <c r="DR120" s="301"/>
      <c r="DS120" s="301"/>
      <c r="DT120" s="301"/>
      <c r="DU120" s="301"/>
      <c r="DV120" s="301"/>
      <c r="DW120" s="301"/>
      <c r="DX120" s="301"/>
      <c r="DY120" s="301"/>
      <c r="DZ120" s="301"/>
      <c r="EA120" s="301"/>
      <c r="EB120" s="301"/>
      <c r="EC120" s="301"/>
      <c r="ED120" s="301"/>
      <c r="EE120" s="301"/>
      <c r="EF120" s="301"/>
      <c r="EG120" s="301"/>
      <c r="EH120" s="301"/>
      <c r="EI120" s="316" t="s">
        <v>243</v>
      </c>
    </row>
    <row r="121" spans="2:139" x14ac:dyDescent="0.2">
      <c r="B121" s="360"/>
      <c r="C121" s="360"/>
      <c r="F121" s="301"/>
      <c r="G121" s="301"/>
      <c r="H121" s="301"/>
      <c r="I121" s="301"/>
      <c r="J121" s="301"/>
      <c r="K121" s="301"/>
      <c r="L121" s="301"/>
      <c r="M121" s="301"/>
      <c r="N121" s="301"/>
      <c r="O121" s="301"/>
      <c r="P121" s="301"/>
      <c r="Q121" s="301"/>
      <c r="R121" s="301"/>
      <c r="S121" s="301"/>
      <c r="T121" s="301"/>
      <c r="U121" s="301"/>
      <c r="V121" s="301"/>
      <c r="W121" s="301"/>
      <c r="X121" s="301"/>
      <c r="Y121" s="301"/>
      <c r="Z121" s="301"/>
      <c r="AA121" s="301"/>
      <c r="AB121" s="301"/>
      <c r="AC121" s="301"/>
      <c r="AD121" s="301"/>
      <c r="AE121" s="301"/>
      <c r="AF121" s="301"/>
      <c r="AG121" s="301"/>
      <c r="AH121" s="301"/>
      <c r="AI121" s="301"/>
      <c r="AJ121" s="301"/>
      <c r="AK121" s="301"/>
      <c r="AL121" s="301"/>
      <c r="AM121" s="301"/>
      <c r="AN121" s="301"/>
      <c r="AO121" s="301"/>
      <c r="AP121" s="301"/>
      <c r="AQ121" s="301"/>
      <c r="AR121" s="301"/>
      <c r="AS121" s="301"/>
      <c r="AT121" s="301"/>
      <c r="AU121" s="301"/>
      <c r="AV121" s="301"/>
      <c r="AW121" s="301"/>
      <c r="AX121" s="301"/>
      <c r="AY121" s="301"/>
      <c r="AZ121" s="301"/>
      <c r="BA121" s="301"/>
      <c r="BB121" s="301"/>
      <c r="BC121" s="301"/>
      <c r="BD121" s="301"/>
      <c r="BE121" s="301"/>
      <c r="BF121" s="301"/>
      <c r="BG121" s="301"/>
      <c r="BH121" s="301"/>
      <c r="BI121" s="301"/>
      <c r="BJ121" s="301"/>
      <c r="BK121" s="301"/>
      <c r="BL121" s="301"/>
      <c r="BM121" s="301"/>
      <c r="BN121" s="301"/>
      <c r="BO121" s="301"/>
      <c r="BP121" s="301"/>
      <c r="BQ121" s="301"/>
      <c r="BR121" s="301"/>
      <c r="BS121" s="301"/>
      <c r="BT121" s="301"/>
      <c r="BU121" s="301"/>
      <c r="BV121" s="301"/>
      <c r="BW121" s="301"/>
      <c r="BX121" s="301"/>
      <c r="BY121" s="301"/>
      <c r="BZ121" s="301"/>
      <c r="CA121" s="301"/>
      <c r="CB121" s="301"/>
      <c r="CC121" s="301"/>
      <c r="CD121" s="301"/>
      <c r="CE121" s="301"/>
      <c r="CF121" s="301"/>
      <c r="CG121" s="301"/>
      <c r="CH121" s="301"/>
      <c r="CI121" s="301"/>
      <c r="CJ121" s="301"/>
      <c r="CK121" s="301"/>
      <c r="CL121" s="301"/>
      <c r="CM121" s="301"/>
      <c r="CN121" s="301"/>
      <c r="CO121" s="301"/>
      <c r="CP121" s="301"/>
      <c r="CQ121" s="301"/>
      <c r="CR121" s="301"/>
      <c r="CS121" s="301"/>
      <c r="CT121" s="301"/>
      <c r="CU121" s="301"/>
      <c r="CV121" s="301"/>
      <c r="CW121" s="301"/>
      <c r="CX121" s="301"/>
      <c r="CY121" s="301"/>
      <c r="CZ121" s="301"/>
      <c r="DA121" s="301"/>
      <c r="DB121" s="301"/>
      <c r="DC121" s="301"/>
      <c r="DD121" s="301"/>
      <c r="DE121" s="301"/>
      <c r="DF121" s="301"/>
      <c r="DG121" s="301"/>
      <c r="DH121" s="301"/>
      <c r="DI121" s="301"/>
      <c r="DJ121" s="301"/>
      <c r="DK121" s="301"/>
      <c r="DL121" s="301"/>
      <c r="DM121" s="301"/>
      <c r="DN121" s="301"/>
      <c r="DO121" s="301"/>
      <c r="DP121" s="301"/>
      <c r="DQ121" s="301"/>
      <c r="DR121" s="301"/>
      <c r="DS121" s="301"/>
      <c r="DT121" s="301"/>
      <c r="DU121" s="301"/>
      <c r="DV121" s="301"/>
      <c r="DW121" s="301"/>
      <c r="DX121" s="301"/>
      <c r="DY121" s="301"/>
      <c r="DZ121" s="301"/>
      <c r="EA121" s="301"/>
      <c r="EB121" s="301"/>
      <c r="EC121" s="301"/>
      <c r="ED121" s="301"/>
      <c r="EE121" s="301"/>
      <c r="EF121" s="301"/>
      <c r="EG121" s="301"/>
      <c r="EH121" s="301"/>
      <c r="EI121" s="316" t="s">
        <v>243</v>
      </c>
    </row>
    <row r="122" spans="2:139" x14ac:dyDescent="0.2">
      <c r="F122" s="301"/>
      <c r="G122" s="301"/>
      <c r="H122" s="301"/>
      <c r="I122" s="301"/>
      <c r="J122" s="301"/>
      <c r="K122" s="301"/>
      <c r="L122" s="301"/>
      <c r="M122" s="301"/>
      <c r="N122" s="301"/>
      <c r="O122" s="301"/>
      <c r="P122" s="301"/>
      <c r="Q122" s="301"/>
      <c r="R122" s="301"/>
      <c r="S122" s="301"/>
      <c r="T122" s="301"/>
      <c r="U122" s="301"/>
      <c r="V122" s="301"/>
      <c r="W122" s="301"/>
      <c r="X122" s="301"/>
      <c r="Y122" s="301"/>
      <c r="Z122" s="301"/>
      <c r="AA122" s="301"/>
      <c r="AB122" s="301"/>
      <c r="AC122" s="301"/>
      <c r="AD122" s="301"/>
      <c r="AE122" s="301"/>
      <c r="AF122" s="301"/>
      <c r="AG122" s="301"/>
      <c r="AH122" s="301"/>
      <c r="AI122" s="301"/>
      <c r="AJ122" s="301"/>
      <c r="AK122" s="301"/>
      <c r="AL122" s="301"/>
      <c r="AM122" s="301"/>
      <c r="AN122" s="301"/>
      <c r="AO122" s="301"/>
      <c r="AP122" s="301"/>
      <c r="AQ122" s="301"/>
      <c r="AR122" s="301"/>
      <c r="AS122" s="301"/>
      <c r="AT122" s="301"/>
      <c r="AU122" s="301"/>
      <c r="AV122" s="301"/>
      <c r="AW122" s="301"/>
      <c r="AX122" s="301"/>
      <c r="AY122" s="301"/>
      <c r="AZ122" s="301"/>
      <c r="BA122" s="301"/>
      <c r="BB122" s="301"/>
      <c r="BC122" s="301"/>
      <c r="BD122" s="301"/>
      <c r="BE122" s="301"/>
      <c r="BF122" s="301"/>
      <c r="BG122" s="301"/>
      <c r="BH122" s="301"/>
      <c r="BI122" s="301"/>
      <c r="BJ122" s="301"/>
      <c r="BK122" s="301"/>
      <c r="BL122" s="301"/>
      <c r="BM122" s="301"/>
      <c r="BN122" s="301"/>
      <c r="BO122" s="301"/>
      <c r="BP122" s="301"/>
      <c r="BQ122" s="301"/>
      <c r="BR122" s="301"/>
      <c r="BS122" s="301"/>
      <c r="BT122" s="301"/>
      <c r="BU122" s="301"/>
      <c r="BV122" s="301"/>
      <c r="BW122" s="301"/>
      <c r="BX122" s="301"/>
      <c r="BY122" s="301"/>
      <c r="BZ122" s="301"/>
      <c r="CA122" s="301"/>
      <c r="CB122" s="301"/>
      <c r="CC122" s="301"/>
      <c r="CD122" s="301"/>
      <c r="CE122" s="301"/>
      <c r="CF122" s="301"/>
      <c r="CG122" s="301"/>
      <c r="CH122" s="301"/>
      <c r="CI122" s="301"/>
      <c r="CJ122" s="301"/>
      <c r="CK122" s="301"/>
      <c r="CL122" s="301"/>
      <c r="CM122" s="301"/>
      <c r="CN122" s="301"/>
      <c r="CO122" s="301"/>
      <c r="CP122" s="301"/>
      <c r="CQ122" s="301"/>
      <c r="CR122" s="301"/>
      <c r="CS122" s="301"/>
      <c r="CT122" s="301"/>
      <c r="CU122" s="301"/>
      <c r="CV122" s="301"/>
      <c r="CW122" s="301"/>
      <c r="CX122" s="301"/>
      <c r="CY122" s="301"/>
      <c r="CZ122" s="301"/>
      <c r="DA122" s="301"/>
      <c r="DB122" s="301"/>
      <c r="DC122" s="301"/>
      <c r="DD122" s="301"/>
      <c r="DE122" s="301"/>
      <c r="DF122" s="301"/>
      <c r="DG122" s="301"/>
      <c r="DH122" s="301"/>
      <c r="DI122" s="301"/>
      <c r="DJ122" s="301"/>
      <c r="DK122" s="301"/>
      <c r="DL122" s="301"/>
      <c r="DM122" s="301"/>
      <c r="DN122" s="301"/>
      <c r="DO122" s="301"/>
      <c r="DP122" s="301"/>
      <c r="DQ122" s="301"/>
      <c r="DR122" s="301"/>
      <c r="DS122" s="301"/>
      <c r="DT122" s="301"/>
      <c r="DU122" s="301"/>
      <c r="DV122" s="301"/>
      <c r="DW122" s="301"/>
      <c r="DX122" s="301"/>
      <c r="DY122" s="301"/>
      <c r="DZ122" s="301"/>
      <c r="EA122" s="301"/>
      <c r="EB122" s="301"/>
      <c r="EC122" s="301"/>
      <c r="ED122" s="301"/>
      <c r="EE122" s="301"/>
      <c r="EF122" s="301"/>
      <c r="EG122" s="301"/>
      <c r="EH122" s="301"/>
      <c r="EI122" s="316" t="s">
        <v>243</v>
      </c>
    </row>
    <row r="123" spans="2:139" ht="15" thickBot="1" x14ac:dyDescent="0.25">
      <c r="B123" s="368" t="s">
        <v>915</v>
      </c>
      <c r="C123" s="368"/>
      <c r="D123" s="368"/>
      <c r="E123" s="368"/>
      <c r="F123" s="368"/>
      <c r="G123" s="368"/>
      <c r="H123" s="368"/>
      <c r="I123" s="368"/>
      <c r="J123" s="368"/>
      <c r="K123" s="368"/>
      <c r="L123" s="368"/>
      <c r="M123" s="368"/>
      <c r="N123" s="368"/>
      <c r="O123" s="368"/>
      <c r="P123" s="368"/>
      <c r="Q123" s="368"/>
      <c r="R123" s="368"/>
      <c r="S123" s="368"/>
      <c r="T123" s="368"/>
      <c r="U123" s="368"/>
      <c r="V123" s="368"/>
      <c r="W123" s="368"/>
      <c r="X123" s="368"/>
      <c r="Y123" s="368"/>
      <c r="Z123" s="368"/>
      <c r="AA123" s="368"/>
      <c r="AB123" s="368"/>
      <c r="AC123" s="368"/>
      <c r="AD123" s="368"/>
      <c r="AE123" s="368"/>
      <c r="AF123" s="368"/>
      <c r="AG123" s="368"/>
      <c r="AH123" s="368"/>
      <c r="AI123" s="368"/>
      <c r="AJ123" s="368"/>
      <c r="AK123" s="368"/>
      <c r="AL123" s="368"/>
      <c r="AM123" s="368"/>
      <c r="AN123" s="368"/>
      <c r="AO123" s="368"/>
      <c r="AP123" s="368"/>
      <c r="AQ123" s="368"/>
      <c r="AR123" s="368"/>
      <c r="AS123" s="368"/>
      <c r="AT123" s="368"/>
      <c r="AU123" s="368"/>
      <c r="AV123" s="368"/>
      <c r="AW123" s="368"/>
      <c r="AX123" s="368"/>
      <c r="AY123" s="368"/>
      <c r="AZ123" s="368"/>
      <c r="BA123" s="368"/>
      <c r="BB123" s="368"/>
      <c r="BC123" s="368"/>
      <c r="BD123" s="368"/>
      <c r="BE123" s="368"/>
      <c r="BF123" s="368"/>
      <c r="BG123" s="368"/>
      <c r="BH123" s="368"/>
      <c r="BI123" s="368"/>
      <c r="BJ123" s="368"/>
      <c r="BK123" s="368"/>
      <c r="BL123" s="368"/>
      <c r="BM123" s="368"/>
      <c r="BN123" s="368"/>
      <c r="BO123" s="368"/>
      <c r="BP123" s="368"/>
      <c r="BQ123" s="368"/>
      <c r="BR123" s="368"/>
      <c r="BS123" s="368"/>
      <c r="BT123" s="368"/>
      <c r="BU123" s="368"/>
      <c r="BV123" s="368"/>
      <c r="BW123" s="368"/>
      <c r="BX123" s="368"/>
      <c r="BY123" s="368"/>
      <c r="BZ123" s="368"/>
      <c r="CA123" s="368"/>
      <c r="CB123" s="368"/>
      <c r="CC123" s="368"/>
      <c r="CD123" s="368"/>
      <c r="CE123" s="368"/>
      <c r="CF123" s="368"/>
      <c r="CG123" s="368"/>
      <c r="CH123" s="368"/>
      <c r="CI123" s="368"/>
      <c r="CJ123" s="368"/>
      <c r="CK123" s="368"/>
      <c r="CL123" s="368"/>
      <c r="CM123" s="368"/>
      <c r="CN123" s="368"/>
      <c r="CO123" s="368"/>
      <c r="CP123" s="368"/>
      <c r="CQ123" s="368"/>
      <c r="CR123" s="368"/>
      <c r="CS123" s="368"/>
      <c r="CT123" s="368"/>
      <c r="CU123" s="368"/>
      <c r="CV123" s="368"/>
      <c r="CW123" s="368"/>
      <c r="CX123" s="368"/>
      <c r="CY123" s="368"/>
      <c r="CZ123" s="368"/>
      <c r="DA123" s="368"/>
      <c r="DB123" s="368"/>
      <c r="DC123" s="368"/>
      <c r="DD123" s="368"/>
      <c r="DE123" s="368"/>
      <c r="DF123" s="368"/>
      <c r="DG123" s="368"/>
      <c r="DH123" s="368"/>
      <c r="DI123" s="368"/>
      <c r="DJ123" s="368"/>
      <c r="DK123" s="368"/>
      <c r="DL123" s="368"/>
      <c r="DM123" s="368"/>
      <c r="DN123" s="368"/>
      <c r="DO123" s="368"/>
      <c r="DP123" s="368"/>
      <c r="DQ123" s="368"/>
      <c r="DR123" s="368"/>
      <c r="DS123" s="368"/>
      <c r="DT123" s="368"/>
      <c r="DU123" s="368"/>
      <c r="DV123" s="368"/>
      <c r="DW123" s="368"/>
      <c r="DX123" s="368"/>
      <c r="DY123" s="368"/>
      <c r="DZ123" s="368"/>
      <c r="EA123" s="368"/>
      <c r="EB123" s="368"/>
      <c r="EC123" s="368"/>
      <c r="ED123" s="368"/>
      <c r="EE123" s="368"/>
      <c r="EF123" s="368"/>
      <c r="EG123" s="368"/>
      <c r="EH123" s="368"/>
      <c r="EI123" s="316" t="s">
        <v>243</v>
      </c>
    </row>
    <row r="124" spans="2:139" ht="15" thickTop="1" x14ac:dyDescent="0.2">
      <c r="EI124" s="316" t="s">
        <v>243</v>
      </c>
    </row>
    <row r="125" spans="2:139" ht="15" thickBot="1" x14ac:dyDescent="0.25">
      <c r="B125" s="299" t="s">
        <v>801</v>
      </c>
      <c r="C125" s="299"/>
      <c r="D125" s="299"/>
      <c r="E125" s="299"/>
      <c r="F125" s="299"/>
      <c r="G125" s="299"/>
      <c r="H125" s="299"/>
      <c r="I125" s="299"/>
      <c r="J125" s="299"/>
      <c r="K125" s="299"/>
      <c r="L125" s="299"/>
      <c r="M125" s="299"/>
      <c r="N125" s="299"/>
      <c r="O125" s="299"/>
      <c r="P125" s="299"/>
      <c r="Q125" s="299"/>
      <c r="R125" s="299"/>
      <c r="S125" s="299"/>
      <c r="T125" s="299"/>
      <c r="U125" s="299"/>
      <c r="V125" s="299"/>
      <c r="W125" s="299"/>
      <c r="X125" s="299"/>
      <c r="Y125" s="299"/>
      <c r="Z125" s="299"/>
      <c r="AA125" s="299"/>
      <c r="AB125" s="299"/>
      <c r="AC125" s="299"/>
      <c r="AD125" s="299"/>
      <c r="AE125" s="299"/>
      <c r="AF125" s="299"/>
      <c r="AG125" s="299"/>
      <c r="AH125" s="299"/>
      <c r="AI125" s="299"/>
      <c r="AJ125" s="299"/>
      <c r="AK125" s="299"/>
      <c r="AL125" s="299"/>
      <c r="AM125" s="299"/>
      <c r="AN125" s="299"/>
      <c r="AO125" s="299"/>
      <c r="AP125" s="299"/>
      <c r="AQ125" s="299"/>
      <c r="AR125" s="299"/>
      <c r="AS125" s="299"/>
      <c r="AT125" s="299"/>
      <c r="AU125" s="299"/>
      <c r="AV125" s="299"/>
      <c r="AW125" s="299"/>
      <c r="AX125" s="299"/>
      <c r="AY125" s="299"/>
      <c r="AZ125" s="299"/>
      <c r="BA125" s="299"/>
      <c r="BB125" s="299"/>
      <c r="BC125" s="299"/>
      <c r="BD125" s="299"/>
      <c r="BE125" s="299"/>
      <c r="BF125" s="299"/>
      <c r="BG125" s="299"/>
      <c r="BH125" s="299"/>
      <c r="BI125" s="299"/>
      <c r="BJ125" s="299"/>
      <c r="BK125" s="299"/>
      <c r="BL125" s="299"/>
      <c r="BM125" s="299"/>
      <c r="BN125" s="299"/>
      <c r="BO125" s="299"/>
      <c r="BP125" s="299"/>
      <c r="BQ125" s="299"/>
      <c r="BR125" s="299"/>
      <c r="BS125" s="299"/>
      <c r="BT125" s="299"/>
      <c r="BU125" s="299"/>
      <c r="BV125" s="299"/>
      <c r="BW125" s="299"/>
      <c r="BX125" s="299"/>
      <c r="BY125" s="299"/>
      <c r="BZ125" s="299"/>
      <c r="CA125" s="299"/>
      <c r="CB125" s="299"/>
      <c r="CC125" s="299"/>
      <c r="CD125" s="299"/>
      <c r="CE125" s="299"/>
      <c r="CF125" s="299"/>
      <c r="CG125" s="299"/>
      <c r="CH125" s="299"/>
      <c r="CI125" s="299"/>
      <c r="CJ125" s="299"/>
      <c r="CK125" s="299"/>
      <c r="CL125" s="299"/>
      <c r="CM125" s="299"/>
      <c r="CN125" s="299"/>
      <c r="CO125" s="299"/>
      <c r="CP125" s="299"/>
      <c r="CQ125" s="299"/>
      <c r="CR125" s="299"/>
      <c r="CS125" s="299"/>
      <c r="CT125" s="299"/>
      <c r="CU125" s="299"/>
      <c r="CV125" s="299"/>
      <c r="CW125" s="299"/>
      <c r="CX125" s="299"/>
      <c r="CY125" s="299"/>
      <c r="CZ125" s="299"/>
      <c r="DA125" s="299"/>
      <c r="DB125" s="299"/>
      <c r="DC125" s="299"/>
      <c r="DD125" s="299"/>
      <c r="DE125" s="299"/>
      <c r="DF125" s="299"/>
      <c r="DG125" s="299"/>
      <c r="DH125" s="299"/>
      <c r="DI125" s="299"/>
      <c r="DJ125" s="299"/>
      <c r="DK125" s="299"/>
      <c r="DL125" s="299"/>
      <c r="DM125" s="299"/>
      <c r="DN125" s="299"/>
      <c r="DO125" s="299"/>
      <c r="DP125" s="299"/>
      <c r="DQ125" s="299"/>
      <c r="DR125" s="299"/>
      <c r="DS125" s="299"/>
      <c r="DT125" s="299"/>
      <c r="DU125" s="299"/>
      <c r="DV125" s="299"/>
      <c r="DW125" s="299"/>
      <c r="DX125" s="299"/>
      <c r="DY125" s="299"/>
      <c r="DZ125" s="299"/>
      <c r="EA125" s="299"/>
      <c r="EB125" s="299"/>
      <c r="EC125" s="299"/>
      <c r="ED125" s="299"/>
      <c r="EE125" s="299"/>
      <c r="EF125" s="299"/>
      <c r="EG125" s="299"/>
      <c r="EH125" s="299"/>
      <c r="EI125" s="316" t="s">
        <v>243</v>
      </c>
    </row>
    <row r="126" spans="2:139" x14ac:dyDescent="0.2">
      <c r="B126" s="269" t="s">
        <v>798</v>
      </c>
      <c r="EI126" s="316" t="s">
        <v>243</v>
      </c>
    </row>
    <row r="127" spans="2:139" x14ac:dyDescent="0.2">
      <c r="B127" s="273" t="s">
        <v>791</v>
      </c>
      <c r="F127" s="158">
        <v>0</v>
      </c>
      <c r="G127" s="348">
        <f ca="1">F131</f>
        <v>9908344.7838870473</v>
      </c>
      <c r="H127" s="348">
        <f t="shared" ref="H127:BS127" ca="1" si="158">G131</f>
        <v>9997402.8060669117</v>
      </c>
      <c r="I127" s="348">
        <f t="shared" ca="1" si="158"/>
        <v>10078336.249577301</v>
      </c>
      <c r="J127" s="348">
        <f t="shared" ca="1" si="158"/>
        <v>10152913.295727959</v>
      </c>
      <c r="K127" s="348">
        <f t="shared" ca="1" si="158"/>
        <v>10222911.094249738</v>
      </c>
      <c r="L127" s="348">
        <f t="shared" ca="1" si="158"/>
        <v>10290115.820997687</v>
      </c>
      <c r="M127" s="348">
        <f t="shared" ca="1" si="158"/>
        <v>10355942.122330252</v>
      </c>
      <c r="N127" s="348">
        <f t="shared" ca="1" si="158"/>
        <v>10420383.537527485</v>
      </c>
      <c r="O127" s="348">
        <f t="shared" ca="1" si="158"/>
        <v>10483433.564300975</v>
      </c>
      <c r="P127" s="348">
        <f t="shared" ca="1" si="158"/>
        <v>10545085.658526387</v>
      </c>
      <c r="Q127" s="348">
        <f t="shared" ca="1" si="158"/>
        <v>10605333.233974297</v>
      </c>
      <c r="R127" s="348">
        <f t="shared" ca="1" si="158"/>
        <v>10664169.662039278</v>
      </c>
      <c r="S127" s="348">
        <f t="shared" ca="1" si="158"/>
        <v>10721588.271467261</v>
      </c>
      <c r="T127" s="348">
        <f t="shared" ca="1" si="158"/>
        <v>10765045.992354767</v>
      </c>
      <c r="U127" s="348">
        <f t="shared" ca="1" si="158"/>
        <v>10806398.277857959</v>
      </c>
      <c r="V127" s="348">
        <f t="shared" ca="1" si="158"/>
        <v>10845636.099500084</v>
      </c>
      <c r="W127" s="348">
        <f t="shared" ca="1" si="158"/>
        <v>10882750.370714903</v>
      </c>
      <c r="X127" s="348">
        <f t="shared" ca="1" si="158"/>
        <v>10917731.946472926</v>
      </c>
      <c r="Y127" s="348">
        <f t="shared" ca="1" si="158"/>
        <v>10950571.622905277</v>
      </c>
      <c r="Z127" s="348">
        <f t="shared" ca="1" si="158"/>
        <v>10981260.136925107</v>
      </c>
      <c r="AA127" s="348">
        <f t="shared" ca="1" si="158"/>
        <v>11009788.165846586</v>
      </c>
      <c r="AB127" s="348">
        <f t="shared" ca="1" si="158"/>
        <v>11036444.598646259</v>
      </c>
      <c r="AC127" s="348">
        <f t="shared" ca="1" si="158"/>
        <v>11061221.34663149</v>
      </c>
      <c r="AD127" s="348">
        <f t="shared" ca="1" si="158"/>
        <v>11084110.269066753</v>
      </c>
      <c r="AE127" s="348">
        <f t="shared" ca="1" si="158"/>
        <v>11105103.172838783</v>
      </c>
      <c r="AF127" s="348">
        <f t="shared" ca="1" si="158"/>
        <v>11133218.253014697</v>
      </c>
      <c r="AG127" s="348">
        <f t="shared" ca="1" si="158"/>
        <v>11159305.397655969</v>
      </c>
      <c r="AH127" s="348">
        <f t="shared" ca="1" si="158"/>
        <v>11183351.558964312</v>
      </c>
      <c r="AI127" s="348">
        <f t="shared" ca="1" si="158"/>
        <v>11205974.699136375</v>
      </c>
      <c r="AJ127" s="348">
        <f t="shared" ca="1" si="158"/>
        <v>11227165.662411319</v>
      </c>
      <c r="AK127" s="348">
        <f t="shared" ca="1" si="158"/>
        <v>11246915.234119866</v>
      </c>
      <c r="AL127" s="348">
        <f t="shared" ca="1" si="158"/>
        <v>11265214.140305275</v>
      </c>
      <c r="AM127" s="348">
        <f t="shared" ca="1" si="158"/>
        <v>11282053.047341894</v>
      </c>
      <c r="AN127" s="348">
        <f t="shared" ca="1" si="158"/>
        <v>11297422.561551237</v>
      </c>
      <c r="AO127" s="348">
        <f t="shared" ca="1" si="158"/>
        <v>11312890.963677779</v>
      </c>
      <c r="AP127" s="348">
        <f t="shared" ca="1" si="158"/>
        <v>11328458.889969356</v>
      </c>
      <c r="AQ127" s="348">
        <f t="shared" ca="1" si="158"/>
        <v>8864377.4554396737</v>
      </c>
      <c r="AR127" s="348">
        <f t="shared" ca="1" si="158"/>
        <v>8825394.2849011272</v>
      </c>
      <c r="AS127" s="348">
        <f t="shared" ca="1" si="158"/>
        <v>8786160.2954695523</v>
      </c>
      <c r="AT127" s="348">
        <f t="shared" ca="1" si="158"/>
        <v>8746673.8733686376</v>
      </c>
      <c r="AU127" s="348">
        <f t="shared" ca="1" si="158"/>
        <v>8706933.3944389895</v>
      </c>
      <c r="AV127" s="348">
        <f t="shared" ca="1" si="158"/>
        <v>8666937.224071322</v>
      </c>
      <c r="AW127" s="348">
        <f t="shared" ca="1" si="158"/>
        <v>8626683.7171392255</v>
      </c>
      <c r="AX127" s="348">
        <f t="shared" ca="1" si="158"/>
        <v>8586171.2179314941</v>
      </c>
      <c r="AY127" s="348">
        <f t="shared" ca="1" si="158"/>
        <v>8545398.0600840282</v>
      </c>
      <c r="AZ127" s="348">
        <f t="shared" ca="1" si="158"/>
        <v>8504362.566511292</v>
      </c>
      <c r="BA127" s="348">
        <f t="shared" ca="1" si="158"/>
        <v>8463063.0493373293</v>
      </c>
      <c r="BB127" s="348">
        <f t="shared" ca="1" si="158"/>
        <v>8421497.8098263424</v>
      </c>
      <c r="BC127" s="348">
        <f t="shared" ca="1" si="158"/>
        <v>8379665.1383128101</v>
      </c>
      <c r="BD127" s="348">
        <f t="shared" ca="1" si="158"/>
        <v>8323160.0429368382</v>
      </c>
      <c r="BE127" s="348">
        <f t="shared" ca="1" si="158"/>
        <v>8266291.3920758478</v>
      </c>
      <c r="BF127" s="348">
        <f t="shared" ca="1" si="158"/>
        <v>8209056.8466029027</v>
      </c>
      <c r="BG127" s="348">
        <f t="shared" ca="1" si="158"/>
        <v>8151454.0523410523</v>
      </c>
      <c r="BH127" s="348">
        <f t="shared" ca="1" si="158"/>
        <v>8093480.6399665009</v>
      </c>
      <c r="BI127" s="348">
        <f t="shared" ca="1" si="158"/>
        <v>8035134.2249111524</v>
      </c>
      <c r="BJ127" s="348">
        <f t="shared" ca="1" si="158"/>
        <v>7976412.4072645269</v>
      </c>
      <c r="BK127" s="348">
        <f t="shared" ca="1" si="158"/>
        <v>7917312.7716750484</v>
      </c>
      <c r="BL127" s="348">
        <f t="shared" ca="1" si="158"/>
        <v>7857832.8872506972</v>
      </c>
      <c r="BM127" s="348">
        <f t="shared" ca="1" si="158"/>
        <v>7797970.3074590201</v>
      </c>
      <c r="BN127" s="348">
        <f t="shared" ca="1" si="158"/>
        <v>7737722.5700265011</v>
      </c>
      <c r="BO127" s="348">
        <f t="shared" ca="1" si="158"/>
        <v>0</v>
      </c>
      <c r="BP127" s="348">
        <f t="shared" ca="1" si="158"/>
        <v>0</v>
      </c>
      <c r="BQ127" s="348">
        <f t="shared" ca="1" si="158"/>
        <v>0</v>
      </c>
      <c r="BR127" s="348">
        <f t="shared" ca="1" si="158"/>
        <v>0</v>
      </c>
      <c r="BS127" s="348">
        <f t="shared" ca="1" si="158"/>
        <v>0</v>
      </c>
      <c r="BT127" s="348">
        <f t="shared" ref="BT127:EE127" ca="1" si="159">BS131</f>
        <v>0</v>
      </c>
      <c r="BU127" s="348">
        <f t="shared" ca="1" si="159"/>
        <v>0</v>
      </c>
      <c r="BV127" s="348">
        <f t="shared" ca="1" si="159"/>
        <v>0</v>
      </c>
      <c r="BW127" s="348">
        <f t="shared" ca="1" si="159"/>
        <v>0</v>
      </c>
      <c r="BX127" s="348">
        <f t="shared" ca="1" si="159"/>
        <v>0</v>
      </c>
      <c r="BY127" s="348">
        <f t="shared" ca="1" si="159"/>
        <v>0</v>
      </c>
      <c r="BZ127" s="348">
        <f t="shared" ca="1" si="159"/>
        <v>0</v>
      </c>
      <c r="CA127" s="348">
        <f t="shared" ca="1" si="159"/>
        <v>0</v>
      </c>
      <c r="CB127" s="348">
        <f t="shared" ca="1" si="159"/>
        <v>0</v>
      </c>
      <c r="CC127" s="348">
        <f t="shared" ca="1" si="159"/>
        <v>0</v>
      </c>
      <c r="CD127" s="348">
        <f t="shared" ca="1" si="159"/>
        <v>0</v>
      </c>
      <c r="CE127" s="348">
        <f t="shared" ca="1" si="159"/>
        <v>0</v>
      </c>
      <c r="CF127" s="348">
        <f t="shared" ca="1" si="159"/>
        <v>0</v>
      </c>
      <c r="CG127" s="348">
        <f t="shared" ca="1" si="159"/>
        <v>0</v>
      </c>
      <c r="CH127" s="348">
        <f t="shared" ca="1" si="159"/>
        <v>0</v>
      </c>
      <c r="CI127" s="348">
        <f t="shared" ca="1" si="159"/>
        <v>0</v>
      </c>
      <c r="CJ127" s="348">
        <f t="shared" ca="1" si="159"/>
        <v>0</v>
      </c>
      <c r="CK127" s="348">
        <f t="shared" ca="1" si="159"/>
        <v>0</v>
      </c>
      <c r="CL127" s="348">
        <f t="shared" ca="1" si="159"/>
        <v>0</v>
      </c>
      <c r="CM127" s="348">
        <f t="shared" ca="1" si="159"/>
        <v>0</v>
      </c>
      <c r="CN127" s="348">
        <f t="shared" ca="1" si="159"/>
        <v>0</v>
      </c>
      <c r="CO127" s="348">
        <f t="shared" ca="1" si="159"/>
        <v>0</v>
      </c>
      <c r="CP127" s="348">
        <f t="shared" ca="1" si="159"/>
        <v>0</v>
      </c>
      <c r="CQ127" s="348">
        <f t="shared" ca="1" si="159"/>
        <v>0</v>
      </c>
      <c r="CR127" s="348">
        <f t="shared" ca="1" si="159"/>
        <v>0</v>
      </c>
      <c r="CS127" s="348">
        <f t="shared" ca="1" si="159"/>
        <v>0</v>
      </c>
      <c r="CT127" s="348">
        <f t="shared" ca="1" si="159"/>
        <v>0</v>
      </c>
      <c r="CU127" s="348">
        <f t="shared" ca="1" si="159"/>
        <v>0</v>
      </c>
      <c r="CV127" s="348">
        <f t="shared" ca="1" si="159"/>
        <v>0</v>
      </c>
      <c r="CW127" s="348">
        <f t="shared" ca="1" si="159"/>
        <v>0</v>
      </c>
      <c r="CX127" s="348">
        <f t="shared" ca="1" si="159"/>
        <v>0</v>
      </c>
      <c r="CY127" s="348">
        <f t="shared" ca="1" si="159"/>
        <v>0</v>
      </c>
      <c r="CZ127" s="348">
        <f t="shared" ca="1" si="159"/>
        <v>0</v>
      </c>
      <c r="DA127" s="348">
        <f t="shared" ca="1" si="159"/>
        <v>0</v>
      </c>
      <c r="DB127" s="348">
        <f t="shared" ca="1" si="159"/>
        <v>0</v>
      </c>
      <c r="DC127" s="348">
        <f t="shared" ca="1" si="159"/>
        <v>0</v>
      </c>
      <c r="DD127" s="348">
        <f t="shared" ca="1" si="159"/>
        <v>0</v>
      </c>
      <c r="DE127" s="348">
        <f t="shared" ca="1" si="159"/>
        <v>0</v>
      </c>
      <c r="DF127" s="348">
        <f t="shared" ca="1" si="159"/>
        <v>0</v>
      </c>
      <c r="DG127" s="348">
        <f t="shared" ca="1" si="159"/>
        <v>0</v>
      </c>
      <c r="DH127" s="348">
        <f t="shared" ca="1" si="159"/>
        <v>0</v>
      </c>
      <c r="DI127" s="348">
        <f t="shared" ca="1" si="159"/>
        <v>0</v>
      </c>
      <c r="DJ127" s="348">
        <f t="shared" ca="1" si="159"/>
        <v>0</v>
      </c>
      <c r="DK127" s="348">
        <f t="shared" ca="1" si="159"/>
        <v>0</v>
      </c>
      <c r="DL127" s="348">
        <f t="shared" ca="1" si="159"/>
        <v>0</v>
      </c>
      <c r="DM127" s="348">
        <f t="shared" ca="1" si="159"/>
        <v>0</v>
      </c>
      <c r="DN127" s="348">
        <f t="shared" ca="1" si="159"/>
        <v>0</v>
      </c>
      <c r="DO127" s="348">
        <f t="shared" ca="1" si="159"/>
        <v>0</v>
      </c>
      <c r="DP127" s="348">
        <f t="shared" ca="1" si="159"/>
        <v>0</v>
      </c>
      <c r="DQ127" s="348">
        <f t="shared" ca="1" si="159"/>
        <v>0</v>
      </c>
      <c r="DR127" s="348">
        <f t="shared" ca="1" si="159"/>
        <v>0</v>
      </c>
      <c r="DS127" s="348">
        <f t="shared" ca="1" si="159"/>
        <v>0</v>
      </c>
      <c r="DT127" s="348">
        <f t="shared" ca="1" si="159"/>
        <v>0</v>
      </c>
      <c r="DU127" s="348">
        <f t="shared" ca="1" si="159"/>
        <v>0</v>
      </c>
      <c r="DV127" s="348">
        <f t="shared" ca="1" si="159"/>
        <v>0</v>
      </c>
      <c r="DW127" s="348">
        <f t="shared" ca="1" si="159"/>
        <v>0</v>
      </c>
      <c r="DX127" s="348">
        <f t="shared" ca="1" si="159"/>
        <v>0</v>
      </c>
      <c r="DY127" s="348">
        <f t="shared" ca="1" si="159"/>
        <v>0</v>
      </c>
      <c r="DZ127" s="348">
        <f t="shared" ca="1" si="159"/>
        <v>0</v>
      </c>
      <c r="EA127" s="348">
        <f t="shared" ca="1" si="159"/>
        <v>0</v>
      </c>
      <c r="EB127" s="348">
        <f t="shared" ca="1" si="159"/>
        <v>0</v>
      </c>
      <c r="EC127" s="348">
        <f t="shared" ca="1" si="159"/>
        <v>0</v>
      </c>
      <c r="ED127" s="348">
        <f t="shared" ca="1" si="159"/>
        <v>0</v>
      </c>
      <c r="EE127" s="348">
        <f t="shared" ca="1" si="159"/>
        <v>0</v>
      </c>
      <c r="EF127" s="348">
        <f t="shared" ref="EF127:EH127" ca="1" si="160">EE131</f>
        <v>0</v>
      </c>
      <c r="EG127" s="348">
        <f t="shared" ca="1" si="160"/>
        <v>0</v>
      </c>
      <c r="EH127" s="348">
        <f t="shared" ca="1" si="160"/>
        <v>0</v>
      </c>
      <c r="EI127" s="316" t="s">
        <v>243</v>
      </c>
    </row>
    <row r="128" spans="2:139" x14ac:dyDescent="0.2">
      <c r="B128" s="273" t="s">
        <v>37</v>
      </c>
      <c r="D128" s="362">
        <v>1</v>
      </c>
      <c r="E128" s="362"/>
      <c r="F128" s="301">
        <f ca="1">$D128*-F116</f>
        <v>9908344.7838870473</v>
      </c>
      <c r="G128" s="301">
        <f t="shared" ref="G128:BR128" ca="1" si="161">$D128*-G116</f>
        <v>25307.43350003993</v>
      </c>
      <c r="H128" s="301">
        <f t="shared" ca="1" si="161"/>
        <v>16609.85283432198</v>
      </c>
      <c r="I128" s="301">
        <f t="shared" ca="1" si="161"/>
        <v>9732.7272621390439</v>
      </c>
      <c r="J128" s="301">
        <f t="shared" ca="1" si="161"/>
        <v>4673.6486728111195</v>
      </c>
      <c r="K128" s="301">
        <f t="shared" ca="1" si="161"/>
        <v>1430.2089556581341</v>
      </c>
      <c r="L128" s="301">
        <f t="shared" ca="1" si="161"/>
        <v>0</v>
      </c>
      <c r="M128" s="301">
        <f t="shared" ca="1" si="161"/>
        <v>0</v>
      </c>
      <c r="N128" s="301">
        <f t="shared" ca="1" si="161"/>
        <v>0</v>
      </c>
      <c r="O128" s="301">
        <f t="shared" ca="1" si="161"/>
        <v>0</v>
      </c>
      <c r="P128" s="301">
        <f t="shared" ca="1" si="161"/>
        <v>0</v>
      </c>
      <c r="Q128" s="301">
        <f t="shared" ca="1" si="161"/>
        <v>0</v>
      </c>
      <c r="R128" s="301">
        <f t="shared" ca="1" si="161"/>
        <v>0</v>
      </c>
      <c r="S128" s="301">
        <f t="shared" ca="1" si="161"/>
        <v>0</v>
      </c>
      <c r="T128" s="301">
        <f t="shared" ca="1" si="161"/>
        <v>0</v>
      </c>
      <c r="U128" s="301">
        <f t="shared" ca="1" si="161"/>
        <v>0</v>
      </c>
      <c r="V128" s="301">
        <f t="shared" ca="1" si="161"/>
        <v>0</v>
      </c>
      <c r="W128" s="301">
        <f t="shared" ca="1" si="161"/>
        <v>0</v>
      </c>
      <c r="X128" s="301">
        <f t="shared" ca="1" si="161"/>
        <v>0</v>
      </c>
      <c r="Y128" s="301">
        <f t="shared" ca="1" si="161"/>
        <v>0</v>
      </c>
      <c r="Z128" s="301">
        <f t="shared" ca="1" si="161"/>
        <v>0</v>
      </c>
      <c r="AA128" s="301">
        <f t="shared" ca="1" si="161"/>
        <v>0</v>
      </c>
      <c r="AB128" s="301">
        <f t="shared" ca="1" si="161"/>
        <v>0</v>
      </c>
      <c r="AC128" s="301">
        <f t="shared" ca="1" si="161"/>
        <v>0</v>
      </c>
      <c r="AD128" s="301">
        <f t="shared" ca="1" si="161"/>
        <v>0</v>
      </c>
      <c r="AE128" s="301">
        <f t="shared" ca="1" si="161"/>
        <v>0</v>
      </c>
      <c r="AF128" s="301">
        <f t="shared" ca="1" si="161"/>
        <v>0</v>
      </c>
      <c r="AG128" s="301">
        <f t="shared" ca="1" si="161"/>
        <v>0</v>
      </c>
      <c r="AH128" s="301">
        <f t="shared" ca="1" si="161"/>
        <v>0</v>
      </c>
      <c r="AI128" s="301">
        <f t="shared" ca="1" si="161"/>
        <v>0</v>
      </c>
      <c r="AJ128" s="301">
        <f t="shared" ca="1" si="161"/>
        <v>0</v>
      </c>
      <c r="AK128" s="301">
        <f t="shared" ca="1" si="161"/>
        <v>0</v>
      </c>
      <c r="AL128" s="301">
        <f t="shared" ca="1" si="161"/>
        <v>0</v>
      </c>
      <c r="AM128" s="301">
        <f t="shared" ca="1" si="161"/>
        <v>0</v>
      </c>
      <c r="AN128" s="301">
        <f t="shared" ca="1" si="161"/>
        <v>0</v>
      </c>
      <c r="AO128" s="301">
        <f t="shared" ca="1" si="161"/>
        <v>0</v>
      </c>
      <c r="AP128" s="301">
        <f t="shared" ca="1" si="161"/>
        <v>0</v>
      </c>
      <c r="AQ128" s="301">
        <f t="shared" ca="1" si="161"/>
        <v>0</v>
      </c>
      <c r="AR128" s="301">
        <f t="shared" ca="1" si="161"/>
        <v>0</v>
      </c>
      <c r="AS128" s="301">
        <f t="shared" ca="1" si="161"/>
        <v>0</v>
      </c>
      <c r="AT128" s="301">
        <f t="shared" ca="1" si="161"/>
        <v>0</v>
      </c>
      <c r="AU128" s="301">
        <f t="shared" ca="1" si="161"/>
        <v>0</v>
      </c>
      <c r="AV128" s="301">
        <f t="shared" ca="1" si="161"/>
        <v>0</v>
      </c>
      <c r="AW128" s="301">
        <f t="shared" ca="1" si="161"/>
        <v>0</v>
      </c>
      <c r="AX128" s="301">
        <f t="shared" ca="1" si="161"/>
        <v>0</v>
      </c>
      <c r="AY128" s="301">
        <f t="shared" ca="1" si="161"/>
        <v>0</v>
      </c>
      <c r="AZ128" s="301">
        <f t="shared" ca="1" si="161"/>
        <v>0</v>
      </c>
      <c r="BA128" s="301">
        <f t="shared" ca="1" si="161"/>
        <v>0</v>
      </c>
      <c r="BB128" s="301">
        <f t="shared" ca="1" si="161"/>
        <v>0</v>
      </c>
      <c r="BC128" s="301">
        <f t="shared" ca="1" si="161"/>
        <v>0</v>
      </c>
      <c r="BD128" s="301">
        <f t="shared" ca="1" si="161"/>
        <v>0</v>
      </c>
      <c r="BE128" s="301">
        <f t="shared" ca="1" si="161"/>
        <v>0</v>
      </c>
      <c r="BF128" s="301">
        <f t="shared" ca="1" si="161"/>
        <v>0</v>
      </c>
      <c r="BG128" s="301">
        <f t="shared" ca="1" si="161"/>
        <v>0</v>
      </c>
      <c r="BH128" s="301">
        <f t="shared" ca="1" si="161"/>
        <v>0</v>
      </c>
      <c r="BI128" s="301">
        <f t="shared" ca="1" si="161"/>
        <v>0</v>
      </c>
      <c r="BJ128" s="301">
        <f t="shared" ca="1" si="161"/>
        <v>0</v>
      </c>
      <c r="BK128" s="301">
        <f t="shared" ca="1" si="161"/>
        <v>0</v>
      </c>
      <c r="BL128" s="301">
        <f t="shared" ca="1" si="161"/>
        <v>0</v>
      </c>
      <c r="BM128" s="301">
        <f t="shared" ca="1" si="161"/>
        <v>0</v>
      </c>
      <c r="BN128" s="301">
        <f t="shared" ca="1" si="161"/>
        <v>0</v>
      </c>
      <c r="BO128" s="301">
        <f t="shared" si="161"/>
        <v>0</v>
      </c>
      <c r="BP128" s="301">
        <f t="shared" si="161"/>
        <v>0</v>
      </c>
      <c r="BQ128" s="301">
        <f t="shared" si="161"/>
        <v>0</v>
      </c>
      <c r="BR128" s="301">
        <f t="shared" si="161"/>
        <v>0</v>
      </c>
      <c r="BS128" s="301">
        <f t="shared" ref="BS128:ED128" si="162">$D128*-BS116</f>
        <v>0</v>
      </c>
      <c r="BT128" s="301">
        <f t="shared" si="162"/>
        <v>0</v>
      </c>
      <c r="BU128" s="301">
        <f t="shared" si="162"/>
        <v>0</v>
      </c>
      <c r="BV128" s="301">
        <f t="shared" si="162"/>
        <v>0</v>
      </c>
      <c r="BW128" s="301">
        <f t="shared" si="162"/>
        <v>0</v>
      </c>
      <c r="BX128" s="301">
        <f t="shared" si="162"/>
        <v>0</v>
      </c>
      <c r="BY128" s="301">
        <f t="shared" si="162"/>
        <v>0</v>
      </c>
      <c r="BZ128" s="301">
        <f t="shared" si="162"/>
        <v>0</v>
      </c>
      <c r="CA128" s="301">
        <f t="shared" si="162"/>
        <v>0</v>
      </c>
      <c r="CB128" s="301">
        <f t="shared" si="162"/>
        <v>0</v>
      </c>
      <c r="CC128" s="301">
        <f t="shared" si="162"/>
        <v>0</v>
      </c>
      <c r="CD128" s="301">
        <f t="shared" si="162"/>
        <v>0</v>
      </c>
      <c r="CE128" s="301">
        <f t="shared" si="162"/>
        <v>0</v>
      </c>
      <c r="CF128" s="301">
        <f t="shared" si="162"/>
        <v>0</v>
      </c>
      <c r="CG128" s="301">
        <f t="shared" si="162"/>
        <v>0</v>
      </c>
      <c r="CH128" s="301">
        <f t="shared" si="162"/>
        <v>0</v>
      </c>
      <c r="CI128" s="301">
        <f t="shared" si="162"/>
        <v>0</v>
      </c>
      <c r="CJ128" s="301">
        <f t="shared" si="162"/>
        <v>0</v>
      </c>
      <c r="CK128" s="301">
        <f t="shared" si="162"/>
        <v>0</v>
      </c>
      <c r="CL128" s="301">
        <f t="shared" si="162"/>
        <v>0</v>
      </c>
      <c r="CM128" s="301">
        <f t="shared" si="162"/>
        <v>0</v>
      </c>
      <c r="CN128" s="301">
        <f t="shared" si="162"/>
        <v>0</v>
      </c>
      <c r="CO128" s="301">
        <f t="shared" si="162"/>
        <v>0</v>
      </c>
      <c r="CP128" s="301">
        <f t="shared" si="162"/>
        <v>0</v>
      </c>
      <c r="CQ128" s="301">
        <f t="shared" si="162"/>
        <v>0</v>
      </c>
      <c r="CR128" s="301">
        <f t="shared" si="162"/>
        <v>0</v>
      </c>
      <c r="CS128" s="301">
        <f t="shared" si="162"/>
        <v>0</v>
      </c>
      <c r="CT128" s="301">
        <f t="shared" si="162"/>
        <v>0</v>
      </c>
      <c r="CU128" s="301">
        <f t="shared" si="162"/>
        <v>0</v>
      </c>
      <c r="CV128" s="301">
        <f t="shared" si="162"/>
        <v>0</v>
      </c>
      <c r="CW128" s="301">
        <f t="shared" si="162"/>
        <v>0</v>
      </c>
      <c r="CX128" s="301">
        <f t="shared" si="162"/>
        <v>0</v>
      </c>
      <c r="CY128" s="301">
        <f t="shared" si="162"/>
        <v>0</v>
      </c>
      <c r="CZ128" s="301">
        <f t="shared" si="162"/>
        <v>0</v>
      </c>
      <c r="DA128" s="301">
        <f t="shared" si="162"/>
        <v>0</v>
      </c>
      <c r="DB128" s="301">
        <f t="shared" si="162"/>
        <v>0</v>
      </c>
      <c r="DC128" s="301">
        <f t="shared" si="162"/>
        <v>0</v>
      </c>
      <c r="DD128" s="301">
        <f t="shared" si="162"/>
        <v>0</v>
      </c>
      <c r="DE128" s="301">
        <f t="shared" si="162"/>
        <v>0</v>
      </c>
      <c r="DF128" s="301">
        <f t="shared" si="162"/>
        <v>0</v>
      </c>
      <c r="DG128" s="301">
        <f t="shared" si="162"/>
        <v>0</v>
      </c>
      <c r="DH128" s="301">
        <f t="shared" si="162"/>
        <v>0</v>
      </c>
      <c r="DI128" s="301">
        <f t="shared" si="162"/>
        <v>0</v>
      </c>
      <c r="DJ128" s="301">
        <f t="shared" si="162"/>
        <v>0</v>
      </c>
      <c r="DK128" s="301">
        <f t="shared" si="162"/>
        <v>0</v>
      </c>
      <c r="DL128" s="301">
        <f t="shared" si="162"/>
        <v>0</v>
      </c>
      <c r="DM128" s="301">
        <f t="shared" si="162"/>
        <v>0</v>
      </c>
      <c r="DN128" s="301">
        <f t="shared" si="162"/>
        <v>0</v>
      </c>
      <c r="DO128" s="301">
        <f t="shared" si="162"/>
        <v>0</v>
      </c>
      <c r="DP128" s="301">
        <f t="shared" si="162"/>
        <v>0</v>
      </c>
      <c r="DQ128" s="301">
        <f t="shared" si="162"/>
        <v>0</v>
      </c>
      <c r="DR128" s="301">
        <f t="shared" si="162"/>
        <v>0</v>
      </c>
      <c r="DS128" s="301">
        <f t="shared" si="162"/>
        <v>0</v>
      </c>
      <c r="DT128" s="301">
        <f t="shared" si="162"/>
        <v>0</v>
      </c>
      <c r="DU128" s="301">
        <f t="shared" si="162"/>
        <v>0</v>
      </c>
      <c r="DV128" s="301">
        <f t="shared" si="162"/>
        <v>0</v>
      </c>
      <c r="DW128" s="301">
        <f t="shared" si="162"/>
        <v>0</v>
      </c>
      <c r="DX128" s="301">
        <f t="shared" si="162"/>
        <v>0</v>
      </c>
      <c r="DY128" s="301">
        <f t="shared" si="162"/>
        <v>0</v>
      </c>
      <c r="DZ128" s="301">
        <f t="shared" si="162"/>
        <v>0</v>
      </c>
      <c r="EA128" s="301">
        <f t="shared" si="162"/>
        <v>0</v>
      </c>
      <c r="EB128" s="301">
        <f t="shared" si="162"/>
        <v>0</v>
      </c>
      <c r="EC128" s="301">
        <f t="shared" si="162"/>
        <v>0</v>
      </c>
      <c r="ED128" s="301">
        <f t="shared" si="162"/>
        <v>0</v>
      </c>
      <c r="EE128" s="301">
        <f t="shared" ref="EE128:EH128" si="163">$D128*-EE116</f>
        <v>0</v>
      </c>
      <c r="EF128" s="301">
        <f t="shared" si="163"/>
        <v>0</v>
      </c>
      <c r="EG128" s="301">
        <f t="shared" si="163"/>
        <v>0</v>
      </c>
      <c r="EH128" s="301">
        <f t="shared" si="163"/>
        <v>0</v>
      </c>
      <c r="EI128" s="316" t="s">
        <v>243</v>
      </c>
    </row>
    <row r="129" spans="2:139" x14ac:dyDescent="0.2">
      <c r="B129" s="369">
        <v>0.08</v>
      </c>
      <c r="D129" s="370">
        <f>(1+B129)^(1/12)-1</f>
        <v>6.4340301100034303E-3</v>
      </c>
      <c r="E129" s="370"/>
      <c r="F129" s="158">
        <v>0</v>
      </c>
      <c r="G129" s="348">
        <f ca="1">$D129*G127</f>
        <v>63750.588679824694</v>
      </c>
      <c r="H129" s="348">
        <f t="shared" ref="H129:BS129" ca="1" si="164">$D129*H127</f>
        <v>64323.590676067295</v>
      </c>
      <c r="I129" s="348">
        <f t="shared" ca="1" si="164"/>
        <v>64844.318888519396</v>
      </c>
      <c r="J129" s="348">
        <f t="shared" ca="1" si="164"/>
        <v>65324.149848967849</v>
      </c>
      <c r="K129" s="348">
        <f t="shared" ca="1" si="164"/>
        <v>65774.517792290935</v>
      </c>
      <c r="L129" s="348">
        <f t="shared" ca="1" si="164"/>
        <v>66206.915027721785</v>
      </c>
      <c r="M129" s="348">
        <f t="shared" ca="1" si="164"/>
        <v>66630.443432525673</v>
      </c>
      <c r="N129" s="348">
        <f t="shared" ca="1" si="164"/>
        <v>67045.061438235891</v>
      </c>
      <c r="O129" s="348">
        <f t="shared" ca="1" si="164"/>
        <v>67450.727208933051</v>
      </c>
      <c r="P129" s="348">
        <f t="shared" ca="1" si="164"/>
        <v>67847.398639524123</v>
      </c>
      <c r="Q129" s="348">
        <f t="shared" ca="1" si="164"/>
        <v>68235.03335401068</v>
      </c>
      <c r="R129" s="348">
        <f t="shared" ca="1" si="164"/>
        <v>68613.588703745816</v>
      </c>
      <c r="S129" s="348">
        <f t="shared" ca="1" si="164"/>
        <v>68983.021765679994</v>
      </c>
      <c r="T129" s="348">
        <f t="shared" ca="1" si="164"/>
        <v>69262.63005038233</v>
      </c>
      <c r="U129" s="348">
        <f t="shared" ca="1" si="164"/>
        <v>69528.691900427322</v>
      </c>
      <c r="V129" s="348">
        <f t="shared" ca="1" si="164"/>
        <v>69781.149226323701</v>
      </c>
      <c r="W129" s="348">
        <f t="shared" ca="1" si="164"/>
        <v>70019.943564830683</v>
      </c>
      <c r="X129" s="348">
        <f t="shared" ca="1" si="164"/>
        <v>70245.016076553162</v>
      </c>
      <c r="Y129" s="348">
        <f t="shared" ca="1" si="164"/>
        <v>70456.307543521674</v>
      </c>
      <c r="Z129" s="348">
        <f t="shared" ca="1" si="164"/>
        <v>70653.758366756534</v>
      </c>
      <c r="AA129" s="348">
        <f t="shared" ca="1" si="164"/>
        <v>70837.308563816376</v>
      </c>
      <c r="AB129" s="348">
        <f t="shared" ca="1" si="164"/>
        <v>71008.81685507475</v>
      </c>
      <c r="AC129" s="348">
        <f t="shared" ca="1" si="164"/>
        <v>71168.231197639689</v>
      </c>
      <c r="AD129" s="348">
        <f t="shared" ca="1" si="164"/>
        <v>71315.499213773714</v>
      </c>
      <c r="AE129" s="348">
        <f t="shared" ca="1" si="164"/>
        <v>71450.568188739358</v>
      </c>
      <c r="AF129" s="348">
        <f t="shared" ca="1" si="164"/>
        <v>71631.46146113635</v>
      </c>
      <c r="AG129" s="348">
        <f t="shared" ca="1" si="164"/>
        <v>71799.306935242304</v>
      </c>
      <c r="AH129" s="348">
        <f t="shared" ca="1" si="164"/>
        <v>71954.020661130184</v>
      </c>
      <c r="AI129" s="348">
        <f t="shared" ca="1" si="164"/>
        <v>72099.578626180068</v>
      </c>
      <c r="AJ129" s="348">
        <f t="shared" ca="1" si="164"/>
        <v>72235.921921951041</v>
      </c>
      <c r="AK129" s="348">
        <f t="shared" ca="1" si="164"/>
        <v>72362.991260983501</v>
      </c>
      <c r="AL129" s="348">
        <f t="shared" ca="1" si="164"/>
        <v>72480.726974360543</v>
      </c>
      <c r="AM129" s="348">
        <f t="shared" ca="1" si="164"/>
        <v>72589.069009253712</v>
      </c>
      <c r="AN129" s="348">
        <f t="shared" ca="1" si="164"/>
        <v>72687.956926452738</v>
      </c>
      <c r="AO129" s="348">
        <f t="shared" ca="1" si="164"/>
        <v>72787.481091488546</v>
      </c>
      <c r="AP129" s="348">
        <f t="shared" ca="1" si="164"/>
        <v>72887.645597998882</v>
      </c>
      <c r="AQ129" s="348">
        <f t="shared" ca="1" si="164"/>
        <v>57033.671454734453</v>
      </c>
      <c r="AR129" s="348">
        <f t="shared" ca="1" si="164"/>
        <v>56782.852561706044</v>
      </c>
      <c r="AS129" s="348">
        <f t="shared" ca="1" si="164"/>
        <v>56530.419892367732</v>
      </c>
      <c r="AT129" s="348">
        <f t="shared" ca="1" si="164"/>
        <v>56276.363063634148</v>
      </c>
      <c r="AU129" s="348">
        <f t="shared" ca="1" si="164"/>
        <v>56020.671625614828</v>
      </c>
      <c r="AV129" s="348">
        <f t="shared" ca="1" si="164"/>
        <v>55763.335061184436</v>
      </c>
      <c r="AW129" s="348">
        <f t="shared" ca="1" si="164"/>
        <v>55504.342785550092</v>
      </c>
      <c r="AX129" s="348">
        <f t="shared" ca="1" si="164"/>
        <v>55243.684145816056</v>
      </c>
      <c r="AY129" s="348">
        <f t="shared" ca="1" si="164"/>
        <v>54981.348420545539</v>
      </c>
      <c r="AZ129" s="348">
        <f t="shared" ca="1" si="164"/>
        <v>54717.3248193197</v>
      </c>
      <c r="BA129" s="348">
        <f t="shared" ca="1" si="164"/>
        <v>54451.60248229382</v>
      </c>
      <c r="BB129" s="348">
        <f t="shared" ca="1" si="164"/>
        <v>54184.170479750632</v>
      </c>
      <c r="BC129" s="348">
        <f t="shared" ca="1" si="164"/>
        <v>53915.01781165068</v>
      </c>
      <c r="BD129" s="348">
        <f t="shared" ca="1" si="164"/>
        <v>53551.46232663306</v>
      </c>
      <c r="BE129" s="348">
        <f t="shared" ca="1" si="164"/>
        <v>53185.567714678175</v>
      </c>
      <c r="BF129" s="348">
        <f t="shared" ca="1" si="164"/>
        <v>52817.318925772888</v>
      </c>
      <c r="BG129" s="348">
        <f t="shared" ca="1" si="164"/>
        <v>52446.70081307181</v>
      </c>
      <c r="BH129" s="348">
        <f t="shared" ca="1" si="164"/>
        <v>52073.698132274301</v>
      </c>
      <c r="BI129" s="348">
        <f t="shared" ca="1" si="164"/>
        <v>51698.295540997431</v>
      </c>
      <c r="BJ129" s="348">
        <f t="shared" ca="1" si="164"/>
        <v>51320.477598144913</v>
      </c>
      <c r="BK129" s="348">
        <f t="shared" ca="1" si="164"/>
        <v>50940.228763271974</v>
      </c>
      <c r="BL129" s="348">
        <f t="shared" ca="1" si="164"/>
        <v>50557.533395946179</v>
      </c>
      <c r="BM129" s="348">
        <f t="shared" ca="1" si="164"/>
        <v>50172.37575510404</v>
      </c>
      <c r="BN129" s="348">
        <f t="shared" ca="1" si="164"/>
        <v>49784.739998403631</v>
      </c>
      <c r="BO129" s="348">
        <f t="shared" ca="1" si="164"/>
        <v>0</v>
      </c>
      <c r="BP129" s="348">
        <f t="shared" ca="1" si="164"/>
        <v>0</v>
      </c>
      <c r="BQ129" s="348">
        <f t="shared" ca="1" si="164"/>
        <v>0</v>
      </c>
      <c r="BR129" s="348">
        <f t="shared" ca="1" si="164"/>
        <v>0</v>
      </c>
      <c r="BS129" s="348">
        <f t="shared" ca="1" si="164"/>
        <v>0</v>
      </c>
      <c r="BT129" s="348">
        <f t="shared" ref="BT129:EE129" ca="1" si="165">$D129*BT127</f>
        <v>0</v>
      </c>
      <c r="BU129" s="348">
        <f t="shared" ca="1" si="165"/>
        <v>0</v>
      </c>
      <c r="BV129" s="348">
        <f t="shared" ca="1" si="165"/>
        <v>0</v>
      </c>
      <c r="BW129" s="348">
        <f t="shared" ca="1" si="165"/>
        <v>0</v>
      </c>
      <c r="BX129" s="348">
        <f t="shared" ca="1" si="165"/>
        <v>0</v>
      </c>
      <c r="BY129" s="348">
        <f t="shared" ca="1" si="165"/>
        <v>0</v>
      </c>
      <c r="BZ129" s="348">
        <f t="shared" ca="1" si="165"/>
        <v>0</v>
      </c>
      <c r="CA129" s="348">
        <f t="shared" ca="1" si="165"/>
        <v>0</v>
      </c>
      <c r="CB129" s="348">
        <f t="shared" ca="1" si="165"/>
        <v>0</v>
      </c>
      <c r="CC129" s="348">
        <f t="shared" ca="1" si="165"/>
        <v>0</v>
      </c>
      <c r="CD129" s="348">
        <f t="shared" ca="1" si="165"/>
        <v>0</v>
      </c>
      <c r="CE129" s="348">
        <f t="shared" ca="1" si="165"/>
        <v>0</v>
      </c>
      <c r="CF129" s="348">
        <f t="shared" ca="1" si="165"/>
        <v>0</v>
      </c>
      <c r="CG129" s="348">
        <f t="shared" ca="1" si="165"/>
        <v>0</v>
      </c>
      <c r="CH129" s="348">
        <f t="shared" ca="1" si="165"/>
        <v>0</v>
      </c>
      <c r="CI129" s="348">
        <f t="shared" ca="1" si="165"/>
        <v>0</v>
      </c>
      <c r="CJ129" s="348">
        <f t="shared" ca="1" si="165"/>
        <v>0</v>
      </c>
      <c r="CK129" s="348">
        <f t="shared" ca="1" si="165"/>
        <v>0</v>
      </c>
      <c r="CL129" s="348">
        <f t="shared" ca="1" si="165"/>
        <v>0</v>
      </c>
      <c r="CM129" s="348">
        <f t="shared" ca="1" si="165"/>
        <v>0</v>
      </c>
      <c r="CN129" s="348">
        <f t="shared" ca="1" si="165"/>
        <v>0</v>
      </c>
      <c r="CO129" s="348">
        <f t="shared" ca="1" si="165"/>
        <v>0</v>
      </c>
      <c r="CP129" s="348">
        <f t="shared" ca="1" si="165"/>
        <v>0</v>
      </c>
      <c r="CQ129" s="348">
        <f t="shared" ca="1" si="165"/>
        <v>0</v>
      </c>
      <c r="CR129" s="348">
        <f t="shared" ca="1" si="165"/>
        <v>0</v>
      </c>
      <c r="CS129" s="348">
        <f t="shared" ca="1" si="165"/>
        <v>0</v>
      </c>
      <c r="CT129" s="348">
        <f t="shared" ca="1" si="165"/>
        <v>0</v>
      </c>
      <c r="CU129" s="348">
        <f t="shared" ca="1" si="165"/>
        <v>0</v>
      </c>
      <c r="CV129" s="348">
        <f t="shared" ca="1" si="165"/>
        <v>0</v>
      </c>
      <c r="CW129" s="348">
        <f t="shared" ca="1" si="165"/>
        <v>0</v>
      </c>
      <c r="CX129" s="348">
        <f t="shared" ca="1" si="165"/>
        <v>0</v>
      </c>
      <c r="CY129" s="348">
        <f t="shared" ca="1" si="165"/>
        <v>0</v>
      </c>
      <c r="CZ129" s="348">
        <f t="shared" ca="1" si="165"/>
        <v>0</v>
      </c>
      <c r="DA129" s="348">
        <f t="shared" ca="1" si="165"/>
        <v>0</v>
      </c>
      <c r="DB129" s="348">
        <f t="shared" ca="1" si="165"/>
        <v>0</v>
      </c>
      <c r="DC129" s="348">
        <f t="shared" ca="1" si="165"/>
        <v>0</v>
      </c>
      <c r="DD129" s="348">
        <f t="shared" ca="1" si="165"/>
        <v>0</v>
      </c>
      <c r="DE129" s="348">
        <f t="shared" ca="1" si="165"/>
        <v>0</v>
      </c>
      <c r="DF129" s="348">
        <f t="shared" ca="1" si="165"/>
        <v>0</v>
      </c>
      <c r="DG129" s="348">
        <f t="shared" ca="1" si="165"/>
        <v>0</v>
      </c>
      <c r="DH129" s="348">
        <f t="shared" ca="1" si="165"/>
        <v>0</v>
      </c>
      <c r="DI129" s="348">
        <f t="shared" ca="1" si="165"/>
        <v>0</v>
      </c>
      <c r="DJ129" s="348">
        <f t="shared" ca="1" si="165"/>
        <v>0</v>
      </c>
      <c r="DK129" s="348">
        <f t="shared" ca="1" si="165"/>
        <v>0</v>
      </c>
      <c r="DL129" s="348">
        <f t="shared" ca="1" si="165"/>
        <v>0</v>
      </c>
      <c r="DM129" s="348">
        <f t="shared" ca="1" si="165"/>
        <v>0</v>
      </c>
      <c r="DN129" s="348">
        <f t="shared" ca="1" si="165"/>
        <v>0</v>
      </c>
      <c r="DO129" s="348">
        <f t="shared" ca="1" si="165"/>
        <v>0</v>
      </c>
      <c r="DP129" s="348">
        <f t="shared" ca="1" si="165"/>
        <v>0</v>
      </c>
      <c r="DQ129" s="348">
        <f t="shared" ca="1" si="165"/>
        <v>0</v>
      </c>
      <c r="DR129" s="348">
        <f t="shared" ca="1" si="165"/>
        <v>0</v>
      </c>
      <c r="DS129" s="348">
        <f t="shared" ca="1" si="165"/>
        <v>0</v>
      </c>
      <c r="DT129" s="348">
        <f t="shared" ca="1" si="165"/>
        <v>0</v>
      </c>
      <c r="DU129" s="348">
        <f t="shared" ca="1" si="165"/>
        <v>0</v>
      </c>
      <c r="DV129" s="348">
        <f t="shared" ca="1" si="165"/>
        <v>0</v>
      </c>
      <c r="DW129" s="348">
        <f t="shared" ca="1" si="165"/>
        <v>0</v>
      </c>
      <c r="DX129" s="348">
        <f t="shared" ca="1" si="165"/>
        <v>0</v>
      </c>
      <c r="DY129" s="348">
        <f t="shared" ca="1" si="165"/>
        <v>0</v>
      </c>
      <c r="DZ129" s="348">
        <f t="shared" ca="1" si="165"/>
        <v>0</v>
      </c>
      <c r="EA129" s="348">
        <f t="shared" ca="1" si="165"/>
        <v>0</v>
      </c>
      <c r="EB129" s="348">
        <f t="shared" ca="1" si="165"/>
        <v>0</v>
      </c>
      <c r="EC129" s="348">
        <f t="shared" ca="1" si="165"/>
        <v>0</v>
      </c>
      <c r="ED129" s="348">
        <f t="shared" ca="1" si="165"/>
        <v>0</v>
      </c>
      <c r="EE129" s="348">
        <f t="shared" ca="1" si="165"/>
        <v>0</v>
      </c>
      <c r="EF129" s="348">
        <f t="shared" ref="EF129:EH129" ca="1" si="166">$D129*EF127</f>
        <v>0</v>
      </c>
      <c r="EG129" s="348">
        <f t="shared" ca="1" si="166"/>
        <v>0</v>
      </c>
      <c r="EH129" s="348">
        <f t="shared" ca="1" si="166"/>
        <v>0</v>
      </c>
      <c r="EI129" s="316" t="s">
        <v>243</v>
      </c>
    </row>
    <row r="130" spans="2:139" x14ac:dyDescent="0.2">
      <c r="B130" s="371" t="s">
        <v>209</v>
      </c>
      <c r="F130" s="158">
        <v>0</v>
      </c>
      <c r="G130" s="348">
        <f ca="1">-MIN(G117,SUM(G127:G129))</f>
        <v>0</v>
      </c>
      <c r="H130" s="348">
        <f t="shared" ref="H130:BS130" ca="1" si="167">-MIN(H117,SUM(H127:H129))</f>
        <v>0</v>
      </c>
      <c r="I130" s="348">
        <f t="shared" ca="1" si="167"/>
        <v>0</v>
      </c>
      <c r="J130" s="348">
        <f t="shared" ca="1" si="167"/>
        <v>0</v>
      </c>
      <c r="K130" s="348">
        <f t="shared" ca="1" si="167"/>
        <v>0</v>
      </c>
      <c r="L130" s="348">
        <f t="shared" ca="1" si="167"/>
        <v>-380.61369515668775</v>
      </c>
      <c r="M130" s="348">
        <f t="shared" ca="1" si="167"/>
        <v>-2189.0282352913491</v>
      </c>
      <c r="N130" s="348">
        <f t="shared" ca="1" si="167"/>
        <v>-3995.0346647460101</v>
      </c>
      <c r="O130" s="348">
        <f t="shared" ca="1" si="167"/>
        <v>-5798.6329835206125</v>
      </c>
      <c r="P130" s="348">
        <f t="shared" ca="1" si="167"/>
        <v>-7599.8231916151562</v>
      </c>
      <c r="Q130" s="348">
        <f t="shared" ca="1" si="167"/>
        <v>-9398.6052890295832</v>
      </c>
      <c r="R130" s="348">
        <f t="shared" ca="1" si="167"/>
        <v>-11194.979275763893</v>
      </c>
      <c r="S130" s="348">
        <f t="shared" ca="1" si="167"/>
        <v>-25525.300878173628</v>
      </c>
      <c r="T130" s="348">
        <f t="shared" ca="1" si="167"/>
        <v>-27910.344547190063</v>
      </c>
      <c r="U130" s="348">
        <f t="shared" ca="1" si="167"/>
        <v>-30290.870258301205</v>
      </c>
      <c r="V130" s="348">
        <f t="shared" ca="1" si="167"/>
        <v>-32666.878011506982</v>
      </c>
      <c r="W130" s="348">
        <f t="shared" ca="1" si="167"/>
        <v>-35038.36780680751</v>
      </c>
      <c r="X130" s="348">
        <f t="shared" ca="1" si="167"/>
        <v>-37405.339644202555</v>
      </c>
      <c r="Y130" s="348">
        <f t="shared" ca="1" si="167"/>
        <v>-39767.793523692351</v>
      </c>
      <c r="Z130" s="348">
        <f t="shared" ca="1" si="167"/>
        <v>-42125.729445276782</v>
      </c>
      <c r="AA130" s="348">
        <f t="shared" ca="1" si="167"/>
        <v>-44180.875764144163</v>
      </c>
      <c r="AB130" s="348">
        <f t="shared" ca="1" si="167"/>
        <v>-46232.068869844472</v>
      </c>
      <c r="AC130" s="348">
        <f t="shared" ca="1" si="167"/>
        <v>-48279.308762377521</v>
      </c>
      <c r="AD130" s="348">
        <f t="shared" ca="1" si="167"/>
        <v>-50322.595441743426</v>
      </c>
      <c r="AE130" s="348">
        <f t="shared" ca="1" si="167"/>
        <v>-43335.488012826492</v>
      </c>
      <c r="AF130" s="348">
        <f t="shared" ca="1" si="167"/>
        <v>-45544.316819862594</v>
      </c>
      <c r="AG130" s="348">
        <f t="shared" ca="1" si="167"/>
        <v>-47753.145626898753</v>
      </c>
      <c r="AH130" s="348">
        <f t="shared" ca="1" si="167"/>
        <v>-49330.880489067364</v>
      </c>
      <c r="AI130" s="348">
        <f t="shared" ca="1" si="167"/>
        <v>-50908.615351236032</v>
      </c>
      <c r="AJ130" s="348">
        <f t="shared" ca="1" si="167"/>
        <v>-52486.350213404672</v>
      </c>
      <c r="AK130" s="348">
        <f t="shared" ca="1" si="167"/>
        <v>-54064.085075573283</v>
      </c>
      <c r="AL130" s="348">
        <f t="shared" ca="1" si="167"/>
        <v>-55641.819937742068</v>
      </c>
      <c r="AM130" s="348">
        <f t="shared" ca="1" si="167"/>
        <v>-57219.554799910678</v>
      </c>
      <c r="AN130" s="348">
        <f t="shared" ca="1" si="167"/>
        <v>-57219.554799910664</v>
      </c>
      <c r="AO130" s="348">
        <f t="shared" ca="1" si="167"/>
        <v>-57219.554799910664</v>
      </c>
      <c r="AP130" s="348">
        <f t="shared" ca="1" si="167"/>
        <v>-2536969.0801276807</v>
      </c>
      <c r="AQ130" s="348">
        <f t="shared" ca="1" si="167"/>
        <v>-96016.841993282113</v>
      </c>
      <c r="AR130" s="348">
        <f t="shared" ca="1" si="167"/>
        <v>-96016.841993282113</v>
      </c>
      <c r="AS130" s="348">
        <f t="shared" ca="1" si="167"/>
        <v>-96016.841993282113</v>
      </c>
      <c r="AT130" s="348">
        <f t="shared" ca="1" si="167"/>
        <v>-96016.841993282113</v>
      </c>
      <c r="AU130" s="348">
        <f t="shared" ca="1" si="167"/>
        <v>-96016.841993282113</v>
      </c>
      <c r="AV130" s="348">
        <f t="shared" ca="1" si="167"/>
        <v>-96016.841993282113</v>
      </c>
      <c r="AW130" s="348">
        <f t="shared" ca="1" si="167"/>
        <v>-96016.841993282113</v>
      </c>
      <c r="AX130" s="348">
        <f t="shared" ca="1" si="167"/>
        <v>-96016.841993282113</v>
      </c>
      <c r="AY130" s="348">
        <f t="shared" ca="1" si="167"/>
        <v>-96016.841993282113</v>
      </c>
      <c r="AZ130" s="348">
        <f t="shared" ca="1" si="167"/>
        <v>-96016.841993282113</v>
      </c>
      <c r="BA130" s="348">
        <f t="shared" ca="1" si="167"/>
        <v>-96016.841993282113</v>
      </c>
      <c r="BB130" s="348">
        <f t="shared" ca="1" si="167"/>
        <v>-96016.841993282113</v>
      </c>
      <c r="BC130" s="348">
        <f t="shared" ca="1" si="167"/>
        <v>-110420.11318762365</v>
      </c>
      <c r="BD130" s="348">
        <f t="shared" ca="1" si="167"/>
        <v>-110420.11318762365</v>
      </c>
      <c r="BE130" s="348">
        <f t="shared" ca="1" si="167"/>
        <v>-110420.11318762365</v>
      </c>
      <c r="BF130" s="348">
        <f t="shared" ca="1" si="167"/>
        <v>-110420.11318762365</v>
      </c>
      <c r="BG130" s="348">
        <f t="shared" ca="1" si="167"/>
        <v>-110420.11318762365</v>
      </c>
      <c r="BH130" s="348">
        <f t="shared" ca="1" si="167"/>
        <v>-110420.11318762365</v>
      </c>
      <c r="BI130" s="348">
        <f t="shared" ca="1" si="167"/>
        <v>-110420.11318762365</v>
      </c>
      <c r="BJ130" s="348">
        <f t="shared" ca="1" si="167"/>
        <v>-110420.11318762365</v>
      </c>
      <c r="BK130" s="348">
        <f t="shared" ca="1" si="167"/>
        <v>-110420.11318762365</v>
      </c>
      <c r="BL130" s="348">
        <f t="shared" ca="1" si="167"/>
        <v>-110420.11318762365</v>
      </c>
      <c r="BM130" s="348">
        <f t="shared" ca="1" si="167"/>
        <v>-110420.11318762365</v>
      </c>
      <c r="BN130" s="348">
        <f t="shared" ca="1" si="167"/>
        <v>-7787507.310024905</v>
      </c>
      <c r="BO130" s="348">
        <f t="shared" ca="1" si="167"/>
        <v>0</v>
      </c>
      <c r="BP130" s="348">
        <f t="shared" ca="1" si="167"/>
        <v>0</v>
      </c>
      <c r="BQ130" s="348">
        <f t="shared" ca="1" si="167"/>
        <v>0</v>
      </c>
      <c r="BR130" s="348">
        <f t="shared" ca="1" si="167"/>
        <v>0</v>
      </c>
      <c r="BS130" s="348">
        <f t="shared" ca="1" si="167"/>
        <v>0</v>
      </c>
      <c r="BT130" s="348">
        <f t="shared" ref="BT130:EE130" ca="1" si="168">-MIN(BT117,SUM(BT127:BT129))</f>
        <v>0</v>
      </c>
      <c r="BU130" s="348">
        <f t="shared" ca="1" si="168"/>
        <v>0</v>
      </c>
      <c r="BV130" s="348">
        <f t="shared" ca="1" si="168"/>
        <v>0</v>
      </c>
      <c r="BW130" s="348">
        <f t="shared" ca="1" si="168"/>
        <v>0</v>
      </c>
      <c r="BX130" s="348">
        <f t="shared" ca="1" si="168"/>
        <v>0</v>
      </c>
      <c r="BY130" s="348">
        <f t="shared" ca="1" si="168"/>
        <v>0</v>
      </c>
      <c r="BZ130" s="348">
        <f t="shared" ca="1" si="168"/>
        <v>0</v>
      </c>
      <c r="CA130" s="348">
        <f t="shared" ca="1" si="168"/>
        <v>0</v>
      </c>
      <c r="CB130" s="348">
        <f t="shared" ca="1" si="168"/>
        <v>0</v>
      </c>
      <c r="CC130" s="348">
        <f t="shared" ca="1" si="168"/>
        <v>0</v>
      </c>
      <c r="CD130" s="348">
        <f t="shared" ca="1" si="168"/>
        <v>0</v>
      </c>
      <c r="CE130" s="348">
        <f t="shared" ca="1" si="168"/>
        <v>0</v>
      </c>
      <c r="CF130" s="348">
        <f t="shared" ca="1" si="168"/>
        <v>0</v>
      </c>
      <c r="CG130" s="348">
        <f t="shared" ca="1" si="168"/>
        <v>0</v>
      </c>
      <c r="CH130" s="348">
        <f t="shared" ca="1" si="168"/>
        <v>0</v>
      </c>
      <c r="CI130" s="348">
        <f t="shared" ca="1" si="168"/>
        <v>0</v>
      </c>
      <c r="CJ130" s="348">
        <f t="shared" ca="1" si="168"/>
        <v>0</v>
      </c>
      <c r="CK130" s="348">
        <f t="shared" ca="1" si="168"/>
        <v>0</v>
      </c>
      <c r="CL130" s="348">
        <f t="shared" ca="1" si="168"/>
        <v>0</v>
      </c>
      <c r="CM130" s="348">
        <f t="shared" ca="1" si="168"/>
        <v>0</v>
      </c>
      <c r="CN130" s="348">
        <f t="shared" ca="1" si="168"/>
        <v>0</v>
      </c>
      <c r="CO130" s="348">
        <f t="shared" ca="1" si="168"/>
        <v>0</v>
      </c>
      <c r="CP130" s="348">
        <f t="shared" ca="1" si="168"/>
        <v>0</v>
      </c>
      <c r="CQ130" s="348">
        <f t="shared" ca="1" si="168"/>
        <v>0</v>
      </c>
      <c r="CR130" s="348">
        <f t="shared" ca="1" si="168"/>
        <v>0</v>
      </c>
      <c r="CS130" s="348">
        <f t="shared" ca="1" si="168"/>
        <v>0</v>
      </c>
      <c r="CT130" s="348">
        <f t="shared" ca="1" si="168"/>
        <v>0</v>
      </c>
      <c r="CU130" s="348">
        <f t="shared" ca="1" si="168"/>
        <v>0</v>
      </c>
      <c r="CV130" s="348">
        <f t="shared" ca="1" si="168"/>
        <v>0</v>
      </c>
      <c r="CW130" s="348">
        <f t="shared" ca="1" si="168"/>
        <v>0</v>
      </c>
      <c r="CX130" s="348">
        <f t="shared" ca="1" si="168"/>
        <v>0</v>
      </c>
      <c r="CY130" s="348">
        <f t="shared" ca="1" si="168"/>
        <v>0</v>
      </c>
      <c r="CZ130" s="348">
        <f t="shared" ca="1" si="168"/>
        <v>0</v>
      </c>
      <c r="DA130" s="348">
        <f t="shared" ca="1" si="168"/>
        <v>0</v>
      </c>
      <c r="DB130" s="348">
        <f t="shared" ca="1" si="168"/>
        <v>0</v>
      </c>
      <c r="DC130" s="348">
        <f t="shared" ca="1" si="168"/>
        <v>0</v>
      </c>
      <c r="DD130" s="348">
        <f t="shared" ca="1" si="168"/>
        <v>0</v>
      </c>
      <c r="DE130" s="348">
        <f t="shared" ca="1" si="168"/>
        <v>0</v>
      </c>
      <c r="DF130" s="348">
        <f t="shared" ca="1" si="168"/>
        <v>0</v>
      </c>
      <c r="DG130" s="348">
        <f t="shared" ca="1" si="168"/>
        <v>0</v>
      </c>
      <c r="DH130" s="348">
        <f t="shared" ca="1" si="168"/>
        <v>0</v>
      </c>
      <c r="DI130" s="348">
        <f t="shared" ca="1" si="168"/>
        <v>0</v>
      </c>
      <c r="DJ130" s="348">
        <f t="shared" ca="1" si="168"/>
        <v>0</v>
      </c>
      <c r="DK130" s="348">
        <f t="shared" ca="1" si="168"/>
        <v>0</v>
      </c>
      <c r="DL130" s="348">
        <f t="shared" ca="1" si="168"/>
        <v>0</v>
      </c>
      <c r="DM130" s="348">
        <f t="shared" ca="1" si="168"/>
        <v>0</v>
      </c>
      <c r="DN130" s="348">
        <f t="shared" ca="1" si="168"/>
        <v>0</v>
      </c>
      <c r="DO130" s="348">
        <f t="shared" ca="1" si="168"/>
        <v>0</v>
      </c>
      <c r="DP130" s="348">
        <f t="shared" ca="1" si="168"/>
        <v>0</v>
      </c>
      <c r="DQ130" s="348">
        <f t="shared" ca="1" si="168"/>
        <v>0</v>
      </c>
      <c r="DR130" s="348">
        <f t="shared" ca="1" si="168"/>
        <v>0</v>
      </c>
      <c r="DS130" s="348">
        <f t="shared" ca="1" si="168"/>
        <v>0</v>
      </c>
      <c r="DT130" s="348">
        <f t="shared" ca="1" si="168"/>
        <v>0</v>
      </c>
      <c r="DU130" s="348">
        <f t="shared" ca="1" si="168"/>
        <v>0</v>
      </c>
      <c r="DV130" s="348">
        <f t="shared" ca="1" si="168"/>
        <v>0</v>
      </c>
      <c r="DW130" s="348">
        <f t="shared" ca="1" si="168"/>
        <v>0</v>
      </c>
      <c r="DX130" s="348">
        <f t="shared" ca="1" si="168"/>
        <v>0</v>
      </c>
      <c r="DY130" s="348">
        <f t="shared" ca="1" si="168"/>
        <v>0</v>
      </c>
      <c r="DZ130" s="348">
        <f t="shared" ca="1" si="168"/>
        <v>0</v>
      </c>
      <c r="EA130" s="348">
        <f t="shared" ca="1" si="168"/>
        <v>0</v>
      </c>
      <c r="EB130" s="348">
        <f t="shared" ca="1" si="168"/>
        <v>0</v>
      </c>
      <c r="EC130" s="348">
        <f t="shared" ca="1" si="168"/>
        <v>0</v>
      </c>
      <c r="ED130" s="348">
        <f t="shared" ca="1" si="168"/>
        <v>0</v>
      </c>
      <c r="EE130" s="348">
        <f t="shared" ca="1" si="168"/>
        <v>0</v>
      </c>
      <c r="EF130" s="348">
        <f t="shared" ref="EF130:EH130" ca="1" si="169">-MIN(EF117,SUM(EF127:EF129))</f>
        <v>0</v>
      </c>
      <c r="EG130" s="348">
        <f t="shared" ca="1" si="169"/>
        <v>0</v>
      </c>
      <c r="EH130" s="348">
        <f t="shared" ca="1" si="169"/>
        <v>0</v>
      </c>
      <c r="EI130" s="316" t="s">
        <v>243</v>
      </c>
    </row>
    <row r="131" spans="2:139" x14ac:dyDescent="0.2">
      <c r="B131" s="372" t="s">
        <v>118</v>
      </c>
      <c r="C131" s="373"/>
      <c r="D131" s="373"/>
      <c r="E131" s="373"/>
      <c r="F131" s="374">
        <f ca="1">SUM(F127:F130)</f>
        <v>9908344.7838870473</v>
      </c>
      <c r="G131" s="374">
        <f ca="1">SUM(G127:G130)</f>
        <v>9997402.8060669117</v>
      </c>
      <c r="H131" s="374">
        <f t="shared" ref="H131:BS131" ca="1" si="170">SUM(H127:H130)</f>
        <v>10078336.249577301</v>
      </c>
      <c r="I131" s="374">
        <f t="shared" ca="1" si="170"/>
        <v>10152913.295727959</v>
      </c>
      <c r="J131" s="374">
        <f t="shared" ca="1" si="170"/>
        <v>10222911.094249738</v>
      </c>
      <c r="K131" s="374">
        <f t="shared" ca="1" si="170"/>
        <v>10290115.820997687</v>
      </c>
      <c r="L131" s="374">
        <f t="shared" ca="1" si="170"/>
        <v>10355942.122330252</v>
      </c>
      <c r="M131" s="374">
        <f t="shared" ca="1" si="170"/>
        <v>10420383.537527485</v>
      </c>
      <c r="N131" s="374">
        <f t="shared" ca="1" si="170"/>
        <v>10483433.564300975</v>
      </c>
      <c r="O131" s="374">
        <f t="shared" ca="1" si="170"/>
        <v>10545085.658526387</v>
      </c>
      <c r="P131" s="374">
        <f t="shared" ca="1" si="170"/>
        <v>10605333.233974297</v>
      </c>
      <c r="Q131" s="374">
        <f t="shared" ca="1" si="170"/>
        <v>10664169.662039278</v>
      </c>
      <c r="R131" s="374">
        <f t="shared" ca="1" si="170"/>
        <v>10721588.271467261</v>
      </c>
      <c r="S131" s="374">
        <f t="shared" ca="1" si="170"/>
        <v>10765045.992354767</v>
      </c>
      <c r="T131" s="374">
        <f t="shared" ca="1" si="170"/>
        <v>10806398.277857959</v>
      </c>
      <c r="U131" s="374">
        <f t="shared" ca="1" si="170"/>
        <v>10845636.099500084</v>
      </c>
      <c r="V131" s="374">
        <f t="shared" ca="1" si="170"/>
        <v>10882750.370714903</v>
      </c>
      <c r="W131" s="374">
        <f t="shared" ca="1" si="170"/>
        <v>10917731.946472926</v>
      </c>
      <c r="X131" s="374">
        <f t="shared" ca="1" si="170"/>
        <v>10950571.622905277</v>
      </c>
      <c r="Y131" s="374">
        <f t="shared" ca="1" si="170"/>
        <v>10981260.136925107</v>
      </c>
      <c r="Z131" s="374">
        <f t="shared" ca="1" si="170"/>
        <v>11009788.165846586</v>
      </c>
      <c r="AA131" s="374">
        <f t="shared" ca="1" si="170"/>
        <v>11036444.598646259</v>
      </c>
      <c r="AB131" s="374">
        <f t="shared" ca="1" si="170"/>
        <v>11061221.34663149</v>
      </c>
      <c r="AC131" s="374">
        <f t="shared" ca="1" si="170"/>
        <v>11084110.269066753</v>
      </c>
      <c r="AD131" s="374">
        <f t="shared" ca="1" si="170"/>
        <v>11105103.172838783</v>
      </c>
      <c r="AE131" s="374">
        <f t="shared" ca="1" si="170"/>
        <v>11133218.253014697</v>
      </c>
      <c r="AF131" s="374">
        <f t="shared" ca="1" si="170"/>
        <v>11159305.397655969</v>
      </c>
      <c r="AG131" s="374">
        <f t="shared" ca="1" si="170"/>
        <v>11183351.558964312</v>
      </c>
      <c r="AH131" s="374">
        <f t="shared" ca="1" si="170"/>
        <v>11205974.699136375</v>
      </c>
      <c r="AI131" s="374">
        <f t="shared" ca="1" si="170"/>
        <v>11227165.662411319</v>
      </c>
      <c r="AJ131" s="374">
        <f t="shared" ca="1" si="170"/>
        <v>11246915.234119866</v>
      </c>
      <c r="AK131" s="374">
        <f t="shared" ca="1" si="170"/>
        <v>11265214.140305275</v>
      </c>
      <c r="AL131" s="374">
        <f t="shared" ca="1" si="170"/>
        <v>11282053.047341894</v>
      </c>
      <c r="AM131" s="374">
        <f t="shared" ca="1" si="170"/>
        <v>11297422.561551237</v>
      </c>
      <c r="AN131" s="374">
        <f t="shared" ca="1" si="170"/>
        <v>11312890.963677779</v>
      </c>
      <c r="AO131" s="374">
        <f t="shared" ca="1" si="170"/>
        <v>11328458.889969356</v>
      </c>
      <c r="AP131" s="374">
        <f t="shared" ca="1" si="170"/>
        <v>8864377.4554396737</v>
      </c>
      <c r="AQ131" s="374">
        <f t="shared" ca="1" si="170"/>
        <v>8825394.2849011272</v>
      </c>
      <c r="AR131" s="374">
        <f t="shared" ca="1" si="170"/>
        <v>8786160.2954695523</v>
      </c>
      <c r="AS131" s="374">
        <f t="shared" ca="1" si="170"/>
        <v>8746673.8733686376</v>
      </c>
      <c r="AT131" s="374">
        <f t="shared" ca="1" si="170"/>
        <v>8706933.3944389895</v>
      </c>
      <c r="AU131" s="374">
        <f t="shared" ca="1" si="170"/>
        <v>8666937.224071322</v>
      </c>
      <c r="AV131" s="374">
        <f t="shared" ca="1" si="170"/>
        <v>8626683.7171392255</v>
      </c>
      <c r="AW131" s="374">
        <f t="shared" ca="1" si="170"/>
        <v>8586171.2179314941</v>
      </c>
      <c r="AX131" s="374">
        <f t="shared" ca="1" si="170"/>
        <v>8545398.0600840282</v>
      </c>
      <c r="AY131" s="374">
        <f t="shared" ca="1" si="170"/>
        <v>8504362.566511292</v>
      </c>
      <c r="AZ131" s="374">
        <f t="shared" ca="1" si="170"/>
        <v>8463063.0493373293</v>
      </c>
      <c r="BA131" s="374">
        <f t="shared" ca="1" si="170"/>
        <v>8421497.8098263424</v>
      </c>
      <c r="BB131" s="374">
        <f t="shared" ca="1" si="170"/>
        <v>8379665.1383128101</v>
      </c>
      <c r="BC131" s="374">
        <f t="shared" ca="1" si="170"/>
        <v>8323160.0429368382</v>
      </c>
      <c r="BD131" s="374">
        <f t="shared" ca="1" si="170"/>
        <v>8266291.3920758478</v>
      </c>
      <c r="BE131" s="374">
        <f t="shared" ca="1" si="170"/>
        <v>8209056.8466029027</v>
      </c>
      <c r="BF131" s="374">
        <f t="shared" ca="1" si="170"/>
        <v>8151454.0523410523</v>
      </c>
      <c r="BG131" s="374">
        <f t="shared" ca="1" si="170"/>
        <v>8093480.6399665009</v>
      </c>
      <c r="BH131" s="374">
        <f t="shared" ca="1" si="170"/>
        <v>8035134.2249111524</v>
      </c>
      <c r="BI131" s="374">
        <f t="shared" ca="1" si="170"/>
        <v>7976412.4072645269</v>
      </c>
      <c r="BJ131" s="374">
        <f t="shared" ca="1" si="170"/>
        <v>7917312.7716750484</v>
      </c>
      <c r="BK131" s="374">
        <f t="shared" ca="1" si="170"/>
        <v>7857832.8872506972</v>
      </c>
      <c r="BL131" s="374">
        <f t="shared" ca="1" si="170"/>
        <v>7797970.3074590201</v>
      </c>
      <c r="BM131" s="374">
        <f t="shared" ca="1" si="170"/>
        <v>7737722.5700265011</v>
      </c>
      <c r="BN131" s="374">
        <f t="shared" ca="1" si="170"/>
        <v>0</v>
      </c>
      <c r="BO131" s="374">
        <f t="shared" ca="1" si="170"/>
        <v>0</v>
      </c>
      <c r="BP131" s="374">
        <f t="shared" ca="1" si="170"/>
        <v>0</v>
      </c>
      <c r="BQ131" s="374">
        <f t="shared" ca="1" si="170"/>
        <v>0</v>
      </c>
      <c r="BR131" s="374">
        <f t="shared" ca="1" si="170"/>
        <v>0</v>
      </c>
      <c r="BS131" s="374">
        <f t="shared" ca="1" si="170"/>
        <v>0</v>
      </c>
      <c r="BT131" s="374">
        <f t="shared" ref="BT131:EE131" ca="1" si="171">SUM(BT127:BT130)</f>
        <v>0</v>
      </c>
      <c r="BU131" s="374">
        <f t="shared" ca="1" si="171"/>
        <v>0</v>
      </c>
      <c r="BV131" s="374">
        <f t="shared" ca="1" si="171"/>
        <v>0</v>
      </c>
      <c r="BW131" s="374">
        <f t="shared" ca="1" si="171"/>
        <v>0</v>
      </c>
      <c r="BX131" s="374">
        <f t="shared" ca="1" si="171"/>
        <v>0</v>
      </c>
      <c r="BY131" s="374">
        <f t="shared" ca="1" si="171"/>
        <v>0</v>
      </c>
      <c r="BZ131" s="374">
        <f t="shared" ca="1" si="171"/>
        <v>0</v>
      </c>
      <c r="CA131" s="374">
        <f t="shared" ca="1" si="171"/>
        <v>0</v>
      </c>
      <c r="CB131" s="374">
        <f t="shared" ca="1" si="171"/>
        <v>0</v>
      </c>
      <c r="CC131" s="374">
        <f t="shared" ca="1" si="171"/>
        <v>0</v>
      </c>
      <c r="CD131" s="374">
        <f t="shared" ca="1" si="171"/>
        <v>0</v>
      </c>
      <c r="CE131" s="374">
        <f t="shared" ca="1" si="171"/>
        <v>0</v>
      </c>
      <c r="CF131" s="374">
        <f t="shared" ca="1" si="171"/>
        <v>0</v>
      </c>
      <c r="CG131" s="374">
        <f t="shared" ca="1" si="171"/>
        <v>0</v>
      </c>
      <c r="CH131" s="374">
        <f t="shared" ca="1" si="171"/>
        <v>0</v>
      </c>
      <c r="CI131" s="374">
        <f t="shared" ca="1" si="171"/>
        <v>0</v>
      </c>
      <c r="CJ131" s="374">
        <f t="shared" ca="1" si="171"/>
        <v>0</v>
      </c>
      <c r="CK131" s="374">
        <f t="shared" ca="1" si="171"/>
        <v>0</v>
      </c>
      <c r="CL131" s="374">
        <f t="shared" ca="1" si="171"/>
        <v>0</v>
      </c>
      <c r="CM131" s="374">
        <f t="shared" ca="1" si="171"/>
        <v>0</v>
      </c>
      <c r="CN131" s="374">
        <f t="shared" ca="1" si="171"/>
        <v>0</v>
      </c>
      <c r="CO131" s="374">
        <f t="shared" ca="1" si="171"/>
        <v>0</v>
      </c>
      <c r="CP131" s="374">
        <f t="shared" ca="1" si="171"/>
        <v>0</v>
      </c>
      <c r="CQ131" s="374">
        <f t="shared" ca="1" si="171"/>
        <v>0</v>
      </c>
      <c r="CR131" s="374">
        <f t="shared" ca="1" si="171"/>
        <v>0</v>
      </c>
      <c r="CS131" s="374">
        <f t="shared" ca="1" si="171"/>
        <v>0</v>
      </c>
      <c r="CT131" s="374">
        <f t="shared" ca="1" si="171"/>
        <v>0</v>
      </c>
      <c r="CU131" s="374">
        <f t="shared" ca="1" si="171"/>
        <v>0</v>
      </c>
      <c r="CV131" s="374">
        <f t="shared" ca="1" si="171"/>
        <v>0</v>
      </c>
      <c r="CW131" s="374">
        <f t="shared" ca="1" si="171"/>
        <v>0</v>
      </c>
      <c r="CX131" s="374">
        <f t="shared" ca="1" si="171"/>
        <v>0</v>
      </c>
      <c r="CY131" s="374">
        <f t="shared" ca="1" si="171"/>
        <v>0</v>
      </c>
      <c r="CZ131" s="374">
        <f t="shared" ca="1" si="171"/>
        <v>0</v>
      </c>
      <c r="DA131" s="374">
        <f t="shared" ca="1" si="171"/>
        <v>0</v>
      </c>
      <c r="DB131" s="374">
        <f t="shared" ca="1" si="171"/>
        <v>0</v>
      </c>
      <c r="DC131" s="374">
        <f t="shared" ca="1" si="171"/>
        <v>0</v>
      </c>
      <c r="DD131" s="374">
        <f t="shared" ca="1" si="171"/>
        <v>0</v>
      </c>
      <c r="DE131" s="374">
        <f t="shared" ca="1" si="171"/>
        <v>0</v>
      </c>
      <c r="DF131" s="374">
        <f t="shared" ca="1" si="171"/>
        <v>0</v>
      </c>
      <c r="DG131" s="374">
        <f t="shared" ca="1" si="171"/>
        <v>0</v>
      </c>
      <c r="DH131" s="374">
        <f t="shared" ca="1" si="171"/>
        <v>0</v>
      </c>
      <c r="DI131" s="374">
        <f t="shared" ca="1" si="171"/>
        <v>0</v>
      </c>
      <c r="DJ131" s="374">
        <f t="shared" ca="1" si="171"/>
        <v>0</v>
      </c>
      <c r="DK131" s="374">
        <f t="shared" ca="1" si="171"/>
        <v>0</v>
      </c>
      <c r="DL131" s="374">
        <f t="shared" ca="1" si="171"/>
        <v>0</v>
      </c>
      <c r="DM131" s="374">
        <f t="shared" ca="1" si="171"/>
        <v>0</v>
      </c>
      <c r="DN131" s="374">
        <f t="shared" ca="1" si="171"/>
        <v>0</v>
      </c>
      <c r="DO131" s="374">
        <f t="shared" ca="1" si="171"/>
        <v>0</v>
      </c>
      <c r="DP131" s="374">
        <f t="shared" ca="1" si="171"/>
        <v>0</v>
      </c>
      <c r="DQ131" s="374">
        <f t="shared" ca="1" si="171"/>
        <v>0</v>
      </c>
      <c r="DR131" s="374">
        <f t="shared" ca="1" si="171"/>
        <v>0</v>
      </c>
      <c r="DS131" s="374">
        <f t="shared" ca="1" si="171"/>
        <v>0</v>
      </c>
      <c r="DT131" s="374">
        <f t="shared" ca="1" si="171"/>
        <v>0</v>
      </c>
      <c r="DU131" s="374">
        <f t="shared" ca="1" si="171"/>
        <v>0</v>
      </c>
      <c r="DV131" s="374">
        <f t="shared" ca="1" si="171"/>
        <v>0</v>
      </c>
      <c r="DW131" s="374">
        <f t="shared" ca="1" si="171"/>
        <v>0</v>
      </c>
      <c r="DX131" s="374">
        <f t="shared" ca="1" si="171"/>
        <v>0</v>
      </c>
      <c r="DY131" s="374">
        <f t="shared" ca="1" si="171"/>
        <v>0</v>
      </c>
      <c r="DZ131" s="374">
        <f t="shared" ca="1" si="171"/>
        <v>0</v>
      </c>
      <c r="EA131" s="374">
        <f t="shared" ca="1" si="171"/>
        <v>0</v>
      </c>
      <c r="EB131" s="374">
        <f t="shared" ca="1" si="171"/>
        <v>0</v>
      </c>
      <c r="EC131" s="374">
        <f t="shared" ca="1" si="171"/>
        <v>0</v>
      </c>
      <c r="ED131" s="374">
        <f t="shared" ca="1" si="171"/>
        <v>0</v>
      </c>
      <c r="EE131" s="374">
        <f t="shared" ca="1" si="171"/>
        <v>0</v>
      </c>
      <c r="EF131" s="374">
        <f t="shared" ref="EF131:EH131" ca="1" si="172">SUM(EF127:EF130)</f>
        <v>0</v>
      </c>
      <c r="EG131" s="374">
        <f t="shared" ca="1" si="172"/>
        <v>0</v>
      </c>
      <c r="EH131" s="374">
        <f t="shared" ca="1" si="172"/>
        <v>0</v>
      </c>
      <c r="EI131" s="316" t="s">
        <v>243</v>
      </c>
    </row>
    <row r="132" spans="2:139" x14ac:dyDescent="0.2">
      <c r="B132" s="371"/>
      <c r="F132" s="348"/>
      <c r="G132" s="348"/>
      <c r="H132" s="348"/>
      <c r="I132" s="348"/>
      <c r="J132" s="348"/>
      <c r="K132" s="348"/>
      <c r="L132" s="348"/>
      <c r="M132" s="348"/>
      <c r="N132" s="348"/>
      <c r="O132" s="348"/>
      <c r="P132" s="348"/>
      <c r="Q132" s="348"/>
      <c r="R132" s="348"/>
      <c r="S132" s="348"/>
      <c r="T132" s="348"/>
      <c r="U132" s="348"/>
      <c r="V132" s="348"/>
      <c r="W132" s="348"/>
      <c r="X132" s="348"/>
      <c r="Y132" s="348"/>
      <c r="Z132" s="348"/>
      <c r="AA132" s="348"/>
      <c r="AB132" s="348"/>
      <c r="AC132" s="348"/>
      <c r="AD132" s="348"/>
      <c r="AE132" s="348"/>
      <c r="AF132" s="348"/>
      <c r="AG132" s="348"/>
      <c r="AH132" s="348"/>
      <c r="AI132" s="348"/>
      <c r="AJ132" s="348"/>
      <c r="AK132" s="348"/>
      <c r="AL132" s="348"/>
      <c r="AM132" s="348"/>
      <c r="AN132" s="348"/>
      <c r="AO132" s="348"/>
      <c r="AP132" s="348"/>
      <c r="AQ132" s="348"/>
      <c r="AR132" s="348"/>
      <c r="AS132" s="348"/>
      <c r="AT132" s="348"/>
      <c r="AU132" s="348"/>
      <c r="AV132" s="348"/>
      <c r="AW132" s="348"/>
      <c r="AX132" s="348"/>
      <c r="AY132" s="348"/>
      <c r="AZ132" s="348"/>
      <c r="BA132" s="348"/>
      <c r="BB132" s="348"/>
      <c r="BC132" s="348"/>
      <c r="BD132" s="348"/>
      <c r="BE132" s="348"/>
      <c r="BF132" s="348"/>
      <c r="BG132" s="348"/>
      <c r="BH132" s="348"/>
      <c r="BI132" s="348"/>
      <c r="BJ132" s="348"/>
      <c r="BK132" s="348"/>
      <c r="BL132" s="348"/>
      <c r="BM132" s="348"/>
      <c r="BN132" s="348"/>
      <c r="BO132" s="348"/>
      <c r="BP132" s="348"/>
      <c r="BQ132" s="348"/>
      <c r="BR132" s="348"/>
      <c r="BS132" s="348"/>
      <c r="BT132" s="348"/>
      <c r="BU132" s="348"/>
      <c r="BV132" s="348"/>
      <c r="BW132" s="348"/>
      <c r="BX132" s="348"/>
      <c r="BY132" s="348"/>
      <c r="BZ132" s="348"/>
      <c r="CA132" s="348"/>
      <c r="CB132" s="348"/>
      <c r="CC132" s="348"/>
      <c r="CD132" s="348"/>
      <c r="CE132" s="348"/>
      <c r="CF132" s="348"/>
      <c r="CG132" s="348"/>
      <c r="CH132" s="348"/>
      <c r="CI132" s="348"/>
      <c r="CJ132" s="348"/>
      <c r="CK132" s="348"/>
      <c r="CL132" s="348"/>
      <c r="CM132" s="348"/>
      <c r="CN132" s="348"/>
      <c r="CO132" s="348"/>
      <c r="CP132" s="348"/>
      <c r="CQ132" s="348"/>
      <c r="CR132" s="348"/>
      <c r="CS132" s="348"/>
      <c r="CT132" s="348"/>
      <c r="CU132" s="348"/>
      <c r="CV132" s="348"/>
      <c r="CW132" s="348"/>
      <c r="CX132" s="348"/>
      <c r="CY132" s="348"/>
      <c r="CZ132" s="348"/>
      <c r="DA132" s="348"/>
      <c r="DB132" s="348"/>
      <c r="DC132" s="348"/>
      <c r="DD132" s="348"/>
      <c r="DE132" s="348"/>
      <c r="DF132" s="348"/>
      <c r="DG132" s="348"/>
      <c r="DH132" s="348"/>
      <c r="DI132" s="348"/>
      <c r="DJ132" s="348"/>
      <c r="DK132" s="348"/>
      <c r="DL132" s="348"/>
      <c r="DM132" s="348"/>
      <c r="DN132" s="348"/>
      <c r="DO132" s="348"/>
      <c r="DP132" s="348"/>
      <c r="DQ132" s="348"/>
      <c r="DR132" s="348"/>
      <c r="DS132" s="348"/>
      <c r="DT132" s="348"/>
      <c r="DU132" s="348"/>
      <c r="DV132" s="348"/>
      <c r="DW132" s="348"/>
      <c r="DX132" s="348"/>
      <c r="DY132" s="348"/>
      <c r="DZ132" s="348"/>
      <c r="EA132" s="348"/>
      <c r="EB132" s="348"/>
      <c r="EC132" s="348"/>
      <c r="ED132" s="348"/>
      <c r="EE132" s="348"/>
      <c r="EF132" s="348"/>
      <c r="EG132" s="348"/>
      <c r="EH132" s="348"/>
      <c r="EI132" s="316" t="s">
        <v>243</v>
      </c>
    </row>
    <row r="133" spans="2:139" s="316" customFormat="1" ht="15" thickBot="1" x14ac:dyDescent="0.25">
      <c r="B133" s="375" t="s">
        <v>800</v>
      </c>
      <c r="C133" s="376"/>
      <c r="D133" s="376"/>
      <c r="E133" s="376"/>
      <c r="F133" s="377"/>
      <c r="G133" s="377">
        <f ca="1">G117+G130</f>
        <v>0</v>
      </c>
      <c r="H133" s="377">
        <f t="shared" ref="H133:BS133" ca="1" si="173">H117+H130</f>
        <v>0</v>
      </c>
      <c r="I133" s="377">
        <f t="shared" ca="1" si="173"/>
        <v>0</v>
      </c>
      <c r="J133" s="377">
        <f t="shared" ca="1" si="173"/>
        <v>0</v>
      </c>
      <c r="K133" s="377">
        <f t="shared" ca="1" si="173"/>
        <v>0</v>
      </c>
      <c r="L133" s="377">
        <f t="shared" ca="1" si="173"/>
        <v>0</v>
      </c>
      <c r="M133" s="377">
        <f t="shared" ca="1" si="173"/>
        <v>0</v>
      </c>
      <c r="N133" s="377">
        <f t="shared" ca="1" si="173"/>
        <v>0</v>
      </c>
      <c r="O133" s="377">
        <f t="shared" ca="1" si="173"/>
        <v>0</v>
      </c>
      <c r="P133" s="377">
        <f t="shared" ca="1" si="173"/>
        <v>0</v>
      </c>
      <c r="Q133" s="377">
        <f t="shared" ca="1" si="173"/>
        <v>0</v>
      </c>
      <c r="R133" s="377">
        <f t="shared" ca="1" si="173"/>
        <v>0</v>
      </c>
      <c r="S133" s="377">
        <f t="shared" ca="1" si="173"/>
        <v>0</v>
      </c>
      <c r="T133" s="377">
        <f t="shared" ca="1" si="173"/>
        <v>0</v>
      </c>
      <c r="U133" s="377">
        <f t="shared" ca="1" si="173"/>
        <v>0</v>
      </c>
      <c r="V133" s="377">
        <f t="shared" ca="1" si="173"/>
        <v>0</v>
      </c>
      <c r="W133" s="377">
        <f t="shared" ca="1" si="173"/>
        <v>0</v>
      </c>
      <c r="X133" s="377">
        <f t="shared" ca="1" si="173"/>
        <v>0</v>
      </c>
      <c r="Y133" s="377">
        <f t="shared" ca="1" si="173"/>
        <v>0</v>
      </c>
      <c r="Z133" s="377">
        <f t="shared" ca="1" si="173"/>
        <v>0</v>
      </c>
      <c r="AA133" s="377">
        <f t="shared" ca="1" si="173"/>
        <v>0</v>
      </c>
      <c r="AB133" s="377">
        <f t="shared" ca="1" si="173"/>
        <v>0</v>
      </c>
      <c r="AC133" s="377">
        <f t="shared" ca="1" si="173"/>
        <v>0</v>
      </c>
      <c r="AD133" s="377">
        <f t="shared" ca="1" si="173"/>
        <v>0</v>
      </c>
      <c r="AE133" s="377">
        <f t="shared" ca="1" si="173"/>
        <v>0</v>
      </c>
      <c r="AF133" s="377">
        <f t="shared" ca="1" si="173"/>
        <v>0</v>
      </c>
      <c r="AG133" s="377">
        <f t="shared" ca="1" si="173"/>
        <v>0</v>
      </c>
      <c r="AH133" s="377">
        <f t="shared" ca="1" si="173"/>
        <v>0</v>
      </c>
      <c r="AI133" s="377">
        <f t="shared" ca="1" si="173"/>
        <v>0</v>
      </c>
      <c r="AJ133" s="377">
        <f t="shared" ca="1" si="173"/>
        <v>0</v>
      </c>
      <c r="AK133" s="377">
        <f t="shared" ca="1" si="173"/>
        <v>0</v>
      </c>
      <c r="AL133" s="377">
        <f t="shared" ca="1" si="173"/>
        <v>0</v>
      </c>
      <c r="AM133" s="377">
        <f t="shared" ca="1" si="173"/>
        <v>0</v>
      </c>
      <c r="AN133" s="377">
        <f t="shared" ca="1" si="173"/>
        <v>0</v>
      </c>
      <c r="AO133" s="377">
        <f t="shared" ca="1" si="173"/>
        <v>0</v>
      </c>
      <c r="AP133" s="377">
        <f t="shared" ca="1" si="173"/>
        <v>0</v>
      </c>
      <c r="AQ133" s="377">
        <f t="shared" ca="1" si="173"/>
        <v>0</v>
      </c>
      <c r="AR133" s="377">
        <f t="shared" ca="1" si="173"/>
        <v>0</v>
      </c>
      <c r="AS133" s="377">
        <f t="shared" ca="1" si="173"/>
        <v>0</v>
      </c>
      <c r="AT133" s="377">
        <f t="shared" ca="1" si="173"/>
        <v>0</v>
      </c>
      <c r="AU133" s="377">
        <f t="shared" ca="1" si="173"/>
        <v>0</v>
      </c>
      <c r="AV133" s="377">
        <f t="shared" ca="1" si="173"/>
        <v>0</v>
      </c>
      <c r="AW133" s="377">
        <f t="shared" ca="1" si="173"/>
        <v>0</v>
      </c>
      <c r="AX133" s="377">
        <f t="shared" ca="1" si="173"/>
        <v>0</v>
      </c>
      <c r="AY133" s="377">
        <f t="shared" ca="1" si="173"/>
        <v>0</v>
      </c>
      <c r="AZ133" s="377">
        <f t="shared" ca="1" si="173"/>
        <v>0</v>
      </c>
      <c r="BA133" s="377">
        <f t="shared" ca="1" si="173"/>
        <v>0</v>
      </c>
      <c r="BB133" s="377">
        <f t="shared" ca="1" si="173"/>
        <v>0</v>
      </c>
      <c r="BC133" s="377">
        <f t="shared" ca="1" si="173"/>
        <v>0</v>
      </c>
      <c r="BD133" s="377">
        <f t="shared" ca="1" si="173"/>
        <v>0</v>
      </c>
      <c r="BE133" s="377">
        <f t="shared" ca="1" si="173"/>
        <v>0</v>
      </c>
      <c r="BF133" s="377">
        <f t="shared" ca="1" si="173"/>
        <v>0</v>
      </c>
      <c r="BG133" s="377">
        <f t="shared" ca="1" si="173"/>
        <v>0</v>
      </c>
      <c r="BH133" s="377">
        <f t="shared" ca="1" si="173"/>
        <v>0</v>
      </c>
      <c r="BI133" s="377">
        <f t="shared" ca="1" si="173"/>
        <v>0</v>
      </c>
      <c r="BJ133" s="377">
        <f t="shared" ca="1" si="173"/>
        <v>0</v>
      </c>
      <c r="BK133" s="377">
        <f t="shared" ca="1" si="173"/>
        <v>0</v>
      </c>
      <c r="BL133" s="377">
        <f t="shared" ca="1" si="173"/>
        <v>0</v>
      </c>
      <c r="BM133" s="377">
        <f t="shared" ca="1" si="173"/>
        <v>0</v>
      </c>
      <c r="BN133" s="377">
        <f t="shared" ca="1" si="173"/>
        <v>26559489.082869407</v>
      </c>
      <c r="BO133" s="377">
        <f t="shared" ca="1" si="173"/>
        <v>0</v>
      </c>
      <c r="BP133" s="377">
        <f t="shared" ca="1" si="173"/>
        <v>0</v>
      </c>
      <c r="BQ133" s="377">
        <f t="shared" ca="1" si="173"/>
        <v>0</v>
      </c>
      <c r="BR133" s="377">
        <f t="shared" ca="1" si="173"/>
        <v>0</v>
      </c>
      <c r="BS133" s="377">
        <f t="shared" ca="1" si="173"/>
        <v>0</v>
      </c>
      <c r="BT133" s="377">
        <f t="shared" ref="BT133:EE133" ca="1" si="174">BT117+BT130</f>
        <v>0</v>
      </c>
      <c r="BU133" s="377">
        <f t="shared" ca="1" si="174"/>
        <v>0</v>
      </c>
      <c r="BV133" s="377">
        <f t="shared" ca="1" si="174"/>
        <v>0</v>
      </c>
      <c r="BW133" s="377">
        <f t="shared" ca="1" si="174"/>
        <v>0</v>
      </c>
      <c r="BX133" s="377">
        <f t="shared" ca="1" si="174"/>
        <v>0</v>
      </c>
      <c r="BY133" s="377">
        <f t="shared" ca="1" si="174"/>
        <v>0</v>
      </c>
      <c r="BZ133" s="377">
        <f t="shared" ca="1" si="174"/>
        <v>0</v>
      </c>
      <c r="CA133" s="377">
        <f t="shared" ca="1" si="174"/>
        <v>0</v>
      </c>
      <c r="CB133" s="377">
        <f t="shared" ca="1" si="174"/>
        <v>0</v>
      </c>
      <c r="CC133" s="377">
        <f t="shared" ca="1" si="174"/>
        <v>0</v>
      </c>
      <c r="CD133" s="377">
        <f t="shared" ca="1" si="174"/>
        <v>0</v>
      </c>
      <c r="CE133" s="377">
        <f t="shared" ca="1" si="174"/>
        <v>0</v>
      </c>
      <c r="CF133" s="377">
        <f t="shared" ca="1" si="174"/>
        <v>0</v>
      </c>
      <c r="CG133" s="377">
        <f t="shared" ca="1" si="174"/>
        <v>0</v>
      </c>
      <c r="CH133" s="377">
        <f t="shared" ca="1" si="174"/>
        <v>0</v>
      </c>
      <c r="CI133" s="377">
        <f t="shared" ca="1" si="174"/>
        <v>0</v>
      </c>
      <c r="CJ133" s="377">
        <f t="shared" ca="1" si="174"/>
        <v>0</v>
      </c>
      <c r="CK133" s="377">
        <f t="shared" ca="1" si="174"/>
        <v>0</v>
      </c>
      <c r="CL133" s="377">
        <f t="shared" ca="1" si="174"/>
        <v>0</v>
      </c>
      <c r="CM133" s="377">
        <f t="shared" ca="1" si="174"/>
        <v>0</v>
      </c>
      <c r="CN133" s="377">
        <f t="shared" ca="1" si="174"/>
        <v>0</v>
      </c>
      <c r="CO133" s="377">
        <f t="shared" ca="1" si="174"/>
        <v>0</v>
      </c>
      <c r="CP133" s="377">
        <f t="shared" ca="1" si="174"/>
        <v>0</v>
      </c>
      <c r="CQ133" s="377">
        <f t="shared" ca="1" si="174"/>
        <v>0</v>
      </c>
      <c r="CR133" s="377">
        <f t="shared" ca="1" si="174"/>
        <v>0</v>
      </c>
      <c r="CS133" s="377">
        <f t="shared" ca="1" si="174"/>
        <v>0</v>
      </c>
      <c r="CT133" s="377">
        <f t="shared" ca="1" si="174"/>
        <v>0</v>
      </c>
      <c r="CU133" s="377">
        <f t="shared" ca="1" si="174"/>
        <v>0</v>
      </c>
      <c r="CV133" s="377">
        <f t="shared" ca="1" si="174"/>
        <v>0</v>
      </c>
      <c r="CW133" s="377">
        <f t="shared" ca="1" si="174"/>
        <v>0</v>
      </c>
      <c r="CX133" s="377">
        <f t="shared" ca="1" si="174"/>
        <v>0</v>
      </c>
      <c r="CY133" s="377">
        <f t="shared" ca="1" si="174"/>
        <v>0</v>
      </c>
      <c r="CZ133" s="377">
        <f t="shared" ca="1" si="174"/>
        <v>0</v>
      </c>
      <c r="DA133" s="377">
        <f t="shared" ca="1" si="174"/>
        <v>0</v>
      </c>
      <c r="DB133" s="377">
        <f t="shared" ca="1" si="174"/>
        <v>0</v>
      </c>
      <c r="DC133" s="377">
        <f t="shared" ca="1" si="174"/>
        <v>0</v>
      </c>
      <c r="DD133" s="377">
        <f t="shared" ca="1" si="174"/>
        <v>0</v>
      </c>
      <c r="DE133" s="377">
        <f t="shared" ca="1" si="174"/>
        <v>0</v>
      </c>
      <c r="DF133" s="377">
        <f t="shared" ca="1" si="174"/>
        <v>0</v>
      </c>
      <c r="DG133" s="377">
        <f t="shared" ca="1" si="174"/>
        <v>0</v>
      </c>
      <c r="DH133" s="377">
        <f t="shared" ca="1" si="174"/>
        <v>0</v>
      </c>
      <c r="DI133" s="377">
        <f t="shared" ca="1" si="174"/>
        <v>0</v>
      </c>
      <c r="DJ133" s="377">
        <f t="shared" ca="1" si="174"/>
        <v>0</v>
      </c>
      <c r="DK133" s="377">
        <f t="shared" ca="1" si="174"/>
        <v>0</v>
      </c>
      <c r="DL133" s="377">
        <f t="shared" ca="1" si="174"/>
        <v>0</v>
      </c>
      <c r="DM133" s="377">
        <f t="shared" ca="1" si="174"/>
        <v>0</v>
      </c>
      <c r="DN133" s="377">
        <f t="shared" ca="1" si="174"/>
        <v>0</v>
      </c>
      <c r="DO133" s="377">
        <f t="shared" ca="1" si="174"/>
        <v>0</v>
      </c>
      <c r="DP133" s="377">
        <f t="shared" ca="1" si="174"/>
        <v>0</v>
      </c>
      <c r="DQ133" s="377">
        <f t="shared" ca="1" si="174"/>
        <v>0</v>
      </c>
      <c r="DR133" s="377">
        <f t="shared" ca="1" si="174"/>
        <v>0</v>
      </c>
      <c r="DS133" s="377">
        <f t="shared" ca="1" si="174"/>
        <v>0</v>
      </c>
      <c r="DT133" s="377">
        <f t="shared" ca="1" si="174"/>
        <v>0</v>
      </c>
      <c r="DU133" s="377">
        <f t="shared" ca="1" si="174"/>
        <v>0</v>
      </c>
      <c r="DV133" s="377">
        <f t="shared" ca="1" si="174"/>
        <v>0</v>
      </c>
      <c r="DW133" s="377">
        <f t="shared" ca="1" si="174"/>
        <v>0</v>
      </c>
      <c r="DX133" s="377">
        <f t="shared" ca="1" si="174"/>
        <v>0</v>
      </c>
      <c r="DY133" s="377">
        <f t="shared" ca="1" si="174"/>
        <v>0</v>
      </c>
      <c r="DZ133" s="377">
        <f t="shared" ca="1" si="174"/>
        <v>0</v>
      </c>
      <c r="EA133" s="377">
        <f t="shared" ca="1" si="174"/>
        <v>0</v>
      </c>
      <c r="EB133" s="377">
        <f t="shared" ca="1" si="174"/>
        <v>0</v>
      </c>
      <c r="EC133" s="377">
        <f t="shared" ca="1" si="174"/>
        <v>0</v>
      </c>
      <c r="ED133" s="377">
        <f t="shared" ca="1" si="174"/>
        <v>0</v>
      </c>
      <c r="EE133" s="377">
        <f t="shared" ca="1" si="174"/>
        <v>0</v>
      </c>
      <c r="EF133" s="377">
        <f t="shared" ref="EF133:EH133" ca="1" si="175">EF117+EF130</f>
        <v>0</v>
      </c>
      <c r="EG133" s="377">
        <f t="shared" ca="1" si="175"/>
        <v>0</v>
      </c>
      <c r="EH133" s="377">
        <f t="shared" ca="1" si="175"/>
        <v>0</v>
      </c>
      <c r="EI133" s="316" t="s">
        <v>243</v>
      </c>
    </row>
    <row r="134" spans="2:139" x14ac:dyDescent="0.2">
      <c r="F134" s="348"/>
      <c r="G134" s="348"/>
      <c r="H134" s="348"/>
      <c r="I134" s="348"/>
      <c r="J134" s="348"/>
      <c r="K134" s="348"/>
      <c r="L134" s="348"/>
      <c r="M134" s="348"/>
      <c r="N134" s="348"/>
      <c r="O134" s="348"/>
      <c r="P134" s="348"/>
      <c r="Q134" s="348"/>
      <c r="R134" s="348"/>
      <c r="S134" s="348"/>
      <c r="T134" s="348"/>
      <c r="U134" s="348"/>
      <c r="V134" s="348"/>
      <c r="W134" s="348"/>
      <c r="X134" s="348"/>
      <c r="Y134" s="348"/>
      <c r="Z134" s="348"/>
      <c r="AA134" s="348"/>
      <c r="AB134" s="348"/>
      <c r="AC134" s="348"/>
      <c r="AD134" s="348"/>
      <c r="AE134" s="348"/>
      <c r="AF134" s="348"/>
      <c r="AG134" s="348"/>
      <c r="AH134" s="348"/>
      <c r="AI134" s="348"/>
      <c r="AJ134" s="348"/>
      <c r="AK134" s="348"/>
      <c r="AL134" s="348"/>
      <c r="AM134" s="348"/>
      <c r="AN134" s="348"/>
      <c r="AO134" s="348"/>
      <c r="AP134" s="348"/>
      <c r="AQ134" s="348"/>
      <c r="AR134" s="348"/>
      <c r="AS134" s="348"/>
      <c r="AT134" s="348"/>
      <c r="AU134" s="348"/>
      <c r="AV134" s="348"/>
      <c r="AW134" s="348"/>
      <c r="AX134" s="348"/>
      <c r="AY134" s="348"/>
      <c r="AZ134" s="348"/>
      <c r="BA134" s="348"/>
      <c r="BB134" s="348"/>
      <c r="BC134" s="348"/>
      <c r="BD134" s="348"/>
      <c r="BE134" s="348"/>
      <c r="BF134" s="348"/>
      <c r="BG134" s="348"/>
      <c r="BH134" s="348"/>
      <c r="BI134" s="348"/>
      <c r="BJ134" s="348"/>
      <c r="BK134" s="348"/>
      <c r="BL134" s="348"/>
      <c r="BM134" s="348"/>
      <c r="BN134" s="348"/>
      <c r="BO134" s="348"/>
      <c r="BP134" s="348"/>
      <c r="BQ134" s="348"/>
      <c r="BR134" s="348"/>
      <c r="BS134" s="348"/>
      <c r="BT134" s="348"/>
      <c r="BU134" s="348"/>
      <c r="BV134" s="348"/>
      <c r="BW134" s="348"/>
      <c r="BX134" s="348"/>
      <c r="BY134" s="348"/>
      <c r="BZ134" s="348"/>
      <c r="CA134" s="348"/>
      <c r="CB134" s="348"/>
      <c r="CC134" s="348"/>
      <c r="CD134" s="348"/>
      <c r="CE134" s="348"/>
      <c r="CF134" s="348"/>
      <c r="CG134" s="348"/>
      <c r="CH134" s="348"/>
      <c r="CI134" s="348"/>
      <c r="CJ134" s="348"/>
      <c r="CK134" s="348"/>
      <c r="CL134" s="348"/>
      <c r="CM134" s="348"/>
      <c r="CN134" s="348"/>
      <c r="CO134" s="348"/>
      <c r="CP134" s="348"/>
      <c r="CQ134" s="348"/>
      <c r="CR134" s="348"/>
      <c r="CS134" s="348"/>
      <c r="CT134" s="348"/>
      <c r="CU134" s="348"/>
      <c r="CV134" s="348"/>
      <c r="CW134" s="348"/>
      <c r="CX134" s="348"/>
      <c r="CY134" s="348"/>
      <c r="CZ134" s="348"/>
      <c r="DA134" s="348"/>
      <c r="DB134" s="348"/>
      <c r="DC134" s="348"/>
      <c r="DD134" s="348"/>
      <c r="DE134" s="348"/>
      <c r="DF134" s="348"/>
      <c r="DG134" s="348"/>
      <c r="DH134" s="348"/>
      <c r="DI134" s="348"/>
      <c r="DJ134" s="348"/>
      <c r="DK134" s="348"/>
      <c r="DL134" s="348"/>
      <c r="DM134" s="348"/>
      <c r="DN134" s="348"/>
      <c r="DO134" s="348"/>
      <c r="DP134" s="348"/>
      <c r="DQ134" s="348"/>
      <c r="DR134" s="348"/>
      <c r="DS134" s="348"/>
      <c r="DT134" s="348"/>
      <c r="DU134" s="348"/>
      <c r="DV134" s="348"/>
      <c r="DW134" s="348"/>
      <c r="DX134" s="348"/>
      <c r="DY134" s="348"/>
      <c r="DZ134" s="348"/>
      <c r="EA134" s="348"/>
      <c r="EB134" s="348"/>
      <c r="EC134" s="348"/>
      <c r="ED134" s="348"/>
      <c r="EE134" s="348"/>
      <c r="EF134" s="348"/>
      <c r="EG134" s="348"/>
      <c r="EH134" s="348"/>
      <c r="EI134" s="316" t="s">
        <v>243</v>
      </c>
    </row>
    <row r="135" spans="2:139" ht="15" thickBot="1" x14ac:dyDescent="0.25">
      <c r="B135" s="299" t="s">
        <v>802</v>
      </c>
      <c r="C135" s="299"/>
      <c r="D135" s="299"/>
      <c r="E135" s="299"/>
      <c r="F135" s="299"/>
      <c r="G135" s="299"/>
      <c r="H135" s="299"/>
      <c r="I135" s="299"/>
      <c r="J135" s="299"/>
      <c r="K135" s="299"/>
      <c r="L135" s="299"/>
      <c r="M135" s="299"/>
      <c r="N135" s="299"/>
      <c r="O135" s="299"/>
      <c r="P135" s="299"/>
      <c r="Q135" s="299"/>
      <c r="R135" s="299"/>
      <c r="S135" s="299"/>
      <c r="T135" s="299"/>
      <c r="U135" s="299"/>
      <c r="V135" s="299"/>
      <c r="W135" s="299"/>
      <c r="X135" s="299"/>
      <c r="Y135" s="299"/>
      <c r="Z135" s="299"/>
      <c r="AA135" s="299"/>
      <c r="AB135" s="299"/>
      <c r="AC135" s="299"/>
      <c r="AD135" s="299"/>
      <c r="AE135" s="299"/>
      <c r="AF135" s="299"/>
      <c r="AG135" s="299"/>
      <c r="AH135" s="299"/>
      <c r="AI135" s="299"/>
      <c r="AJ135" s="299"/>
      <c r="AK135" s="299"/>
      <c r="AL135" s="299"/>
      <c r="AM135" s="299"/>
      <c r="AN135" s="299"/>
      <c r="AO135" s="299"/>
      <c r="AP135" s="299"/>
      <c r="AQ135" s="299"/>
      <c r="AR135" s="299"/>
      <c r="AS135" s="299"/>
      <c r="AT135" s="299"/>
      <c r="AU135" s="299"/>
      <c r="AV135" s="299"/>
      <c r="AW135" s="299"/>
      <c r="AX135" s="299"/>
      <c r="AY135" s="299"/>
      <c r="AZ135" s="299"/>
      <c r="BA135" s="299"/>
      <c r="BB135" s="299"/>
      <c r="BC135" s="299"/>
      <c r="BD135" s="299"/>
      <c r="BE135" s="299"/>
      <c r="BF135" s="299"/>
      <c r="BG135" s="299"/>
      <c r="BH135" s="299"/>
      <c r="BI135" s="299"/>
      <c r="BJ135" s="299"/>
      <c r="BK135" s="299"/>
      <c r="BL135" s="299"/>
      <c r="BM135" s="299"/>
      <c r="BN135" s="299"/>
      <c r="BO135" s="299"/>
      <c r="BP135" s="299"/>
      <c r="BQ135" s="299"/>
      <c r="BR135" s="299"/>
      <c r="BS135" s="299"/>
      <c r="BT135" s="299"/>
      <c r="BU135" s="299"/>
      <c r="BV135" s="299"/>
      <c r="BW135" s="299"/>
      <c r="BX135" s="299"/>
      <c r="BY135" s="299"/>
      <c r="BZ135" s="299"/>
      <c r="CA135" s="299"/>
      <c r="CB135" s="299"/>
      <c r="CC135" s="299"/>
      <c r="CD135" s="299"/>
      <c r="CE135" s="299"/>
      <c r="CF135" s="299"/>
      <c r="CG135" s="299"/>
      <c r="CH135" s="299"/>
      <c r="CI135" s="299"/>
      <c r="CJ135" s="299"/>
      <c r="CK135" s="299"/>
      <c r="CL135" s="299"/>
      <c r="CM135" s="299"/>
      <c r="CN135" s="299"/>
      <c r="CO135" s="299"/>
      <c r="CP135" s="299"/>
      <c r="CQ135" s="299"/>
      <c r="CR135" s="299"/>
      <c r="CS135" s="299"/>
      <c r="CT135" s="299"/>
      <c r="CU135" s="299"/>
      <c r="CV135" s="299"/>
      <c r="CW135" s="299"/>
      <c r="CX135" s="299"/>
      <c r="CY135" s="299"/>
      <c r="CZ135" s="299"/>
      <c r="DA135" s="299"/>
      <c r="DB135" s="299"/>
      <c r="DC135" s="299"/>
      <c r="DD135" s="299"/>
      <c r="DE135" s="299"/>
      <c r="DF135" s="299"/>
      <c r="DG135" s="299"/>
      <c r="DH135" s="299"/>
      <c r="DI135" s="299"/>
      <c r="DJ135" s="299"/>
      <c r="DK135" s="299"/>
      <c r="DL135" s="299"/>
      <c r="DM135" s="299"/>
      <c r="DN135" s="299"/>
      <c r="DO135" s="299"/>
      <c r="DP135" s="299"/>
      <c r="DQ135" s="299"/>
      <c r="DR135" s="299"/>
      <c r="DS135" s="299"/>
      <c r="DT135" s="299"/>
      <c r="DU135" s="299"/>
      <c r="DV135" s="299"/>
      <c r="DW135" s="299"/>
      <c r="DX135" s="299"/>
      <c r="DY135" s="299"/>
      <c r="DZ135" s="299"/>
      <c r="EA135" s="299"/>
      <c r="EB135" s="299"/>
      <c r="EC135" s="299"/>
      <c r="ED135" s="299"/>
      <c r="EE135" s="299"/>
      <c r="EF135" s="299"/>
      <c r="EG135" s="299"/>
      <c r="EH135" s="299"/>
      <c r="EI135" s="316" t="s">
        <v>243</v>
      </c>
    </row>
    <row r="136" spans="2:139" x14ac:dyDescent="0.2">
      <c r="B136" s="273" t="s">
        <v>798</v>
      </c>
      <c r="D136" s="378">
        <f>1-D137</f>
        <v>0.7</v>
      </c>
      <c r="E136" s="378"/>
      <c r="F136" s="348"/>
      <c r="G136" s="348">
        <f t="shared" ref="G136:P137" ca="1" si="176">-$D136*G$133</f>
        <v>0</v>
      </c>
      <c r="H136" s="348">
        <f t="shared" ca="1" si="176"/>
        <v>0</v>
      </c>
      <c r="I136" s="348">
        <f t="shared" ca="1" si="176"/>
        <v>0</v>
      </c>
      <c r="J136" s="348">
        <f t="shared" ca="1" si="176"/>
        <v>0</v>
      </c>
      <c r="K136" s="348">
        <f t="shared" ca="1" si="176"/>
        <v>0</v>
      </c>
      <c r="L136" s="348">
        <f t="shared" ca="1" si="176"/>
        <v>0</v>
      </c>
      <c r="M136" s="348">
        <f t="shared" ca="1" si="176"/>
        <v>0</v>
      </c>
      <c r="N136" s="348">
        <f t="shared" ca="1" si="176"/>
        <v>0</v>
      </c>
      <c r="O136" s="348">
        <f t="shared" ca="1" si="176"/>
        <v>0</v>
      </c>
      <c r="P136" s="348">
        <f t="shared" ca="1" si="176"/>
        <v>0</v>
      </c>
      <c r="Q136" s="348">
        <f t="shared" ref="Q136:Z137" ca="1" si="177">-$D136*Q$133</f>
        <v>0</v>
      </c>
      <c r="R136" s="348">
        <f t="shared" ca="1" si="177"/>
        <v>0</v>
      </c>
      <c r="S136" s="348">
        <f t="shared" ca="1" si="177"/>
        <v>0</v>
      </c>
      <c r="T136" s="348">
        <f t="shared" ca="1" si="177"/>
        <v>0</v>
      </c>
      <c r="U136" s="348">
        <f t="shared" ca="1" si="177"/>
        <v>0</v>
      </c>
      <c r="V136" s="348">
        <f t="shared" ca="1" si="177"/>
        <v>0</v>
      </c>
      <c r="W136" s="348">
        <f t="shared" ca="1" si="177"/>
        <v>0</v>
      </c>
      <c r="X136" s="348">
        <f t="shared" ca="1" si="177"/>
        <v>0</v>
      </c>
      <c r="Y136" s="348">
        <f t="shared" ca="1" si="177"/>
        <v>0</v>
      </c>
      <c r="Z136" s="348">
        <f t="shared" ca="1" si="177"/>
        <v>0</v>
      </c>
      <c r="AA136" s="348">
        <f t="shared" ref="AA136:AJ137" ca="1" si="178">-$D136*AA$133</f>
        <v>0</v>
      </c>
      <c r="AB136" s="348">
        <f t="shared" ca="1" si="178"/>
        <v>0</v>
      </c>
      <c r="AC136" s="348">
        <f t="shared" ca="1" si="178"/>
        <v>0</v>
      </c>
      <c r="AD136" s="348">
        <f t="shared" ca="1" si="178"/>
        <v>0</v>
      </c>
      <c r="AE136" s="348">
        <f t="shared" ca="1" si="178"/>
        <v>0</v>
      </c>
      <c r="AF136" s="348">
        <f t="shared" ca="1" si="178"/>
        <v>0</v>
      </c>
      <c r="AG136" s="348">
        <f t="shared" ca="1" si="178"/>
        <v>0</v>
      </c>
      <c r="AH136" s="348">
        <f t="shared" ca="1" si="178"/>
        <v>0</v>
      </c>
      <c r="AI136" s="348">
        <f t="shared" ca="1" si="178"/>
        <v>0</v>
      </c>
      <c r="AJ136" s="348">
        <f t="shared" ca="1" si="178"/>
        <v>0</v>
      </c>
      <c r="AK136" s="348">
        <f t="shared" ref="AK136:AT137" ca="1" si="179">-$D136*AK$133</f>
        <v>0</v>
      </c>
      <c r="AL136" s="348">
        <f t="shared" ca="1" si="179"/>
        <v>0</v>
      </c>
      <c r="AM136" s="348">
        <f t="shared" ca="1" si="179"/>
        <v>0</v>
      </c>
      <c r="AN136" s="348">
        <f t="shared" ca="1" si="179"/>
        <v>0</v>
      </c>
      <c r="AO136" s="348">
        <f t="shared" ca="1" si="179"/>
        <v>0</v>
      </c>
      <c r="AP136" s="348">
        <f t="shared" ca="1" si="179"/>
        <v>0</v>
      </c>
      <c r="AQ136" s="348">
        <f t="shared" ca="1" si="179"/>
        <v>0</v>
      </c>
      <c r="AR136" s="348">
        <f t="shared" ca="1" si="179"/>
        <v>0</v>
      </c>
      <c r="AS136" s="348">
        <f t="shared" ca="1" si="179"/>
        <v>0</v>
      </c>
      <c r="AT136" s="348">
        <f t="shared" ca="1" si="179"/>
        <v>0</v>
      </c>
      <c r="AU136" s="348">
        <f t="shared" ref="AU136:BD137" ca="1" si="180">-$D136*AU$133</f>
        <v>0</v>
      </c>
      <c r="AV136" s="348">
        <f t="shared" ca="1" si="180"/>
        <v>0</v>
      </c>
      <c r="AW136" s="348">
        <f t="shared" ca="1" si="180"/>
        <v>0</v>
      </c>
      <c r="AX136" s="348">
        <f t="shared" ca="1" si="180"/>
        <v>0</v>
      </c>
      <c r="AY136" s="348">
        <f t="shared" ca="1" si="180"/>
        <v>0</v>
      </c>
      <c r="AZ136" s="348">
        <f t="shared" ca="1" si="180"/>
        <v>0</v>
      </c>
      <c r="BA136" s="348">
        <f t="shared" ca="1" si="180"/>
        <v>0</v>
      </c>
      <c r="BB136" s="348">
        <f t="shared" ca="1" si="180"/>
        <v>0</v>
      </c>
      <c r="BC136" s="348">
        <f t="shared" ca="1" si="180"/>
        <v>0</v>
      </c>
      <c r="BD136" s="348">
        <f t="shared" ca="1" si="180"/>
        <v>0</v>
      </c>
      <c r="BE136" s="348">
        <f t="shared" ref="BE136:BN137" ca="1" si="181">-$D136*BE$133</f>
        <v>0</v>
      </c>
      <c r="BF136" s="348">
        <f t="shared" ca="1" si="181"/>
        <v>0</v>
      </c>
      <c r="BG136" s="348">
        <f t="shared" ca="1" si="181"/>
        <v>0</v>
      </c>
      <c r="BH136" s="348">
        <f t="shared" ca="1" si="181"/>
        <v>0</v>
      </c>
      <c r="BI136" s="348">
        <f t="shared" ca="1" si="181"/>
        <v>0</v>
      </c>
      <c r="BJ136" s="348">
        <f t="shared" ca="1" si="181"/>
        <v>0</v>
      </c>
      <c r="BK136" s="348">
        <f t="shared" ca="1" si="181"/>
        <v>0</v>
      </c>
      <c r="BL136" s="348">
        <f t="shared" ca="1" si="181"/>
        <v>0</v>
      </c>
      <c r="BM136" s="348">
        <f t="shared" ca="1" si="181"/>
        <v>0</v>
      </c>
      <c r="BN136" s="348">
        <f t="shared" ca="1" si="181"/>
        <v>-18591642.358008582</v>
      </c>
      <c r="BO136" s="348">
        <f t="shared" ref="BO136:BX137" ca="1" si="182">-$D136*BO$133</f>
        <v>0</v>
      </c>
      <c r="BP136" s="348">
        <f t="shared" ca="1" si="182"/>
        <v>0</v>
      </c>
      <c r="BQ136" s="348">
        <f t="shared" ca="1" si="182"/>
        <v>0</v>
      </c>
      <c r="BR136" s="348">
        <f t="shared" ca="1" si="182"/>
        <v>0</v>
      </c>
      <c r="BS136" s="348">
        <f t="shared" ca="1" si="182"/>
        <v>0</v>
      </c>
      <c r="BT136" s="348">
        <f t="shared" ca="1" si="182"/>
        <v>0</v>
      </c>
      <c r="BU136" s="348">
        <f t="shared" ca="1" si="182"/>
        <v>0</v>
      </c>
      <c r="BV136" s="348">
        <f t="shared" ca="1" si="182"/>
        <v>0</v>
      </c>
      <c r="BW136" s="348">
        <f t="shared" ca="1" si="182"/>
        <v>0</v>
      </c>
      <c r="BX136" s="348">
        <f t="shared" ca="1" si="182"/>
        <v>0</v>
      </c>
      <c r="BY136" s="348">
        <f t="shared" ref="BY136:CH137" ca="1" si="183">-$D136*BY$133</f>
        <v>0</v>
      </c>
      <c r="BZ136" s="348">
        <f t="shared" ca="1" si="183"/>
        <v>0</v>
      </c>
      <c r="CA136" s="348">
        <f t="shared" ca="1" si="183"/>
        <v>0</v>
      </c>
      <c r="CB136" s="348">
        <f t="shared" ca="1" si="183"/>
        <v>0</v>
      </c>
      <c r="CC136" s="348">
        <f t="shared" ca="1" si="183"/>
        <v>0</v>
      </c>
      <c r="CD136" s="348">
        <f t="shared" ca="1" si="183"/>
        <v>0</v>
      </c>
      <c r="CE136" s="348">
        <f t="shared" ca="1" si="183"/>
        <v>0</v>
      </c>
      <c r="CF136" s="348">
        <f t="shared" ca="1" si="183"/>
        <v>0</v>
      </c>
      <c r="CG136" s="348">
        <f t="shared" ca="1" si="183"/>
        <v>0</v>
      </c>
      <c r="CH136" s="348">
        <f t="shared" ca="1" si="183"/>
        <v>0</v>
      </c>
      <c r="CI136" s="348">
        <f t="shared" ref="CI136:CR137" ca="1" si="184">-$D136*CI$133</f>
        <v>0</v>
      </c>
      <c r="CJ136" s="348">
        <f t="shared" ca="1" si="184"/>
        <v>0</v>
      </c>
      <c r="CK136" s="348">
        <f t="shared" ca="1" si="184"/>
        <v>0</v>
      </c>
      <c r="CL136" s="348">
        <f t="shared" ca="1" si="184"/>
        <v>0</v>
      </c>
      <c r="CM136" s="348">
        <f t="shared" ca="1" si="184"/>
        <v>0</v>
      </c>
      <c r="CN136" s="348">
        <f t="shared" ca="1" si="184"/>
        <v>0</v>
      </c>
      <c r="CO136" s="348">
        <f t="shared" ca="1" si="184"/>
        <v>0</v>
      </c>
      <c r="CP136" s="348">
        <f t="shared" ca="1" si="184"/>
        <v>0</v>
      </c>
      <c r="CQ136" s="348">
        <f t="shared" ca="1" si="184"/>
        <v>0</v>
      </c>
      <c r="CR136" s="348">
        <f t="shared" ca="1" si="184"/>
        <v>0</v>
      </c>
      <c r="CS136" s="348">
        <f t="shared" ref="CS136:DB137" ca="1" si="185">-$D136*CS$133</f>
        <v>0</v>
      </c>
      <c r="CT136" s="348">
        <f t="shared" ca="1" si="185"/>
        <v>0</v>
      </c>
      <c r="CU136" s="348">
        <f t="shared" ca="1" si="185"/>
        <v>0</v>
      </c>
      <c r="CV136" s="348">
        <f t="shared" ca="1" si="185"/>
        <v>0</v>
      </c>
      <c r="CW136" s="348">
        <f t="shared" ca="1" si="185"/>
        <v>0</v>
      </c>
      <c r="CX136" s="348">
        <f t="shared" ca="1" si="185"/>
        <v>0</v>
      </c>
      <c r="CY136" s="348">
        <f t="shared" ca="1" si="185"/>
        <v>0</v>
      </c>
      <c r="CZ136" s="348">
        <f t="shared" ca="1" si="185"/>
        <v>0</v>
      </c>
      <c r="DA136" s="348">
        <f t="shared" ca="1" si="185"/>
        <v>0</v>
      </c>
      <c r="DB136" s="348">
        <f t="shared" ca="1" si="185"/>
        <v>0</v>
      </c>
      <c r="DC136" s="348">
        <f t="shared" ref="DC136:DL137" ca="1" si="186">-$D136*DC$133</f>
        <v>0</v>
      </c>
      <c r="DD136" s="348">
        <f t="shared" ca="1" si="186"/>
        <v>0</v>
      </c>
      <c r="DE136" s="348">
        <f t="shared" ca="1" si="186"/>
        <v>0</v>
      </c>
      <c r="DF136" s="348">
        <f t="shared" ca="1" si="186"/>
        <v>0</v>
      </c>
      <c r="DG136" s="348">
        <f t="shared" ca="1" si="186"/>
        <v>0</v>
      </c>
      <c r="DH136" s="348">
        <f t="shared" ca="1" si="186"/>
        <v>0</v>
      </c>
      <c r="DI136" s="348">
        <f t="shared" ca="1" si="186"/>
        <v>0</v>
      </c>
      <c r="DJ136" s="348">
        <f t="shared" ca="1" si="186"/>
        <v>0</v>
      </c>
      <c r="DK136" s="348">
        <f t="shared" ca="1" si="186"/>
        <v>0</v>
      </c>
      <c r="DL136" s="348">
        <f t="shared" ca="1" si="186"/>
        <v>0</v>
      </c>
      <c r="DM136" s="348">
        <f t="shared" ref="DM136:DV137" ca="1" si="187">-$D136*DM$133</f>
        <v>0</v>
      </c>
      <c r="DN136" s="348">
        <f t="shared" ca="1" si="187"/>
        <v>0</v>
      </c>
      <c r="DO136" s="348">
        <f t="shared" ca="1" si="187"/>
        <v>0</v>
      </c>
      <c r="DP136" s="348">
        <f t="shared" ca="1" si="187"/>
        <v>0</v>
      </c>
      <c r="DQ136" s="348">
        <f t="shared" ca="1" si="187"/>
        <v>0</v>
      </c>
      <c r="DR136" s="348">
        <f t="shared" ca="1" si="187"/>
        <v>0</v>
      </c>
      <c r="DS136" s="348">
        <f t="shared" ca="1" si="187"/>
        <v>0</v>
      </c>
      <c r="DT136" s="348">
        <f t="shared" ca="1" si="187"/>
        <v>0</v>
      </c>
      <c r="DU136" s="348">
        <f t="shared" ca="1" si="187"/>
        <v>0</v>
      </c>
      <c r="DV136" s="348">
        <f t="shared" ca="1" si="187"/>
        <v>0</v>
      </c>
      <c r="DW136" s="348">
        <f t="shared" ref="DW136:EH137" ca="1" si="188">-$D136*DW$133</f>
        <v>0</v>
      </c>
      <c r="DX136" s="348">
        <f t="shared" ca="1" si="188"/>
        <v>0</v>
      </c>
      <c r="DY136" s="348">
        <f t="shared" ca="1" si="188"/>
        <v>0</v>
      </c>
      <c r="DZ136" s="348">
        <f t="shared" ca="1" si="188"/>
        <v>0</v>
      </c>
      <c r="EA136" s="348">
        <f t="shared" ca="1" si="188"/>
        <v>0</v>
      </c>
      <c r="EB136" s="348">
        <f t="shared" ca="1" si="188"/>
        <v>0</v>
      </c>
      <c r="EC136" s="348">
        <f t="shared" ca="1" si="188"/>
        <v>0</v>
      </c>
      <c r="ED136" s="348">
        <f t="shared" ca="1" si="188"/>
        <v>0</v>
      </c>
      <c r="EE136" s="348">
        <f t="shared" ca="1" si="188"/>
        <v>0</v>
      </c>
      <c r="EF136" s="348">
        <f t="shared" ca="1" si="188"/>
        <v>0</v>
      </c>
      <c r="EG136" s="348">
        <f t="shared" ca="1" si="188"/>
        <v>0</v>
      </c>
      <c r="EH136" s="348">
        <f t="shared" ca="1" si="188"/>
        <v>0</v>
      </c>
      <c r="EI136" s="316" t="s">
        <v>243</v>
      </c>
    </row>
    <row r="137" spans="2:139" x14ac:dyDescent="0.2">
      <c r="B137" s="273" t="s">
        <v>897</v>
      </c>
      <c r="D137" s="379">
        <v>0.3</v>
      </c>
      <c r="E137" s="379"/>
      <c r="F137" s="348"/>
      <c r="G137" s="348">
        <f t="shared" ca="1" si="176"/>
        <v>0</v>
      </c>
      <c r="H137" s="348">
        <f t="shared" ca="1" si="176"/>
        <v>0</v>
      </c>
      <c r="I137" s="348">
        <f t="shared" ca="1" si="176"/>
        <v>0</v>
      </c>
      <c r="J137" s="348">
        <f t="shared" ca="1" si="176"/>
        <v>0</v>
      </c>
      <c r="K137" s="348">
        <f t="shared" ca="1" si="176"/>
        <v>0</v>
      </c>
      <c r="L137" s="348">
        <f t="shared" ca="1" si="176"/>
        <v>0</v>
      </c>
      <c r="M137" s="348">
        <f t="shared" ca="1" si="176"/>
        <v>0</v>
      </c>
      <c r="N137" s="348">
        <f t="shared" ca="1" si="176"/>
        <v>0</v>
      </c>
      <c r="O137" s="348">
        <f t="shared" ca="1" si="176"/>
        <v>0</v>
      </c>
      <c r="P137" s="348">
        <f t="shared" ca="1" si="176"/>
        <v>0</v>
      </c>
      <c r="Q137" s="348">
        <f t="shared" ca="1" si="177"/>
        <v>0</v>
      </c>
      <c r="R137" s="348">
        <f t="shared" ca="1" si="177"/>
        <v>0</v>
      </c>
      <c r="S137" s="348">
        <f t="shared" ca="1" si="177"/>
        <v>0</v>
      </c>
      <c r="T137" s="348">
        <f t="shared" ca="1" si="177"/>
        <v>0</v>
      </c>
      <c r="U137" s="348">
        <f t="shared" ca="1" si="177"/>
        <v>0</v>
      </c>
      <c r="V137" s="348">
        <f t="shared" ca="1" si="177"/>
        <v>0</v>
      </c>
      <c r="W137" s="348">
        <f t="shared" ca="1" si="177"/>
        <v>0</v>
      </c>
      <c r="X137" s="348">
        <f t="shared" ca="1" si="177"/>
        <v>0</v>
      </c>
      <c r="Y137" s="348">
        <f t="shared" ca="1" si="177"/>
        <v>0</v>
      </c>
      <c r="Z137" s="348">
        <f t="shared" ca="1" si="177"/>
        <v>0</v>
      </c>
      <c r="AA137" s="348">
        <f t="shared" ca="1" si="178"/>
        <v>0</v>
      </c>
      <c r="AB137" s="348">
        <f t="shared" ca="1" si="178"/>
        <v>0</v>
      </c>
      <c r="AC137" s="348">
        <f t="shared" ca="1" si="178"/>
        <v>0</v>
      </c>
      <c r="AD137" s="348">
        <f t="shared" ca="1" si="178"/>
        <v>0</v>
      </c>
      <c r="AE137" s="348">
        <f t="shared" ca="1" si="178"/>
        <v>0</v>
      </c>
      <c r="AF137" s="348">
        <f t="shared" ca="1" si="178"/>
        <v>0</v>
      </c>
      <c r="AG137" s="348">
        <f t="shared" ca="1" si="178"/>
        <v>0</v>
      </c>
      <c r="AH137" s="348">
        <f t="shared" ca="1" si="178"/>
        <v>0</v>
      </c>
      <c r="AI137" s="348">
        <f t="shared" ca="1" si="178"/>
        <v>0</v>
      </c>
      <c r="AJ137" s="348">
        <f t="shared" ca="1" si="178"/>
        <v>0</v>
      </c>
      <c r="AK137" s="348">
        <f t="shared" ca="1" si="179"/>
        <v>0</v>
      </c>
      <c r="AL137" s="348">
        <f t="shared" ca="1" si="179"/>
        <v>0</v>
      </c>
      <c r="AM137" s="348">
        <f t="shared" ca="1" si="179"/>
        <v>0</v>
      </c>
      <c r="AN137" s="348">
        <f t="shared" ca="1" si="179"/>
        <v>0</v>
      </c>
      <c r="AO137" s="348">
        <f t="shared" ca="1" si="179"/>
        <v>0</v>
      </c>
      <c r="AP137" s="348">
        <f t="shared" ca="1" si="179"/>
        <v>0</v>
      </c>
      <c r="AQ137" s="348">
        <f t="shared" ca="1" si="179"/>
        <v>0</v>
      </c>
      <c r="AR137" s="348">
        <f t="shared" ca="1" si="179"/>
        <v>0</v>
      </c>
      <c r="AS137" s="348">
        <f t="shared" ca="1" si="179"/>
        <v>0</v>
      </c>
      <c r="AT137" s="348">
        <f t="shared" ca="1" si="179"/>
        <v>0</v>
      </c>
      <c r="AU137" s="348">
        <f t="shared" ca="1" si="180"/>
        <v>0</v>
      </c>
      <c r="AV137" s="348">
        <f t="shared" ca="1" si="180"/>
        <v>0</v>
      </c>
      <c r="AW137" s="348">
        <f t="shared" ca="1" si="180"/>
        <v>0</v>
      </c>
      <c r="AX137" s="348">
        <f t="shared" ca="1" si="180"/>
        <v>0</v>
      </c>
      <c r="AY137" s="348">
        <f t="shared" ca="1" si="180"/>
        <v>0</v>
      </c>
      <c r="AZ137" s="348">
        <f t="shared" ca="1" si="180"/>
        <v>0</v>
      </c>
      <c r="BA137" s="348">
        <f t="shared" ca="1" si="180"/>
        <v>0</v>
      </c>
      <c r="BB137" s="348">
        <f t="shared" ca="1" si="180"/>
        <v>0</v>
      </c>
      <c r="BC137" s="348">
        <f t="shared" ca="1" si="180"/>
        <v>0</v>
      </c>
      <c r="BD137" s="348">
        <f t="shared" ca="1" si="180"/>
        <v>0</v>
      </c>
      <c r="BE137" s="348">
        <f t="shared" ca="1" si="181"/>
        <v>0</v>
      </c>
      <c r="BF137" s="348">
        <f t="shared" ca="1" si="181"/>
        <v>0</v>
      </c>
      <c r="BG137" s="348">
        <f t="shared" ca="1" si="181"/>
        <v>0</v>
      </c>
      <c r="BH137" s="348">
        <f t="shared" ca="1" si="181"/>
        <v>0</v>
      </c>
      <c r="BI137" s="348">
        <f t="shared" ca="1" si="181"/>
        <v>0</v>
      </c>
      <c r="BJ137" s="348">
        <f t="shared" ca="1" si="181"/>
        <v>0</v>
      </c>
      <c r="BK137" s="348">
        <f t="shared" ca="1" si="181"/>
        <v>0</v>
      </c>
      <c r="BL137" s="348">
        <f t="shared" ca="1" si="181"/>
        <v>0</v>
      </c>
      <c r="BM137" s="348">
        <f t="shared" ca="1" si="181"/>
        <v>0</v>
      </c>
      <c r="BN137" s="348">
        <f t="shared" ca="1" si="181"/>
        <v>-7967846.7248608219</v>
      </c>
      <c r="BO137" s="348">
        <f t="shared" ca="1" si="182"/>
        <v>0</v>
      </c>
      <c r="BP137" s="348">
        <f t="shared" ca="1" si="182"/>
        <v>0</v>
      </c>
      <c r="BQ137" s="348">
        <f t="shared" ca="1" si="182"/>
        <v>0</v>
      </c>
      <c r="BR137" s="348">
        <f t="shared" ca="1" si="182"/>
        <v>0</v>
      </c>
      <c r="BS137" s="348">
        <f t="shared" ca="1" si="182"/>
        <v>0</v>
      </c>
      <c r="BT137" s="348">
        <f t="shared" ca="1" si="182"/>
        <v>0</v>
      </c>
      <c r="BU137" s="348">
        <f t="shared" ca="1" si="182"/>
        <v>0</v>
      </c>
      <c r="BV137" s="348">
        <f t="shared" ca="1" si="182"/>
        <v>0</v>
      </c>
      <c r="BW137" s="348">
        <f t="shared" ca="1" si="182"/>
        <v>0</v>
      </c>
      <c r="BX137" s="348">
        <f t="shared" ca="1" si="182"/>
        <v>0</v>
      </c>
      <c r="BY137" s="348">
        <f t="shared" ca="1" si="183"/>
        <v>0</v>
      </c>
      <c r="BZ137" s="348">
        <f t="shared" ca="1" si="183"/>
        <v>0</v>
      </c>
      <c r="CA137" s="348">
        <f t="shared" ca="1" si="183"/>
        <v>0</v>
      </c>
      <c r="CB137" s="348">
        <f t="shared" ca="1" si="183"/>
        <v>0</v>
      </c>
      <c r="CC137" s="348">
        <f t="shared" ca="1" si="183"/>
        <v>0</v>
      </c>
      <c r="CD137" s="348">
        <f t="shared" ca="1" si="183"/>
        <v>0</v>
      </c>
      <c r="CE137" s="348">
        <f t="shared" ca="1" si="183"/>
        <v>0</v>
      </c>
      <c r="CF137" s="348">
        <f t="shared" ca="1" si="183"/>
        <v>0</v>
      </c>
      <c r="CG137" s="348">
        <f t="shared" ca="1" si="183"/>
        <v>0</v>
      </c>
      <c r="CH137" s="348">
        <f t="shared" ca="1" si="183"/>
        <v>0</v>
      </c>
      <c r="CI137" s="348">
        <f t="shared" ca="1" si="184"/>
        <v>0</v>
      </c>
      <c r="CJ137" s="348">
        <f t="shared" ca="1" si="184"/>
        <v>0</v>
      </c>
      <c r="CK137" s="348">
        <f t="shared" ca="1" si="184"/>
        <v>0</v>
      </c>
      <c r="CL137" s="348">
        <f t="shared" ca="1" si="184"/>
        <v>0</v>
      </c>
      <c r="CM137" s="348">
        <f t="shared" ca="1" si="184"/>
        <v>0</v>
      </c>
      <c r="CN137" s="348">
        <f t="shared" ca="1" si="184"/>
        <v>0</v>
      </c>
      <c r="CO137" s="348">
        <f t="shared" ca="1" si="184"/>
        <v>0</v>
      </c>
      <c r="CP137" s="348">
        <f t="shared" ca="1" si="184"/>
        <v>0</v>
      </c>
      <c r="CQ137" s="348">
        <f t="shared" ca="1" si="184"/>
        <v>0</v>
      </c>
      <c r="CR137" s="348">
        <f t="shared" ca="1" si="184"/>
        <v>0</v>
      </c>
      <c r="CS137" s="348">
        <f t="shared" ca="1" si="185"/>
        <v>0</v>
      </c>
      <c r="CT137" s="348">
        <f t="shared" ca="1" si="185"/>
        <v>0</v>
      </c>
      <c r="CU137" s="348">
        <f t="shared" ca="1" si="185"/>
        <v>0</v>
      </c>
      <c r="CV137" s="348">
        <f t="shared" ca="1" si="185"/>
        <v>0</v>
      </c>
      <c r="CW137" s="348">
        <f t="shared" ca="1" si="185"/>
        <v>0</v>
      </c>
      <c r="CX137" s="348">
        <f t="shared" ca="1" si="185"/>
        <v>0</v>
      </c>
      <c r="CY137" s="348">
        <f t="shared" ca="1" si="185"/>
        <v>0</v>
      </c>
      <c r="CZ137" s="348">
        <f t="shared" ca="1" si="185"/>
        <v>0</v>
      </c>
      <c r="DA137" s="348">
        <f t="shared" ca="1" si="185"/>
        <v>0</v>
      </c>
      <c r="DB137" s="348">
        <f t="shared" ca="1" si="185"/>
        <v>0</v>
      </c>
      <c r="DC137" s="348">
        <f t="shared" ca="1" si="186"/>
        <v>0</v>
      </c>
      <c r="DD137" s="348">
        <f t="shared" ca="1" si="186"/>
        <v>0</v>
      </c>
      <c r="DE137" s="348">
        <f t="shared" ca="1" si="186"/>
        <v>0</v>
      </c>
      <c r="DF137" s="348">
        <f t="shared" ca="1" si="186"/>
        <v>0</v>
      </c>
      <c r="DG137" s="348">
        <f t="shared" ca="1" si="186"/>
        <v>0</v>
      </c>
      <c r="DH137" s="348">
        <f t="shared" ca="1" si="186"/>
        <v>0</v>
      </c>
      <c r="DI137" s="348">
        <f t="shared" ca="1" si="186"/>
        <v>0</v>
      </c>
      <c r="DJ137" s="348">
        <f t="shared" ca="1" si="186"/>
        <v>0</v>
      </c>
      <c r="DK137" s="348">
        <f t="shared" ca="1" si="186"/>
        <v>0</v>
      </c>
      <c r="DL137" s="348">
        <f t="shared" ca="1" si="186"/>
        <v>0</v>
      </c>
      <c r="DM137" s="348">
        <f t="shared" ca="1" si="187"/>
        <v>0</v>
      </c>
      <c r="DN137" s="348">
        <f t="shared" ca="1" si="187"/>
        <v>0</v>
      </c>
      <c r="DO137" s="348">
        <f t="shared" ca="1" si="187"/>
        <v>0</v>
      </c>
      <c r="DP137" s="348">
        <f t="shared" ca="1" si="187"/>
        <v>0</v>
      </c>
      <c r="DQ137" s="348">
        <f t="shared" ca="1" si="187"/>
        <v>0</v>
      </c>
      <c r="DR137" s="348">
        <f t="shared" ca="1" si="187"/>
        <v>0</v>
      </c>
      <c r="DS137" s="348">
        <f t="shared" ca="1" si="187"/>
        <v>0</v>
      </c>
      <c r="DT137" s="348">
        <f t="shared" ca="1" si="187"/>
        <v>0</v>
      </c>
      <c r="DU137" s="348">
        <f t="shared" ca="1" si="187"/>
        <v>0</v>
      </c>
      <c r="DV137" s="348">
        <f t="shared" ca="1" si="187"/>
        <v>0</v>
      </c>
      <c r="DW137" s="348">
        <f t="shared" ca="1" si="188"/>
        <v>0</v>
      </c>
      <c r="DX137" s="348">
        <f t="shared" ca="1" si="188"/>
        <v>0</v>
      </c>
      <c r="DY137" s="348">
        <f t="shared" ca="1" si="188"/>
        <v>0</v>
      </c>
      <c r="DZ137" s="348">
        <f t="shared" ca="1" si="188"/>
        <v>0</v>
      </c>
      <c r="EA137" s="348">
        <f t="shared" ca="1" si="188"/>
        <v>0</v>
      </c>
      <c r="EB137" s="348">
        <f t="shared" ca="1" si="188"/>
        <v>0</v>
      </c>
      <c r="EC137" s="348">
        <f t="shared" ca="1" si="188"/>
        <v>0</v>
      </c>
      <c r="ED137" s="348">
        <f t="shared" ca="1" si="188"/>
        <v>0</v>
      </c>
      <c r="EE137" s="348">
        <f t="shared" ca="1" si="188"/>
        <v>0</v>
      </c>
      <c r="EF137" s="348">
        <f t="shared" ca="1" si="188"/>
        <v>0</v>
      </c>
      <c r="EG137" s="348">
        <f t="shared" ca="1" si="188"/>
        <v>0</v>
      </c>
      <c r="EH137" s="348">
        <f t="shared" ca="1" si="188"/>
        <v>0</v>
      </c>
      <c r="EI137" s="316" t="s">
        <v>243</v>
      </c>
    </row>
    <row r="138" spans="2:139" x14ac:dyDescent="0.2">
      <c r="B138" s="273"/>
      <c r="D138" s="378"/>
      <c r="E138" s="378"/>
      <c r="F138" s="348"/>
      <c r="G138" s="348"/>
      <c r="H138" s="348"/>
      <c r="I138" s="348"/>
      <c r="J138" s="348"/>
      <c r="K138" s="348"/>
      <c r="L138" s="348"/>
      <c r="M138" s="348"/>
      <c r="N138" s="348"/>
      <c r="O138" s="348"/>
      <c r="P138" s="348"/>
      <c r="Q138" s="348"/>
      <c r="R138" s="348"/>
      <c r="S138" s="348"/>
      <c r="T138" s="348"/>
      <c r="U138" s="348"/>
      <c r="V138" s="348"/>
      <c r="W138" s="348"/>
      <c r="X138" s="348"/>
      <c r="Y138" s="348"/>
      <c r="Z138" s="348"/>
      <c r="AA138" s="348"/>
      <c r="AB138" s="348"/>
      <c r="AC138" s="348"/>
      <c r="AD138" s="348"/>
      <c r="AE138" s="348"/>
      <c r="AF138" s="348"/>
      <c r="AG138" s="348"/>
      <c r="AH138" s="348"/>
      <c r="AI138" s="348"/>
      <c r="AJ138" s="348"/>
      <c r="AK138" s="348"/>
      <c r="AL138" s="348"/>
      <c r="AM138" s="348"/>
      <c r="AN138" s="348"/>
      <c r="AO138" s="348"/>
      <c r="AP138" s="348"/>
      <c r="AQ138" s="348"/>
      <c r="AR138" s="348"/>
      <c r="AS138" s="348"/>
      <c r="AT138" s="348"/>
      <c r="AU138" s="348"/>
      <c r="AV138" s="348"/>
      <c r="AW138" s="348"/>
      <c r="AX138" s="348"/>
      <c r="AY138" s="348"/>
      <c r="AZ138" s="348"/>
      <c r="BA138" s="348"/>
      <c r="BB138" s="348"/>
      <c r="BC138" s="348"/>
      <c r="BD138" s="348"/>
      <c r="BE138" s="348"/>
      <c r="BF138" s="348"/>
      <c r="BG138" s="348"/>
      <c r="BH138" s="348"/>
      <c r="BI138" s="348"/>
      <c r="BJ138" s="348"/>
      <c r="BK138" s="348"/>
      <c r="BL138" s="348"/>
      <c r="BM138" s="348"/>
      <c r="BN138" s="348"/>
      <c r="BO138" s="348"/>
      <c r="BP138" s="348"/>
      <c r="BQ138" s="348"/>
      <c r="BR138" s="348"/>
      <c r="BS138" s="348"/>
      <c r="BT138" s="348"/>
      <c r="BU138" s="348"/>
      <c r="BV138" s="348"/>
      <c r="BW138" s="348"/>
      <c r="BX138" s="348"/>
      <c r="BY138" s="348"/>
      <c r="BZ138" s="348"/>
      <c r="CA138" s="348"/>
      <c r="CB138" s="348"/>
      <c r="CC138" s="348"/>
      <c r="CD138" s="348"/>
      <c r="CE138" s="348"/>
      <c r="CF138" s="348"/>
      <c r="CG138" s="348"/>
      <c r="CH138" s="348"/>
      <c r="CI138" s="348"/>
      <c r="CJ138" s="348"/>
      <c r="CK138" s="348"/>
      <c r="CL138" s="348"/>
      <c r="CM138" s="348"/>
      <c r="CN138" s="348"/>
      <c r="CO138" s="348"/>
      <c r="CP138" s="348"/>
      <c r="CQ138" s="348"/>
      <c r="CR138" s="348"/>
      <c r="CS138" s="348"/>
      <c r="CT138" s="348"/>
      <c r="CU138" s="348"/>
      <c r="CV138" s="348"/>
      <c r="CW138" s="348"/>
      <c r="CX138" s="348"/>
      <c r="CY138" s="348"/>
      <c r="CZ138" s="348"/>
      <c r="DA138" s="348"/>
      <c r="DB138" s="348"/>
      <c r="DC138" s="348"/>
      <c r="DD138" s="348"/>
      <c r="DE138" s="348"/>
      <c r="DF138" s="348"/>
      <c r="DG138" s="348"/>
      <c r="DH138" s="348"/>
      <c r="DI138" s="348"/>
      <c r="DJ138" s="348"/>
      <c r="DK138" s="348"/>
      <c r="DL138" s="348"/>
      <c r="DM138" s="348"/>
      <c r="DN138" s="348"/>
      <c r="DO138" s="348"/>
      <c r="DP138" s="348"/>
      <c r="DQ138" s="348"/>
      <c r="DR138" s="348"/>
      <c r="DS138" s="348"/>
      <c r="DT138" s="348"/>
      <c r="DU138" s="348"/>
      <c r="DV138" s="348"/>
      <c r="DW138" s="348"/>
      <c r="DX138" s="348"/>
      <c r="DY138" s="348"/>
      <c r="DZ138" s="348"/>
      <c r="EA138" s="348"/>
      <c r="EB138" s="348"/>
      <c r="EC138" s="348"/>
      <c r="ED138" s="348"/>
      <c r="EE138" s="348"/>
      <c r="EF138" s="348"/>
      <c r="EG138" s="348"/>
      <c r="EH138" s="348"/>
      <c r="EI138" s="316" t="s">
        <v>243</v>
      </c>
    </row>
    <row r="139" spans="2:139" ht="15" thickBot="1" x14ac:dyDescent="0.25">
      <c r="B139" s="368" t="s">
        <v>804</v>
      </c>
      <c r="C139" s="368"/>
      <c r="D139" s="368"/>
      <c r="E139" s="368"/>
      <c r="F139" s="368"/>
      <c r="G139" s="368"/>
      <c r="H139" s="368"/>
      <c r="I139" s="368"/>
      <c r="J139" s="368"/>
      <c r="K139" s="368"/>
      <c r="L139" s="368"/>
      <c r="M139" s="368"/>
      <c r="N139" s="368"/>
      <c r="O139" s="368"/>
      <c r="P139" s="368"/>
      <c r="Q139" s="368"/>
      <c r="R139" s="368"/>
      <c r="S139" s="368"/>
      <c r="T139" s="368"/>
      <c r="U139" s="368"/>
      <c r="V139" s="368"/>
      <c r="W139" s="368"/>
      <c r="X139" s="368"/>
      <c r="Y139" s="368"/>
      <c r="Z139" s="368"/>
      <c r="AA139" s="368"/>
      <c r="AB139" s="368"/>
      <c r="AC139" s="368"/>
      <c r="AD139" s="368"/>
      <c r="AE139" s="368"/>
      <c r="AF139" s="368"/>
      <c r="AG139" s="368"/>
      <c r="AH139" s="368"/>
      <c r="AI139" s="368"/>
      <c r="AJ139" s="368"/>
      <c r="AK139" s="368"/>
      <c r="AL139" s="368"/>
      <c r="AM139" s="368"/>
      <c r="AN139" s="368"/>
      <c r="AO139" s="368"/>
      <c r="AP139" s="368"/>
      <c r="AQ139" s="368"/>
      <c r="AR139" s="368"/>
      <c r="AS139" s="368"/>
      <c r="AT139" s="368"/>
      <c r="AU139" s="368"/>
      <c r="AV139" s="368"/>
      <c r="AW139" s="368"/>
      <c r="AX139" s="368"/>
      <c r="AY139" s="368"/>
      <c r="AZ139" s="368"/>
      <c r="BA139" s="368"/>
      <c r="BB139" s="368"/>
      <c r="BC139" s="368"/>
      <c r="BD139" s="368"/>
      <c r="BE139" s="368"/>
      <c r="BF139" s="368"/>
      <c r="BG139" s="368"/>
      <c r="BH139" s="368"/>
      <c r="BI139" s="368"/>
      <c r="BJ139" s="368"/>
      <c r="BK139" s="368"/>
      <c r="BL139" s="368"/>
      <c r="BM139" s="368"/>
      <c r="BN139" s="368"/>
      <c r="BO139" s="368"/>
      <c r="BP139" s="368"/>
      <c r="BQ139" s="368"/>
      <c r="BR139" s="368"/>
      <c r="BS139" s="368"/>
      <c r="BT139" s="368"/>
      <c r="BU139" s="368"/>
      <c r="BV139" s="368"/>
      <c r="BW139" s="368"/>
      <c r="BX139" s="368"/>
      <c r="BY139" s="368"/>
      <c r="BZ139" s="368"/>
      <c r="CA139" s="368"/>
      <c r="CB139" s="368"/>
      <c r="CC139" s="368"/>
      <c r="CD139" s="368"/>
      <c r="CE139" s="368"/>
      <c r="CF139" s="368"/>
      <c r="CG139" s="368"/>
      <c r="CH139" s="368"/>
      <c r="CI139" s="368"/>
      <c r="CJ139" s="368"/>
      <c r="CK139" s="368"/>
      <c r="CL139" s="368"/>
      <c r="CM139" s="368"/>
      <c r="CN139" s="368"/>
      <c r="CO139" s="368"/>
      <c r="CP139" s="368"/>
      <c r="CQ139" s="368"/>
      <c r="CR139" s="368"/>
      <c r="CS139" s="368"/>
      <c r="CT139" s="368"/>
      <c r="CU139" s="368"/>
      <c r="CV139" s="368"/>
      <c r="CW139" s="368"/>
      <c r="CX139" s="368"/>
      <c r="CY139" s="368"/>
      <c r="CZ139" s="368"/>
      <c r="DA139" s="368"/>
      <c r="DB139" s="368"/>
      <c r="DC139" s="368"/>
      <c r="DD139" s="368"/>
      <c r="DE139" s="368"/>
      <c r="DF139" s="368"/>
      <c r="DG139" s="368"/>
      <c r="DH139" s="368"/>
      <c r="DI139" s="368"/>
      <c r="DJ139" s="368"/>
      <c r="DK139" s="368"/>
      <c r="DL139" s="368"/>
      <c r="DM139" s="368"/>
      <c r="DN139" s="368"/>
      <c r="DO139" s="368"/>
      <c r="DP139" s="368"/>
      <c r="DQ139" s="368"/>
      <c r="DR139" s="368"/>
      <c r="DS139" s="368"/>
      <c r="DT139" s="368"/>
      <c r="DU139" s="368"/>
      <c r="DV139" s="368"/>
      <c r="DW139" s="368"/>
      <c r="DX139" s="368"/>
      <c r="DY139" s="368"/>
      <c r="DZ139" s="368"/>
      <c r="EA139" s="368"/>
      <c r="EB139" s="368"/>
      <c r="EC139" s="368"/>
      <c r="ED139" s="368"/>
      <c r="EE139" s="368"/>
      <c r="EF139" s="368"/>
      <c r="EG139" s="368"/>
      <c r="EH139" s="368"/>
      <c r="EI139" s="316" t="s">
        <v>243</v>
      </c>
    </row>
    <row r="140" spans="2:139" ht="15" thickTop="1" x14ac:dyDescent="0.2">
      <c r="G140" s="348"/>
      <c r="H140" s="348"/>
      <c r="I140" s="348"/>
      <c r="J140" s="348"/>
      <c r="K140" s="348"/>
      <c r="L140" s="348"/>
      <c r="M140" s="348"/>
      <c r="N140" s="348"/>
      <c r="O140" s="348"/>
      <c r="P140" s="348"/>
      <c r="Q140" s="348"/>
      <c r="R140" s="348"/>
      <c r="S140" s="348"/>
      <c r="T140" s="348"/>
      <c r="U140" s="348"/>
      <c r="V140" s="348"/>
      <c r="W140" s="348"/>
      <c r="X140" s="348"/>
      <c r="Y140" s="348"/>
      <c r="Z140" s="348"/>
      <c r="AA140" s="348"/>
      <c r="AB140" s="348"/>
      <c r="AC140" s="348"/>
      <c r="AD140" s="348"/>
      <c r="AE140" s="348"/>
      <c r="AF140" s="348"/>
      <c r="AG140" s="348"/>
      <c r="AH140" s="348"/>
      <c r="AI140" s="348"/>
      <c r="AJ140" s="348"/>
      <c r="AK140" s="348"/>
      <c r="AL140" s="348"/>
      <c r="AM140" s="348"/>
      <c r="AN140" s="348"/>
      <c r="AO140" s="348"/>
      <c r="AP140" s="348"/>
      <c r="AQ140" s="348"/>
      <c r="AR140" s="348"/>
      <c r="AS140" s="348"/>
      <c r="AT140" s="348"/>
      <c r="AU140" s="348"/>
      <c r="AV140" s="348"/>
      <c r="AW140" s="348"/>
      <c r="AX140" s="348"/>
      <c r="AY140" s="348"/>
      <c r="AZ140" s="348"/>
      <c r="BA140" s="348"/>
      <c r="BB140" s="348"/>
      <c r="BC140" s="348"/>
      <c r="BD140" s="348"/>
      <c r="BE140" s="348"/>
      <c r="BF140" s="348"/>
      <c r="BG140" s="348"/>
      <c r="BH140" s="348"/>
      <c r="BI140" s="348"/>
      <c r="BJ140" s="348"/>
      <c r="BK140" s="348"/>
      <c r="BL140" s="348"/>
      <c r="BM140" s="348"/>
      <c r="BN140" s="348"/>
      <c r="BO140" s="348"/>
      <c r="BP140" s="348"/>
      <c r="BQ140" s="348"/>
      <c r="BR140" s="348"/>
      <c r="BS140" s="348"/>
      <c r="BT140" s="348"/>
      <c r="BU140" s="348"/>
      <c r="BV140" s="348"/>
      <c r="BW140" s="348"/>
      <c r="BX140" s="348"/>
      <c r="BY140" s="348"/>
      <c r="BZ140" s="348"/>
      <c r="CA140" s="348"/>
      <c r="CB140" s="348"/>
      <c r="CC140" s="348"/>
      <c r="CD140" s="348"/>
      <c r="CE140" s="348"/>
      <c r="CF140" s="348"/>
      <c r="CG140" s="348"/>
      <c r="CH140" s="348"/>
      <c r="CI140" s="348"/>
      <c r="CJ140" s="348"/>
      <c r="CK140" s="348"/>
      <c r="CL140" s="348"/>
      <c r="CM140" s="348"/>
      <c r="CN140" s="348"/>
      <c r="CO140" s="348"/>
      <c r="CP140" s="348"/>
      <c r="CQ140" s="348"/>
      <c r="CR140" s="348"/>
      <c r="CS140" s="348"/>
      <c r="CT140" s="348"/>
      <c r="CU140" s="348"/>
      <c r="CV140" s="348"/>
      <c r="CW140" s="348"/>
      <c r="CX140" s="348"/>
      <c r="CY140" s="348"/>
      <c r="CZ140" s="348"/>
      <c r="DA140" s="348"/>
      <c r="DB140" s="348"/>
      <c r="DC140" s="348"/>
      <c r="DD140" s="348"/>
      <c r="DE140" s="348"/>
      <c r="DF140" s="348"/>
      <c r="DG140" s="348"/>
      <c r="DH140" s="348"/>
      <c r="DI140" s="348"/>
      <c r="DJ140" s="348"/>
      <c r="DK140" s="348"/>
      <c r="DL140" s="348"/>
      <c r="DM140" s="348"/>
      <c r="DN140" s="348"/>
      <c r="DO140" s="348"/>
      <c r="DP140" s="348"/>
      <c r="DQ140" s="348"/>
      <c r="DR140" s="348"/>
      <c r="DS140" s="348"/>
      <c r="DT140" s="348"/>
      <c r="DU140" s="348"/>
      <c r="DV140" s="348"/>
      <c r="DW140" s="348"/>
      <c r="DX140" s="348"/>
      <c r="DY140" s="348"/>
      <c r="DZ140" s="348"/>
      <c r="EA140" s="348"/>
      <c r="EB140" s="348"/>
      <c r="EC140" s="348"/>
      <c r="ED140" s="348"/>
      <c r="EE140" s="348"/>
      <c r="EF140" s="348"/>
      <c r="EG140" s="348"/>
      <c r="EH140" s="348"/>
      <c r="EI140" s="316" t="s">
        <v>243</v>
      </c>
    </row>
    <row r="141" spans="2:139" ht="15" thickBot="1" x14ac:dyDescent="0.25">
      <c r="B141" s="299" t="s">
        <v>805</v>
      </c>
      <c r="C141" s="299"/>
      <c r="D141" s="299"/>
      <c r="E141" s="299"/>
      <c r="F141" s="299"/>
      <c r="G141" s="299"/>
      <c r="H141" s="299"/>
      <c r="I141" s="299"/>
      <c r="J141" s="299"/>
      <c r="K141" s="299"/>
      <c r="L141" s="299"/>
      <c r="M141" s="299"/>
      <c r="N141" s="299"/>
      <c r="O141" s="299"/>
      <c r="P141" s="299"/>
      <c r="Q141" s="299"/>
      <c r="R141" s="299"/>
      <c r="S141" s="299"/>
      <c r="T141" s="299"/>
      <c r="U141" s="299"/>
      <c r="V141" s="299"/>
      <c r="W141" s="299"/>
      <c r="X141" s="299"/>
      <c r="Y141" s="299"/>
      <c r="Z141" s="299"/>
      <c r="AA141" s="299"/>
      <c r="AB141" s="299"/>
      <c r="AC141" s="299"/>
      <c r="AD141" s="299"/>
      <c r="AE141" s="299"/>
      <c r="AF141" s="299"/>
      <c r="AG141" s="299"/>
      <c r="AH141" s="299"/>
      <c r="AI141" s="299"/>
      <c r="AJ141" s="299"/>
      <c r="AK141" s="299"/>
      <c r="AL141" s="299"/>
      <c r="AM141" s="299"/>
      <c r="AN141" s="299"/>
      <c r="AO141" s="299"/>
      <c r="AP141" s="299"/>
      <c r="AQ141" s="299"/>
      <c r="AR141" s="299"/>
      <c r="AS141" s="299"/>
      <c r="AT141" s="299"/>
      <c r="AU141" s="299"/>
      <c r="AV141" s="299"/>
      <c r="AW141" s="299"/>
      <c r="AX141" s="299"/>
      <c r="AY141" s="299"/>
      <c r="AZ141" s="299"/>
      <c r="BA141" s="299"/>
      <c r="BB141" s="299"/>
      <c r="BC141" s="299"/>
      <c r="BD141" s="299"/>
      <c r="BE141" s="299"/>
      <c r="BF141" s="299"/>
      <c r="BG141" s="299"/>
      <c r="BH141" s="299"/>
      <c r="BI141" s="299"/>
      <c r="BJ141" s="299"/>
      <c r="BK141" s="299"/>
      <c r="BL141" s="299"/>
      <c r="BM141" s="299"/>
      <c r="BN141" s="299"/>
      <c r="BO141" s="299"/>
      <c r="BP141" s="299"/>
      <c r="BQ141" s="299"/>
      <c r="BR141" s="299"/>
      <c r="BS141" s="299"/>
      <c r="BT141" s="299"/>
      <c r="BU141" s="299"/>
      <c r="BV141" s="299"/>
      <c r="BW141" s="299"/>
      <c r="BX141" s="299"/>
      <c r="BY141" s="299"/>
      <c r="BZ141" s="299"/>
      <c r="CA141" s="299"/>
      <c r="CB141" s="299"/>
      <c r="CC141" s="299"/>
      <c r="CD141" s="299"/>
      <c r="CE141" s="299"/>
      <c r="CF141" s="299"/>
      <c r="CG141" s="299"/>
      <c r="CH141" s="299"/>
      <c r="CI141" s="299"/>
      <c r="CJ141" s="299"/>
      <c r="CK141" s="299"/>
      <c r="CL141" s="299"/>
      <c r="CM141" s="299"/>
      <c r="CN141" s="299"/>
      <c r="CO141" s="299"/>
      <c r="CP141" s="299"/>
      <c r="CQ141" s="299"/>
      <c r="CR141" s="299"/>
      <c r="CS141" s="299"/>
      <c r="CT141" s="299"/>
      <c r="CU141" s="299"/>
      <c r="CV141" s="299"/>
      <c r="CW141" s="299"/>
      <c r="CX141" s="299"/>
      <c r="CY141" s="299"/>
      <c r="CZ141" s="299"/>
      <c r="DA141" s="299"/>
      <c r="DB141" s="299"/>
      <c r="DC141" s="299"/>
      <c r="DD141" s="299"/>
      <c r="DE141" s="299"/>
      <c r="DF141" s="299"/>
      <c r="DG141" s="299"/>
      <c r="DH141" s="299"/>
      <c r="DI141" s="299"/>
      <c r="DJ141" s="299"/>
      <c r="DK141" s="299"/>
      <c r="DL141" s="299"/>
      <c r="DM141" s="299"/>
      <c r="DN141" s="299"/>
      <c r="DO141" s="299"/>
      <c r="DP141" s="299"/>
      <c r="DQ141" s="299"/>
      <c r="DR141" s="299"/>
      <c r="DS141" s="299"/>
      <c r="DT141" s="299"/>
      <c r="DU141" s="299"/>
      <c r="DV141" s="299"/>
      <c r="DW141" s="299"/>
      <c r="DX141" s="299"/>
      <c r="DY141" s="299"/>
      <c r="DZ141" s="299"/>
      <c r="EA141" s="299"/>
      <c r="EB141" s="299"/>
      <c r="EC141" s="299"/>
      <c r="ED141" s="299"/>
      <c r="EE141" s="299"/>
      <c r="EF141" s="299"/>
      <c r="EG141" s="299"/>
      <c r="EH141" s="299"/>
      <c r="EI141" s="316" t="s">
        <v>243</v>
      </c>
    </row>
    <row r="142" spans="2:139" x14ac:dyDescent="0.2">
      <c r="B142" s="344" t="s">
        <v>782</v>
      </c>
      <c r="C142" s="380"/>
      <c r="D142" s="381">
        <f ca="1">SUM(F142:EH142)</f>
        <v>-9966098.6551120188</v>
      </c>
      <c r="E142" s="382"/>
      <c r="F142" s="348">
        <f t="shared" ref="F142:AK142" ca="1" si="189">-F128</f>
        <v>-9908344.7838870473</v>
      </c>
      <c r="G142" s="348">
        <f t="shared" ca="1" si="189"/>
        <v>-25307.43350003993</v>
      </c>
      <c r="H142" s="348">
        <f t="shared" ca="1" si="189"/>
        <v>-16609.85283432198</v>
      </c>
      <c r="I142" s="348">
        <f t="shared" ca="1" si="189"/>
        <v>-9732.7272621390439</v>
      </c>
      <c r="J142" s="348">
        <f t="shared" ca="1" si="189"/>
        <v>-4673.6486728111195</v>
      </c>
      <c r="K142" s="348">
        <f t="shared" ca="1" si="189"/>
        <v>-1430.2089556581341</v>
      </c>
      <c r="L142" s="348">
        <f t="shared" ca="1" si="189"/>
        <v>0</v>
      </c>
      <c r="M142" s="348">
        <f t="shared" ca="1" si="189"/>
        <v>0</v>
      </c>
      <c r="N142" s="348">
        <f t="shared" ca="1" si="189"/>
        <v>0</v>
      </c>
      <c r="O142" s="348">
        <f t="shared" ca="1" si="189"/>
        <v>0</v>
      </c>
      <c r="P142" s="348">
        <f t="shared" ca="1" si="189"/>
        <v>0</v>
      </c>
      <c r="Q142" s="348">
        <f t="shared" ca="1" si="189"/>
        <v>0</v>
      </c>
      <c r="R142" s="348">
        <f t="shared" ca="1" si="189"/>
        <v>0</v>
      </c>
      <c r="S142" s="348">
        <f t="shared" ca="1" si="189"/>
        <v>0</v>
      </c>
      <c r="T142" s="348">
        <f t="shared" ca="1" si="189"/>
        <v>0</v>
      </c>
      <c r="U142" s="348">
        <f t="shared" ca="1" si="189"/>
        <v>0</v>
      </c>
      <c r="V142" s="348">
        <f t="shared" ca="1" si="189"/>
        <v>0</v>
      </c>
      <c r="W142" s="348">
        <f t="shared" ca="1" si="189"/>
        <v>0</v>
      </c>
      <c r="X142" s="348">
        <f t="shared" ca="1" si="189"/>
        <v>0</v>
      </c>
      <c r="Y142" s="348">
        <f t="shared" ca="1" si="189"/>
        <v>0</v>
      </c>
      <c r="Z142" s="348">
        <f t="shared" ca="1" si="189"/>
        <v>0</v>
      </c>
      <c r="AA142" s="348">
        <f t="shared" ca="1" si="189"/>
        <v>0</v>
      </c>
      <c r="AB142" s="348">
        <f t="shared" ca="1" si="189"/>
        <v>0</v>
      </c>
      <c r="AC142" s="348">
        <f t="shared" ca="1" si="189"/>
        <v>0</v>
      </c>
      <c r="AD142" s="348">
        <f t="shared" ca="1" si="189"/>
        <v>0</v>
      </c>
      <c r="AE142" s="348">
        <f t="shared" ca="1" si="189"/>
        <v>0</v>
      </c>
      <c r="AF142" s="348">
        <f t="shared" ca="1" si="189"/>
        <v>0</v>
      </c>
      <c r="AG142" s="348">
        <f t="shared" ca="1" si="189"/>
        <v>0</v>
      </c>
      <c r="AH142" s="348">
        <f t="shared" ca="1" si="189"/>
        <v>0</v>
      </c>
      <c r="AI142" s="348">
        <f t="shared" ca="1" si="189"/>
        <v>0</v>
      </c>
      <c r="AJ142" s="348">
        <f t="shared" ca="1" si="189"/>
        <v>0</v>
      </c>
      <c r="AK142" s="348">
        <f t="shared" ca="1" si="189"/>
        <v>0</v>
      </c>
      <c r="AL142" s="348">
        <f t="shared" ref="AL142:BQ142" ca="1" si="190">-AL128</f>
        <v>0</v>
      </c>
      <c r="AM142" s="348">
        <f t="shared" ca="1" si="190"/>
        <v>0</v>
      </c>
      <c r="AN142" s="348">
        <f t="shared" ca="1" si="190"/>
        <v>0</v>
      </c>
      <c r="AO142" s="348">
        <f t="shared" ca="1" si="190"/>
        <v>0</v>
      </c>
      <c r="AP142" s="348">
        <f t="shared" ca="1" si="190"/>
        <v>0</v>
      </c>
      <c r="AQ142" s="348">
        <f t="shared" ca="1" si="190"/>
        <v>0</v>
      </c>
      <c r="AR142" s="348">
        <f t="shared" ca="1" si="190"/>
        <v>0</v>
      </c>
      <c r="AS142" s="348">
        <f t="shared" ca="1" si="190"/>
        <v>0</v>
      </c>
      <c r="AT142" s="348">
        <f t="shared" ca="1" si="190"/>
        <v>0</v>
      </c>
      <c r="AU142" s="348">
        <f t="shared" ca="1" si="190"/>
        <v>0</v>
      </c>
      <c r="AV142" s="348">
        <f t="shared" ca="1" si="190"/>
        <v>0</v>
      </c>
      <c r="AW142" s="348">
        <f t="shared" ca="1" si="190"/>
        <v>0</v>
      </c>
      <c r="AX142" s="348">
        <f t="shared" ca="1" si="190"/>
        <v>0</v>
      </c>
      <c r="AY142" s="348">
        <f t="shared" ca="1" si="190"/>
        <v>0</v>
      </c>
      <c r="AZ142" s="348">
        <f t="shared" ca="1" si="190"/>
        <v>0</v>
      </c>
      <c r="BA142" s="348">
        <f t="shared" ca="1" si="190"/>
        <v>0</v>
      </c>
      <c r="BB142" s="348">
        <f t="shared" ca="1" si="190"/>
        <v>0</v>
      </c>
      <c r="BC142" s="348">
        <f t="shared" ca="1" si="190"/>
        <v>0</v>
      </c>
      <c r="BD142" s="348">
        <f t="shared" ca="1" si="190"/>
        <v>0</v>
      </c>
      <c r="BE142" s="348">
        <f t="shared" ca="1" si="190"/>
        <v>0</v>
      </c>
      <c r="BF142" s="348">
        <f t="shared" ca="1" si="190"/>
        <v>0</v>
      </c>
      <c r="BG142" s="348">
        <f t="shared" ca="1" si="190"/>
        <v>0</v>
      </c>
      <c r="BH142" s="348">
        <f t="shared" ca="1" si="190"/>
        <v>0</v>
      </c>
      <c r="BI142" s="348">
        <f t="shared" ca="1" si="190"/>
        <v>0</v>
      </c>
      <c r="BJ142" s="348">
        <f t="shared" ca="1" si="190"/>
        <v>0</v>
      </c>
      <c r="BK142" s="348">
        <f t="shared" ca="1" si="190"/>
        <v>0</v>
      </c>
      <c r="BL142" s="348">
        <f t="shared" ca="1" si="190"/>
        <v>0</v>
      </c>
      <c r="BM142" s="348">
        <f t="shared" ca="1" si="190"/>
        <v>0</v>
      </c>
      <c r="BN142" s="348">
        <f t="shared" ca="1" si="190"/>
        <v>0</v>
      </c>
      <c r="BO142" s="348">
        <f t="shared" si="190"/>
        <v>0</v>
      </c>
      <c r="BP142" s="348">
        <f t="shared" si="190"/>
        <v>0</v>
      </c>
      <c r="BQ142" s="348">
        <f t="shared" si="190"/>
        <v>0</v>
      </c>
      <c r="BR142" s="348">
        <f t="shared" ref="BR142:CW142" si="191">-BR128</f>
        <v>0</v>
      </c>
      <c r="BS142" s="348">
        <f t="shared" si="191"/>
        <v>0</v>
      </c>
      <c r="BT142" s="348">
        <f t="shared" si="191"/>
        <v>0</v>
      </c>
      <c r="BU142" s="348">
        <f t="shared" si="191"/>
        <v>0</v>
      </c>
      <c r="BV142" s="348">
        <f t="shared" si="191"/>
        <v>0</v>
      </c>
      <c r="BW142" s="348">
        <f t="shared" si="191"/>
        <v>0</v>
      </c>
      <c r="BX142" s="348">
        <f t="shared" si="191"/>
        <v>0</v>
      </c>
      <c r="BY142" s="348">
        <f t="shared" si="191"/>
        <v>0</v>
      </c>
      <c r="BZ142" s="348">
        <f t="shared" si="191"/>
        <v>0</v>
      </c>
      <c r="CA142" s="348">
        <f t="shared" si="191"/>
        <v>0</v>
      </c>
      <c r="CB142" s="348">
        <f t="shared" si="191"/>
        <v>0</v>
      </c>
      <c r="CC142" s="348">
        <f t="shared" si="191"/>
        <v>0</v>
      </c>
      <c r="CD142" s="348">
        <f t="shared" si="191"/>
        <v>0</v>
      </c>
      <c r="CE142" s="348">
        <f t="shared" si="191"/>
        <v>0</v>
      </c>
      <c r="CF142" s="348">
        <f t="shared" si="191"/>
        <v>0</v>
      </c>
      <c r="CG142" s="348">
        <f t="shared" si="191"/>
        <v>0</v>
      </c>
      <c r="CH142" s="348">
        <f t="shared" si="191"/>
        <v>0</v>
      </c>
      <c r="CI142" s="348">
        <f t="shared" si="191"/>
        <v>0</v>
      </c>
      <c r="CJ142" s="348">
        <f t="shared" si="191"/>
        <v>0</v>
      </c>
      <c r="CK142" s="348">
        <f t="shared" si="191"/>
        <v>0</v>
      </c>
      <c r="CL142" s="348">
        <f t="shared" si="191"/>
        <v>0</v>
      </c>
      <c r="CM142" s="348">
        <f t="shared" si="191"/>
        <v>0</v>
      </c>
      <c r="CN142" s="348">
        <f t="shared" si="191"/>
        <v>0</v>
      </c>
      <c r="CO142" s="348">
        <f t="shared" si="191"/>
        <v>0</v>
      </c>
      <c r="CP142" s="348">
        <f t="shared" si="191"/>
        <v>0</v>
      </c>
      <c r="CQ142" s="348">
        <f t="shared" si="191"/>
        <v>0</v>
      </c>
      <c r="CR142" s="348">
        <f t="shared" si="191"/>
        <v>0</v>
      </c>
      <c r="CS142" s="348">
        <f t="shared" si="191"/>
        <v>0</v>
      </c>
      <c r="CT142" s="348">
        <f t="shared" si="191"/>
        <v>0</v>
      </c>
      <c r="CU142" s="348">
        <f t="shared" si="191"/>
        <v>0</v>
      </c>
      <c r="CV142" s="348">
        <f t="shared" si="191"/>
        <v>0</v>
      </c>
      <c r="CW142" s="348">
        <f t="shared" si="191"/>
        <v>0</v>
      </c>
      <c r="CX142" s="348">
        <f t="shared" ref="CX142:EH142" si="192">-CX128</f>
        <v>0</v>
      </c>
      <c r="CY142" s="348">
        <f t="shared" si="192"/>
        <v>0</v>
      </c>
      <c r="CZ142" s="348">
        <f t="shared" si="192"/>
        <v>0</v>
      </c>
      <c r="DA142" s="348">
        <f t="shared" si="192"/>
        <v>0</v>
      </c>
      <c r="DB142" s="348">
        <f t="shared" si="192"/>
        <v>0</v>
      </c>
      <c r="DC142" s="348">
        <f t="shared" si="192"/>
        <v>0</v>
      </c>
      <c r="DD142" s="348">
        <f t="shared" si="192"/>
        <v>0</v>
      </c>
      <c r="DE142" s="348">
        <f t="shared" si="192"/>
        <v>0</v>
      </c>
      <c r="DF142" s="348">
        <f t="shared" si="192"/>
        <v>0</v>
      </c>
      <c r="DG142" s="348">
        <f t="shared" si="192"/>
        <v>0</v>
      </c>
      <c r="DH142" s="348">
        <f t="shared" si="192"/>
        <v>0</v>
      </c>
      <c r="DI142" s="348">
        <f t="shared" si="192"/>
        <v>0</v>
      </c>
      <c r="DJ142" s="348">
        <f t="shared" si="192"/>
        <v>0</v>
      </c>
      <c r="DK142" s="348">
        <f t="shared" si="192"/>
        <v>0</v>
      </c>
      <c r="DL142" s="348">
        <f t="shared" si="192"/>
        <v>0</v>
      </c>
      <c r="DM142" s="348">
        <f t="shared" si="192"/>
        <v>0</v>
      </c>
      <c r="DN142" s="348">
        <f t="shared" si="192"/>
        <v>0</v>
      </c>
      <c r="DO142" s="348">
        <f t="shared" si="192"/>
        <v>0</v>
      </c>
      <c r="DP142" s="348">
        <f t="shared" si="192"/>
        <v>0</v>
      </c>
      <c r="DQ142" s="348">
        <f t="shared" si="192"/>
        <v>0</v>
      </c>
      <c r="DR142" s="348">
        <f t="shared" si="192"/>
        <v>0</v>
      </c>
      <c r="DS142" s="348">
        <f t="shared" si="192"/>
        <v>0</v>
      </c>
      <c r="DT142" s="348">
        <f t="shared" si="192"/>
        <v>0</v>
      </c>
      <c r="DU142" s="348">
        <f t="shared" si="192"/>
        <v>0</v>
      </c>
      <c r="DV142" s="348">
        <f t="shared" si="192"/>
        <v>0</v>
      </c>
      <c r="DW142" s="348">
        <f t="shared" si="192"/>
        <v>0</v>
      </c>
      <c r="DX142" s="348">
        <f t="shared" si="192"/>
        <v>0</v>
      </c>
      <c r="DY142" s="348">
        <f t="shared" si="192"/>
        <v>0</v>
      </c>
      <c r="DZ142" s="348">
        <f t="shared" si="192"/>
        <v>0</v>
      </c>
      <c r="EA142" s="348">
        <f t="shared" si="192"/>
        <v>0</v>
      </c>
      <c r="EB142" s="348">
        <f t="shared" si="192"/>
        <v>0</v>
      </c>
      <c r="EC142" s="348">
        <f t="shared" si="192"/>
        <v>0</v>
      </c>
      <c r="ED142" s="348">
        <f t="shared" si="192"/>
        <v>0</v>
      </c>
      <c r="EE142" s="348">
        <f t="shared" si="192"/>
        <v>0</v>
      </c>
      <c r="EF142" s="348">
        <f t="shared" si="192"/>
        <v>0</v>
      </c>
      <c r="EG142" s="348">
        <f t="shared" si="192"/>
        <v>0</v>
      </c>
      <c r="EH142" s="348">
        <f t="shared" si="192"/>
        <v>0</v>
      </c>
      <c r="EI142" s="316" t="s">
        <v>243</v>
      </c>
    </row>
    <row r="143" spans="2:139" x14ac:dyDescent="0.2">
      <c r="B143" s="349" t="s">
        <v>792</v>
      </c>
      <c r="D143" s="383">
        <f t="shared" ref="D143:D144" ca="1" si="193">SUM(F143:EH143)</f>
        <v>32353967.653359137</v>
      </c>
      <c r="E143" s="382"/>
      <c r="G143" s="348">
        <f t="shared" ref="G143:AL143" ca="1" si="194">-(G130+G136)</f>
        <v>0</v>
      </c>
      <c r="H143" s="348">
        <f t="shared" ca="1" si="194"/>
        <v>0</v>
      </c>
      <c r="I143" s="348">
        <f t="shared" ca="1" si="194"/>
        <v>0</v>
      </c>
      <c r="J143" s="348">
        <f t="shared" ca="1" si="194"/>
        <v>0</v>
      </c>
      <c r="K143" s="348">
        <f t="shared" ca="1" si="194"/>
        <v>0</v>
      </c>
      <c r="L143" s="348">
        <f t="shared" ca="1" si="194"/>
        <v>380.61369515668775</v>
      </c>
      <c r="M143" s="348">
        <f t="shared" ca="1" si="194"/>
        <v>2189.0282352913491</v>
      </c>
      <c r="N143" s="348">
        <f t="shared" ca="1" si="194"/>
        <v>3995.0346647460101</v>
      </c>
      <c r="O143" s="348">
        <f t="shared" ca="1" si="194"/>
        <v>5798.6329835206125</v>
      </c>
      <c r="P143" s="348">
        <f t="shared" ca="1" si="194"/>
        <v>7599.8231916151562</v>
      </c>
      <c r="Q143" s="348">
        <f t="shared" ca="1" si="194"/>
        <v>9398.6052890295832</v>
      </c>
      <c r="R143" s="348">
        <f t="shared" ca="1" si="194"/>
        <v>11194.979275763893</v>
      </c>
      <c r="S143" s="348">
        <f t="shared" ca="1" si="194"/>
        <v>25525.300878173628</v>
      </c>
      <c r="T143" s="348">
        <f t="shared" ca="1" si="194"/>
        <v>27910.344547190063</v>
      </c>
      <c r="U143" s="348">
        <f t="shared" ca="1" si="194"/>
        <v>30290.870258301205</v>
      </c>
      <c r="V143" s="348">
        <f t="shared" ca="1" si="194"/>
        <v>32666.878011506982</v>
      </c>
      <c r="W143" s="348">
        <f t="shared" ca="1" si="194"/>
        <v>35038.36780680751</v>
      </c>
      <c r="X143" s="348">
        <f t="shared" ca="1" si="194"/>
        <v>37405.339644202555</v>
      </c>
      <c r="Y143" s="348">
        <f t="shared" ca="1" si="194"/>
        <v>39767.793523692351</v>
      </c>
      <c r="Z143" s="348">
        <f t="shared" ca="1" si="194"/>
        <v>42125.729445276782</v>
      </c>
      <c r="AA143" s="348">
        <f t="shared" ca="1" si="194"/>
        <v>44180.875764144163</v>
      </c>
      <c r="AB143" s="348">
        <f t="shared" ca="1" si="194"/>
        <v>46232.068869844472</v>
      </c>
      <c r="AC143" s="348">
        <f t="shared" ca="1" si="194"/>
        <v>48279.308762377521</v>
      </c>
      <c r="AD143" s="348">
        <f t="shared" ca="1" si="194"/>
        <v>50322.595441743426</v>
      </c>
      <c r="AE143" s="348">
        <f t="shared" ca="1" si="194"/>
        <v>43335.488012826492</v>
      </c>
      <c r="AF143" s="348">
        <f t="shared" ca="1" si="194"/>
        <v>45544.316819862594</v>
      </c>
      <c r="AG143" s="348">
        <f t="shared" ca="1" si="194"/>
        <v>47753.145626898753</v>
      </c>
      <c r="AH143" s="348">
        <f t="shared" ca="1" si="194"/>
        <v>49330.880489067364</v>
      </c>
      <c r="AI143" s="348">
        <f t="shared" ca="1" si="194"/>
        <v>50908.615351236032</v>
      </c>
      <c r="AJ143" s="348">
        <f t="shared" ca="1" si="194"/>
        <v>52486.350213404672</v>
      </c>
      <c r="AK143" s="348">
        <f t="shared" ca="1" si="194"/>
        <v>54064.085075573283</v>
      </c>
      <c r="AL143" s="348">
        <f t="shared" ca="1" si="194"/>
        <v>55641.819937742068</v>
      </c>
      <c r="AM143" s="348">
        <f t="shared" ref="AM143:BR143" ca="1" si="195">-(AM130+AM136)</f>
        <v>57219.554799910678</v>
      </c>
      <c r="AN143" s="348">
        <f t="shared" ca="1" si="195"/>
        <v>57219.554799910664</v>
      </c>
      <c r="AO143" s="348">
        <f t="shared" ca="1" si="195"/>
        <v>57219.554799910664</v>
      </c>
      <c r="AP143" s="348">
        <f t="shared" ca="1" si="195"/>
        <v>2536969.0801276807</v>
      </c>
      <c r="AQ143" s="348">
        <f t="shared" ca="1" si="195"/>
        <v>96016.841993282113</v>
      </c>
      <c r="AR143" s="348">
        <f t="shared" ca="1" si="195"/>
        <v>96016.841993282113</v>
      </c>
      <c r="AS143" s="348">
        <f t="shared" ca="1" si="195"/>
        <v>96016.841993282113</v>
      </c>
      <c r="AT143" s="348">
        <f t="shared" ca="1" si="195"/>
        <v>96016.841993282113</v>
      </c>
      <c r="AU143" s="348">
        <f t="shared" ca="1" si="195"/>
        <v>96016.841993282113</v>
      </c>
      <c r="AV143" s="348">
        <f t="shared" ca="1" si="195"/>
        <v>96016.841993282113</v>
      </c>
      <c r="AW143" s="348">
        <f t="shared" ca="1" si="195"/>
        <v>96016.841993282113</v>
      </c>
      <c r="AX143" s="348">
        <f t="shared" ca="1" si="195"/>
        <v>96016.841993282113</v>
      </c>
      <c r="AY143" s="348">
        <f t="shared" ca="1" si="195"/>
        <v>96016.841993282113</v>
      </c>
      <c r="AZ143" s="348">
        <f t="shared" ca="1" si="195"/>
        <v>96016.841993282113</v>
      </c>
      <c r="BA143" s="348">
        <f t="shared" ca="1" si="195"/>
        <v>96016.841993282113</v>
      </c>
      <c r="BB143" s="348">
        <f t="shared" ca="1" si="195"/>
        <v>96016.841993282113</v>
      </c>
      <c r="BC143" s="348">
        <f t="shared" ca="1" si="195"/>
        <v>110420.11318762365</v>
      </c>
      <c r="BD143" s="348">
        <f t="shared" ca="1" si="195"/>
        <v>110420.11318762365</v>
      </c>
      <c r="BE143" s="348">
        <f t="shared" ca="1" si="195"/>
        <v>110420.11318762365</v>
      </c>
      <c r="BF143" s="348">
        <f t="shared" ca="1" si="195"/>
        <v>110420.11318762365</v>
      </c>
      <c r="BG143" s="348">
        <f t="shared" ca="1" si="195"/>
        <v>110420.11318762365</v>
      </c>
      <c r="BH143" s="348">
        <f t="shared" ca="1" si="195"/>
        <v>110420.11318762365</v>
      </c>
      <c r="BI143" s="348">
        <f t="shared" ca="1" si="195"/>
        <v>110420.11318762365</v>
      </c>
      <c r="BJ143" s="348">
        <f t="shared" ca="1" si="195"/>
        <v>110420.11318762365</v>
      </c>
      <c r="BK143" s="348">
        <f t="shared" ca="1" si="195"/>
        <v>110420.11318762365</v>
      </c>
      <c r="BL143" s="348">
        <f t="shared" ca="1" si="195"/>
        <v>110420.11318762365</v>
      </c>
      <c r="BM143" s="348">
        <f t="shared" ca="1" si="195"/>
        <v>110420.11318762365</v>
      </c>
      <c r="BN143" s="348">
        <f t="shared" ca="1" si="195"/>
        <v>26379149.668033488</v>
      </c>
      <c r="BO143" s="348">
        <f t="shared" ca="1" si="195"/>
        <v>0</v>
      </c>
      <c r="BP143" s="348">
        <f t="shared" ca="1" si="195"/>
        <v>0</v>
      </c>
      <c r="BQ143" s="348">
        <f t="shared" ca="1" si="195"/>
        <v>0</v>
      </c>
      <c r="BR143" s="348">
        <f t="shared" ca="1" si="195"/>
        <v>0</v>
      </c>
      <c r="BS143" s="348">
        <f t="shared" ref="BS143:CX143" ca="1" si="196">-(BS130+BS136)</f>
        <v>0</v>
      </c>
      <c r="BT143" s="348">
        <f t="shared" ca="1" si="196"/>
        <v>0</v>
      </c>
      <c r="BU143" s="348">
        <f t="shared" ca="1" si="196"/>
        <v>0</v>
      </c>
      <c r="BV143" s="348">
        <f t="shared" ca="1" si="196"/>
        <v>0</v>
      </c>
      <c r="BW143" s="348">
        <f t="shared" ca="1" si="196"/>
        <v>0</v>
      </c>
      <c r="BX143" s="348">
        <f t="shared" ca="1" si="196"/>
        <v>0</v>
      </c>
      <c r="BY143" s="348">
        <f t="shared" ca="1" si="196"/>
        <v>0</v>
      </c>
      <c r="BZ143" s="348">
        <f t="shared" ca="1" si="196"/>
        <v>0</v>
      </c>
      <c r="CA143" s="348">
        <f t="shared" ca="1" si="196"/>
        <v>0</v>
      </c>
      <c r="CB143" s="348">
        <f t="shared" ca="1" si="196"/>
        <v>0</v>
      </c>
      <c r="CC143" s="348">
        <f t="shared" ca="1" si="196"/>
        <v>0</v>
      </c>
      <c r="CD143" s="348">
        <f t="shared" ca="1" si="196"/>
        <v>0</v>
      </c>
      <c r="CE143" s="348">
        <f t="shared" ca="1" si="196"/>
        <v>0</v>
      </c>
      <c r="CF143" s="348">
        <f t="shared" ca="1" si="196"/>
        <v>0</v>
      </c>
      <c r="CG143" s="348">
        <f t="shared" ca="1" si="196"/>
        <v>0</v>
      </c>
      <c r="CH143" s="348">
        <f t="shared" ca="1" si="196"/>
        <v>0</v>
      </c>
      <c r="CI143" s="348">
        <f t="shared" ca="1" si="196"/>
        <v>0</v>
      </c>
      <c r="CJ143" s="348">
        <f t="shared" ca="1" si="196"/>
        <v>0</v>
      </c>
      <c r="CK143" s="348">
        <f t="shared" ca="1" si="196"/>
        <v>0</v>
      </c>
      <c r="CL143" s="348">
        <f t="shared" ca="1" si="196"/>
        <v>0</v>
      </c>
      <c r="CM143" s="348">
        <f t="shared" ca="1" si="196"/>
        <v>0</v>
      </c>
      <c r="CN143" s="348">
        <f t="shared" ca="1" si="196"/>
        <v>0</v>
      </c>
      <c r="CO143" s="348">
        <f t="shared" ca="1" si="196"/>
        <v>0</v>
      </c>
      <c r="CP143" s="348">
        <f t="shared" ca="1" si="196"/>
        <v>0</v>
      </c>
      <c r="CQ143" s="348">
        <f t="shared" ca="1" si="196"/>
        <v>0</v>
      </c>
      <c r="CR143" s="348">
        <f t="shared" ca="1" si="196"/>
        <v>0</v>
      </c>
      <c r="CS143" s="348">
        <f t="shared" ca="1" si="196"/>
        <v>0</v>
      </c>
      <c r="CT143" s="348">
        <f t="shared" ca="1" si="196"/>
        <v>0</v>
      </c>
      <c r="CU143" s="348">
        <f t="shared" ca="1" si="196"/>
        <v>0</v>
      </c>
      <c r="CV143" s="348">
        <f t="shared" ca="1" si="196"/>
        <v>0</v>
      </c>
      <c r="CW143" s="348">
        <f t="shared" ca="1" si="196"/>
        <v>0</v>
      </c>
      <c r="CX143" s="348">
        <f t="shared" ca="1" si="196"/>
        <v>0</v>
      </c>
      <c r="CY143" s="348">
        <f t="shared" ref="CY143:EH143" ca="1" si="197">-(CY130+CY136)</f>
        <v>0</v>
      </c>
      <c r="CZ143" s="348">
        <f t="shared" ca="1" si="197"/>
        <v>0</v>
      </c>
      <c r="DA143" s="348">
        <f t="shared" ca="1" si="197"/>
        <v>0</v>
      </c>
      <c r="DB143" s="348">
        <f t="shared" ca="1" si="197"/>
        <v>0</v>
      </c>
      <c r="DC143" s="348">
        <f t="shared" ca="1" si="197"/>
        <v>0</v>
      </c>
      <c r="DD143" s="348">
        <f t="shared" ca="1" si="197"/>
        <v>0</v>
      </c>
      <c r="DE143" s="348">
        <f t="shared" ca="1" si="197"/>
        <v>0</v>
      </c>
      <c r="DF143" s="348">
        <f t="shared" ca="1" si="197"/>
        <v>0</v>
      </c>
      <c r="DG143" s="348">
        <f t="shared" ca="1" si="197"/>
        <v>0</v>
      </c>
      <c r="DH143" s="348">
        <f t="shared" ca="1" si="197"/>
        <v>0</v>
      </c>
      <c r="DI143" s="348">
        <f t="shared" ca="1" si="197"/>
        <v>0</v>
      </c>
      <c r="DJ143" s="348">
        <f t="shared" ca="1" si="197"/>
        <v>0</v>
      </c>
      <c r="DK143" s="348">
        <f t="shared" ca="1" si="197"/>
        <v>0</v>
      </c>
      <c r="DL143" s="348">
        <f t="shared" ca="1" si="197"/>
        <v>0</v>
      </c>
      <c r="DM143" s="348">
        <f t="shared" ca="1" si="197"/>
        <v>0</v>
      </c>
      <c r="DN143" s="348">
        <f t="shared" ca="1" si="197"/>
        <v>0</v>
      </c>
      <c r="DO143" s="348">
        <f t="shared" ca="1" si="197"/>
        <v>0</v>
      </c>
      <c r="DP143" s="348">
        <f t="shared" ca="1" si="197"/>
        <v>0</v>
      </c>
      <c r="DQ143" s="348">
        <f t="shared" ca="1" si="197"/>
        <v>0</v>
      </c>
      <c r="DR143" s="348">
        <f t="shared" ca="1" si="197"/>
        <v>0</v>
      </c>
      <c r="DS143" s="348">
        <f t="shared" ca="1" si="197"/>
        <v>0</v>
      </c>
      <c r="DT143" s="348">
        <f t="shared" ca="1" si="197"/>
        <v>0</v>
      </c>
      <c r="DU143" s="348">
        <f t="shared" ca="1" si="197"/>
        <v>0</v>
      </c>
      <c r="DV143" s="348">
        <f t="shared" ca="1" si="197"/>
        <v>0</v>
      </c>
      <c r="DW143" s="348">
        <f t="shared" ca="1" si="197"/>
        <v>0</v>
      </c>
      <c r="DX143" s="348">
        <f t="shared" ca="1" si="197"/>
        <v>0</v>
      </c>
      <c r="DY143" s="348">
        <f t="shared" ca="1" si="197"/>
        <v>0</v>
      </c>
      <c r="DZ143" s="348">
        <f t="shared" ca="1" si="197"/>
        <v>0</v>
      </c>
      <c r="EA143" s="348">
        <f t="shared" ca="1" si="197"/>
        <v>0</v>
      </c>
      <c r="EB143" s="348">
        <f t="shared" ca="1" si="197"/>
        <v>0</v>
      </c>
      <c r="EC143" s="348">
        <f t="shared" ca="1" si="197"/>
        <v>0</v>
      </c>
      <c r="ED143" s="348">
        <f t="shared" ca="1" si="197"/>
        <v>0</v>
      </c>
      <c r="EE143" s="348">
        <f t="shared" ca="1" si="197"/>
        <v>0</v>
      </c>
      <c r="EF143" s="348">
        <f t="shared" ca="1" si="197"/>
        <v>0</v>
      </c>
      <c r="EG143" s="348">
        <f t="shared" ca="1" si="197"/>
        <v>0</v>
      </c>
      <c r="EH143" s="348">
        <f t="shared" ca="1" si="197"/>
        <v>0</v>
      </c>
      <c r="EI143" s="316" t="s">
        <v>243</v>
      </c>
    </row>
    <row r="144" spans="2:139" s="316" customFormat="1" x14ac:dyDescent="0.2">
      <c r="B144" s="353" t="s">
        <v>793</v>
      </c>
      <c r="C144" s="384"/>
      <c r="D144" s="385">
        <f t="shared" ca="1" si="193"/>
        <v>22387868.998247124</v>
      </c>
      <c r="E144" s="386"/>
      <c r="F144" s="357">
        <f ca="1">SUM(F142:F143)</f>
        <v>-9908344.7838870473</v>
      </c>
      <c r="G144" s="357">
        <f t="shared" ref="G144:BR144" ca="1" si="198">SUM(G142:G143)</f>
        <v>-25307.43350003993</v>
      </c>
      <c r="H144" s="357">
        <f t="shared" ca="1" si="198"/>
        <v>-16609.85283432198</v>
      </c>
      <c r="I144" s="357">
        <f t="shared" ca="1" si="198"/>
        <v>-9732.7272621390439</v>
      </c>
      <c r="J144" s="357">
        <f t="shared" ca="1" si="198"/>
        <v>-4673.6486728111195</v>
      </c>
      <c r="K144" s="357">
        <f t="shared" ca="1" si="198"/>
        <v>-1430.2089556581341</v>
      </c>
      <c r="L144" s="357">
        <f t="shared" ca="1" si="198"/>
        <v>380.61369515668775</v>
      </c>
      <c r="M144" s="357">
        <f t="shared" ca="1" si="198"/>
        <v>2189.0282352913491</v>
      </c>
      <c r="N144" s="357">
        <f t="shared" ca="1" si="198"/>
        <v>3995.0346647460101</v>
      </c>
      <c r="O144" s="357">
        <f t="shared" ca="1" si="198"/>
        <v>5798.6329835206125</v>
      </c>
      <c r="P144" s="357">
        <f t="shared" ca="1" si="198"/>
        <v>7599.8231916151562</v>
      </c>
      <c r="Q144" s="357">
        <f t="shared" ca="1" si="198"/>
        <v>9398.6052890295832</v>
      </c>
      <c r="R144" s="357">
        <f t="shared" ca="1" si="198"/>
        <v>11194.979275763893</v>
      </c>
      <c r="S144" s="357">
        <f t="shared" ca="1" si="198"/>
        <v>25525.300878173628</v>
      </c>
      <c r="T144" s="357">
        <f t="shared" ca="1" si="198"/>
        <v>27910.344547190063</v>
      </c>
      <c r="U144" s="357">
        <f t="shared" ca="1" si="198"/>
        <v>30290.870258301205</v>
      </c>
      <c r="V144" s="357">
        <f t="shared" ca="1" si="198"/>
        <v>32666.878011506982</v>
      </c>
      <c r="W144" s="357">
        <f t="shared" ca="1" si="198"/>
        <v>35038.36780680751</v>
      </c>
      <c r="X144" s="357">
        <f t="shared" ca="1" si="198"/>
        <v>37405.339644202555</v>
      </c>
      <c r="Y144" s="357">
        <f t="shared" ca="1" si="198"/>
        <v>39767.793523692351</v>
      </c>
      <c r="Z144" s="357">
        <f t="shared" ca="1" si="198"/>
        <v>42125.729445276782</v>
      </c>
      <c r="AA144" s="357">
        <f t="shared" ca="1" si="198"/>
        <v>44180.875764144163</v>
      </c>
      <c r="AB144" s="357">
        <f t="shared" ca="1" si="198"/>
        <v>46232.068869844472</v>
      </c>
      <c r="AC144" s="357">
        <f t="shared" ca="1" si="198"/>
        <v>48279.308762377521</v>
      </c>
      <c r="AD144" s="357">
        <f t="shared" ca="1" si="198"/>
        <v>50322.595441743426</v>
      </c>
      <c r="AE144" s="357">
        <f t="shared" ca="1" si="198"/>
        <v>43335.488012826492</v>
      </c>
      <c r="AF144" s="357">
        <f t="shared" ca="1" si="198"/>
        <v>45544.316819862594</v>
      </c>
      <c r="AG144" s="357">
        <f t="shared" ca="1" si="198"/>
        <v>47753.145626898753</v>
      </c>
      <c r="AH144" s="357">
        <f t="shared" ca="1" si="198"/>
        <v>49330.880489067364</v>
      </c>
      <c r="AI144" s="357">
        <f t="shared" ca="1" si="198"/>
        <v>50908.615351236032</v>
      </c>
      <c r="AJ144" s="357">
        <f t="shared" ca="1" si="198"/>
        <v>52486.350213404672</v>
      </c>
      <c r="AK144" s="357">
        <f t="shared" ca="1" si="198"/>
        <v>54064.085075573283</v>
      </c>
      <c r="AL144" s="357">
        <f t="shared" ca="1" si="198"/>
        <v>55641.819937742068</v>
      </c>
      <c r="AM144" s="357">
        <f t="shared" ca="1" si="198"/>
        <v>57219.554799910678</v>
      </c>
      <c r="AN144" s="357">
        <f t="shared" ca="1" si="198"/>
        <v>57219.554799910664</v>
      </c>
      <c r="AO144" s="357">
        <f t="shared" ca="1" si="198"/>
        <v>57219.554799910664</v>
      </c>
      <c r="AP144" s="357">
        <f t="shared" ca="1" si="198"/>
        <v>2536969.0801276807</v>
      </c>
      <c r="AQ144" s="357">
        <f t="shared" ca="1" si="198"/>
        <v>96016.841993282113</v>
      </c>
      <c r="AR144" s="357">
        <f t="shared" ca="1" si="198"/>
        <v>96016.841993282113</v>
      </c>
      <c r="AS144" s="357">
        <f t="shared" ca="1" si="198"/>
        <v>96016.841993282113</v>
      </c>
      <c r="AT144" s="357">
        <f t="shared" ca="1" si="198"/>
        <v>96016.841993282113</v>
      </c>
      <c r="AU144" s="357">
        <f t="shared" ca="1" si="198"/>
        <v>96016.841993282113</v>
      </c>
      <c r="AV144" s="357">
        <f t="shared" ca="1" si="198"/>
        <v>96016.841993282113</v>
      </c>
      <c r="AW144" s="357">
        <f t="shared" ca="1" si="198"/>
        <v>96016.841993282113</v>
      </c>
      <c r="AX144" s="357">
        <f t="shared" ca="1" si="198"/>
        <v>96016.841993282113</v>
      </c>
      <c r="AY144" s="357">
        <f t="shared" ca="1" si="198"/>
        <v>96016.841993282113</v>
      </c>
      <c r="AZ144" s="357">
        <f t="shared" ca="1" si="198"/>
        <v>96016.841993282113</v>
      </c>
      <c r="BA144" s="357">
        <f t="shared" ca="1" si="198"/>
        <v>96016.841993282113</v>
      </c>
      <c r="BB144" s="357">
        <f t="shared" ca="1" si="198"/>
        <v>96016.841993282113</v>
      </c>
      <c r="BC144" s="357">
        <f t="shared" ca="1" si="198"/>
        <v>110420.11318762365</v>
      </c>
      <c r="BD144" s="357">
        <f t="shared" ca="1" si="198"/>
        <v>110420.11318762365</v>
      </c>
      <c r="BE144" s="357">
        <f t="shared" ca="1" si="198"/>
        <v>110420.11318762365</v>
      </c>
      <c r="BF144" s="357">
        <f t="shared" ca="1" si="198"/>
        <v>110420.11318762365</v>
      </c>
      <c r="BG144" s="357">
        <f t="shared" ca="1" si="198"/>
        <v>110420.11318762365</v>
      </c>
      <c r="BH144" s="357">
        <f t="shared" ca="1" si="198"/>
        <v>110420.11318762365</v>
      </c>
      <c r="BI144" s="357">
        <f t="shared" ca="1" si="198"/>
        <v>110420.11318762365</v>
      </c>
      <c r="BJ144" s="357">
        <f t="shared" ca="1" si="198"/>
        <v>110420.11318762365</v>
      </c>
      <c r="BK144" s="357">
        <f t="shared" ca="1" si="198"/>
        <v>110420.11318762365</v>
      </c>
      <c r="BL144" s="357">
        <f t="shared" ca="1" si="198"/>
        <v>110420.11318762365</v>
      </c>
      <c r="BM144" s="357">
        <f t="shared" ca="1" si="198"/>
        <v>110420.11318762365</v>
      </c>
      <c r="BN144" s="357">
        <f t="shared" ca="1" si="198"/>
        <v>26379149.668033488</v>
      </c>
      <c r="BO144" s="357">
        <f t="shared" ca="1" si="198"/>
        <v>0</v>
      </c>
      <c r="BP144" s="357">
        <f t="shared" ca="1" si="198"/>
        <v>0</v>
      </c>
      <c r="BQ144" s="357">
        <f t="shared" ca="1" si="198"/>
        <v>0</v>
      </c>
      <c r="BR144" s="357">
        <f t="shared" ca="1" si="198"/>
        <v>0</v>
      </c>
      <c r="BS144" s="357">
        <f t="shared" ref="BS144:ED144" ca="1" si="199">SUM(BS142:BS143)</f>
        <v>0</v>
      </c>
      <c r="BT144" s="357">
        <f t="shared" ca="1" si="199"/>
        <v>0</v>
      </c>
      <c r="BU144" s="357">
        <f t="shared" ca="1" si="199"/>
        <v>0</v>
      </c>
      <c r="BV144" s="357">
        <f t="shared" ca="1" si="199"/>
        <v>0</v>
      </c>
      <c r="BW144" s="357">
        <f t="shared" ca="1" si="199"/>
        <v>0</v>
      </c>
      <c r="BX144" s="357">
        <f t="shared" ca="1" si="199"/>
        <v>0</v>
      </c>
      <c r="BY144" s="357">
        <f t="shared" ca="1" si="199"/>
        <v>0</v>
      </c>
      <c r="BZ144" s="357">
        <f t="shared" ca="1" si="199"/>
        <v>0</v>
      </c>
      <c r="CA144" s="357">
        <f t="shared" ca="1" si="199"/>
        <v>0</v>
      </c>
      <c r="CB144" s="357">
        <f t="shared" ca="1" si="199"/>
        <v>0</v>
      </c>
      <c r="CC144" s="357">
        <f t="shared" ca="1" si="199"/>
        <v>0</v>
      </c>
      <c r="CD144" s="357">
        <f t="shared" ca="1" si="199"/>
        <v>0</v>
      </c>
      <c r="CE144" s="357">
        <f t="shared" ca="1" si="199"/>
        <v>0</v>
      </c>
      <c r="CF144" s="357">
        <f t="shared" ca="1" si="199"/>
        <v>0</v>
      </c>
      <c r="CG144" s="357">
        <f t="shared" ca="1" si="199"/>
        <v>0</v>
      </c>
      <c r="CH144" s="357">
        <f t="shared" ca="1" si="199"/>
        <v>0</v>
      </c>
      <c r="CI144" s="357">
        <f t="shared" ca="1" si="199"/>
        <v>0</v>
      </c>
      <c r="CJ144" s="357">
        <f t="shared" ca="1" si="199"/>
        <v>0</v>
      </c>
      <c r="CK144" s="357">
        <f t="shared" ca="1" si="199"/>
        <v>0</v>
      </c>
      <c r="CL144" s="357">
        <f t="shared" ca="1" si="199"/>
        <v>0</v>
      </c>
      <c r="CM144" s="357">
        <f t="shared" ca="1" si="199"/>
        <v>0</v>
      </c>
      <c r="CN144" s="357">
        <f t="shared" ca="1" si="199"/>
        <v>0</v>
      </c>
      <c r="CO144" s="357">
        <f t="shared" ca="1" si="199"/>
        <v>0</v>
      </c>
      <c r="CP144" s="357">
        <f t="shared" ca="1" si="199"/>
        <v>0</v>
      </c>
      <c r="CQ144" s="357">
        <f t="shared" ca="1" si="199"/>
        <v>0</v>
      </c>
      <c r="CR144" s="357">
        <f t="shared" ca="1" si="199"/>
        <v>0</v>
      </c>
      <c r="CS144" s="357">
        <f t="shared" ca="1" si="199"/>
        <v>0</v>
      </c>
      <c r="CT144" s="357">
        <f t="shared" ca="1" si="199"/>
        <v>0</v>
      </c>
      <c r="CU144" s="357">
        <f t="shared" ca="1" si="199"/>
        <v>0</v>
      </c>
      <c r="CV144" s="357">
        <f t="shared" ca="1" si="199"/>
        <v>0</v>
      </c>
      <c r="CW144" s="357">
        <f t="shared" ca="1" si="199"/>
        <v>0</v>
      </c>
      <c r="CX144" s="357">
        <f t="shared" ca="1" si="199"/>
        <v>0</v>
      </c>
      <c r="CY144" s="357">
        <f t="shared" ca="1" si="199"/>
        <v>0</v>
      </c>
      <c r="CZ144" s="357">
        <f t="shared" ca="1" si="199"/>
        <v>0</v>
      </c>
      <c r="DA144" s="357">
        <f t="shared" ca="1" si="199"/>
        <v>0</v>
      </c>
      <c r="DB144" s="357">
        <f t="shared" ca="1" si="199"/>
        <v>0</v>
      </c>
      <c r="DC144" s="357">
        <f t="shared" ca="1" si="199"/>
        <v>0</v>
      </c>
      <c r="DD144" s="357">
        <f t="shared" ca="1" si="199"/>
        <v>0</v>
      </c>
      <c r="DE144" s="357">
        <f t="shared" ca="1" si="199"/>
        <v>0</v>
      </c>
      <c r="DF144" s="357">
        <f t="shared" ca="1" si="199"/>
        <v>0</v>
      </c>
      <c r="DG144" s="357">
        <f t="shared" ca="1" si="199"/>
        <v>0</v>
      </c>
      <c r="DH144" s="357">
        <f t="shared" ca="1" si="199"/>
        <v>0</v>
      </c>
      <c r="DI144" s="357">
        <f t="shared" ca="1" si="199"/>
        <v>0</v>
      </c>
      <c r="DJ144" s="357">
        <f t="shared" ca="1" si="199"/>
        <v>0</v>
      </c>
      <c r="DK144" s="357">
        <f t="shared" ca="1" si="199"/>
        <v>0</v>
      </c>
      <c r="DL144" s="357">
        <f t="shared" ca="1" si="199"/>
        <v>0</v>
      </c>
      <c r="DM144" s="357">
        <f t="shared" ca="1" si="199"/>
        <v>0</v>
      </c>
      <c r="DN144" s="357">
        <f t="shared" ca="1" si="199"/>
        <v>0</v>
      </c>
      <c r="DO144" s="357">
        <f t="shared" ca="1" si="199"/>
        <v>0</v>
      </c>
      <c r="DP144" s="357">
        <f t="shared" ca="1" si="199"/>
        <v>0</v>
      </c>
      <c r="DQ144" s="357">
        <f t="shared" ca="1" si="199"/>
        <v>0</v>
      </c>
      <c r="DR144" s="357">
        <f t="shared" ca="1" si="199"/>
        <v>0</v>
      </c>
      <c r="DS144" s="357">
        <f t="shared" ca="1" si="199"/>
        <v>0</v>
      </c>
      <c r="DT144" s="357">
        <f t="shared" ca="1" si="199"/>
        <v>0</v>
      </c>
      <c r="DU144" s="357">
        <f t="shared" ca="1" si="199"/>
        <v>0</v>
      </c>
      <c r="DV144" s="357">
        <f t="shared" ca="1" si="199"/>
        <v>0</v>
      </c>
      <c r="DW144" s="357">
        <f t="shared" ca="1" si="199"/>
        <v>0</v>
      </c>
      <c r="DX144" s="357">
        <f t="shared" ca="1" si="199"/>
        <v>0</v>
      </c>
      <c r="DY144" s="357">
        <f t="shared" ca="1" si="199"/>
        <v>0</v>
      </c>
      <c r="DZ144" s="357">
        <f t="shared" ca="1" si="199"/>
        <v>0</v>
      </c>
      <c r="EA144" s="357">
        <f t="shared" ca="1" si="199"/>
        <v>0</v>
      </c>
      <c r="EB144" s="357">
        <f t="shared" ca="1" si="199"/>
        <v>0</v>
      </c>
      <c r="EC144" s="357">
        <f t="shared" ca="1" si="199"/>
        <v>0</v>
      </c>
      <c r="ED144" s="357">
        <f t="shared" ca="1" si="199"/>
        <v>0</v>
      </c>
      <c r="EE144" s="357">
        <f t="shared" ref="EE144:EH144" ca="1" si="200">SUM(EE142:EE143)</f>
        <v>0</v>
      </c>
      <c r="EF144" s="357">
        <f t="shared" ca="1" si="200"/>
        <v>0</v>
      </c>
      <c r="EG144" s="357">
        <f t="shared" ca="1" si="200"/>
        <v>0</v>
      </c>
      <c r="EH144" s="357">
        <f t="shared" ca="1" si="200"/>
        <v>0</v>
      </c>
      <c r="EI144" s="316" t="s">
        <v>243</v>
      </c>
    </row>
    <row r="145" spans="2:139" x14ac:dyDescent="0.2">
      <c r="B145" s="359" t="s">
        <v>120</v>
      </c>
      <c r="D145" s="387">
        <f ca="1">XIRR(F144:EH144,$F$6:$EH$6)</f>
        <v>0.29265416264534005</v>
      </c>
      <c r="E145" s="336"/>
      <c r="G145" s="348"/>
      <c r="H145" s="348"/>
      <c r="I145" s="348"/>
      <c r="J145" s="348"/>
      <c r="K145" s="348"/>
      <c r="L145" s="348"/>
      <c r="M145" s="348"/>
      <c r="N145" s="348"/>
      <c r="O145" s="348"/>
      <c r="P145" s="348"/>
      <c r="Q145" s="348"/>
      <c r="R145" s="348"/>
      <c r="S145" s="348"/>
      <c r="T145" s="348"/>
      <c r="U145" s="348"/>
      <c r="V145" s="348"/>
      <c r="W145" s="348"/>
      <c r="X145" s="348"/>
      <c r="Y145" s="348"/>
      <c r="Z145" s="348"/>
      <c r="AA145" s="348"/>
      <c r="AB145" s="348"/>
      <c r="AC145" s="348"/>
      <c r="AD145" s="348"/>
      <c r="AE145" s="348"/>
      <c r="AF145" s="348"/>
      <c r="AG145" s="348"/>
      <c r="AH145" s="348"/>
      <c r="AI145" s="348"/>
      <c r="AJ145" s="348"/>
      <c r="AK145" s="348"/>
      <c r="AL145" s="348"/>
      <c r="AM145" s="348"/>
      <c r="AN145" s="348"/>
      <c r="AO145" s="348"/>
      <c r="AP145" s="348"/>
      <c r="AQ145" s="348"/>
      <c r="AR145" s="348"/>
      <c r="AS145" s="348"/>
      <c r="AT145" s="348"/>
      <c r="AU145" s="348"/>
      <c r="AV145" s="348"/>
      <c r="AW145" s="348"/>
      <c r="AX145" s="348"/>
      <c r="AY145" s="348"/>
      <c r="AZ145" s="348"/>
      <c r="BA145" s="348"/>
      <c r="BB145" s="348"/>
      <c r="BC145" s="348"/>
      <c r="BD145" s="348"/>
      <c r="BE145" s="348"/>
      <c r="BF145" s="348"/>
      <c r="BG145" s="348"/>
      <c r="BH145" s="348"/>
      <c r="BI145" s="348"/>
      <c r="BJ145" s="348"/>
      <c r="BK145" s="348"/>
      <c r="BL145" s="348"/>
      <c r="BM145" s="348"/>
      <c r="BN145" s="348"/>
      <c r="BO145" s="348"/>
      <c r="BP145" s="348"/>
      <c r="BQ145" s="348"/>
      <c r="BR145" s="348"/>
      <c r="BS145" s="348"/>
      <c r="BT145" s="348"/>
      <c r="BU145" s="348"/>
      <c r="BV145" s="348"/>
      <c r="BW145" s="348"/>
      <c r="BX145" s="348"/>
      <c r="BY145" s="348"/>
      <c r="BZ145" s="348"/>
      <c r="CA145" s="348"/>
      <c r="CB145" s="348"/>
      <c r="CC145" s="348"/>
      <c r="CD145" s="348"/>
      <c r="CE145" s="348"/>
      <c r="CF145" s="348"/>
      <c r="CG145" s="348"/>
      <c r="CH145" s="348"/>
      <c r="CI145" s="348"/>
      <c r="CJ145" s="348"/>
      <c r="CK145" s="348"/>
      <c r="CL145" s="348"/>
      <c r="CM145" s="348"/>
      <c r="CN145" s="348"/>
      <c r="CO145" s="348"/>
      <c r="CP145" s="348"/>
      <c r="CQ145" s="348"/>
      <c r="CR145" s="348"/>
      <c r="CS145" s="348"/>
      <c r="CT145" s="348"/>
      <c r="CU145" s="348"/>
      <c r="CV145" s="348"/>
      <c r="CW145" s="348"/>
      <c r="CX145" s="348"/>
      <c r="CY145" s="348"/>
      <c r="CZ145" s="348"/>
      <c r="DA145" s="348"/>
      <c r="DB145" s="348"/>
      <c r="DC145" s="348"/>
      <c r="DD145" s="348"/>
      <c r="DE145" s="348"/>
      <c r="DF145" s="348"/>
      <c r="DG145" s="348"/>
      <c r="DH145" s="348"/>
      <c r="DI145" s="348"/>
      <c r="DJ145" s="348"/>
      <c r="DK145" s="348"/>
      <c r="DL145" s="348"/>
      <c r="DM145" s="348"/>
      <c r="DN145" s="348"/>
      <c r="DO145" s="348"/>
      <c r="DP145" s="348"/>
      <c r="DQ145" s="348"/>
      <c r="DR145" s="348"/>
      <c r="DS145" s="348"/>
      <c r="DT145" s="348"/>
      <c r="DU145" s="348"/>
      <c r="DV145" s="348"/>
      <c r="DW145" s="348"/>
      <c r="DX145" s="348"/>
      <c r="DY145" s="348"/>
      <c r="DZ145" s="348"/>
      <c r="EA145" s="348"/>
      <c r="EB145" s="348"/>
      <c r="EC145" s="348"/>
      <c r="ED145" s="348"/>
      <c r="EE145" s="348"/>
      <c r="EF145" s="348"/>
      <c r="EG145" s="348"/>
      <c r="EH145" s="348"/>
      <c r="EI145" s="316" t="s">
        <v>243</v>
      </c>
    </row>
    <row r="146" spans="2:139" x14ac:dyDescent="0.2">
      <c r="B146" s="363" t="s">
        <v>783</v>
      </c>
      <c r="C146" s="373"/>
      <c r="D146" s="388">
        <f ca="1">D143/-D142</f>
        <v>3.2464025064375082</v>
      </c>
      <c r="E146" s="389"/>
      <c r="G146" s="348"/>
      <c r="H146" s="348"/>
      <c r="I146" s="348"/>
      <c r="J146" s="348"/>
      <c r="K146" s="348"/>
      <c r="L146" s="348"/>
      <c r="M146" s="348"/>
      <c r="N146" s="348"/>
      <c r="O146" s="348"/>
      <c r="P146" s="348"/>
      <c r="Q146" s="348"/>
      <c r="R146" s="348"/>
      <c r="S146" s="348"/>
      <c r="T146" s="348"/>
      <c r="U146" s="348"/>
      <c r="V146" s="348"/>
      <c r="W146" s="348"/>
      <c r="X146" s="348"/>
      <c r="Y146" s="348"/>
      <c r="Z146" s="348"/>
      <c r="AA146" s="348"/>
      <c r="AB146" s="348"/>
      <c r="AC146" s="348"/>
      <c r="AD146" s="348"/>
      <c r="AE146" s="348"/>
      <c r="AF146" s="348"/>
      <c r="AG146" s="348"/>
      <c r="AH146" s="348"/>
      <c r="AI146" s="348"/>
      <c r="AJ146" s="348"/>
      <c r="AK146" s="348"/>
      <c r="AL146" s="348"/>
      <c r="AM146" s="348"/>
      <c r="AN146" s="348"/>
      <c r="AO146" s="348"/>
      <c r="AP146" s="348"/>
      <c r="AQ146" s="348"/>
      <c r="AR146" s="348"/>
      <c r="AS146" s="348"/>
      <c r="AT146" s="348"/>
      <c r="AU146" s="348"/>
      <c r="AV146" s="348"/>
      <c r="AW146" s="348"/>
      <c r="AX146" s="348"/>
      <c r="AY146" s="348"/>
      <c r="AZ146" s="348"/>
      <c r="BA146" s="348"/>
      <c r="BB146" s="348"/>
      <c r="BC146" s="348"/>
      <c r="BD146" s="348"/>
      <c r="BE146" s="348"/>
      <c r="BF146" s="348"/>
      <c r="BG146" s="348"/>
      <c r="BH146" s="348"/>
      <c r="BI146" s="348"/>
      <c r="BJ146" s="348"/>
      <c r="BK146" s="348"/>
      <c r="BL146" s="348"/>
      <c r="BM146" s="348"/>
      <c r="BN146" s="348"/>
      <c r="BO146" s="348"/>
      <c r="BP146" s="348"/>
      <c r="BQ146" s="348"/>
      <c r="BR146" s="348"/>
      <c r="BS146" s="348"/>
      <c r="BT146" s="348"/>
      <c r="BU146" s="348"/>
      <c r="BV146" s="348"/>
      <c r="BW146" s="348"/>
      <c r="BX146" s="348"/>
      <c r="BY146" s="348"/>
      <c r="BZ146" s="348"/>
      <c r="CA146" s="348"/>
      <c r="CB146" s="348"/>
      <c r="CC146" s="348"/>
      <c r="CD146" s="348"/>
      <c r="CE146" s="348"/>
      <c r="CF146" s="348"/>
      <c r="CG146" s="348"/>
      <c r="CH146" s="348"/>
      <c r="CI146" s="348"/>
      <c r="CJ146" s="348"/>
      <c r="CK146" s="348"/>
      <c r="CL146" s="348"/>
      <c r="CM146" s="348"/>
      <c r="CN146" s="348"/>
      <c r="CO146" s="348"/>
      <c r="CP146" s="348"/>
      <c r="CQ146" s="348"/>
      <c r="CR146" s="348"/>
      <c r="CS146" s="348"/>
      <c r="CT146" s="348"/>
      <c r="CU146" s="348"/>
      <c r="CV146" s="348"/>
      <c r="CW146" s="348"/>
      <c r="CX146" s="348"/>
      <c r="CY146" s="348"/>
      <c r="CZ146" s="348"/>
      <c r="DA146" s="348"/>
      <c r="DB146" s="348"/>
      <c r="DC146" s="348"/>
      <c r="DD146" s="348"/>
      <c r="DE146" s="348"/>
      <c r="DF146" s="348"/>
      <c r="DG146" s="348"/>
      <c r="DH146" s="348"/>
      <c r="DI146" s="348"/>
      <c r="DJ146" s="348"/>
      <c r="DK146" s="348"/>
      <c r="DL146" s="348"/>
      <c r="DM146" s="348"/>
      <c r="DN146" s="348"/>
      <c r="DO146" s="348"/>
      <c r="DP146" s="348"/>
      <c r="DQ146" s="348"/>
      <c r="DR146" s="348"/>
      <c r="DS146" s="348"/>
      <c r="DT146" s="348"/>
      <c r="DU146" s="348"/>
      <c r="DV146" s="348"/>
      <c r="DW146" s="348"/>
      <c r="DX146" s="348"/>
      <c r="DY146" s="348"/>
      <c r="DZ146" s="348"/>
      <c r="EA146" s="348"/>
      <c r="EB146" s="348"/>
      <c r="EC146" s="348"/>
      <c r="ED146" s="348"/>
      <c r="EE146" s="348"/>
      <c r="EF146" s="348"/>
      <c r="EG146" s="348"/>
      <c r="EH146" s="348"/>
      <c r="EI146" s="316" t="s">
        <v>243</v>
      </c>
    </row>
    <row r="147" spans="2:139" x14ac:dyDescent="0.2">
      <c r="D147" s="317"/>
      <c r="E147" s="317"/>
      <c r="G147" s="348"/>
      <c r="H147" s="348"/>
      <c r="I147" s="348"/>
      <c r="J147" s="348"/>
      <c r="K147" s="348"/>
      <c r="L147" s="348"/>
      <c r="M147" s="348"/>
      <c r="N147" s="348"/>
      <c r="O147" s="348"/>
      <c r="P147" s="348"/>
      <c r="Q147" s="348"/>
      <c r="R147" s="348"/>
      <c r="S147" s="348"/>
      <c r="T147" s="348"/>
      <c r="U147" s="348"/>
      <c r="V147" s="348"/>
      <c r="W147" s="348"/>
      <c r="X147" s="348"/>
      <c r="Y147" s="348"/>
      <c r="Z147" s="348"/>
      <c r="AA147" s="348"/>
      <c r="AB147" s="348"/>
      <c r="AC147" s="348"/>
      <c r="AD147" s="348"/>
      <c r="AE147" s="348"/>
      <c r="AF147" s="348"/>
      <c r="AG147" s="348"/>
      <c r="AH147" s="348"/>
      <c r="AI147" s="348"/>
      <c r="AJ147" s="348"/>
      <c r="AK147" s="348"/>
      <c r="AL147" s="348"/>
      <c r="AM147" s="348"/>
      <c r="AN147" s="348"/>
      <c r="AO147" s="348"/>
      <c r="AP147" s="348"/>
      <c r="AQ147" s="348"/>
      <c r="AR147" s="348"/>
      <c r="AS147" s="348"/>
      <c r="AT147" s="348"/>
      <c r="AU147" s="348"/>
      <c r="AV147" s="348"/>
      <c r="AW147" s="348"/>
      <c r="AX147" s="348"/>
      <c r="AY147" s="348"/>
      <c r="AZ147" s="348"/>
      <c r="BA147" s="348"/>
      <c r="BB147" s="348"/>
      <c r="BC147" s="348"/>
      <c r="BD147" s="348"/>
      <c r="BE147" s="348"/>
      <c r="BF147" s="348"/>
      <c r="BG147" s="348"/>
      <c r="BH147" s="348"/>
      <c r="BI147" s="348"/>
      <c r="BJ147" s="348"/>
      <c r="BK147" s="348"/>
      <c r="BL147" s="348"/>
      <c r="BM147" s="348"/>
      <c r="BN147" s="348"/>
      <c r="BO147" s="348"/>
      <c r="BP147" s="348"/>
      <c r="BQ147" s="348"/>
      <c r="BR147" s="348"/>
      <c r="BS147" s="348"/>
      <c r="BT147" s="348"/>
      <c r="BU147" s="348"/>
      <c r="BV147" s="348"/>
      <c r="BW147" s="348"/>
      <c r="BX147" s="348"/>
      <c r="BY147" s="348"/>
      <c r="BZ147" s="348"/>
      <c r="CA147" s="348"/>
      <c r="CB147" s="348"/>
      <c r="CC147" s="348"/>
      <c r="CD147" s="348"/>
      <c r="CE147" s="348"/>
      <c r="CF147" s="348"/>
      <c r="CG147" s="348"/>
      <c r="CH147" s="348"/>
      <c r="CI147" s="348"/>
      <c r="CJ147" s="348"/>
      <c r="CK147" s="348"/>
      <c r="CL147" s="348"/>
      <c r="CM147" s="348"/>
      <c r="CN147" s="348"/>
      <c r="CO147" s="348"/>
      <c r="CP147" s="348"/>
      <c r="CQ147" s="348"/>
      <c r="CR147" s="348"/>
      <c r="CS147" s="348"/>
      <c r="CT147" s="348"/>
      <c r="CU147" s="348"/>
      <c r="CV147" s="348"/>
      <c r="CW147" s="348"/>
      <c r="CX147" s="348"/>
      <c r="CY147" s="348"/>
      <c r="CZ147" s="348"/>
      <c r="DA147" s="348"/>
      <c r="DB147" s="348"/>
      <c r="DC147" s="348"/>
      <c r="DD147" s="348"/>
      <c r="DE147" s="348"/>
      <c r="DF147" s="348"/>
      <c r="DG147" s="348"/>
      <c r="DH147" s="348"/>
      <c r="DI147" s="348"/>
      <c r="DJ147" s="348"/>
      <c r="DK147" s="348"/>
      <c r="DL147" s="348"/>
      <c r="DM147" s="348"/>
      <c r="DN147" s="348"/>
      <c r="DO147" s="348"/>
      <c r="DP147" s="348"/>
      <c r="DQ147" s="348"/>
      <c r="DR147" s="348"/>
      <c r="DS147" s="348"/>
      <c r="DT147" s="348"/>
      <c r="DU147" s="348"/>
      <c r="DV147" s="348"/>
      <c r="DW147" s="348"/>
      <c r="DX147" s="348"/>
      <c r="DY147" s="348"/>
      <c r="DZ147" s="348"/>
      <c r="EA147" s="348"/>
      <c r="EB147" s="348"/>
      <c r="EC147" s="348"/>
      <c r="ED147" s="348"/>
      <c r="EE147" s="348"/>
      <c r="EF147" s="348"/>
      <c r="EG147" s="348"/>
      <c r="EH147" s="348"/>
      <c r="EI147" s="316" t="s">
        <v>243</v>
      </c>
    </row>
    <row r="148" spans="2:139" ht="15" thickBot="1" x14ac:dyDescent="0.25">
      <c r="B148" s="299" t="s">
        <v>896</v>
      </c>
      <c r="C148" s="299"/>
      <c r="D148" s="299"/>
      <c r="E148" s="299"/>
      <c r="F148" s="299"/>
      <c r="G148" s="299"/>
      <c r="H148" s="299"/>
      <c r="I148" s="299"/>
      <c r="J148" s="299"/>
      <c r="K148" s="299"/>
      <c r="L148" s="299"/>
      <c r="M148" s="299"/>
      <c r="N148" s="299"/>
      <c r="O148" s="299"/>
      <c r="P148" s="299"/>
      <c r="Q148" s="299"/>
      <c r="R148" s="299"/>
      <c r="S148" s="299"/>
      <c r="T148" s="299"/>
      <c r="U148" s="299"/>
      <c r="V148" s="299"/>
      <c r="W148" s="299"/>
      <c r="X148" s="299"/>
      <c r="Y148" s="299"/>
      <c r="Z148" s="299"/>
      <c r="AA148" s="299"/>
      <c r="AB148" s="299"/>
      <c r="AC148" s="299"/>
      <c r="AD148" s="299"/>
      <c r="AE148" s="299"/>
      <c r="AF148" s="299"/>
      <c r="AG148" s="299"/>
      <c r="AH148" s="299"/>
      <c r="AI148" s="299"/>
      <c r="AJ148" s="299"/>
      <c r="AK148" s="299"/>
      <c r="AL148" s="299"/>
      <c r="AM148" s="299"/>
      <c r="AN148" s="299"/>
      <c r="AO148" s="299"/>
      <c r="AP148" s="299"/>
      <c r="AQ148" s="299"/>
      <c r="AR148" s="299"/>
      <c r="AS148" s="299"/>
      <c r="AT148" s="299"/>
      <c r="AU148" s="299"/>
      <c r="AV148" s="299"/>
      <c r="AW148" s="299"/>
      <c r="AX148" s="299"/>
      <c r="AY148" s="299"/>
      <c r="AZ148" s="299"/>
      <c r="BA148" s="299"/>
      <c r="BB148" s="299"/>
      <c r="BC148" s="299"/>
      <c r="BD148" s="299"/>
      <c r="BE148" s="299"/>
      <c r="BF148" s="299"/>
      <c r="BG148" s="299"/>
      <c r="BH148" s="299"/>
      <c r="BI148" s="299"/>
      <c r="BJ148" s="299"/>
      <c r="BK148" s="299"/>
      <c r="BL148" s="299"/>
      <c r="BM148" s="299"/>
      <c r="BN148" s="299"/>
      <c r="BO148" s="299"/>
      <c r="BP148" s="299"/>
      <c r="BQ148" s="299"/>
      <c r="BR148" s="299"/>
      <c r="BS148" s="299"/>
      <c r="BT148" s="299"/>
      <c r="BU148" s="299"/>
      <c r="BV148" s="299"/>
      <c r="BW148" s="299"/>
      <c r="BX148" s="299"/>
      <c r="BY148" s="299"/>
      <c r="BZ148" s="299"/>
      <c r="CA148" s="299"/>
      <c r="CB148" s="299"/>
      <c r="CC148" s="299"/>
      <c r="CD148" s="299"/>
      <c r="CE148" s="299"/>
      <c r="CF148" s="299"/>
      <c r="CG148" s="299"/>
      <c r="CH148" s="299"/>
      <c r="CI148" s="299"/>
      <c r="CJ148" s="299"/>
      <c r="CK148" s="299"/>
      <c r="CL148" s="299"/>
      <c r="CM148" s="299"/>
      <c r="CN148" s="299"/>
      <c r="CO148" s="299"/>
      <c r="CP148" s="299"/>
      <c r="CQ148" s="299"/>
      <c r="CR148" s="299"/>
      <c r="CS148" s="299"/>
      <c r="CT148" s="299"/>
      <c r="CU148" s="299"/>
      <c r="CV148" s="299"/>
      <c r="CW148" s="299"/>
      <c r="CX148" s="299"/>
      <c r="CY148" s="299"/>
      <c r="CZ148" s="299"/>
      <c r="DA148" s="299"/>
      <c r="DB148" s="299"/>
      <c r="DC148" s="299"/>
      <c r="DD148" s="299"/>
      <c r="DE148" s="299"/>
      <c r="DF148" s="299"/>
      <c r="DG148" s="299"/>
      <c r="DH148" s="299"/>
      <c r="DI148" s="299"/>
      <c r="DJ148" s="299"/>
      <c r="DK148" s="299"/>
      <c r="DL148" s="299"/>
      <c r="DM148" s="299"/>
      <c r="DN148" s="299"/>
      <c r="DO148" s="299"/>
      <c r="DP148" s="299"/>
      <c r="DQ148" s="299"/>
      <c r="DR148" s="299"/>
      <c r="DS148" s="299"/>
      <c r="DT148" s="299"/>
      <c r="DU148" s="299"/>
      <c r="DV148" s="299"/>
      <c r="DW148" s="299"/>
      <c r="DX148" s="299"/>
      <c r="DY148" s="299"/>
      <c r="DZ148" s="299"/>
      <c r="EA148" s="299"/>
      <c r="EB148" s="299"/>
      <c r="EC148" s="299"/>
      <c r="ED148" s="299"/>
      <c r="EE148" s="299"/>
      <c r="EF148" s="299"/>
      <c r="EG148" s="299"/>
      <c r="EH148" s="299"/>
      <c r="EI148" s="316" t="s">
        <v>243</v>
      </c>
    </row>
    <row r="149" spans="2:139" x14ac:dyDescent="0.2">
      <c r="B149" s="371" t="s">
        <v>898</v>
      </c>
      <c r="D149" s="302">
        <f t="shared" ref="D149" ca="1" si="201">SUM(F149:EH149)</f>
        <v>7967846.7248608219</v>
      </c>
      <c r="E149" s="382"/>
      <c r="G149" s="348">
        <f ca="1">-G137</f>
        <v>0</v>
      </c>
      <c r="H149" s="348">
        <f t="shared" ref="H149:BS149" ca="1" si="202">-H137</f>
        <v>0</v>
      </c>
      <c r="I149" s="348">
        <f t="shared" ca="1" si="202"/>
        <v>0</v>
      </c>
      <c r="J149" s="348">
        <f t="shared" ca="1" si="202"/>
        <v>0</v>
      </c>
      <c r="K149" s="348">
        <f t="shared" ca="1" si="202"/>
        <v>0</v>
      </c>
      <c r="L149" s="348">
        <f t="shared" ca="1" si="202"/>
        <v>0</v>
      </c>
      <c r="M149" s="348">
        <f t="shared" ca="1" si="202"/>
        <v>0</v>
      </c>
      <c r="N149" s="348">
        <f t="shared" ca="1" si="202"/>
        <v>0</v>
      </c>
      <c r="O149" s="348">
        <f t="shared" ca="1" si="202"/>
        <v>0</v>
      </c>
      <c r="P149" s="348">
        <f t="shared" ca="1" si="202"/>
        <v>0</v>
      </c>
      <c r="Q149" s="348">
        <f t="shared" ca="1" si="202"/>
        <v>0</v>
      </c>
      <c r="R149" s="348">
        <f t="shared" ca="1" si="202"/>
        <v>0</v>
      </c>
      <c r="S149" s="348">
        <f t="shared" ca="1" si="202"/>
        <v>0</v>
      </c>
      <c r="T149" s="348">
        <f t="shared" ca="1" si="202"/>
        <v>0</v>
      </c>
      <c r="U149" s="348">
        <f t="shared" ca="1" si="202"/>
        <v>0</v>
      </c>
      <c r="V149" s="348">
        <f t="shared" ca="1" si="202"/>
        <v>0</v>
      </c>
      <c r="W149" s="348">
        <f t="shared" ca="1" si="202"/>
        <v>0</v>
      </c>
      <c r="X149" s="348">
        <f t="shared" ca="1" si="202"/>
        <v>0</v>
      </c>
      <c r="Y149" s="348">
        <f t="shared" ca="1" si="202"/>
        <v>0</v>
      </c>
      <c r="Z149" s="348">
        <f t="shared" ca="1" si="202"/>
        <v>0</v>
      </c>
      <c r="AA149" s="348">
        <f t="shared" ca="1" si="202"/>
        <v>0</v>
      </c>
      <c r="AB149" s="348">
        <f t="shared" ca="1" si="202"/>
        <v>0</v>
      </c>
      <c r="AC149" s="348">
        <f t="shared" ca="1" si="202"/>
        <v>0</v>
      </c>
      <c r="AD149" s="348">
        <f t="shared" ca="1" si="202"/>
        <v>0</v>
      </c>
      <c r="AE149" s="348">
        <f t="shared" ca="1" si="202"/>
        <v>0</v>
      </c>
      <c r="AF149" s="348">
        <f t="shared" ca="1" si="202"/>
        <v>0</v>
      </c>
      <c r="AG149" s="348">
        <f t="shared" ca="1" si="202"/>
        <v>0</v>
      </c>
      <c r="AH149" s="348">
        <f t="shared" ca="1" si="202"/>
        <v>0</v>
      </c>
      <c r="AI149" s="348">
        <f t="shared" ca="1" si="202"/>
        <v>0</v>
      </c>
      <c r="AJ149" s="348">
        <f t="shared" ca="1" si="202"/>
        <v>0</v>
      </c>
      <c r="AK149" s="348">
        <f t="shared" ca="1" si="202"/>
        <v>0</v>
      </c>
      <c r="AL149" s="348">
        <f t="shared" ca="1" si="202"/>
        <v>0</v>
      </c>
      <c r="AM149" s="348">
        <f t="shared" ca="1" si="202"/>
        <v>0</v>
      </c>
      <c r="AN149" s="348">
        <f t="shared" ca="1" si="202"/>
        <v>0</v>
      </c>
      <c r="AO149" s="348">
        <f t="shared" ca="1" si="202"/>
        <v>0</v>
      </c>
      <c r="AP149" s="348">
        <f t="shared" ca="1" si="202"/>
        <v>0</v>
      </c>
      <c r="AQ149" s="348">
        <f t="shared" ca="1" si="202"/>
        <v>0</v>
      </c>
      <c r="AR149" s="348">
        <f t="shared" ca="1" si="202"/>
        <v>0</v>
      </c>
      <c r="AS149" s="348">
        <f t="shared" ca="1" si="202"/>
        <v>0</v>
      </c>
      <c r="AT149" s="348">
        <f t="shared" ca="1" si="202"/>
        <v>0</v>
      </c>
      <c r="AU149" s="348">
        <f t="shared" ca="1" si="202"/>
        <v>0</v>
      </c>
      <c r="AV149" s="348">
        <f t="shared" ca="1" si="202"/>
        <v>0</v>
      </c>
      <c r="AW149" s="348">
        <f t="shared" ca="1" si="202"/>
        <v>0</v>
      </c>
      <c r="AX149" s="348">
        <f t="shared" ca="1" si="202"/>
        <v>0</v>
      </c>
      <c r="AY149" s="348">
        <f t="shared" ca="1" si="202"/>
        <v>0</v>
      </c>
      <c r="AZ149" s="348">
        <f t="shared" ca="1" si="202"/>
        <v>0</v>
      </c>
      <c r="BA149" s="348">
        <f t="shared" ca="1" si="202"/>
        <v>0</v>
      </c>
      <c r="BB149" s="348">
        <f t="shared" ca="1" si="202"/>
        <v>0</v>
      </c>
      <c r="BC149" s="348">
        <f t="shared" ca="1" si="202"/>
        <v>0</v>
      </c>
      <c r="BD149" s="348">
        <f t="shared" ca="1" si="202"/>
        <v>0</v>
      </c>
      <c r="BE149" s="348">
        <f t="shared" ca="1" si="202"/>
        <v>0</v>
      </c>
      <c r="BF149" s="348">
        <f t="shared" ca="1" si="202"/>
        <v>0</v>
      </c>
      <c r="BG149" s="348">
        <f t="shared" ca="1" si="202"/>
        <v>0</v>
      </c>
      <c r="BH149" s="348">
        <f t="shared" ca="1" si="202"/>
        <v>0</v>
      </c>
      <c r="BI149" s="348">
        <f t="shared" ca="1" si="202"/>
        <v>0</v>
      </c>
      <c r="BJ149" s="348">
        <f t="shared" ca="1" si="202"/>
        <v>0</v>
      </c>
      <c r="BK149" s="348">
        <f t="shared" ca="1" si="202"/>
        <v>0</v>
      </c>
      <c r="BL149" s="348">
        <f t="shared" ca="1" si="202"/>
        <v>0</v>
      </c>
      <c r="BM149" s="348">
        <f t="shared" ca="1" si="202"/>
        <v>0</v>
      </c>
      <c r="BN149" s="348">
        <f t="shared" ca="1" si="202"/>
        <v>7967846.7248608219</v>
      </c>
      <c r="BO149" s="348">
        <f t="shared" ca="1" si="202"/>
        <v>0</v>
      </c>
      <c r="BP149" s="348">
        <f t="shared" ca="1" si="202"/>
        <v>0</v>
      </c>
      <c r="BQ149" s="348">
        <f t="shared" ca="1" si="202"/>
        <v>0</v>
      </c>
      <c r="BR149" s="348">
        <f t="shared" ca="1" si="202"/>
        <v>0</v>
      </c>
      <c r="BS149" s="348">
        <f t="shared" ca="1" si="202"/>
        <v>0</v>
      </c>
      <c r="BT149" s="348">
        <f t="shared" ref="BT149:EE149" ca="1" si="203">-BT137</f>
        <v>0</v>
      </c>
      <c r="BU149" s="348">
        <f t="shared" ca="1" si="203"/>
        <v>0</v>
      </c>
      <c r="BV149" s="348">
        <f t="shared" ca="1" si="203"/>
        <v>0</v>
      </c>
      <c r="BW149" s="348">
        <f t="shared" ca="1" si="203"/>
        <v>0</v>
      </c>
      <c r="BX149" s="348">
        <f t="shared" ca="1" si="203"/>
        <v>0</v>
      </c>
      <c r="BY149" s="348">
        <f t="shared" ca="1" si="203"/>
        <v>0</v>
      </c>
      <c r="BZ149" s="348">
        <f t="shared" ca="1" si="203"/>
        <v>0</v>
      </c>
      <c r="CA149" s="348">
        <f t="shared" ca="1" si="203"/>
        <v>0</v>
      </c>
      <c r="CB149" s="348">
        <f t="shared" ca="1" si="203"/>
        <v>0</v>
      </c>
      <c r="CC149" s="348">
        <f t="shared" ca="1" si="203"/>
        <v>0</v>
      </c>
      <c r="CD149" s="348">
        <f t="shared" ca="1" si="203"/>
        <v>0</v>
      </c>
      <c r="CE149" s="348">
        <f t="shared" ca="1" si="203"/>
        <v>0</v>
      </c>
      <c r="CF149" s="348">
        <f t="shared" ca="1" si="203"/>
        <v>0</v>
      </c>
      <c r="CG149" s="348">
        <f t="shared" ca="1" si="203"/>
        <v>0</v>
      </c>
      <c r="CH149" s="348">
        <f t="shared" ca="1" si="203"/>
        <v>0</v>
      </c>
      <c r="CI149" s="348">
        <f t="shared" ca="1" si="203"/>
        <v>0</v>
      </c>
      <c r="CJ149" s="348">
        <f t="shared" ca="1" si="203"/>
        <v>0</v>
      </c>
      <c r="CK149" s="348">
        <f t="shared" ca="1" si="203"/>
        <v>0</v>
      </c>
      <c r="CL149" s="348">
        <f t="shared" ca="1" si="203"/>
        <v>0</v>
      </c>
      <c r="CM149" s="348">
        <f t="shared" ca="1" si="203"/>
        <v>0</v>
      </c>
      <c r="CN149" s="348">
        <f t="shared" ca="1" si="203"/>
        <v>0</v>
      </c>
      <c r="CO149" s="348">
        <f t="shared" ca="1" si="203"/>
        <v>0</v>
      </c>
      <c r="CP149" s="348">
        <f t="shared" ca="1" si="203"/>
        <v>0</v>
      </c>
      <c r="CQ149" s="348">
        <f t="shared" ca="1" si="203"/>
        <v>0</v>
      </c>
      <c r="CR149" s="348">
        <f t="shared" ca="1" si="203"/>
        <v>0</v>
      </c>
      <c r="CS149" s="348">
        <f t="shared" ca="1" si="203"/>
        <v>0</v>
      </c>
      <c r="CT149" s="348">
        <f t="shared" ca="1" si="203"/>
        <v>0</v>
      </c>
      <c r="CU149" s="348">
        <f t="shared" ca="1" si="203"/>
        <v>0</v>
      </c>
      <c r="CV149" s="348">
        <f t="shared" ca="1" si="203"/>
        <v>0</v>
      </c>
      <c r="CW149" s="348">
        <f t="shared" ca="1" si="203"/>
        <v>0</v>
      </c>
      <c r="CX149" s="348">
        <f t="shared" ca="1" si="203"/>
        <v>0</v>
      </c>
      <c r="CY149" s="348">
        <f t="shared" ca="1" si="203"/>
        <v>0</v>
      </c>
      <c r="CZ149" s="348">
        <f t="shared" ca="1" si="203"/>
        <v>0</v>
      </c>
      <c r="DA149" s="348">
        <f t="shared" ca="1" si="203"/>
        <v>0</v>
      </c>
      <c r="DB149" s="348">
        <f t="shared" ca="1" si="203"/>
        <v>0</v>
      </c>
      <c r="DC149" s="348">
        <f t="shared" ca="1" si="203"/>
        <v>0</v>
      </c>
      <c r="DD149" s="348">
        <f t="shared" ca="1" si="203"/>
        <v>0</v>
      </c>
      <c r="DE149" s="348">
        <f t="shared" ca="1" si="203"/>
        <v>0</v>
      </c>
      <c r="DF149" s="348">
        <f t="shared" ca="1" si="203"/>
        <v>0</v>
      </c>
      <c r="DG149" s="348">
        <f t="shared" ca="1" si="203"/>
        <v>0</v>
      </c>
      <c r="DH149" s="348">
        <f t="shared" ca="1" si="203"/>
        <v>0</v>
      </c>
      <c r="DI149" s="348">
        <f t="shared" ca="1" si="203"/>
        <v>0</v>
      </c>
      <c r="DJ149" s="348">
        <f t="shared" ca="1" si="203"/>
        <v>0</v>
      </c>
      <c r="DK149" s="348">
        <f t="shared" ca="1" si="203"/>
        <v>0</v>
      </c>
      <c r="DL149" s="348">
        <f t="shared" ca="1" si="203"/>
        <v>0</v>
      </c>
      <c r="DM149" s="348">
        <f t="shared" ca="1" si="203"/>
        <v>0</v>
      </c>
      <c r="DN149" s="348">
        <f t="shared" ca="1" si="203"/>
        <v>0</v>
      </c>
      <c r="DO149" s="348">
        <f t="shared" ca="1" si="203"/>
        <v>0</v>
      </c>
      <c r="DP149" s="348">
        <f t="shared" ca="1" si="203"/>
        <v>0</v>
      </c>
      <c r="DQ149" s="348">
        <f t="shared" ca="1" si="203"/>
        <v>0</v>
      </c>
      <c r="DR149" s="348">
        <f t="shared" ca="1" si="203"/>
        <v>0</v>
      </c>
      <c r="DS149" s="348">
        <f t="shared" ca="1" si="203"/>
        <v>0</v>
      </c>
      <c r="DT149" s="348">
        <f t="shared" ca="1" si="203"/>
        <v>0</v>
      </c>
      <c r="DU149" s="348">
        <f t="shared" ca="1" si="203"/>
        <v>0</v>
      </c>
      <c r="DV149" s="348">
        <f t="shared" ca="1" si="203"/>
        <v>0</v>
      </c>
      <c r="DW149" s="348">
        <f t="shared" ca="1" si="203"/>
        <v>0</v>
      </c>
      <c r="DX149" s="348">
        <f t="shared" ca="1" si="203"/>
        <v>0</v>
      </c>
      <c r="DY149" s="348">
        <f t="shared" ca="1" si="203"/>
        <v>0</v>
      </c>
      <c r="DZ149" s="348">
        <f t="shared" ca="1" si="203"/>
        <v>0</v>
      </c>
      <c r="EA149" s="348">
        <f t="shared" ca="1" si="203"/>
        <v>0</v>
      </c>
      <c r="EB149" s="348">
        <f t="shared" ca="1" si="203"/>
        <v>0</v>
      </c>
      <c r="EC149" s="348">
        <f t="shared" ca="1" si="203"/>
        <v>0</v>
      </c>
      <c r="ED149" s="348">
        <f t="shared" ca="1" si="203"/>
        <v>0</v>
      </c>
      <c r="EE149" s="348">
        <f t="shared" ca="1" si="203"/>
        <v>0</v>
      </c>
      <c r="EF149" s="348">
        <f t="shared" ref="EF149:EH149" ca="1" si="204">-EF137</f>
        <v>0</v>
      </c>
      <c r="EG149" s="348">
        <f t="shared" ca="1" si="204"/>
        <v>0</v>
      </c>
      <c r="EH149" s="348">
        <f t="shared" ca="1" si="204"/>
        <v>0</v>
      </c>
      <c r="EI149" s="316" t="s">
        <v>243</v>
      </c>
    </row>
    <row r="150" spans="2:139" x14ac:dyDescent="0.2">
      <c r="EI150" s="316" t="s">
        <v>243</v>
      </c>
    </row>
    <row r="151" spans="2:139" x14ac:dyDescent="0.2">
      <c r="D151" s="390"/>
      <c r="E151" s="391"/>
      <c r="EI151" s="316" t="s">
        <v>243</v>
      </c>
    </row>
    <row r="152" spans="2:139" x14ac:dyDescent="0.2">
      <c r="D152" s="391"/>
      <c r="E152" s="391"/>
      <c r="EI152" s="316" t="s">
        <v>243</v>
      </c>
    </row>
    <row r="153" spans="2:139" x14ac:dyDescent="0.2">
      <c r="EI153" s="316" t="s">
        <v>243</v>
      </c>
    </row>
    <row r="154" spans="2:139" x14ac:dyDescent="0.2">
      <c r="EI154" s="316" t="s">
        <v>243</v>
      </c>
    </row>
    <row r="155" spans="2:139" x14ac:dyDescent="0.2">
      <c r="EI155" s="316" t="s">
        <v>243</v>
      </c>
    </row>
    <row r="156" spans="2:139" x14ac:dyDescent="0.2">
      <c r="EI156" s="316" t="s">
        <v>243</v>
      </c>
    </row>
    <row r="157" spans="2:139" x14ac:dyDescent="0.2">
      <c r="EI157" s="316" t="s">
        <v>243</v>
      </c>
    </row>
    <row r="158" spans="2:139" x14ac:dyDescent="0.2">
      <c r="EI158" s="316" t="s">
        <v>243</v>
      </c>
    </row>
    <row r="159" spans="2:139" x14ac:dyDescent="0.2">
      <c r="EI159" s="316" t="s">
        <v>243</v>
      </c>
    </row>
    <row r="160" spans="2:139" x14ac:dyDescent="0.2">
      <c r="EI160" s="316" t="s">
        <v>243</v>
      </c>
    </row>
    <row r="161" spans="139:139" x14ac:dyDescent="0.2">
      <c r="EI161" s="316" t="s">
        <v>243</v>
      </c>
    </row>
    <row r="162" spans="139:139" x14ac:dyDescent="0.2">
      <c r="EI162" s="316" t="s">
        <v>243</v>
      </c>
    </row>
    <row r="163" spans="139:139" x14ac:dyDescent="0.2">
      <c r="EI163" s="316" t="s">
        <v>243</v>
      </c>
    </row>
    <row r="164" spans="139:139" x14ac:dyDescent="0.2"/>
    <row r="165" spans="139:139" x14ac:dyDescent="0.2"/>
    <row r="166" spans="139:139" x14ac:dyDescent="0.2"/>
    <row r="167" spans="139:139" x14ac:dyDescent="0.2"/>
    <row r="168" spans="139:139" x14ac:dyDescent="0.2"/>
    <row r="169" spans="139:139" x14ac:dyDescent="0.2"/>
    <row r="170" spans="139:139" x14ac:dyDescent="0.2"/>
    <row r="171" spans="139:139" x14ac:dyDescent="0.2"/>
    <row r="172" spans="139:139" x14ac:dyDescent="0.2"/>
    <row r="173" spans="139:139" x14ac:dyDescent="0.2"/>
    <row r="174" spans="139:139" x14ac:dyDescent="0.2"/>
    <row r="175" spans="139:139" x14ac:dyDescent="0.2"/>
    <row r="176" spans="139:139" x14ac:dyDescent="0.2"/>
    <row r="177" x14ac:dyDescent="0.2"/>
    <row r="178" x14ac:dyDescent="0.2"/>
    <row r="179" x14ac:dyDescent="0.2"/>
    <row r="180" x14ac:dyDescent="0.2"/>
    <row r="181" x14ac:dyDescent="0.2"/>
  </sheetData>
  <sheetProtection selectLockedCells="1" selectUnlockedCells="1"/>
  <customSheetViews>
    <customSheetView guid="{C48E6361-ADB0-4860-9633-040747E5D3D8}" scale="80" showPageBreaks="1" showGridLines="0" printArea="1" hiddenColumns="1" view="pageBreakPreview">
      <pane xSplit="2" ySplit="5" topLeftCell="C6" activePane="bottomRight" state="frozen"/>
      <selection pane="bottomRight" activeCell="B4" sqref="B4"/>
      <colBreaks count="11" manualBreakCount="11">
        <brk id="18" min="1" max="81" man="1"/>
        <brk id="31" max="1048575" man="1"/>
        <brk id="43" max="1048575" man="1"/>
        <brk id="55" max="1048575" man="1"/>
        <brk id="67" max="1048575" man="1"/>
        <brk id="79" max="1048575" man="1"/>
        <brk id="91" max="1048575" man="1"/>
        <brk id="103" max="1048575" man="1"/>
        <brk id="115" max="1048575" man="1"/>
        <brk id="127" max="1048575" man="1"/>
        <brk id="139" max="1048575" man="1"/>
      </colBreaks>
      <pageMargins left="0.7" right="0.7" top="0.75" bottom="0.75" header="0.3" footer="0.3"/>
      <pageSetup scale="36" orientation="portrait" horizontalDpi="0" verticalDpi="0" r:id="rId1"/>
    </customSheetView>
  </customSheetViews>
  <printOptions horizontalCentered="1" verticalCentered="1"/>
  <pageMargins left="0" right="0" top="0" bottom="0" header="0" footer="0"/>
  <pageSetup scale="10" orientation="landscape" horizontalDpi="300" verticalDpi="300" r:id="rId2"/>
  <headerFooter>
    <oddFooter>&amp;R&amp;"Calibri,Regular"&amp;K000000Page &amp;P of &amp;N</oddFooter>
  </headerFooter>
  <colBreaks count="10" manualBreakCount="10">
    <brk id="18" max="1048575" man="1"/>
    <brk id="30" max="1048575" man="1"/>
    <brk id="42" max="1048575" man="1"/>
    <brk id="54" max="1048575" man="1"/>
    <brk id="66" max="1048575" man="1"/>
    <brk id="78" max="1048575" man="1"/>
    <brk id="90" max="1048575" man="1"/>
    <brk id="102" max="1048575" man="1"/>
    <brk id="114" max="1048575" man="1"/>
    <brk id="126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3F79-3C48-4ABA-9EBA-6C4F273D03D9}">
  <sheetPr codeName="Sheet9"/>
  <dimension ref="A1:P114"/>
  <sheetViews>
    <sheetView showGridLines="0" zoomScaleNormal="100" zoomScaleSheetLayoutView="80" workbookViewId="0">
      <selection activeCell="B42" sqref="B42"/>
    </sheetView>
  </sheetViews>
  <sheetFormatPr defaultColWidth="8.7109375" defaultRowHeight="14.25" zeroHeight="1" outlineLevelCol="1" x14ac:dyDescent="0.2"/>
  <cols>
    <col min="1" max="1" width="2" style="144" customWidth="1"/>
    <col min="2" max="2" width="28" style="144" bestFit="1" customWidth="1"/>
    <col min="3" max="3" width="13.5703125" style="144" bestFit="1" customWidth="1"/>
    <col min="4" max="4" width="17.42578125" style="144" bestFit="1" customWidth="1"/>
    <col min="5" max="5" width="13.28515625" style="144" customWidth="1"/>
    <col min="6" max="6" width="15.85546875" style="144" bestFit="1" customWidth="1"/>
    <col min="7" max="8" width="15.42578125" style="144" bestFit="1" customWidth="1"/>
    <col min="9" max="9" width="17.42578125" style="144" bestFit="1" customWidth="1"/>
    <col min="10" max="10" width="15" style="144" bestFit="1" customWidth="1"/>
    <col min="11" max="11" width="13.7109375" style="144" hidden="1" customWidth="1" outlineLevel="1"/>
    <col min="12" max="13" width="14.28515625" style="144" hidden="1" customWidth="1" outlineLevel="1"/>
    <col min="14" max="14" width="14" style="144" hidden="1" customWidth="1" outlineLevel="1"/>
    <col min="15" max="15" width="11.42578125" style="144" hidden="1" customWidth="1" outlineLevel="1"/>
    <col min="16" max="16" width="8.7109375" style="144" collapsed="1"/>
    <col min="17" max="16384" width="8.7109375" style="144"/>
  </cols>
  <sheetData>
    <row r="1" spans="1:16" x14ac:dyDescent="0.2"/>
    <row r="2" spans="1:16" ht="19.5" x14ac:dyDescent="0.25">
      <c r="A2" s="158"/>
      <c r="B2" s="167" t="s">
        <v>157</v>
      </c>
      <c r="C2" s="203"/>
      <c r="D2" s="203"/>
      <c r="E2" s="205"/>
      <c r="F2" s="205"/>
      <c r="G2" s="205"/>
      <c r="H2" s="205"/>
      <c r="I2" s="205"/>
      <c r="J2" s="202"/>
      <c r="K2" s="202"/>
      <c r="L2" s="202"/>
      <c r="M2" s="208"/>
      <c r="N2" s="208"/>
      <c r="O2" s="208"/>
    </row>
    <row r="3" spans="1:16" ht="20.65" customHeight="1" x14ac:dyDescent="0.25">
      <c r="A3" s="158"/>
      <c r="B3" s="168" t="str">
        <f>Name</f>
        <v>Property Name</v>
      </c>
      <c r="C3" s="203"/>
      <c r="D3" s="203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8"/>
    </row>
    <row r="4" spans="1:16" x14ac:dyDescent="0.2">
      <c r="A4" s="158"/>
      <c r="B4" s="209"/>
      <c r="C4" s="209"/>
      <c r="D4" s="251" t="str">
        <f t="shared" ref="D4:O4" si="0">IF(D5=ROUNDUP(HoldPeriod/12,0),"Sale",IF(RefiMonth=0,"",IF(D5=ROUNDUP(RefiMonth/12,0),"Refinance","")))</f>
        <v/>
      </c>
      <c r="E4" s="208" t="str">
        <f t="shared" si="0"/>
        <v/>
      </c>
      <c r="F4" s="208" t="str">
        <f t="shared" si="0"/>
        <v/>
      </c>
      <c r="G4" s="208" t="str">
        <f t="shared" si="0"/>
        <v>Refinance</v>
      </c>
      <c r="H4" s="208" t="str">
        <f t="shared" si="0"/>
        <v/>
      </c>
      <c r="I4" s="208" t="str">
        <f t="shared" si="0"/>
        <v>Sale</v>
      </c>
      <c r="J4" s="208" t="str">
        <f t="shared" si="0"/>
        <v/>
      </c>
      <c r="K4" s="208" t="str">
        <f t="shared" si="0"/>
        <v/>
      </c>
      <c r="L4" s="208" t="str">
        <f t="shared" si="0"/>
        <v/>
      </c>
      <c r="M4" s="208" t="str">
        <f t="shared" si="0"/>
        <v/>
      </c>
      <c r="N4" s="208" t="str">
        <f t="shared" si="0"/>
        <v/>
      </c>
      <c r="O4" s="208" t="str">
        <f t="shared" si="0"/>
        <v/>
      </c>
    </row>
    <row r="5" spans="1:16" x14ac:dyDescent="0.2">
      <c r="A5" s="158"/>
      <c r="B5" s="200"/>
      <c r="C5" s="200"/>
      <c r="D5" s="210">
        <v>0</v>
      </c>
      <c r="E5" s="210">
        <v>1</v>
      </c>
      <c r="F5" s="210">
        <v>2</v>
      </c>
      <c r="G5" s="210">
        <v>3</v>
      </c>
      <c r="H5" s="210">
        <v>4</v>
      </c>
      <c r="I5" s="210">
        <v>5</v>
      </c>
      <c r="J5" s="210">
        <v>6</v>
      </c>
      <c r="K5" s="210">
        <v>7</v>
      </c>
      <c r="L5" s="210">
        <v>8</v>
      </c>
      <c r="M5" s="210">
        <v>9</v>
      </c>
      <c r="N5" s="210">
        <v>10</v>
      </c>
      <c r="O5" s="210">
        <v>11</v>
      </c>
    </row>
    <row r="6" spans="1:16" x14ac:dyDescent="0.2">
      <c r="A6" s="252"/>
      <c r="B6" s="200"/>
      <c r="C6" s="200"/>
      <c r="D6" s="253">
        <f>EOMONTH(AnalysisStartDate,-1)</f>
        <v>44926</v>
      </c>
      <c r="E6" s="253">
        <f>EOMONTH(D6,12)</f>
        <v>45291</v>
      </c>
      <c r="F6" s="253">
        <f t="shared" ref="F6:O6" si="1">EOMONTH(E6,12)</f>
        <v>45657</v>
      </c>
      <c r="G6" s="253">
        <f t="shared" si="1"/>
        <v>46022</v>
      </c>
      <c r="H6" s="253">
        <f t="shared" si="1"/>
        <v>46387</v>
      </c>
      <c r="I6" s="253">
        <f t="shared" si="1"/>
        <v>46752</v>
      </c>
      <c r="J6" s="253">
        <f t="shared" si="1"/>
        <v>47118</v>
      </c>
      <c r="K6" s="253">
        <f t="shared" si="1"/>
        <v>47483</v>
      </c>
      <c r="L6" s="253">
        <f t="shared" si="1"/>
        <v>47848</v>
      </c>
      <c r="M6" s="253">
        <f t="shared" si="1"/>
        <v>48213</v>
      </c>
      <c r="N6" s="253">
        <f t="shared" si="1"/>
        <v>48579</v>
      </c>
      <c r="O6" s="253">
        <f t="shared" si="1"/>
        <v>48944</v>
      </c>
    </row>
    <row r="7" spans="1:16" ht="5.65" customHeight="1" x14ac:dyDescent="0.2">
      <c r="A7" s="180"/>
      <c r="B7" s="209"/>
      <c r="C7" s="254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</row>
    <row r="8" spans="1:16" x14ac:dyDescent="0.2">
      <c r="A8" s="180"/>
      <c r="B8" s="255" t="str">
        <f>'Monthly Pro Forma'!B26</f>
        <v>RENTAL INCOME</v>
      </c>
      <c r="C8" s="180"/>
      <c r="D8" s="256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257"/>
    </row>
    <row r="9" spans="1:16" x14ac:dyDescent="0.2">
      <c r="A9" s="180"/>
      <c r="B9" s="258" t="str">
        <f>'Monthly Pro Forma'!B19</f>
        <v>Renovated Unit Move-Ins</v>
      </c>
      <c r="C9" s="217"/>
      <c r="D9" s="259"/>
      <c r="E9" s="217">
        <f ca="1">SUMIF('Monthly Pro Forma'!$F$5:$EH$5,"="&amp;E$5,'Monthly Pro Forma'!$F19:$EH19)</f>
        <v>55</v>
      </c>
      <c r="F9" s="217">
        <f ca="1">SUMIF('Monthly Pro Forma'!$F$5:$EH$5,"="&amp;F$5,'Monthly Pro Forma'!$F19:$EH19)</f>
        <v>89</v>
      </c>
      <c r="G9" s="217">
        <f ca="1">SUMIF('Monthly Pro Forma'!$F$5:$EH$5,"="&amp;G$5,'Monthly Pro Forma'!$F19:$EH19)</f>
        <v>51</v>
      </c>
      <c r="H9" s="217">
        <f ca="1">SUMIF('Monthly Pro Forma'!$F$5:$EH$5,"="&amp;H$5,'Monthly Pro Forma'!$F19:$EH19)</f>
        <v>0</v>
      </c>
      <c r="I9" s="217">
        <f ca="1">SUMIF('Monthly Pro Forma'!$F$5:$EH$5,"="&amp;I$5,'Monthly Pro Forma'!$F19:$EH19)</f>
        <v>0</v>
      </c>
      <c r="J9" s="217">
        <f ca="1">SUMIF('Monthly Pro Forma'!$F$5:$EH$5,"="&amp;J$5,'Monthly Pro Forma'!$F19:$EH19)</f>
        <v>0</v>
      </c>
      <c r="K9" s="217">
        <f ca="1">SUMIF('Monthly Pro Forma'!$F$5:$EH$5,"="&amp;K$5,'Monthly Pro Forma'!$F19:$EH19)</f>
        <v>0</v>
      </c>
      <c r="L9" s="217">
        <f ca="1">SUMIF('Monthly Pro Forma'!$F$5:$EH$5,"="&amp;L$5,'Monthly Pro Forma'!$F19:$EH19)</f>
        <v>0</v>
      </c>
      <c r="M9" s="217">
        <f ca="1">SUMIF('Monthly Pro Forma'!$F$5:$EH$5,"="&amp;M$5,'Monthly Pro Forma'!$F19:$EH19)</f>
        <v>0</v>
      </c>
      <c r="N9" s="217">
        <f ca="1">SUMIF('Monthly Pro Forma'!$F$5:$EH$5,"="&amp;N$5,'Monthly Pro Forma'!$F19:$EH19)</f>
        <v>0</v>
      </c>
      <c r="O9" s="217">
        <f ca="1">SUMIF('Monthly Pro Forma'!$F$5:$EH$5,"="&amp;O$5,'Monthly Pro Forma'!$F19:$EH19)</f>
        <v>0</v>
      </c>
      <c r="P9" s="257"/>
    </row>
    <row r="10" spans="1:16" x14ac:dyDescent="0.2">
      <c r="A10" s="217"/>
      <c r="B10" s="258" t="str">
        <f>'Monthly Pro Forma'!B27</f>
        <v>Base Market Rent</v>
      </c>
      <c r="C10" s="217"/>
      <c r="D10" s="260"/>
      <c r="E10" s="217">
        <f>SUMIF('Monthly Pro Forma'!$F$5:$EH$5,"="&amp;E$5,'Monthly Pro Forma'!$F27:$EH27)</f>
        <v>4087063.2000000007</v>
      </c>
      <c r="F10" s="217">
        <f>SUMIF('Monthly Pro Forma'!$F$5:$EH$5,"="&amp;F$5,'Monthly Pro Forma'!$F27:$EH27)</f>
        <v>4291416.3600000013</v>
      </c>
      <c r="G10" s="217">
        <f>SUMIF('Monthly Pro Forma'!$F$5:$EH$5,"="&amp;G$5,'Monthly Pro Forma'!$F27:$EH27)</f>
        <v>4505987.1780000003</v>
      </c>
      <c r="H10" s="217">
        <f>SUMIF('Monthly Pro Forma'!$F$5:$EH$5,"="&amp;H$5,'Monthly Pro Forma'!$F27:$EH27)</f>
        <v>4686226.665120001</v>
      </c>
      <c r="I10" s="217">
        <f>SUMIF('Monthly Pro Forma'!$F$5:$EH$5,"="&amp;I$5,'Monthly Pro Forma'!$F27:$EH27)</f>
        <v>4873675.7317248005</v>
      </c>
      <c r="J10" s="217">
        <f>SUMIF('Monthly Pro Forma'!$F$5:$EH$5,"="&amp;J$5,'Monthly Pro Forma'!$F27:$EH27)</f>
        <v>5068622.7609937936</v>
      </c>
      <c r="K10" s="217">
        <f>SUMIF('Monthly Pro Forma'!$F$5:$EH$5,"="&amp;K$5,'Monthly Pro Forma'!$F27:$EH27)</f>
        <v>0</v>
      </c>
      <c r="L10" s="217">
        <f>SUMIF('Monthly Pro Forma'!$F$5:$EH$5,"="&amp;L$5,'Monthly Pro Forma'!$F27:$EH27)</f>
        <v>0</v>
      </c>
      <c r="M10" s="217">
        <f>SUMIF('Monthly Pro Forma'!$F$5:$EH$5,"="&amp;M$5,'Monthly Pro Forma'!$F27:$EH27)</f>
        <v>0</v>
      </c>
      <c r="N10" s="217">
        <f>SUMIF('Monthly Pro Forma'!$F$5:$EH$5,"="&amp;N$5,'Monthly Pro Forma'!$F27:$EH27)</f>
        <v>0</v>
      </c>
      <c r="O10" s="217">
        <f>SUMIF('Monthly Pro Forma'!$F$5:$EH$5,"="&amp;O$5,'Monthly Pro Forma'!$F27:$EH27)</f>
        <v>0</v>
      </c>
      <c r="P10" s="257"/>
    </row>
    <row r="11" spans="1:16" x14ac:dyDescent="0.2">
      <c r="A11" s="217"/>
      <c r="B11" s="258" t="str">
        <f>'Monthly Pro Forma'!B28</f>
        <v>Premiums Achieved</v>
      </c>
      <c r="C11" s="217"/>
      <c r="D11" s="259"/>
      <c r="E11" s="217">
        <f ca="1">SUMIF('Monthly Pro Forma'!$F$5:$EH$5,"="&amp;E$5,'Monthly Pro Forma'!$F28:$EH28)</f>
        <v>105814.55166149756</v>
      </c>
      <c r="F11" s="217">
        <f ca="1">SUMIF('Monthly Pro Forma'!$F$5:$EH$5,"="&amp;F$5,'Monthly Pro Forma'!$F28:$EH28)</f>
        <v>416813.13849933544</v>
      </c>
      <c r="G11" s="217">
        <f ca="1">SUMIF('Monthly Pro Forma'!$F$5:$EH$5,"="&amp;G$5,'Monthly Pro Forma'!$F28:$EH28)</f>
        <v>761475.18202257412</v>
      </c>
      <c r="H11" s="217">
        <f ca="1">SUMIF('Monthly Pro Forma'!$F$5:$EH$5,"="&amp;H$5,'Monthly Pro Forma'!$F28:$EH28)</f>
        <v>860318.47863051854</v>
      </c>
      <c r="I11" s="217">
        <f ca="1">SUMIF('Monthly Pro Forma'!$F$5:$EH$5,"="&amp;I$5,'Monthly Pro Forma'!$F28:$EH28)</f>
        <v>894731.21777573961</v>
      </c>
      <c r="J11" s="217">
        <f ca="1">SUMIF('Monthly Pro Forma'!$F$5:$EH$5,"="&amp;J$5,'Monthly Pro Forma'!$F28:$EH28)</f>
        <v>930520.46648676915</v>
      </c>
      <c r="K11" s="217">
        <f>SUMIF('Monthly Pro Forma'!$F$5:$EH$5,"="&amp;K$5,'Monthly Pro Forma'!$F28:$EH28)</f>
        <v>0</v>
      </c>
      <c r="L11" s="217">
        <f>SUMIF('Monthly Pro Forma'!$F$5:$EH$5,"="&amp;L$5,'Monthly Pro Forma'!$F28:$EH28)</f>
        <v>0</v>
      </c>
      <c r="M11" s="217">
        <f>SUMIF('Monthly Pro Forma'!$F$5:$EH$5,"="&amp;M$5,'Monthly Pro Forma'!$F28:$EH28)</f>
        <v>0</v>
      </c>
      <c r="N11" s="217">
        <f>SUMIF('Monthly Pro Forma'!$F$5:$EH$5,"="&amp;N$5,'Monthly Pro Forma'!$F28:$EH28)</f>
        <v>0</v>
      </c>
      <c r="O11" s="217">
        <f>SUMIF('Monthly Pro Forma'!$F$5:$EH$5,"="&amp;O$5,'Monthly Pro Forma'!$F28:$EH28)</f>
        <v>0</v>
      </c>
      <c r="P11" s="257"/>
    </row>
    <row r="12" spans="1:16" x14ac:dyDescent="0.2">
      <c r="A12" s="217"/>
      <c r="B12" s="258" t="str">
        <f>'Monthly Pro Forma'!B30</f>
        <v>Loss to Lease</v>
      </c>
      <c r="C12" s="217"/>
      <c r="D12" s="260"/>
      <c r="E12" s="217">
        <f ca="1">SUMIF('Monthly Pro Forma'!$F$5:$EH$5,"="&amp;E$5,'Monthly Pro Forma'!$F30:$EH30)</f>
        <v>-176382.64825076767</v>
      </c>
      <c r="F12" s="217">
        <f ca="1">SUMIF('Monthly Pro Forma'!$F$5:$EH$5,"="&amp;F$5,'Monthly Pro Forma'!$F30:$EH30)</f>
        <v>-92267.169972873104</v>
      </c>
      <c r="G12" s="217">
        <f ca="1">SUMIF('Monthly Pro Forma'!$F$5:$EH$5,"="&amp;G$5,'Monthly Pro Forma'!$F30:$EH30)</f>
        <v>-105349.24720045147</v>
      </c>
      <c r="H12" s="217">
        <f ca="1">SUMIF('Monthly Pro Forma'!$F$5:$EH$5,"="&amp;H$5,'Monthly Pro Forma'!$F30:$EH30)</f>
        <v>-110930.90287501043</v>
      </c>
      <c r="I12" s="217">
        <f ca="1">SUMIF('Monthly Pro Forma'!$F$5:$EH$5,"="&amp;I$5,'Monthly Pro Forma'!$F30:$EH30)</f>
        <v>-115368.13899001079</v>
      </c>
      <c r="J12" s="217">
        <f ca="1">SUMIF('Monthly Pro Forma'!$F$5:$EH$5,"="&amp;J$5,'Monthly Pro Forma'!$F30:$EH30)</f>
        <v>-119982.86454961129</v>
      </c>
      <c r="K12" s="217">
        <f ca="1">SUMIF('Monthly Pro Forma'!$F$5:$EH$5,"="&amp;K$5,'Monthly Pro Forma'!$F30:$EH30)</f>
        <v>0</v>
      </c>
      <c r="L12" s="217">
        <f ca="1">SUMIF('Monthly Pro Forma'!$F$5:$EH$5,"="&amp;L$5,'Monthly Pro Forma'!$F30:$EH30)</f>
        <v>0</v>
      </c>
      <c r="M12" s="217">
        <f ca="1">SUMIF('Monthly Pro Forma'!$F$5:$EH$5,"="&amp;M$5,'Monthly Pro Forma'!$F30:$EH30)</f>
        <v>0</v>
      </c>
      <c r="N12" s="217">
        <f ca="1">SUMIF('Monthly Pro Forma'!$F$5:$EH$5,"="&amp;N$5,'Monthly Pro Forma'!$F30:$EH30)</f>
        <v>0</v>
      </c>
      <c r="O12" s="217">
        <f ca="1">SUMIF('Monthly Pro Forma'!$F$5:$EH$5,"="&amp;O$5,'Monthly Pro Forma'!$F30:$EH30)</f>
        <v>0</v>
      </c>
    </row>
    <row r="13" spans="1:16" x14ac:dyDescent="0.2">
      <c r="A13" s="217"/>
      <c r="B13" s="261" t="str">
        <f>'Monthly Pro Forma'!B31</f>
        <v>Gross Potential Rent</v>
      </c>
      <c r="C13" s="262"/>
      <c r="D13" s="263"/>
      <c r="E13" s="264">
        <f ca="1">SUMIF('Monthly Pro Forma'!$F$5:$EH$5,"="&amp;E$5,'Monthly Pro Forma'!$F31:$EH31)</f>
        <v>4016495.1034107306</v>
      </c>
      <c r="F13" s="264">
        <f ca="1">SUMIF('Monthly Pro Forma'!$F$5:$EH$5,"="&amp;F$5,'Monthly Pro Forma'!$F31:$EH31)</f>
        <v>4615962.3285264624</v>
      </c>
      <c r="G13" s="264">
        <f ca="1">SUMIF('Monthly Pro Forma'!$F$5:$EH$5,"="&amp;G$5,'Monthly Pro Forma'!$F31:$EH31)</f>
        <v>5162113.1128221238</v>
      </c>
      <c r="H13" s="264">
        <f ca="1">SUMIF('Monthly Pro Forma'!$F$5:$EH$5,"="&amp;H$5,'Monthly Pro Forma'!$F31:$EH31)</f>
        <v>5435614.2408755096</v>
      </c>
      <c r="I13" s="264">
        <f ca="1">SUMIF('Monthly Pro Forma'!$F$5:$EH$5,"="&amp;I$5,'Monthly Pro Forma'!$F31:$EH31)</f>
        <v>5653038.8105105311</v>
      </c>
      <c r="J13" s="264">
        <f ca="1">SUMIF('Monthly Pro Forma'!$F$5:$EH$5,"="&amp;J$5,'Monthly Pro Forma'!$F31:$EH31)</f>
        <v>5879160.3629309526</v>
      </c>
      <c r="K13" s="264">
        <f>SUMIF('Monthly Pro Forma'!$F$5:$EH$5,"="&amp;K$5,'Monthly Pro Forma'!$F31:$EH31)</f>
        <v>0</v>
      </c>
      <c r="L13" s="264">
        <f>SUMIF('Monthly Pro Forma'!$F$5:$EH$5,"="&amp;L$5,'Monthly Pro Forma'!$F31:$EH31)</f>
        <v>0</v>
      </c>
      <c r="M13" s="264">
        <f>SUMIF('Monthly Pro Forma'!$F$5:$EH$5,"="&amp;M$5,'Monthly Pro Forma'!$F31:$EH31)</f>
        <v>0</v>
      </c>
      <c r="N13" s="264">
        <f>SUMIF('Monthly Pro Forma'!$F$5:$EH$5,"="&amp;N$5,'Monthly Pro Forma'!$F31:$EH31)</f>
        <v>0</v>
      </c>
      <c r="O13" s="264">
        <f>SUMIF('Monthly Pro Forma'!$F$5:$EH$5,"="&amp;O$5,'Monthly Pro Forma'!$F31:$EH31)</f>
        <v>0</v>
      </c>
    </row>
    <row r="14" spans="1:16" x14ac:dyDescent="0.2">
      <c r="A14" s="217"/>
      <c r="B14" s="258" t="str">
        <f>'Monthly Pro Forma'!B32</f>
        <v>Physical Vacancy</v>
      </c>
      <c r="C14" s="217"/>
      <c r="D14" s="260"/>
      <c r="E14" s="217">
        <f ca="1">SUMIF('Monthly Pro Forma'!$F$5:$EH$5,"="&amp;E$5,'Monthly Pro Forma'!$F32:$EH32)</f>
        <v>-251572.66509968988</v>
      </c>
      <c r="F14" s="217">
        <f ca="1">SUMIF('Monthly Pro Forma'!$F$5:$EH$5,"="&amp;F$5,'Monthly Pro Forma'!$F32:$EH32)</f>
        <v>-282493.7699099601</v>
      </c>
      <c r="G14" s="217">
        <f ca="1">SUMIF('Monthly Pro Forma'!$F$5:$EH$5,"="&amp;G$5,'Monthly Pro Forma'!$F32:$EH32)</f>
        <v>-263373.11800112884</v>
      </c>
      <c r="H14" s="217">
        <f ca="1">SUMIF('Monthly Pro Forma'!$F$5:$EH$5,"="&amp;H$5,'Monthly Pro Forma'!$F32:$EH32)</f>
        <v>-277327.25718752609</v>
      </c>
      <c r="I14" s="217">
        <f ca="1">SUMIF('Monthly Pro Forma'!$F$5:$EH$5,"="&amp;I$5,'Monthly Pro Forma'!$F32:$EH32)</f>
        <v>-288420.34747502714</v>
      </c>
      <c r="J14" s="217">
        <f ca="1">SUMIF('Monthly Pro Forma'!$F$5:$EH$5,"="&amp;J$5,'Monthly Pro Forma'!$F32:$EH32)</f>
        <v>-299957.16137402813</v>
      </c>
      <c r="K14" s="217">
        <f>SUMIF('Monthly Pro Forma'!$F$5:$EH$5,"="&amp;K$5,'Monthly Pro Forma'!$F32:$EH32)</f>
        <v>0</v>
      </c>
      <c r="L14" s="217">
        <f>SUMIF('Monthly Pro Forma'!$F$5:$EH$5,"="&amp;L$5,'Monthly Pro Forma'!$F32:$EH32)</f>
        <v>0</v>
      </c>
      <c r="M14" s="217">
        <f>SUMIF('Monthly Pro Forma'!$F$5:$EH$5,"="&amp;M$5,'Monthly Pro Forma'!$F32:$EH32)</f>
        <v>0</v>
      </c>
      <c r="N14" s="217">
        <f>SUMIF('Monthly Pro Forma'!$F$5:$EH$5,"="&amp;N$5,'Monthly Pro Forma'!$F32:$EH32)</f>
        <v>0</v>
      </c>
      <c r="O14" s="217">
        <f>SUMIF('Monthly Pro Forma'!$F$5:$EH$5,"="&amp;O$5,'Monthly Pro Forma'!$F32:$EH32)</f>
        <v>0</v>
      </c>
    </row>
    <row r="15" spans="1:16" x14ac:dyDescent="0.2">
      <c r="A15" s="217"/>
      <c r="B15" s="258" t="str">
        <f>'Monthly Pro Forma'!B33</f>
        <v>Bad Debt</v>
      </c>
      <c r="C15" s="217"/>
      <c r="D15" s="260"/>
      <c r="E15" s="217">
        <f ca="1">SUMIF('Monthly Pro Forma'!$F$5:$EH$5,"="&amp;E$5,'Monthly Pro Forma'!$F33:$EH33)</f>
        <v>-20082.475517053648</v>
      </c>
      <c r="F15" s="217">
        <f ca="1">SUMIF('Monthly Pro Forma'!$F$5:$EH$5,"="&amp;F$5,'Monthly Pro Forma'!$F33:$EH33)</f>
        <v>-23079.811642632314</v>
      </c>
      <c r="G15" s="217">
        <f ca="1">SUMIF('Monthly Pro Forma'!$F$5:$EH$5,"="&amp;G$5,'Monthly Pro Forma'!$F33:$EH33)</f>
        <v>-25810.565564110617</v>
      </c>
      <c r="H15" s="217">
        <f ca="1">SUMIF('Monthly Pro Forma'!$F$5:$EH$5,"="&amp;H$5,'Monthly Pro Forma'!$F33:$EH33)</f>
        <v>-27178.071204377557</v>
      </c>
      <c r="I15" s="217">
        <f ca="1">SUMIF('Monthly Pro Forma'!$F$5:$EH$5,"="&amp;I$5,'Monthly Pro Forma'!$F33:$EH33)</f>
        <v>-28265.194052552648</v>
      </c>
      <c r="J15" s="217">
        <f ca="1">SUMIF('Monthly Pro Forma'!$F$5:$EH$5,"="&amp;J$5,'Monthly Pro Forma'!$F33:$EH33)</f>
        <v>-29395.801814654766</v>
      </c>
      <c r="K15" s="217">
        <f>SUMIF('Monthly Pro Forma'!$F$5:$EH$5,"="&amp;K$5,'Monthly Pro Forma'!$F33:$EH33)</f>
        <v>0</v>
      </c>
      <c r="L15" s="217">
        <f>SUMIF('Monthly Pro Forma'!$F$5:$EH$5,"="&amp;L$5,'Monthly Pro Forma'!$F33:$EH33)</f>
        <v>0</v>
      </c>
      <c r="M15" s="217">
        <f>SUMIF('Monthly Pro Forma'!$F$5:$EH$5,"="&amp;M$5,'Monthly Pro Forma'!$F33:$EH33)</f>
        <v>0</v>
      </c>
      <c r="N15" s="217">
        <f>SUMIF('Monthly Pro Forma'!$F$5:$EH$5,"="&amp;N$5,'Monthly Pro Forma'!$F33:$EH33)</f>
        <v>0</v>
      </c>
      <c r="O15" s="217">
        <f>SUMIF('Monthly Pro Forma'!$F$5:$EH$5,"="&amp;O$5,'Monthly Pro Forma'!$F33:$EH33)</f>
        <v>0</v>
      </c>
    </row>
    <row r="16" spans="1:16" x14ac:dyDescent="0.2">
      <c r="A16" s="217"/>
      <c r="B16" s="258" t="str">
        <f>'Monthly Pro Forma'!B34</f>
        <v>Concessions</v>
      </c>
      <c r="C16" s="217"/>
      <c r="D16" s="260"/>
      <c r="E16" s="217">
        <f ca="1">SUMIF('Monthly Pro Forma'!$F$5:$EH$5,"="&amp;E$5,'Monthly Pro Forma'!$F34:$EH34)</f>
        <v>-40164.951034107296</v>
      </c>
      <c r="F16" s="217">
        <f ca="1">SUMIF('Monthly Pro Forma'!$F$5:$EH$5,"="&amp;F$5,'Monthly Pro Forma'!$F34:$EH34)</f>
        <v>-23079.811642632314</v>
      </c>
      <c r="G16" s="217">
        <f ca="1">SUMIF('Monthly Pro Forma'!$F$5:$EH$5,"="&amp;G$5,'Monthly Pro Forma'!$F34:$EH34)</f>
        <v>-25810.565564110617</v>
      </c>
      <c r="H16" s="217">
        <f ca="1">SUMIF('Monthly Pro Forma'!$F$5:$EH$5,"="&amp;H$5,'Monthly Pro Forma'!$F34:$EH34)</f>
        <v>-27178.071204377557</v>
      </c>
      <c r="I16" s="217">
        <f ca="1">SUMIF('Monthly Pro Forma'!$F$5:$EH$5,"="&amp;I$5,'Monthly Pro Forma'!$F34:$EH34)</f>
        <v>-28265.194052552648</v>
      </c>
      <c r="J16" s="217">
        <f ca="1">SUMIF('Monthly Pro Forma'!$F$5:$EH$5,"="&amp;J$5,'Monthly Pro Forma'!$F34:$EH34)</f>
        <v>-29395.801814654766</v>
      </c>
      <c r="K16" s="217">
        <f>SUMIF('Monthly Pro Forma'!$F$5:$EH$5,"="&amp;K$5,'Monthly Pro Forma'!$F34:$EH34)</f>
        <v>0</v>
      </c>
      <c r="L16" s="217">
        <f>SUMIF('Monthly Pro Forma'!$F$5:$EH$5,"="&amp;L$5,'Monthly Pro Forma'!$F34:$EH34)</f>
        <v>0</v>
      </c>
      <c r="M16" s="217">
        <f>SUMIF('Monthly Pro Forma'!$F$5:$EH$5,"="&amp;M$5,'Monthly Pro Forma'!$F34:$EH34)</f>
        <v>0</v>
      </c>
      <c r="N16" s="217">
        <f>SUMIF('Monthly Pro Forma'!$F$5:$EH$5,"="&amp;N$5,'Monthly Pro Forma'!$F34:$EH34)</f>
        <v>0</v>
      </c>
      <c r="O16" s="217">
        <f>SUMIF('Monthly Pro Forma'!$F$5:$EH$5,"="&amp;O$5,'Monthly Pro Forma'!$F34:$EH34)</f>
        <v>0</v>
      </c>
    </row>
    <row r="17" spans="1:16" x14ac:dyDescent="0.2">
      <c r="A17" s="217"/>
      <c r="B17" s="261" t="str">
        <f>'Monthly Pro Forma'!B35</f>
        <v>Net Rental Income</v>
      </c>
      <c r="C17" s="262"/>
      <c r="D17" s="263"/>
      <c r="E17" s="264">
        <f ca="1">SUMIF('Monthly Pro Forma'!$F$5:$EH$5,"="&amp;E$5,'Monthly Pro Forma'!$F35:$EH35)</f>
        <v>3704675.0117598791</v>
      </c>
      <c r="F17" s="264">
        <f ca="1">SUMIF('Monthly Pro Forma'!$F$5:$EH$5,"="&amp;F$5,'Monthly Pro Forma'!$F35:$EH35)</f>
        <v>4287308.9353312375</v>
      </c>
      <c r="G17" s="264">
        <f ca="1">SUMIF('Monthly Pro Forma'!$F$5:$EH$5,"="&amp;G$5,'Monthly Pro Forma'!$F35:$EH35)</f>
        <v>4847118.8636927726</v>
      </c>
      <c r="H17" s="264">
        <f ca="1">SUMIF('Monthly Pro Forma'!$F$5:$EH$5,"="&amp;H$5,'Monthly Pro Forma'!$F35:$EH35)</f>
        <v>5103930.8412792282</v>
      </c>
      <c r="I17" s="264">
        <f ca="1">SUMIF('Monthly Pro Forma'!$F$5:$EH$5,"="&amp;I$5,'Monthly Pro Forma'!$F35:$EH35)</f>
        <v>5308088.0749303969</v>
      </c>
      <c r="J17" s="264">
        <f ca="1">SUMIF('Monthly Pro Forma'!$F$5:$EH$5,"="&amp;J$5,'Monthly Pro Forma'!$F35:$EH35)</f>
        <v>5520411.5979276123</v>
      </c>
      <c r="K17" s="264">
        <f>SUMIF('Monthly Pro Forma'!$F$5:$EH$5,"="&amp;K$5,'Monthly Pro Forma'!$F35:$EH35)</f>
        <v>0</v>
      </c>
      <c r="L17" s="264">
        <f>SUMIF('Monthly Pro Forma'!$F$5:$EH$5,"="&amp;L$5,'Monthly Pro Forma'!$F35:$EH35)</f>
        <v>0</v>
      </c>
      <c r="M17" s="264">
        <f>SUMIF('Monthly Pro Forma'!$F$5:$EH$5,"="&amp;M$5,'Monthly Pro Forma'!$F35:$EH35)</f>
        <v>0</v>
      </c>
      <c r="N17" s="264">
        <f>SUMIF('Monthly Pro Forma'!$F$5:$EH$5,"="&amp;N$5,'Monthly Pro Forma'!$F35:$EH35)</f>
        <v>0</v>
      </c>
      <c r="O17" s="264">
        <f>SUMIF('Monthly Pro Forma'!$F$5:$EH$5,"="&amp;O$5,'Monthly Pro Forma'!$F35:$EH35)</f>
        <v>0</v>
      </c>
    </row>
    <row r="18" spans="1:16" x14ac:dyDescent="0.2">
      <c r="A18" s="217"/>
      <c r="B18" s="209"/>
      <c r="C18" s="217"/>
      <c r="D18" s="259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</row>
    <row r="19" spans="1:16" x14ac:dyDescent="0.2">
      <c r="A19" s="217"/>
      <c r="B19" s="255" t="str">
        <f>'Monthly Pro Forma'!B37</f>
        <v>OTHER INCOME</v>
      </c>
      <c r="C19" s="180"/>
      <c r="D19" s="256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</row>
    <row r="20" spans="1:16" x14ac:dyDescent="0.2">
      <c r="A20" s="217"/>
      <c r="B20" s="258" t="str">
        <f>'Monthly Pro Forma'!B38</f>
        <v>Other Income</v>
      </c>
      <c r="C20" s="217"/>
      <c r="D20" s="260"/>
      <c r="E20" s="217">
        <f>SUMIF('Monthly Pro Forma'!$F$5:$EH$5,"="&amp;E$5,'Monthly Pro Forma'!$F38:$EH38)</f>
        <v>311943.04959999997</v>
      </c>
      <c r="F20" s="217">
        <f>SUMIF('Monthly Pro Forma'!$F$5:$EH$5,"="&amp;F$5,'Monthly Pro Forma'!$F38:$EH38)</f>
        <v>324420.77158399991</v>
      </c>
      <c r="G20" s="217">
        <f>SUMIF('Monthly Pro Forma'!$F$5:$EH$5,"="&amp;G$5,'Monthly Pro Forma'!$F38:$EH38)</f>
        <v>335775.49858943984</v>
      </c>
      <c r="H20" s="217">
        <f>SUMIF('Monthly Pro Forma'!$F$5:$EH$5,"="&amp;H$5,'Monthly Pro Forma'!$F38:$EH38)</f>
        <v>347527.64104007039</v>
      </c>
      <c r="I20" s="217">
        <f>SUMIF('Monthly Pro Forma'!$F$5:$EH$5,"="&amp;I$5,'Monthly Pro Forma'!$F38:$EH38)</f>
        <v>359691.10847647279</v>
      </c>
      <c r="J20" s="217">
        <f>SUMIF('Monthly Pro Forma'!$F$5:$EH$5,"="&amp;J$5,'Monthly Pro Forma'!$F38:$EH38)</f>
        <v>372280.29727314919</v>
      </c>
      <c r="K20" s="217">
        <f>SUMIF('Monthly Pro Forma'!$F$5:$EH$5,"="&amp;K$5,'Monthly Pro Forma'!$F38:$EH38)</f>
        <v>0</v>
      </c>
      <c r="L20" s="217">
        <f>SUMIF('Monthly Pro Forma'!$F$5:$EH$5,"="&amp;L$5,'Monthly Pro Forma'!$F38:$EH38)</f>
        <v>0</v>
      </c>
      <c r="M20" s="217">
        <f>SUMIF('Monthly Pro Forma'!$F$5:$EH$5,"="&amp;M$5,'Monthly Pro Forma'!$F38:$EH38)</f>
        <v>0</v>
      </c>
      <c r="N20" s="217">
        <f>SUMIF('Monthly Pro Forma'!$F$5:$EH$5,"="&amp;N$5,'Monthly Pro Forma'!$F38:$EH38)</f>
        <v>0</v>
      </c>
      <c r="O20" s="217">
        <f>SUMIF('Monthly Pro Forma'!$F$5:$EH$5,"="&amp;O$5,'Monthly Pro Forma'!$F38:$EH38)</f>
        <v>0</v>
      </c>
    </row>
    <row r="21" spans="1:16" x14ac:dyDescent="0.2">
      <c r="A21" s="217"/>
      <c r="B21" s="258" t="str">
        <f>'Monthly Pro Forma'!B39</f>
        <v>RUBS</v>
      </c>
      <c r="C21" s="217"/>
      <c r="D21" s="260"/>
      <c r="E21" s="217">
        <f>SUMIF('Monthly Pro Forma'!$F$5:$EH$5,"="&amp;E$5,'Monthly Pro Forma'!$F39:$EH39)</f>
        <v>123031.19280000002</v>
      </c>
      <c r="F21" s="217">
        <f>SUMIF('Monthly Pro Forma'!$F$5:$EH$5,"="&amp;F$5,'Monthly Pro Forma'!$F39:$EH39)</f>
        <v>126722.12858399998</v>
      </c>
      <c r="G21" s="217">
        <f>SUMIF('Monthly Pro Forma'!$F$5:$EH$5,"="&amp;G$5,'Monthly Pro Forma'!$F39:$EH39)</f>
        <v>130523.79244152001</v>
      </c>
      <c r="H21" s="217">
        <f>SUMIF('Monthly Pro Forma'!$F$5:$EH$5,"="&amp;H$5,'Monthly Pro Forma'!$F39:$EH39)</f>
        <v>134439.50621476563</v>
      </c>
      <c r="I21" s="217">
        <f>SUMIF('Monthly Pro Forma'!$F$5:$EH$5,"="&amp;I$5,'Monthly Pro Forma'!$F39:$EH39)</f>
        <v>138472.69140120858</v>
      </c>
      <c r="J21" s="217">
        <f>SUMIF('Monthly Pro Forma'!$F$5:$EH$5,"="&amp;J$5,'Monthly Pro Forma'!$F39:$EH39)</f>
        <v>142626.87214324487</v>
      </c>
      <c r="K21" s="217">
        <f>SUMIF('Monthly Pro Forma'!$F$5:$EH$5,"="&amp;K$5,'Monthly Pro Forma'!$F39:$EH39)</f>
        <v>0</v>
      </c>
      <c r="L21" s="217">
        <f>SUMIF('Monthly Pro Forma'!$F$5:$EH$5,"="&amp;L$5,'Monthly Pro Forma'!$F39:$EH39)</f>
        <v>0</v>
      </c>
      <c r="M21" s="217">
        <f>SUMIF('Monthly Pro Forma'!$F$5:$EH$5,"="&amp;M$5,'Monthly Pro Forma'!$F39:$EH39)</f>
        <v>0</v>
      </c>
      <c r="N21" s="217">
        <f>SUMIF('Monthly Pro Forma'!$F$5:$EH$5,"="&amp;N$5,'Monthly Pro Forma'!$F39:$EH39)</f>
        <v>0</v>
      </c>
      <c r="O21" s="217">
        <f>SUMIF('Monthly Pro Forma'!$F$5:$EH$5,"="&amp;O$5,'Monthly Pro Forma'!$F39:$EH39)</f>
        <v>0</v>
      </c>
    </row>
    <row r="22" spans="1:16" x14ac:dyDescent="0.2">
      <c r="A22" s="217"/>
      <c r="B22" s="261" t="str">
        <f>'Monthly Pro Forma'!B40</f>
        <v>Total Other Income</v>
      </c>
      <c r="C22" s="262"/>
      <c r="D22" s="263"/>
      <c r="E22" s="264">
        <f>SUMIF('Monthly Pro Forma'!$F$5:$EH$5,"="&amp;E$5,'Monthly Pro Forma'!$F40:$EH40)</f>
        <v>434974.24240000005</v>
      </c>
      <c r="F22" s="264">
        <f>SUMIF('Monthly Pro Forma'!$F$5:$EH$5,"="&amp;F$5,'Monthly Pro Forma'!$F40:$EH40)</f>
        <v>451142.90016800002</v>
      </c>
      <c r="G22" s="264">
        <f>SUMIF('Monthly Pro Forma'!$F$5:$EH$5,"="&amp;G$5,'Monthly Pro Forma'!$F40:$EH40)</f>
        <v>466299.29103095998</v>
      </c>
      <c r="H22" s="264">
        <f>SUMIF('Monthly Pro Forma'!$F$5:$EH$5,"="&amp;H$5,'Monthly Pro Forma'!$F40:$EH40)</f>
        <v>481967.14725483576</v>
      </c>
      <c r="I22" s="264">
        <f>SUMIF('Monthly Pro Forma'!$F$5:$EH$5,"="&amp;I$5,'Monthly Pro Forma'!$F40:$EH40)</f>
        <v>498163.79987768113</v>
      </c>
      <c r="J22" s="264">
        <f>SUMIF('Monthly Pro Forma'!$F$5:$EH$5,"="&amp;J$5,'Monthly Pro Forma'!$F40:$EH40)</f>
        <v>514907.16941639408</v>
      </c>
      <c r="K22" s="264">
        <f>SUMIF('Monthly Pro Forma'!$F$5:$EH$5,"="&amp;K$5,'Monthly Pro Forma'!$F40:$EH40)</f>
        <v>0</v>
      </c>
      <c r="L22" s="264">
        <f>SUMIF('Monthly Pro Forma'!$F$5:$EH$5,"="&amp;L$5,'Monthly Pro Forma'!$F40:$EH40)</f>
        <v>0</v>
      </c>
      <c r="M22" s="264">
        <f>SUMIF('Monthly Pro Forma'!$F$5:$EH$5,"="&amp;M$5,'Monthly Pro Forma'!$F40:$EH40)</f>
        <v>0</v>
      </c>
      <c r="N22" s="264">
        <f>SUMIF('Monthly Pro Forma'!$F$5:$EH$5,"="&amp;N$5,'Monthly Pro Forma'!$F40:$EH40)</f>
        <v>0</v>
      </c>
      <c r="O22" s="264">
        <f>SUMIF('Monthly Pro Forma'!$F$5:$EH$5,"="&amp;O$5,'Monthly Pro Forma'!$F40:$EH40)</f>
        <v>0</v>
      </c>
    </row>
    <row r="23" spans="1:16" x14ac:dyDescent="0.2">
      <c r="A23" s="217"/>
      <c r="B23" s="162"/>
      <c r="C23" s="217"/>
      <c r="D23" s="259"/>
      <c r="E23" s="217"/>
      <c r="F23" s="217"/>
      <c r="G23" s="217"/>
      <c r="H23" s="217"/>
      <c r="I23" s="217"/>
      <c r="J23" s="217"/>
      <c r="K23" s="217"/>
      <c r="L23" s="217"/>
      <c r="M23" s="217"/>
      <c r="N23" s="217"/>
      <c r="O23" s="217"/>
    </row>
    <row r="24" spans="1:16" s="145" customFormat="1" x14ac:dyDescent="0.2">
      <c r="A24" s="262"/>
      <c r="B24" s="218" t="str">
        <f>'Monthly Pro Forma'!B42</f>
        <v>Effective Gross Income</v>
      </c>
      <c r="C24" s="221"/>
      <c r="D24" s="265">
        <f>D17+D22</f>
        <v>0</v>
      </c>
      <c r="E24" s="219">
        <f ca="1">SUMIF('Monthly Pro Forma'!$F$5:$EH$5,"="&amp;E$5,'Monthly Pro Forma'!$F42:$EH42)</f>
        <v>4139649.2541598799</v>
      </c>
      <c r="F24" s="219">
        <f ca="1">SUMIF('Monthly Pro Forma'!$F$5:$EH$5,"="&amp;F$5,'Monthly Pro Forma'!$F42:$EH42)</f>
        <v>4738451.8354992373</v>
      </c>
      <c r="G24" s="219">
        <f ca="1">SUMIF('Monthly Pro Forma'!$F$5:$EH$5,"="&amp;G$5,'Monthly Pro Forma'!$F42:$EH42)</f>
        <v>5313418.1547237346</v>
      </c>
      <c r="H24" s="219">
        <f ca="1">SUMIF('Monthly Pro Forma'!$F$5:$EH$5,"="&amp;H$5,'Monthly Pro Forma'!$F42:$EH42)</f>
        <v>5585897.9885340631</v>
      </c>
      <c r="I24" s="219">
        <f ca="1">SUMIF('Monthly Pro Forma'!$F$5:$EH$5,"="&amp;I$5,'Monthly Pro Forma'!$F42:$EH42)</f>
        <v>5806251.8748080796</v>
      </c>
      <c r="J24" s="219">
        <f ca="1">SUMIF('Monthly Pro Forma'!$F$5:$EH$5,"="&amp;J$5,'Monthly Pro Forma'!$F42:$EH42)</f>
        <v>6035318.7673440063</v>
      </c>
      <c r="K24" s="219">
        <f>SUMIF('Monthly Pro Forma'!$F$5:$EH$5,"="&amp;K$5,'Monthly Pro Forma'!$F42:$EH42)</f>
        <v>0</v>
      </c>
      <c r="L24" s="219">
        <f>SUMIF('Monthly Pro Forma'!$F$5:$EH$5,"="&amp;L$5,'Monthly Pro Forma'!$F42:$EH42)</f>
        <v>0</v>
      </c>
      <c r="M24" s="219">
        <f>SUMIF('Monthly Pro Forma'!$F$5:$EH$5,"="&amp;M$5,'Monthly Pro Forma'!$F42:$EH42)</f>
        <v>0</v>
      </c>
      <c r="N24" s="219">
        <f>SUMIF('Monthly Pro Forma'!$F$5:$EH$5,"="&amp;N$5,'Monthly Pro Forma'!$F42:$EH42)</f>
        <v>0</v>
      </c>
      <c r="O24" s="219">
        <f>SUMIF('Monthly Pro Forma'!$F$5:$EH$5,"="&amp;O$5,'Monthly Pro Forma'!$F42:$EH42)</f>
        <v>0</v>
      </c>
      <c r="P24" s="144"/>
    </row>
    <row r="25" spans="1:16" x14ac:dyDescent="0.2">
      <c r="A25" s="217"/>
      <c r="B25" s="162"/>
      <c r="C25" s="217"/>
      <c r="D25" s="259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</row>
    <row r="26" spans="1:16" x14ac:dyDescent="0.2">
      <c r="A26" s="217"/>
      <c r="B26" s="255" t="str">
        <f>'Monthly Pro Forma'!B44</f>
        <v>EXPENSES</v>
      </c>
      <c r="C26" s="180"/>
      <c r="D26" s="256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</row>
    <row r="27" spans="1:16" x14ac:dyDescent="0.2">
      <c r="A27" s="217"/>
      <c r="B27" s="258" t="str">
        <f>'Monthly Pro Forma'!B45</f>
        <v>Payroll</v>
      </c>
      <c r="C27" s="217"/>
      <c r="D27" s="260"/>
      <c r="E27" s="217">
        <f>SUMIF('Monthly Pro Forma'!$F$5:$EH$5,"="&amp;E$5,'Monthly Pro Forma'!$F45:$EH45)</f>
        <v>-347480.8</v>
      </c>
      <c r="F27" s="217">
        <f>SUMIF('Monthly Pro Forma'!$F$5:$EH$5,"="&amp;F$5,'Monthly Pro Forma'!$F45:$EH45)</f>
        <v>-357905.22399999999</v>
      </c>
      <c r="G27" s="217">
        <f>SUMIF('Monthly Pro Forma'!$F$5:$EH$5,"="&amp;G$5,'Monthly Pro Forma'!$F45:$EH45)</f>
        <v>-368642.38072000007</v>
      </c>
      <c r="H27" s="217">
        <f>SUMIF('Monthly Pro Forma'!$F$5:$EH$5,"="&amp;H$5,'Monthly Pro Forma'!$F45:$EH45)</f>
        <v>-379701.65214160015</v>
      </c>
      <c r="I27" s="217">
        <f>SUMIF('Monthly Pro Forma'!$F$5:$EH$5,"="&amp;I$5,'Monthly Pro Forma'!$F45:$EH45)</f>
        <v>-391092.70170584804</v>
      </c>
      <c r="J27" s="217">
        <f>SUMIF('Monthly Pro Forma'!$F$5:$EH$5,"="&amp;J$5,'Monthly Pro Forma'!$F45:$EH45)</f>
        <v>-402825.48275702354</v>
      </c>
      <c r="K27" s="217">
        <f>SUMIF('Monthly Pro Forma'!$F$5:$EH$5,"="&amp;K$5,'Monthly Pro Forma'!$F45:$EH45)</f>
        <v>0</v>
      </c>
      <c r="L27" s="217">
        <f>SUMIF('Monthly Pro Forma'!$F$5:$EH$5,"="&amp;L$5,'Monthly Pro Forma'!$F45:$EH45)</f>
        <v>0</v>
      </c>
      <c r="M27" s="217">
        <f>SUMIF('Monthly Pro Forma'!$F$5:$EH$5,"="&amp;M$5,'Monthly Pro Forma'!$F45:$EH45)</f>
        <v>0</v>
      </c>
      <c r="N27" s="217">
        <f>SUMIF('Monthly Pro Forma'!$F$5:$EH$5,"="&amp;N$5,'Monthly Pro Forma'!$F45:$EH45)</f>
        <v>0</v>
      </c>
      <c r="O27" s="217">
        <f>SUMIF('Monthly Pro Forma'!$F$5:$EH$5,"="&amp;O$5,'Monthly Pro Forma'!$F45:$EH45)</f>
        <v>0</v>
      </c>
    </row>
    <row r="28" spans="1:16" x14ac:dyDescent="0.2">
      <c r="A28" s="217"/>
      <c r="B28" s="258" t="str">
        <f>'Monthly Pro Forma'!B46</f>
        <v>Management Fees</v>
      </c>
      <c r="C28" s="217"/>
      <c r="D28" s="259"/>
      <c r="E28" s="217">
        <f ca="1">SUMIF('Monthly Pro Forma'!$F$5:$EH$5,"="&amp;E$5,'Monthly Pro Forma'!$F46:$EH46)</f>
        <v>-124189.47762479639</v>
      </c>
      <c r="F28" s="217">
        <f ca="1">SUMIF('Monthly Pro Forma'!$F$5:$EH$5,"="&amp;F$5,'Monthly Pro Forma'!$F46:$EH46)</f>
        <v>-142153.55506497712</v>
      </c>
      <c r="G28" s="217">
        <f ca="1">SUMIF('Monthly Pro Forma'!$F$5:$EH$5,"="&amp;G$5,'Monthly Pro Forma'!$F46:$EH46)</f>
        <v>-159402.54464171201</v>
      </c>
      <c r="H28" s="217">
        <f ca="1">SUMIF('Monthly Pro Forma'!$F$5:$EH$5,"="&amp;H$5,'Monthly Pro Forma'!$F46:$EH46)</f>
        <v>-167576.93965602189</v>
      </c>
      <c r="I28" s="217">
        <f ca="1">SUMIF('Monthly Pro Forma'!$F$5:$EH$5,"="&amp;I$5,'Monthly Pro Forma'!$F46:$EH46)</f>
        <v>-174187.55624424244</v>
      </c>
      <c r="J28" s="217">
        <f ca="1">SUMIF('Monthly Pro Forma'!$F$5:$EH$5,"="&amp;J$5,'Monthly Pro Forma'!$F46:$EH46)</f>
        <v>-181059.56302032023</v>
      </c>
      <c r="K28" s="217">
        <f>SUMIF('Monthly Pro Forma'!$F$5:$EH$5,"="&amp;K$5,'Monthly Pro Forma'!$F46:$EH46)</f>
        <v>0</v>
      </c>
      <c r="L28" s="217">
        <f>SUMIF('Monthly Pro Forma'!$F$5:$EH$5,"="&amp;L$5,'Monthly Pro Forma'!$F46:$EH46)</f>
        <v>0</v>
      </c>
      <c r="M28" s="217">
        <f>SUMIF('Monthly Pro Forma'!$F$5:$EH$5,"="&amp;M$5,'Monthly Pro Forma'!$F46:$EH46)</f>
        <v>0</v>
      </c>
      <c r="N28" s="217">
        <f>SUMIF('Monthly Pro Forma'!$F$5:$EH$5,"="&amp;N$5,'Monthly Pro Forma'!$F46:$EH46)</f>
        <v>0</v>
      </c>
      <c r="O28" s="217">
        <f>SUMIF('Monthly Pro Forma'!$F$5:$EH$5,"="&amp;O$5,'Monthly Pro Forma'!$F46:$EH46)</f>
        <v>0</v>
      </c>
    </row>
    <row r="29" spans="1:16" x14ac:dyDescent="0.2">
      <c r="A29" s="217"/>
      <c r="B29" s="258" t="str">
        <f>'Monthly Pro Forma'!B47</f>
        <v>Contract Services</v>
      </c>
      <c r="C29" s="217"/>
      <c r="D29" s="259"/>
      <c r="E29" s="217">
        <f>SUMIF('Monthly Pro Forma'!$F$5:$EH$5,"="&amp;E$5,'Monthly Pro Forma'!$F47:$EH47)</f>
        <v>-78160.51999999999</v>
      </c>
      <c r="F29" s="217">
        <f>SUMIF('Monthly Pro Forma'!$F$5:$EH$5,"="&amp;F$5,'Monthly Pro Forma'!$F47:$EH47)</f>
        <v>-80505.335599999991</v>
      </c>
      <c r="G29" s="217">
        <f>SUMIF('Monthly Pro Forma'!$F$5:$EH$5,"="&amp;G$5,'Monthly Pro Forma'!$F47:$EH47)</f>
        <v>-82920.495668000018</v>
      </c>
      <c r="H29" s="217">
        <f>SUMIF('Monthly Pro Forma'!$F$5:$EH$5,"="&amp;H$5,'Monthly Pro Forma'!$F47:$EH47)</f>
        <v>-85408.110538039997</v>
      </c>
      <c r="I29" s="217">
        <f>SUMIF('Monthly Pro Forma'!$F$5:$EH$5,"="&amp;I$5,'Monthly Pro Forma'!$F47:$EH47)</f>
        <v>-87970.35385418123</v>
      </c>
      <c r="J29" s="217">
        <f>SUMIF('Monthly Pro Forma'!$F$5:$EH$5,"="&amp;J$5,'Monthly Pro Forma'!$F47:$EH47)</f>
        <v>-90609.464469806655</v>
      </c>
      <c r="K29" s="217">
        <f>SUMIF('Monthly Pro Forma'!$F$5:$EH$5,"="&amp;K$5,'Monthly Pro Forma'!$F47:$EH47)</f>
        <v>0</v>
      </c>
      <c r="L29" s="217">
        <f>SUMIF('Monthly Pro Forma'!$F$5:$EH$5,"="&amp;L$5,'Monthly Pro Forma'!$F47:$EH47)</f>
        <v>0</v>
      </c>
      <c r="M29" s="217">
        <f>SUMIF('Monthly Pro Forma'!$F$5:$EH$5,"="&amp;M$5,'Monthly Pro Forma'!$F47:$EH47)</f>
        <v>0</v>
      </c>
      <c r="N29" s="217">
        <f>SUMIF('Monthly Pro Forma'!$F$5:$EH$5,"="&amp;N$5,'Monthly Pro Forma'!$F47:$EH47)</f>
        <v>0</v>
      </c>
      <c r="O29" s="217">
        <f>SUMIF('Monthly Pro Forma'!$F$5:$EH$5,"="&amp;O$5,'Monthly Pro Forma'!$F47:$EH47)</f>
        <v>0</v>
      </c>
    </row>
    <row r="30" spans="1:16" x14ac:dyDescent="0.2">
      <c r="A30" s="217"/>
      <c r="B30" s="258" t="str">
        <f>'Monthly Pro Forma'!B48</f>
        <v>Administrative</v>
      </c>
      <c r="C30" s="217"/>
      <c r="D30" s="259"/>
      <c r="E30" s="217">
        <f>SUMIF('Monthly Pro Forma'!$F$5:$EH$5,"="&amp;E$5,'Monthly Pro Forma'!$F48:$EH48)</f>
        <v>-79762.262700000021</v>
      </c>
      <c r="F30" s="217">
        <f>SUMIF('Monthly Pro Forma'!$F$5:$EH$5,"="&amp;F$5,'Monthly Pro Forma'!$F48:$EH48)</f>
        <v>-82155.130581000005</v>
      </c>
      <c r="G30" s="217">
        <f>SUMIF('Monthly Pro Forma'!$F$5:$EH$5,"="&amp;G$5,'Monthly Pro Forma'!$F48:$EH48)</f>
        <v>-84619.784498429988</v>
      </c>
      <c r="H30" s="217">
        <f>SUMIF('Monthly Pro Forma'!$F$5:$EH$5,"="&amp;H$5,'Monthly Pro Forma'!$F48:$EH48)</f>
        <v>-87158.378033382891</v>
      </c>
      <c r="I30" s="217">
        <f>SUMIF('Monthly Pro Forma'!$F$5:$EH$5,"="&amp;I$5,'Monthly Pro Forma'!$F48:$EH48)</f>
        <v>-89773.129374384414</v>
      </c>
      <c r="J30" s="217">
        <f>SUMIF('Monthly Pro Forma'!$F$5:$EH$5,"="&amp;J$5,'Monthly Pro Forma'!$F48:$EH48)</f>
        <v>-92466.323255615935</v>
      </c>
      <c r="K30" s="217">
        <f>SUMIF('Monthly Pro Forma'!$F$5:$EH$5,"="&amp;K$5,'Monthly Pro Forma'!$F48:$EH48)</f>
        <v>0</v>
      </c>
      <c r="L30" s="217">
        <f>SUMIF('Monthly Pro Forma'!$F$5:$EH$5,"="&amp;L$5,'Monthly Pro Forma'!$F48:$EH48)</f>
        <v>0</v>
      </c>
      <c r="M30" s="217">
        <f>SUMIF('Monthly Pro Forma'!$F$5:$EH$5,"="&amp;M$5,'Monthly Pro Forma'!$F48:$EH48)</f>
        <v>0</v>
      </c>
      <c r="N30" s="217">
        <f>SUMIF('Monthly Pro Forma'!$F$5:$EH$5,"="&amp;N$5,'Monthly Pro Forma'!$F48:$EH48)</f>
        <v>0</v>
      </c>
      <c r="O30" s="217">
        <f>SUMIF('Monthly Pro Forma'!$F$5:$EH$5,"="&amp;O$5,'Monthly Pro Forma'!$F48:$EH48)</f>
        <v>0</v>
      </c>
    </row>
    <row r="31" spans="1:16" x14ac:dyDescent="0.2">
      <c r="A31" s="217"/>
      <c r="B31" s="258" t="str">
        <f>'Monthly Pro Forma'!B49</f>
        <v>Marketing</v>
      </c>
      <c r="C31" s="217"/>
      <c r="D31" s="259"/>
      <c r="E31" s="217">
        <f>SUMIF('Monthly Pro Forma'!$F$5:$EH$5,"="&amp;E$5,'Monthly Pro Forma'!$F49:$EH49)</f>
        <v>-53279.839999999989</v>
      </c>
      <c r="F31" s="217">
        <f>SUMIF('Monthly Pro Forma'!$F$5:$EH$5,"="&amp;F$5,'Monthly Pro Forma'!$F49:$EH49)</f>
        <v>-54878.235199999988</v>
      </c>
      <c r="G31" s="217">
        <f>SUMIF('Monthly Pro Forma'!$F$5:$EH$5,"="&amp;G$5,'Monthly Pro Forma'!$F49:$EH49)</f>
        <v>-56524.582256000002</v>
      </c>
      <c r="H31" s="217">
        <f>SUMIF('Monthly Pro Forma'!$F$5:$EH$5,"="&amp;H$5,'Monthly Pro Forma'!$F49:$EH49)</f>
        <v>-58220.319723680026</v>
      </c>
      <c r="I31" s="217">
        <f>SUMIF('Monthly Pro Forma'!$F$5:$EH$5,"="&amp;I$5,'Monthly Pro Forma'!$F49:$EH49)</f>
        <v>-59966.929315390407</v>
      </c>
      <c r="J31" s="217">
        <f>SUMIF('Monthly Pro Forma'!$F$5:$EH$5,"="&amp;J$5,'Monthly Pro Forma'!$F49:$EH49)</f>
        <v>-61765.937194852129</v>
      </c>
      <c r="K31" s="217">
        <f>SUMIF('Monthly Pro Forma'!$F$5:$EH$5,"="&amp;K$5,'Monthly Pro Forma'!$F49:$EH49)</f>
        <v>0</v>
      </c>
      <c r="L31" s="217">
        <f>SUMIF('Monthly Pro Forma'!$F$5:$EH$5,"="&amp;L$5,'Monthly Pro Forma'!$F49:$EH49)</f>
        <v>0</v>
      </c>
      <c r="M31" s="217">
        <f>SUMIF('Monthly Pro Forma'!$F$5:$EH$5,"="&amp;M$5,'Monthly Pro Forma'!$F49:$EH49)</f>
        <v>0</v>
      </c>
      <c r="N31" s="217">
        <f>SUMIF('Monthly Pro Forma'!$F$5:$EH$5,"="&amp;N$5,'Monthly Pro Forma'!$F49:$EH49)</f>
        <v>0</v>
      </c>
      <c r="O31" s="217">
        <f>SUMIF('Monthly Pro Forma'!$F$5:$EH$5,"="&amp;O$5,'Monthly Pro Forma'!$F49:$EH49)</f>
        <v>0</v>
      </c>
    </row>
    <row r="32" spans="1:16" x14ac:dyDescent="0.2">
      <c r="A32" s="217"/>
      <c r="B32" s="258" t="str">
        <f>'Monthly Pro Forma'!B50</f>
        <v>Utilities</v>
      </c>
      <c r="C32" s="217"/>
      <c r="D32" s="259"/>
      <c r="E32" s="217">
        <f>SUMIF('Monthly Pro Forma'!$F$5:$EH$5,"="&amp;E$5,'Monthly Pro Forma'!$F50:$EH50)</f>
        <v>-150038.04</v>
      </c>
      <c r="F32" s="217">
        <f>SUMIF('Monthly Pro Forma'!$F$5:$EH$5,"="&amp;F$5,'Monthly Pro Forma'!$F50:$EH50)</f>
        <v>-154539.18120000002</v>
      </c>
      <c r="G32" s="217">
        <f>SUMIF('Monthly Pro Forma'!$F$5:$EH$5,"="&amp;G$5,'Monthly Pro Forma'!$F50:$EH50)</f>
        <v>-159175.35663600007</v>
      </c>
      <c r="H32" s="217">
        <f>SUMIF('Monthly Pro Forma'!$F$5:$EH$5,"="&amp;H$5,'Monthly Pro Forma'!$F50:$EH50)</f>
        <v>-163950.61733508002</v>
      </c>
      <c r="I32" s="217">
        <f>SUMIF('Monthly Pro Forma'!$F$5:$EH$5,"="&amp;I$5,'Monthly Pro Forma'!$F50:$EH50)</f>
        <v>-168869.13585513242</v>
      </c>
      <c r="J32" s="217">
        <f>SUMIF('Monthly Pro Forma'!$F$5:$EH$5,"="&amp;J$5,'Monthly Pro Forma'!$F50:$EH50)</f>
        <v>-173935.2099307864</v>
      </c>
      <c r="K32" s="217">
        <f>SUMIF('Monthly Pro Forma'!$F$5:$EH$5,"="&amp;K$5,'Monthly Pro Forma'!$F50:$EH50)</f>
        <v>0</v>
      </c>
      <c r="L32" s="217">
        <f>SUMIF('Monthly Pro Forma'!$F$5:$EH$5,"="&amp;L$5,'Monthly Pro Forma'!$F50:$EH50)</f>
        <v>0</v>
      </c>
      <c r="M32" s="217">
        <f>SUMIF('Monthly Pro Forma'!$F$5:$EH$5,"="&amp;M$5,'Monthly Pro Forma'!$F50:$EH50)</f>
        <v>0</v>
      </c>
      <c r="N32" s="217">
        <f>SUMIF('Monthly Pro Forma'!$F$5:$EH$5,"="&amp;N$5,'Monthly Pro Forma'!$F50:$EH50)</f>
        <v>0</v>
      </c>
      <c r="O32" s="217">
        <f>SUMIF('Monthly Pro Forma'!$F$5:$EH$5,"="&amp;O$5,'Monthly Pro Forma'!$F50:$EH50)</f>
        <v>0</v>
      </c>
    </row>
    <row r="33" spans="1:16" x14ac:dyDescent="0.2">
      <c r="A33" s="217"/>
      <c r="B33" s="258" t="str">
        <f>'Monthly Pro Forma'!B51</f>
        <v>Maintenance &amp; Repair</v>
      </c>
      <c r="C33" s="217"/>
      <c r="D33" s="259"/>
      <c r="E33" s="217">
        <f>SUMIF('Monthly Pro Forma'!$F$5:$EH$5,"="&amp;E$5,'Monthly Pro Forma'!$F51:$EH51)</f>
        <v>-171651.55999999997</v>
      </c>
      <c r="F33" s="217">
        <f>SUMIF('Monthly Pro Forma'!$F$5:$EH$5,"="&amp;F$5,'Monthly Pro Forma'!$F51:$EH51)</f>
        <v>-176801.10680000004</v>
      </c>
      <c r="G33" s="217">
        <f>SUMIF('Monthly Pro Forma'!$F$5:$EH$5,"="&amp;G$5,'Monthly Pro Forma'!$F51:$EH51)</f>
        <v>-182105.14000400002</v>
      </c>
      <c r="H33" s="217">
        <f>SUMIF('Monthly Pro Forma'!$F$5:$EH$5,"="&amp;H$5,'Monthly Pro Forma'!$F51:$EH51)</f>
        <v>-187568.29420411994</v>
      </c>
      <c r="I33" s="217">
        <f>SUMIF('Monthly Pro Forma'!$F$5:$EH$5,"="&amp;I$5,'Monthly Pro Forma'!$F51:$EH51)</f>
        <v>-193195.34303024365</v>
      </c>
      <c r="J33" s="217">
        <f>SUMIF('Monthly Pro Forma'!$F$5:$EH$5,"="&amp;J$5,'Monthly Pro Forma'!$F51:$EH51)</f>
        <v>-198991.20332115085</v>
      </c>
      <c r="K33" s="217">
        <f>SUMIF('Monthly Pro Forma'!$F$5:$EH$5,"="&amp;K$5,'Monthly Pro Forma'!$F51:$EH51)</f>
        <v>0</v>
      </c>
      <c r="L33" s="217">
        <f>SUMIF('Monthly Pro Forma'!$F$5:$EH$5,"="&amp;L$5,'Monthly Pro Forma'!$F51:$EH51)</f>
        <v>0</v>
      </c>
      <c r="M33" s="217">
        <f>SUMIF('Monthly Pro Forma'!$F$5:$EH$5,"="&amp;M$5,'Monthly Pro Forma'!$F51:$EH51)</f>
        <v>0</v>
      </c>
      <c r="N33" s="217">
        <f>SUMIF('Monthly Pro Forma'!$F$5:$EH$5,"="&amp;N$5,'Monthly Pro Forma'!$F51:$EH51)</f>
        <v>0</v>
      </c>
      <c r="O33" s="217">
        <f>SUMIF('Monthly Pro Forma'!$F$5:$EH$5,"="&amp;O$5,'Monthly Pro Forma'!$F51:$EH51)</f>
        <v>0</v>
      </c>
    </row>
    <row r="34" spans="1:16" x14ac:dyDescent="0.2">
      <c r="A34" s="217"/>
      <c r="B34" s="258" t="str">
        <f>'Monthly Pro Forma'!B52</f>
        <v xml:space="preserve">Insurance </v>
      </c>
      <c r="C34" s="217"/>
      <c r="D34" s="259"/>
      <c r="E34" s="217">
        <f>SUMIF('Monthly Pro Forma'!$F$5:$EH$5,"="&amp;E$5,'Monthly Pro Forma'!$F52:$EH52)</f>
        <v>-106037.47000000003</v>
      </c>
      <c r="F34" s="217">
        <f>SUMIF('Monthly Pro Forma'!$F$5:$EH$5,"="&amp;F$5,'Monthly Pro Forma'!$F52:$EH52)</f>
        <v>-109218.59410000003</v>
      </c>
      <c r="G34" s="217">
        <f>SUMIF('Monthly Pro Forma'!$F$5:$EH$5,"="&amp;G$5,'Monthly Pro Forma'!$F52:$EH52)</f>
        <v>-112495.15192300004</v>
      </c>
      <c r="H34" s="217">
        <f>SUMIF('Monthly Pro Forma'!$F$5:$EH$5,"="&amp;H$5,'Monthly Pro Forma'!$F52:$EH52)</f>
        <v>-115870.00648068999</v>
      </c>
      <c r="I34" s="217">
        <f>SUMIF('Monthly Pro Forma'!$F$5:$EH$5,"="&amp;I$5,'Monthly Pro Forma'!$F52:$EH52)</f>
        <v>-119346.10667511071</v>
      </c>
      <c r="J34" s="217">
        <f>SUMIF('Monthly Pro Forma'!$F$5:$EH$5,"="&amp;J$5,'Monthly Pro Forma'!$F52:$EH52)</f>
        <v>-122926.48987536402</v>
      </c>
      <c r="K34" s="217">
        <f>SUMIF('Monthly Pro Forma'!$F$5:$EH$5,"="&amp;K$5,'Monthly Pro Forma'!$F52:$EH52)</f>
        <v>0</v>
      </c>
      <c r="L34" s="217">
        <f>SUMIF('Monthly Pro Forma'!$F$5:$EH$5,"="&amp;L$5,'Monthly Pro Forma'!$F52:$EH52)</f>
        <v>0</v>
      </c>
      <c r="M34" s="217">
        <f>SUMIF('Monthly Pro Forma'!$F$5:$EH$5,"="&amp;M$5,'Monthly Pro Forma'!$F52:$EH52)</f>
        <v>0</v>
      </c>
      <c r="N34" s="217">
        <f>SUMIF('Monthly Pro Forma'!$F$5:$EH$5,"="&amp;N$5,'Monthly Pro Forma'!$F52:$EH52)</f>
        <v>0</v>
      </c>
      <c r="O34" s="217">
        <f>SUMIF('Monthly Pro Forma'!$F$5:$EH$5,"="&amp;O$5,'Monthly Pro Forma'!$F52:$EH52)</f>
        <v>0</v>
      </c>
    </row>
    <row r="35" spans="1:16" x14ac:dyDescent="0.2">
      <c r="A35" s="217"/>
      <c r="B35" s="258" t="str">
        <f>'Monthly Pro Forma'!B53</f>
        <v>Property Taxes</v>
      </c>
      <c r="C35" s="217"/>
      <c r="D35" s="259"/>
      <c r="E35" s="217">
        <f>SUMIF('Monthly Pro Forma'!$F$5:$EH$5,"="&amp;E$5,'Monthly Pro Forma'!$F53:$EH53)</f>
        <v>-305000</v>
      </c>
      <c r="F35" s="217">
        <f>SUMIF('Monthly Pro Forma'!$F$5:$EH$5,"="&amp;F$5,'Monthly Pro Forma'!$F53:$EH53)</f>
        <v>-411750</v>
      </c>
      <c r="G35" s="217">
        <f>SUMIF('Monthly Pro Forma'!$F$5:$EH$5,"="&amp;G$5,'Monthly Pro Forma'!$F53:$EH53)</f>
        <v>-419985</v>
      </c>
      <c r="H35" s="217">
        <f>SUMIF('Monthly Pro Forma'!$F$5:$EH$5,"="&amp;H$5,'Monthly Pro Forma'!$F53:$EH53)</f>
        <v>-428384.6999999999</v>
      </c>
      <c r="I35" s="217">
        <f>SUMIF('Monthly Pro Forma'!$F$5:$EH$5,"="&amp;I$5,'Monthly Pro Forma'!$F53:$EH53)</f>
        <v>-436952.39399999991</v>
      </c>
      <c r="J35" s="217">
        <f>SUMIF('Monthly Pro Forma'!$F$5:$EH$5,"="&amp;J$5,'Monthly Pro Forma'!$F53:$EH53)</f>
        <v>-445691.44188</v>
      </c>
      <c r="K35" s="217">
        <f>SUMIF('Monthly Pro Forma'!$F$5:$EH$5,"="&amp;K$5,'Monthly Pro Forma'!$F53:$EH53)</f>
        <v>0</v>
      </c>
      <c r="L35" s="217">
        <f>SUMIF('Monthly Pro Forma'!$F$5:$EH$5,"="&amp;L$5,'Monthly Pro Forma'!$F53:$EH53)</f>
        <v>0</v>
      </c>
      <c r="M35" s="217">
        <f>SUMIF('Monthly Pro Forma'!$F$5:$EH$5,"="&amp;M$5,'Monthly Pro Forma'!$F53:$EH53)</f>
        <v>0</v>
      </c>
      <c r="N35" s="217">
        <f>SUMIF('Monthly Pro Forma'!$F$5:$EH$5,"="&amp;N$5,'Monthly Pro Forma'!$F53:$EH53)</f>
        <v>0</v>
      </c>
      <c r="O35" s="217">
        <f>SUMIF('Monthly Pro Forma'!$F$5:$EH$5,"="&amp;O$5,'Monthly Pro Forma'!$F53:$EH53)</f>
        <v>0</v>
      </c>
    </row>
    <row r="36" spans="1:16" x14ac:dyDescent="0.2">
      <c r="A36" s="217"/>
      <c r="B36" s="261" t="str">
        <f>'Monthly Pro Forma'!B54</f>
        <v>Total Expenses</v>
      </c>
      <c r="C36" s="262"/>
      <c r="D36" s="266"/>
      <c r="E36" s="264">
        <f ca="1">SUMIF('Monthly Pro Forma'!$F$5:$EH$5,"="&amp;E$5,'Monthly Pro Forma'!$F54:$EH54)</f>
        <v>-1415599.9703247964</v>
      </c>
      <c r="F36" s="264">
        <f ca="1">SUMIF('Monthly Pro Forma'!$F$5:$EH$5,"="&amp;F$5,'Monthly Pro Forma'!$F54:$EH54)</f>
        <v>-1569906.3625459773</v>
      </c>
      <c r="G36" s="264">
        <f ca="1">SUMIF('Monthly Pro Forma'!$F$5:$EH$5,"="&amp;G$5,'Monthly Pro Forma'!$F54:$EH54)</f>
        <v>-1625870.4363471423</v>
      </c>
      <c r="H36" s="264">
        <f ca="1">SUMIF('Monthly Pro Forma'!$F$5:$EH$5,"="&amp;H$5,'Monthly Pro Forma'!$F54:$EH54)</f>
        <v>-1673839.0181126154</v>
      </c>
      <c r="I36" s="264">
        <f ca="1">SUMIF('Monthly Pro Forma'!$F$5:$EH$5,"="&amp;I$5,'Monthly Pro Forma'!$F54:$EH54)</f>
        <v>-1721353.6500545328</v>
      </c>
      <c r="J36" s="264">
        <f ca="1">SUMIF('Monthly Pro Forma'!$F$5:$EH$5,"="&amp;J$5,'Monthly Pro Forma'!$F54:$EH54)</f>
        <v>-1770271.1157049194</v>
      </c>
      <c r="K36" s="264">
        <f>SUMIF('Monthly Pro Forma'!$F$5:$EH$5,"="&amp;K$5,'Monthly Pro Forma'!$F54:$EH54)</f>
        <v>0</v>
      </c>
      <c r="L36" s="264">
        <f>SUMIF('Monthly Pro Forma'!$F$5:$EH$5,"="&amp;L$5,'Monthly Pro Forma'!$F54:$EH54)</f>
        <v>0</v>
      </c>
      <c r="M36" s="264">
        <f>SUMIF('Monthly Pro Forma'!$F$5:$EH$5,"="&amp;M$5,'Monthly Pro Forma'!$F54:$EH54)</f>
        <v>0</v>
      </c>
      <c r="N36" s="264">
        <f>SUMIF('Monthly Pro Forma'!$F$5:$EH$5,"="&amp;N$5,'Monthly Pro Forma'!$F54:$EH54)</f>
        <v>0</v>
      </c>
      <c r="O36" s="264">
        <f>SUMIF('Monthly Pro Forma'!$F$5:$EH$5,"="&amp;O$5,'Monthly Pro Forma'!$F54:$EH54)</f>
        <v>0</v>
      </c>
    </row>
    <row r="37" spans="1:16" x14ac:dyDescent="0.2">
      <c r="A37" s="217"/>
      <c r="B37" s="162"/>
      <c r="C37" s="217"/>
      <c r="D37" s="267"/>
      <c r="E37" s="217"/>
      <c r="F37" s="217"/>
      <c r="G37" s="217"/>
      <c r="H37" s="217"/>
      <c r="I37" s="217"/>
      <c r="J37" s="217"/>
      <c r="K37" s="217"/>
      <c r="L37" s="217"/>
      <c r="M37" s="217"/>
      <c r="N37" s="268"/>
      <c r="O37" s="217"/>
    </row>
    <row r="38" spans="1:16" s="145" customFormat="1" x14ac:dyDescent="0.2">
      <c r="A38" s="262"/>
      <c r="B38" s="218" t="str">
        <f>'Monthly Pro Forma'!B56</f>
        <v>Net Operating Income</v>
      </c>
      <c r="C38" s="221"/>
      <c r="D38" s="265">
        <f>D24+D36</f>
        <v>0</v>
      </c>
      <c r="E38" s="219">
        <f ca="1">SUMIF('Monthly Pro Forma'!$F$5:$EH$5,"="&amp;E$5,'Monthly Pro Forma'!$F56:$EH56)</f>
        <v>2724049.2838350832</v>
      </c>
      <c r="F38" s="219">
        <f ca="1">SUMIF('Monthly Pro Forma'!$F$5:$EH$5,"="&amp;F$5,'Monthly Pro Forma'!$F56:$EH56)</f>
        <v>3168545.4729532609</v>
      </c>
      <c r="G38" s="219">
        <f ca="1">SUMIF('Monthly Pro Forma'!$F$5:$EH$5,"="&amp;G$5,'Monthly Pro Forma'!$F56:$EH56)</f>
        <v>3687547.7183765918</v>
      </c>
      <c r="H38" s="219">
        <f ca="1">SUMIF('Monthly Pro Forma'!$F$5:$EH$5,"="&amp;H$5,'Monthly Pro Forma'!$F56:$EH56)</f>
        <v>3912058.9704214479</v>
      </c>
      <c r="I38" s="219">
        <f ca="1">SUMIF('Monthly Pro Forma'!$F$5:$EH$5,"="&amp;I$5,'Monthly Pro Forma'!$F56:$EH56)</f>
        <v>4084898.2247535461</v>
      </c>
      <c r="J38" s="219">
        <f ca="1">SUMIF('Monthly Pro Forma'!$F$5:$EH$5,"="&amp;J$5,'Monthly Pro Forma'!$F56:$EH56)</f>
        <v>4265047.6516390881</v>
      </c>
      <c r="K38" s="219">
        <f>SUMIF('Monthly Pro Forma'!$F$5:$EH$5,"="&amp;K$5,'Monthly Pro Forma'!$F56:$EH56)</f>
        <v>0</v>
      </c>
      <c r="L38" s="219">
        <f>SUMIF('Monthly Pro Forma'!$F$5:$EH$5,"="&amp;L$5,'Monthly Pro Forma'!$F56:$EH56)</f>
        <v>0</v>
      </c>
      <c r="M38" s="219">
        <f>SUMIF('Monthly Pro Forma'!$F$5:$EH$5,"="&amp;M$5,'Monthly Pro Forma'!$F56:$EH56)</f>
        <v>0</v>
      </c>
      <c r="N38" s="219">
        <f>SUMIF('Monthly Pro Forma'!$F$5:$EH$5,"="&amp;N$5,'Monthly Pro Forma'!$F56:$EH56)</f>
        <v>0</v>
      </c>
      <c r="O38" s="219">
        <f>SUMIF('Monthly Pro Forma'!$F$5:$EH$5,"="&amp;O$5,'Monthly Pro Forma'!$F56:$EH56)</f>
        <v>0</v>
      </c>
      <c r="P38" s="144"/>
    </row>
    <row r="39" spans="1:16" x14ac:dyDescent="0.2">
      <c r="A39" s="217"/>
      <c r="B39" s="269"/>
      <c r="C39" s="259"/>
      <c r="E39" s="270"/>
      <c r="F39" s="271"/>
      <c r="G39" s="271"/>
      <c r="H39" s="271"/>
      <c r="I39" s="271"/>
      <c r="J39" s="271"/>
      <c r="K39" s="271"/>
      <c r="L39" s="271"/>
      <c r="M39" s="271"/>
      <c r="N39" s="271"/>
      <c r="O39" s="272"/>
    </row>
    <row r="40" spans="1:16" x14ac:dyDescent="0.2">
      <c r="A40" s="217"/>
      <c r="B40" s="255" t="str">
        <f>'Monthly Pro Forma'!B58</f>
        <v>NON-OPERATING EXPENSES</v>
      </c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</row>
    <row r="41" spans="1:16" x14ac:dyDescent="0.2">
      <c r="A41" s="217"/>
      <c r="B41" s="258" t="str">
        <f>'Monthly Pro Forma'!B59</f>
        <v>Replacement Reserves</v>
      </c>
      <c r="C41" s="217"/>
      <c r="D41" s="217">
        <f>SUMIF('Monthly Pro Forma'!$F$5:$EH$5,"="&amp;D$5,'Monthly Pro Forma'!$F59:$EH59)</f>
        <v>0</v>
      </c>
      <c r="E41" s="217">
        <f>SUMIF('Monthly Pro Forma'!$F$5:$EH$5,"="&amp;E$5,'Monthly Pro Forma'!$F59:$EH59)</f>
        <v>-48800</v>
      </c>
      <c r="F41" s="217">
        <f>SUMIF('Monthly Pro Forma'!$F$5:$EH$5,"="&amp;F$5,'Monthly Pro Forma'!$F59:$EH59)</f>
        <v>-48800</v>
      </c>
      <c r="G41" s="217">
        <f>SUMIF('Monthly Pro Forma'!$F$5:$EH$5,"="&amp;G$5,'Monthly Pro Forma'!$F59:$EH59)</f>
        <v>-48800</v>
      </c>
      <c r="H41" s="217">
        <f>SUMIF('Monthly Pro Forma'!$F$5:$EH$5,"="&amp;H$5,'Monthly Pro Forma'!$F59:$EH59)</f>
        <v>-48800</v>
      </c>
      <c r="I41" s="217">
        <f>SUMIF('Monthly Pro Forma'!$F$5:$EH$5,"="&amp;I$5,'Monthly Pro Forma'!$F59:$EH59)</f>
        <v>-48800</v>
      </c>
      <c r="J41" s="217">
        <f>SUMIF('Monthly Pro Forma'!$F$5:$EH$5,"="&amp;J$5,'Monthly Pro Forma'!$F59:$EH59)</f>
        <v>0</v>
      </c>
      <c r="K41" s="217">
        <f>SUMIF('Monthly Pro Forma'!$F$5:$EH$5,"="&amp;K$5,'Monthly Pro Forma'!$F59:$EH59)</f>
        <v>0</v>
      </c>
      <c r="L41" s="217">
        <f>SUMIF('Monthly Pro Forma'!$F$5:$EH$5,"="&amp;L$5,'Monthly Pro Forma'!$F59:$EH59)</f>
        <v>0</v>
      </c>
      <c r="M41" s="217">
        <f>SUMIF('Monthly Pro Forma'!$F$5:$EH$5,"="&amp;M$5,'Monthly Pro Forma'!$F59:$EH59)</f>
        <v>0</v>
      </c>
      <c r="N41" s="217">
        <f>SUMIF('Monthly Pro Forma'!$F$5:$EH$5,"="&amp;N$5,'Monthly Pro Forma'!$F59:$EH59)</f>
        <v>0</v>
      </c>
      <c r="O41" s="217">
        <f>SUMIF('Monthly Pro Forma'!$F$5:$EH$5,"="&amp;O$5,'Monthly Pro Forma'!$F59:$EH59)</f>
        <v>0</v>
      </c>
    </row>
    <row r="42" spans="1:16" x14ac:dyDescent="0.2">
      <c r="A42" s="217"/>
      <c r="B42" s="258" t="str">
        <f>'Monthly Pro Forma'!B60</f>
        <v>Capital Improvements</v>
      </c>
      <c r="C42" s="217"/>
      <c r="D42" s="217">
        <f>SUMIF('Monthly Pro Forma'!$F$5:$EH$5,"="&amp;D$5,'Monthly Pro Forma'!$F60:$EH60)+SUMIF('Monthly Pro Forma'!$F$5:$EH$5,'Annual Pro Forma'!D5,'Monthly Pro Forma'!$F$61:$EH$61)</f>
        <v>0</v>
      </c>
      <c r="E42" s="217">
        <f>SUMIF('Monthly Pro Forma'!$F$5:$EH$5,"="&amp;E$5,'Monthly Pro Forma'!$F60:$EH60)+SUMIF('Monthly Pro Forma'!$F$5:$EH$5,'Annual Pro Forma'!E5,'Monthly Pro Forma'!$F$61:$EH$61)</f>
        <v>-510256.41025634058</v>
      </c>
      <c r="F42" s="217">
        <f>SUMIF('Monthly Pro Forma'!$F$5:$EH$5,"="&amp;F$5,'Monthly Pro Forma'!$F60:$EH60)+SUMIF('Monthly Pro Forma'!$F$5:$EH$5,'Annual Pro Forma'!F5,'Monthly Pro Forma'!$F$61:$EH$61)</f>
        <v>-502051.28205128206</v>
      </c>
      <c r="G42" s="217">
        <f>SUMIF('Monthly Pro Forma'!$F$5:$EH$5,"="&amp;G$5,'Monthly Pro Forma'!$F60:$EH60)+SUMIF('Monthly Pro Forma'!$F$5:$EH$5,'Annual Pro Forma'!G5,'Monthly Pro Forma'!$F$61:$EH$61)</f>
        <v>-287692.30769230763</v>
      </c>
      <c r="H42" s="217">
        <f>SUMIF('Monthly Pro Forma'!$F$5:$EH$5,"="&amp;H$5,'Monthly Pro Forma'!$F60:$EH60)+SUMIF('Monthly Pro Forma'!$F$5:$EH$5,'Annual Pro Forma'!H5,'Monthly Pro Forma'!$F$61:$EH$61)</f>
        <v>0</v>
      </c>
      <c r="I42" s="217">
        <f>SUMIF('Monthly Pro Forma'!$F$5:$EH$5,"="&amp;I$5,'Monthly Pro Forma'!$F60:$EH60)+SUMIF('Monthly Pro Forma'!$F$5:$EH$5,'Annual Pro Forma'!I5,'Monthly Pro Forma'!$F$61:$EH$61)</f>
        <v>0</v>
      </c>
      <c r="J42" s="217">
        <f>SUMIF('Monthly Pro Forma'!$F$5:$EH$5,"="&amp;J$5,'Monthly Pro Forma'!$F60:$EH60)+SUMIF('Monthly Pro Forma'!$F$5:$EH$5,'Annual Pro Forma'!J5,'Monthly Pro Forma'!$F$61:$EH$61)</f>
        <v>0</v>
      </c>
      <c r="K42" s="217">
        <f>SUMIF('Monthly Pro Forma'!$F$5:$EH$5,"="&amp;K$5,'Monthly Pro Forma'!$F60:$EH60)+SUMIF('Monthly Pro Forma'!$F$5:$EH$5,'Annual Pro Forma'!K5,'Monthly Pro Forma'!$F$61:$EH$61)</f>
        <v>0</v>
      </c>
      <c r="L42" s="217">
        <f>SUMIF('Monthly Pro Forma'!$F$5:$EH$5,"="&amp;L$5,'Monthly Pro Forma'!$F60:$EH60)+SUMIF('Monthly Pro Forma'!$F$5:$EH$5,'Annual Pro Forma'!L5,'Monthly Pro Forma'!$F$61:$EH$61)</f>
        <v>0</v>
      </c>
      <c r="M42" s="217">
        <f>SUMIF('Monthly Pro Forma'!$F$5:$EH$5,"="&amp;M$5,'Monthly Pro Forma'!$F60:$EH60)+SUMIF('Monthly Pro Forma'!$F$5:$EH$5,'Annual Pro Forma'!M5,'Monthly Pro Forma'!$F$61:$EH$61)</f>
        <v>0</v>
      </c>
      <c r="N42" s="217">
        <f>SUMIF('Monthly Pro Forma'!$F$5:$EH$5,"="&amp;N$5,'Monthly Pro Forma'!$F60:$EH60)+SUMIF('Monthly Pro Forma'!$F$5:$EH$5,'Annual Pro Forma'!N5,'Monthly Pro Forma'!$F$61:$EH$61)</f>
        <v>0</v>
      </c>
      <c r="O42" s="217">
        <f>SUMIF('Monthly Pro Forma'!$F$5:$EH$5,"="&amp;O$5,'Monthly Pro Forma'!$F60:$EH60)+SUMIF('Monthly Pro Forma'!$F$5:$EH$5,'Annual Pro Forma'!O5,'Monthly Pro Forma'!$F$61:$EH$61)</f>
        <v>0</v>
      </c>
    </row>
    <row r="43" spans="1:16" x14ac:dyDescent="0.2">
      <c r="A43" s="217"/>
      <c r="B43" s="258" t="str">
        <f>'Monthly Pro Forma'!B62</f>
        <v>Asset Management Fee</v>
      </c>
      <c r="C43" s="217"/>
      <c r="D43" s="217">
        <f>SUMIF('Monthly Pro Forma'!$F$5:$EH$5,"="&amp;D$5,'Monthly Pro Forma'!$F62:$EH62)</f>
        <v>0</v>
      </c>
      <c r="E43" s="217">
        <f ca="1">SUMIF('Monthly Pro Forma'!$F$5:$EH$5,"="&amp;E$5,'Monthly Pro Forma'!$F62:$EH62)</f>
        <v>0</v>
      </c>
      <c r="F43" s="217">
        <f ca="1">SUMIF('Monthly Pro Forma'!$F$5:$EH$5,"="&amp;F$5,'Monthly Pro Forma'!$F62:$EH62)</f>
        <v>0</v>
      </c>
      <c r="G43" s="217">
        <f ca="1">SUMIF('Monthly Pro Forma'!$F$5:$EH$5,"="&amp;G$5,'Monthly Pro Forma'!$F62:$EH62)</f>
        <v>0</v>
      </c>
      <c r="H43" s="217">
        <f ca="1">SUMIF('Monthly Pro Forma'!$F$5:$EH$5,"="&amp;H$5,'Monthly Pro Forma'!$F62:$EH62)</f>
        <v>0</v>
      </c>
      <c r="I43" s="217">
        <f ca="1">SUMIF('Monthly Pro Forma'!$F$5:$EH$5,"="&amp;I$5,'Monthly Pro Forma'!$F62:$EH62)</f>
        <v>0</v>
      </c>
      <c r="J43" s="217">
        <f>SUMIF('Monthly Pro Forma'!$F$5:$EH$5,"="&amp;J$5,'Monthly Pro Forma'!$F62:$EH62)</f>
        <v>0</v>
      </c>
      <c r="K43" s="217">
        <f>SUMIF('Monthly Pro Forma'!$F$5:$EH$5,"="&amp;K$5,'Monthly Pro Forma'!$F62:$EH62)</f>
        <v>0</v>
      </c>
      <c r="L43" s="217">
        <f>SUMIF('Monthly Pro Forma'!$F$5:$EH$5,"="&amp;L$5,'Monthly Pro Forma'!$F62:$EH62)</f>
        <v>0</v>
      </c>
      <c r="M43" s="217">
        <f>SUMIF('Monthly Pro Forma'!$F$5:$EH$5,"="&amp;M$5,'Monthly Pro Forma'!$F62:$EH62)</f>
        <v>0</v>
      </c>
      <c r="N43" s="217">
        <f>SUMIF('Monthly Pro Forma'!$F$5:$EH$5,"="&amp;N$5,'Monthly Pro Forma'!$F62:$EH62)</f>
        <v>0</v>
      </c>
      <c r="O43" s="217">
        <f>SUMIF('Monthly Pro Forma'!$F$5:$EH$5,"="&amp;O$5,'Monthly Pro Forma'!$F62:$EH62)</f>
        <v>0</v>
      </c>
    </row>
    <row r="44" spans="1:16" x14ac:dyDescent="0.2">
      <c r="A44" s="217"/>
      <c r="B44" s="261" t="str">
        <f>'Monthly Pro Forma'!B63</f>
        <v>Total Non-Operating Expenses</v>
      </c>
      <c r="C44" s="262"/>
      <c r="D44" s="264">
        <f>SUMIF('Monthly Pro Forma'!$F$5:$EH$5,"="&amp;D$5,'Monthly Pro Forma'!$F63:$EH63)</f>
        <v>0</v>
      </c>
      <c r="E44" s="264">
        <f ca="1">SUMIF('Monthly Pro Forma'!$F$5:$EH$5,"="&amp;E$5,'Monthly Pro Forma'!$F63:$EH63)</f>
        <v>-559056.41025634063</v>
      </c>
      <c r="F44" s="264">
        <f ca="1">SUMIF('Monthly Pro Forma'!$F$5:$EH$5,"="&amp;F$5,'Monthly Pro Forma'!$F63:$EH63)</f>
        <v>-550851.282051282</v>
      </c>
      <c r="G44" s="264">
        <f ca="1">SUMIF('Monthly Pro Forma'!$F$5:$EH$5,"="&amp;G$5,'Monthly Pro Forma'!$F63:$EH63)</f>
        <v>-336492.30769230775</v>
      </c>
      <c r="H44" s="264">
        <f ca="1">SUMIF('Monthly Pro Forma'!$F$5:$EH$5,"="&amp;H$5,'Monthly Pro Forma'!$F63:$EH63)</f>
        <v>-48800</v>
      </c>
      <c r="I44" s="264">
        <f ca="1">SUMIF('Monthly Pro Forma'!$F$5:$EH$5,"="&amp;I$5,'Monthly Pro Forma'!$F63:$EH63)</f>
        <v>-48800</v>
      </c>
      <c r="J44" s="264">
        <f>SUMIF('Monthly Pro Forma'!$F$5:$EH$5,"="&amp;J$5,'Monthly Pro Forma'!$F63:$EH63)</f>
        <v>0</v>
      </c>
      <c r="K44" s="264">
        <f>SUMIF('Monthly Pro Forma'!$F$5:$EH$5,"="&amp;K$5,'Monthly Pro Forma'!$F63:$EH63)</f>
        <v>0</v>
      </c>
      <c r="L44" s="264">
        <f>SUMIF('Monthly Pro Forma'!$F$5:$EH$5,"="&amp;L$5,'Monthly Pro Forma'!$F63:$EH63)</f>
        <v>0</v>
      </c>
      <c r="M44" s="264">
        <f>SUMIF('Monthly Pro Forma'!$F$5:$EH$5,"="&amp;M$5,'Monthly Pro Forma'!$F63:$EH63)</f>
        <v>0</v>
      </c>
      <c r="N44" s="264">
        <f>SUMIF('Monthly Pro Forma'!$F$5:$EH$5,"="&amp;N$5,'Monthly Pro Forma'!$F63:$EH63)</f>
        <v>0</v>
      </c>
      <c r="O44" s="264">
        <f>SUMIF('Monthly Pro Forma'!$F$5:$EH$5,"="&amp;O$5,'Monthly Pro Forma'!$F63:$EH63)</f>
        <v>0</v>
      </c>
    </row>
    <row r="45" spans="1:16" x14ac:dyDescent="0.2">
      <c r="A45" s="217"/>
      <c r="B45" s="209"/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217"/>
      <c r="N45" s="217"/>
      <c r="O45" s="217"/>
    </row>
    <row r="46" spans="1:16" x14ac:dyDescent="0.2">
      <c r="A46" s="217"/>
      <c r="B46" s="255" t="str">
        <f>'Monthly Pro Forma'!B65</f>
        <v>ACQUISITION &amp; SALE</v>
      </c>
      <c r="C46" s="180"/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/>
      <c r="O46" s="180"/>
    </row>
    <row r="47" spans="1:16" x14ac:dyDescent="0.2">
      <c r="A47" s="217"/>
      <c r="B47" s="258" t="str">
        <f>'Monthly Pro Forma'!B66</f>
        <v>Acquisition Cost</v>
      </c>
      <c r="C47" s="217"/>
      <c r="D47" s="217">
        <f>SUMIF('Monthly Pro Forma'!$F$5:$EH$5,"="&amp;D$5,'Monthly Pro Forma'!$F66:$EH66)</f>
        <v>-50000000</v>
      </c>
      <c r="E47" s="217">
        <f>SUMIF('Monthly Pro Forma'!$F$5:$EH$5,"="&amp;E$5,'Monthly Pro Forma'!$F66:$EH66)</f>
        <v>0</v>
      </c>
      <c r="F47" s="217">
        <f>SUMIF('Monthly Pro Forma'!$F$5:$EH$5,"="&amp;F$5,'Monthly Pro Forma'!$F66:$EH66)</f>
        <v>0</v>
      </c>
      <c r="G47" s="217">
        <f>SUMIF('Monthly Pro Forma'!$F$5:$EH$5,"="&amp;G$5,'Monthly Pro Forma'!$F66:$EH66)</f>
        <v>0</v>
      </c>
      <c r="H47" s="217">
        <f>SUMIF('Monthly Pro Forma'!$F$5:$EH$5,"="&amp;H$5,'Monthly Pro Forma'!$F66:$EH66)</f>
        <v>0</v>
      </c>
      <c r="I47" s="217">
        <f>SUMIF('Monthly Pro Forma'!$F$5:$EH$5,"="&amp;I$5,'Monthly Pro Forma'!$F66:$EH66)</f>
        <v>0</v>
      </c>
      <c r="J47" s="217">
        <f>SUMIF('Monthly Pro Forma'!$F$5:$EH$5,"="&amp;J$5,'Monthly Pro Forma'!$F66:$EH66)</f>
        <v>0</v>
      </c>
      <c r="K47" s="217">
        <f>SUMIF('Monthly Pro Forma'!$F$5:$EH$5,"="&amp;K$5,'Monthly Pro Forma'!$F66:$EH66)</f>
        <v>0</v>
      </c>
      <c r="L47" s="217">
        <f>SUMIF('Monthly Pro Forma'!$F$5:$EH$5,"="&amp;L$5,'Monthly Pro Forma'!$F66:$EH66)</f>
        <v>0</v>
      </c>
      <c r="M47" s="217">
        <f>SUMIF('Monthly Pro Forma'!$F$5:$EH$5,"="&amp;M$5,'Monthly Pro Forma'!$F66:$EH66)</f>
        <v>0</v>
      </c>
      <c r="N47" s="217">
        <f>SUMIF('Monthly Pro Forma'!$F$5:$EH$5,"="&amp;N$5,'Monthly Pro Forma'!$F66:$EH66)</f>
        <v>0</v>
      </c>
      <c r="O47" s="217">
        <f>SUMIF('Monthly Pro Forma'!$F$5:$EH$5,"="&amp;O$5,'Monthly Pro Forma'!$F66:$EH66)</f>
        <v>0</v>
      </c>
    </row>
    <row r="48" spans="1:16" x14ac:dyDescent="0.2">
      <c r="A48" s="217"/>
      <c r="B48" s="258" t="str">
        <f>'Monthly Pro Forma'!B67</f>
        <v>Closing Costs</v>
      </c>
      <c r="C48" s="217"/>
      <c r="D48" s="217">
        <f>SUMIF('Monthly Pro Forma'!$F$5:$EH$5,"="&amp;D$5,'Monthly Pro Forma'!$F67:$EH67)</f>
        <v>-860900</v>
      </c>
      <c r="E48" s="217">
        <f>SUMIF('Monthly Pro Forma'!$F$5:$EH$5,"="&amp;E$5,'Monthly Pro Forma'!$F67:$EH67)</f>
        <v>0</v>
      </c>
      <c r="F48" s="217">
        <f>SUMIF('Monthly Pro Forma'!$F$5:$EH$5,"="&amp;F$5,'Monthly Pro Forma'!$F67:$EH67)</f>
        <v>0</v>
      </c>
      <c r="G48" s="217">
        <f>SUMIF('Monthly Pro Forma'!$F$5:$EH$5,"="&amp;G$5,'Monthly Pro Forma'!$F67:$EH67)</f>
        <v>0</v>
      </c>
      <c r="H48" s="217">
        <f>SUMIF('Monthly Pro Forma'!$F$5:$EH$5,"="&amp;H$5,'Monthly Pro Forma'!$F67:$EH67)</f>
        <v>0</v>
      </c>
      <c r="I48" s="217">
        <f>SUMIF('Monthly Pro Forma'!$F$5:$EH$5,"="&amp;I$5,'Monthly Pro Forma'!$F67:$EH67)</f>
        <v>0</v>
      </c>
      <c r="J48" s="217">
        <f>SUMIF('Monthly Pro Forma'!$F$5:$EH$5,"="&amp;J$5,'Monthly Pro Forma'!$F67:$EH67)</f>
        <v>0</v>
      </c>
      <c r="K48" s="217">
        <f>SUMIF('Monthly Pro Forma'!$F$5:$EH$5,"="&amp;K$5,'Monthly Pro Forma'!$F67:$EH67)</f>
        <v>0</v>
      </c>
      <c r="L48" s="217">
        <f>SUMIF('Monthly Pro Forma'!$F$5:$EH$5,"="&amp;L$5,'Monthly Pro Forma'!$F67:$EH67)</f>
        <v>0</v>
      </c>
      <c r="M48" s="217">
        <f>SUMIF('Monthly Pro Forma'!$F$5:$EH$5,"="&amp;M$5,'Monthly Pro Forma'!$F67:$EH67)</f>
        <v>0</v>
      </c>
      <c r="N48" s="217">
        <f>SUMIF('Monthly Pro Forma'!$F$5:$EH$5,"="&amp;N$5,'Monthly Pro Forma'!$F67:$EH67)</f>
        <v>0</v>
      </c>
      <c r="O48" s="217">
        <f>SUMIF('Monthly Pro Forma'!$F$5:$EH$5,"="&amp;O$5,'Monthly Pro Forma'!$F67:$EH67)</f>
        <v>0</v>
      </c>
    </row>
    <row r="49" spans="1:16" x14ac:dyDescent="0.2">
      <c r="A49" s="217"/>
      <c r="B49" s="258" t="str">
        <f>'Monthly Pro Forma'!B68</f>
        <v>Sale Price</v>
      </c>
      <c r="C49" s="217"/>
      <c r="D49" s="217">
        <f>SUMIF('Monthly Pro Forma'!$F$5:$EH$5,"="&amp;D$5,'Monthly Pro Forma'!$F68:$EH68)</f>
        <v>0</v>
      </c>
      <c r="E49" s="217">
        <f>SUMIF('Monthly Pro Forma'!$F$5:$EH$5,"="&amp;E$5,'Monthly Pro Forma'!$F68:$EH68)</f>
        <v>0</v>
      </c>
      <c r="F49" s="217">
        <f>SUMIF('Monthly Pro Forma'!$F$5:$EH$5,"="&amp;F$5,'Monthly Pro Forma'!$F68:$EH68)</f>
        <v>0</v>
      </c>
      <c r="G49" s="217">
        <f>SUMIF('Monthly Pro Forma'!$F$5:$EH$5,"="&amp;G$5,'Monthly Pro Forma'!$F68:$EH68)</f>
        <v>0</v>
      </c>
      <c r="H49" s="217">
        <f>SUMIF('Monthly Pro Forma'!$F$5:$EH$5,"="&amp;H$5,'Monthly Pro Forma'!$F68:$EH68)</f>
        <v>0</v>
      </c>
      <c r="I49" s="217">
        <f ca="1">SUMIF('Monthly Pro Forma'!$F$5:$EH$5,"="&amp;I$5,'Monthly Pro Forma'!$F68:$EH68)</f>
        <v>85300953.03278175</v>
      </c>
      <c r="J49" s="217">
        <f>SUMIF('Monthly Pro Forma'!$F$5:$EH$5,"="&amp;J$5,'Monthly Pro Forma'!$F68:$EH68)</f>
        <v>0</v>
      </c>
      <c r="K49" s="217">
        <f>SUMIF('Monthly Pro Forma'!$F$5:$EH$5,"="&amp;K$5,'Monthly Pro Forma'!$F68:$EH68)</f>
        <v>0</v>
      </c>
      <c r="L49" s="217">
        <f>SUMIF('Monthly Pro Forma'!$F$5:$EH$5,"="&amp;L$5,'Monthly Pro Forma'!$F68:$EH68)</f>
        <v>0</v>
      </c>
      <c r="M49" s="217">
        <f>SUMIF('Monthly Pro Forma'!$F$5:$EH$5,"="&amp;M$5,'Monthly Pro Forma'!$F68:$EH68)</f>
        <v>0</v>
      </c>
      <c r="N49" s="217">
        <f>SUMIF('Monthly Pro Forma'!$F$5:$EH$5,"="&amp;N$5,'Monthly Pro Forma'!$F68:$EH68)</f>
        <v>0</v>
      </c>
      <c r="O49" s="217">
        <f>SUMIF('Monthly Pro Forma'!$F$5:$EH$5,"="&amp;O$5,'Monthly Pro Forma'!$F68:$EH68)</f>
        <v>0</v>
      </c>
    </row>
    <row r="50" spans="1:16" x14ac:dyDescent="0.2">
      <c r="A50" s="217"/>
      <c r="B50" s="258" t="str">
        <f>'Monthly Pro Forma'!B69</f>
        <v>Costs of Sale</v>
      </c>
      <c r="C50" s="217"/>
      <c r="D50" s="217">
        <f>SUMIF('Monthly Pro Forma'!$F$5:$EH$5,"="&amp;D$5,'Monthly Pro Forma'!$F69:$EH69)</f>
        <v>0</v>
      </c>
      <c r="E50" s="217">
        <f>SUMIF('Monthly Pro Forma'!$F$5:$EH$5,"="&amp;E$5,'Monthly Pro Forma'!$F69:$EH69)</f>
        <v>0</v>
      </c>
      <c r="F50" s="217">
        <f>SUMIF('Monthly Pro Forma'!$F$5:$EH$5,"="&amp;F$5,'Monthly Pro Forma'!$F69:$EH69)</f>
        <v>0</v>
      </c>
      <c r="G50" s="217">
        <f>SUMIF('Monthly Pro Forma'!$F$5:$EH$5,"="&amp;G$5,'Monthly Pro Forma'!$F69:$EH69)</f>
        <v>0</v>
      </c>
      <c r="H50" s="217">
        <f>SUMIF('Monthly Pro Forma'!$F$5:$EH$5,"="&amp;H$5,'Monthly Pro Forma'!$F69:$EH69)</f>
        <v>0</v>
      </c>
      <c r="I50" s="217">
        <f ca="1">SUMIF('Monthly Pro Forma'!$F$5:$EH$5,"="&amp;I$5,'Monthly Pro Forma'!$F69:$EH69)</f>
        <v>-1279514.2954917261</v>
      </c>
      <c r="J50" s="217">
        <f>SUMIF('Monthly Pro Forma'!$F$5:$EH$5,"="&amp;J$5,'Monthly Pro Forma'!$F69:$EH69)</f>
        <v>0</v>
      </c>
      <c r="K50" s="217">
        <f>SUMIF('Monthly Pro Forma'!$F$5:$EH$5,"="&amp;K$5,'Monthly Pro Forma'!$F69:$EH69)</f>
        <v>0</v>
      </c>
      <c r="L50" s="217">
        <f>SUMIF('Monthly Pro Forma'!$F$5:$EH$5,"="&amp;L$5,'Monthly Pro Forma'!$F69:$EH69)</f>
        <v>0</v>
      </c>
      <c r="M50" s="217">
        <f>SUMIF('Monthly Pro Forma'!$F$5:$EH$5,"="&amp;M$5,'Monthly Pro Forma'!$F69:$EH69)</f>
        <v>0</v>
      </c>
      <c r="N50" s="217">
        <f>SUMIF('Monthly Pro Forma'!$F$5:$EH$5,"="&amp;N$5,'Monthly Pro Forma'!$F69:$EH69)</f>
        <v>0</v>
      </c>
      <c r="O50" s="217">
        <f>SUMIF('Monthly Pro Forma'!$F$5:$EH$5,"="&amp;O$5,'Monthly Pro Forma'!$F69:$EH69)</f>
        <v>0</v>
      </c>
    </row>
    <row r="51" spans="1:16" x14ac:dyDescent="0.2">
      <c r="A51" s="217"/>
      <c r="B51" s="273" t="str">
        <f>'Monthly Pro Forma'!B70</f>
        <v>Disposition Fee</v>
      </c>
      <c r="C51" s="217"/>
      <c r="D51" s="217">
        <f>SUMIF('Monthly Pro Forma'!$F$5:$EH$5,"="&amp;D$5,'Monthly Pro Forma'!$F70:$EH70)</f>
        <v>0</v>
      </c>
      <c r="E51" s="217">
        <f>SUMIF('Monthly Pro Forma'!$F$5:$EH$5,"="&amp;E$5,'Monthly Pro Forma'!$F70:$EH70)</f>
        <v>0</v>
      </c>
      <c r="F51" s="217">
        <f>SUMIF('Monthly Pro Forma'!$F$5:$EH$5,"="&amp;F$5,'Monthly Pro Forma'!$F70:$EH70)</f>
        <v>0</v>
      </c>
      <c r="G51" s="217">
        <f>SUMIF('Monthly Pro Forma'!$F$5:$EH$5,"="&amp;G$5,'Monthly Pro Forma'!$F70:$EH70)</f>
        <v>0</v>
      </c>
      <c r="H51" s="217">
        <f>SUMIF('Monthly Pro Forma'!$F$5:$EH$5,"="&amp;H$5,'Monthly Pro Forma'!$F70:$EH70)</f>
        <v>0</v>
      </c>
      <c r="I51" s="217">
        <f ca="1">SUMIF('Monthly Pro Forma'!$F$5:$EH$5,"="&amp;I$5,'Monthly Pro Forma'!$F70:$EH70)</f>
        <v>0</v>
      </c>
      <c r="J51" s="217">
        <f>SUMIF('Monthly Pro Forma'!$F$5:$EH$5,"="&amp;J$5,'Monthly Pro Forma'!$F70:$EH70)</f>
        <v>0</v>
      </c>
      <c r="K51" s="217">
        <f>SUMIF('Monthly Pro Forma'!$F$5:$EH$5,"="&amp;K$5,'Monthly Pro Forma'!$F70:$EH70)</f>
        <v>0</v>
      </c>
      <c r="L51" s="217">
        <f>SUMIF('Monthly Pro Forma'!$F$5:$EH$5,"="&amp;L$5,'Monthly Pro Forma'!$F70:$EH70)</f>
        <v>0</v>
      </c>
      <c r="M51" s="217">
        <f>SUMIF('Monthly Pro Forma'!$F$5:$EH$5,"="&amp;M$5,'Monthly Pro Forma'!$F70:$EH70)</f>
        <v>0</v>
      </c>
      <c r="N51" s="217">
        <f>SUMIF('Monthly Pro Forma'!$F$5:$EH$5,"="&amp;N$5,'Monthly Pro Forma'!$F70:$EH70)</f>
        <v>0</v>
      </c>
      <c r="O51" s="217">
        <f>SUMIF('Monthly Pro Forma'!$F$5:$EH$5,"="&amp;O$5,'Monthly Pro Forma'!$F70:$EH70)</f>
        <v>0</v>
      </c>
    </row>
    <row r="52" spans="1:16" s="145" customFormat="1" ht="15" thickBot="1" x14ac:dyDescent="0.25">
      <c r="A52" s="262"/>
      <c r="B52" s="218" t="str">
        <f>'Monthly Pro Forma'!B71</f>
        <v>Unlevered Cash Flow</v>
      </c>
      <c r="C52" s="221"/>
      <c r="D52" s="219">
        <f>SUMIF('Monthly Pro Forma'!$F$5:$EH$5,"="&amp;D$5,'Monthly Pro Forma'!$F71:$EH71)</f>
        <v>-50860900</v>
      </c>
      <c r="E52" s="219">
        <f ca="1">SUMIF('Monthly Pro Forma'!$F$5:$EH$5,"="&amp;E$5,'Monthly Pro Forma'!$F71:$EH71)</f>
        <v>2164992.8735787426</v>
      </c>
      <c r="F52" s="219">
        <f ca="1">SUMIF('Monthly Pro Forma'!$F$5:$EH$5,"="&amp;F$5,'Monthly Pro Forma'!$F71:$EH71)</f>
        <v>2617694.1909019784</v>
      </c>
      <c r="G52" s="219">
        <f ca="1">SUMIF('Monthly Pro Forma'!$F$5:$EH$5,"="&amp;G$5,'Monthly Pro Forma'!$F71:$EH71)</f>
        <v>3351055.4106842838</v>
      </c>
      <c r="H52" s="219">
        <f ca="1">SUMIF('Monthly Pro Forma'!$F$5:$EH$5,"="&amp;H$5,'Monthly Pro Forma'!$F71:$EH71)</f>
        <v>3863258.9704214483</v>
      </c>
      <c r="I52" s="219">
        <f ca="1">SUMIF('Monthly Pro Forma'!$F$5:$EH$5,"="&amp;I$5,'Monthly Pro Forma'!$F71:$EH71)</f>
        <v>88057536.962043568</v>
      </c>
      <c r="J52" s="219">
        <f>SUMIF('Monthly Pro Forma'!$F$5:$EH$5,"="&amp;J$5,'Monthly Pro Forma'!$F71:$EH71)</f>
        <v>0</v>
      </c>
      <c r="K52" s="219">
        <f>SUMIF('Monthly Pro Forma'!$F$5:$EH$5,"="&amp;K$5,'Monthly Pro Forma'!$F71:$EH71)</f>
        <v>0</v>
      </c>
      <c r="L52" s="219">
        <f>SUMIF('Monthly Pro Forma'!$F$5:$EH$5,"="&amp;L$5,'Monthly Pro Forma'!$F71:$EH71)</f>
        <v>0</v>
      </c>
      <c r="M52" s="219">
        <f>SUMIF('Monthly Pro Forma'!$F$5:$EH$5,"="&amp;M$5,'Monthly Pro Forma'!$F71:$EH71)</f>
        <v>0</v>
      </c>
      <c r="N52" s="219">
        <f>SUMIF('Monthly Pro Forma'!$F$5:$EH$5,"="&amp;N$5,'Monthly Pro Forma'!$F71:$EH71)</f>
        <v>0</v>
      </c>
      <c r="O52" s="219">
        <f>SUMIF('Monthly Pro Forma'!$F$5:$EH$5,"="&amp;O$5,'Monthly Pro Forma'!$F71:$EH71)</f>
        <v>0</v>
      </c>
      <c r="P52" s="144"/>
    </row>
    <row r="53" spans="1:16" s="145" customFormat="1" x14ac:dyDescent="0.2">
      <c r="A53" s="262"/>
      <c r="B53" s="274" t="s">
        <v>782</v>
      </c>
      <c r="C53" s="275">
        <f ca="1">'Monthly Pro Forma'!C72</f>
        <v>50860900</v>
      </c>
      <c r="D53" s="221"/>
      <c r="E53" s="221"/>
      <c r="F53" s="221"/>
      <c r="G53" s="221"/>
      <c r="H53" s="221"/>
      <c r="I53" s="221"/>
      <c r="J53" s="221"/>
      <c r="K53" s="221"/>
      <c r="L53" s="221"/>
      <c r="M53" s="221"/>
      <c r="N53" s="221"/>
      <c r="O53" s="221"/>
      <c r="P53" s="144"/>
    </row>
    <row r="54" spans="1:16" s="145" customFormat="1" x14ac:dyDescent="0.2">
      <c r="A54" s="262"/>
      <c r="B54" s="276" t="s">
        <v>702</v>
      </c>
      <c r="C54" s="277">
        <f ca="1">'Monthly Pro Forma'!C73</f>
        <v>49193638.407630071</v>
      </c>
      <c r="D54" s="221"/>
      <c r="E54" s="221"/>
      <c r="F54" s="221"/>
      <c r="G54" s="221"/>
      <c r="H54" s="221"/>
      <c r="I54" s="221"/>
      <c r="J54" s="221"/>
      <c r="K54" s="221"/>
      <c r="L54" s="221"/>
      <c r="M54" s="221"/>
      <c r="N54" s="221"/>
      <c r="O54" s="221"/>
      <c r="P54" s="144"/>
    </row>
    <row r="55" spans="1:16" s="145" customFormat="1" x14ac:dyDescent="0.2">
      <c r="A55" s="262"/>
      <c r="B55" s="276" t="s">
        <v>120</v>
      </c>
      <c r="C55" s="278">
        <f ca="1">'Monthly Pro Forma'!C74</f>
        <v>0.15917506814002999</v>
      </c>
      <c r="D55" s="221"/>
      <c r="E55" s="221"/>
      <c r="F55" s="221"/>
      <c r="G55" s="221"/>
      <c r="H55" s="221"/>
      <c r="I55" s="221"/>
      <c r="J55" s="221"/>
      <c r="K55" s="221"/>
      <c r="L55" s="221"/>
      <c r="M55" s="221"/>
      <c r="N55" s="221"/>
      <c r="O55" s="221"/>
      <c r="P55" s="144"/>
    </row>
    <row r="56" spans="1:16" s="145" customFormat="1" ht="15" thickBot="1" x14ac:dyDescent="0.25">
      <c r="A56" s="262"/>
      <c r="B56" s="279" t="s">
        <v>64</v>
      </c>
      <c r="C56" s="280">
        <f ca="1">'Monthly Pro Forma'!C75</f>
        <v>1.9672191881706786</v>
      </c>
      <c r="D56" s="221"/>
      <c r="E56" s="221"/>
      <c r="F56" s="221"/>
      <c r="G56" s="221"/>
      <c r="H56" s="221"/>
      <c r="I56" s="221"/>
      <c r="J56" s="221"/>
      <c r="K56" s="221"/>
      <c r="L56" s="221"/>
      <c r="M56" s="221"/>
      <c r="N56" s="221"/>
      <c r="O56" s="221"/>
      <c r="P56" s="144"/>
    </row>
    <row r="57" spans="1:16" x14ac:dyDescent="0.2">
      <c r="A57" s="217"/>
      <c r="B57" s="281"/>
      <c r="C57" s="282"/>
      <c r="D57" s="282"/>
      <c r="E57" s="282"/>
      <c r="F57" s="282"/>
      <c r="G57" s="282"/>
      <c r="H57" s="282"/>
      <c r="I57" s="282"/>
      <c r="J57" s="282"/>
      <c r="K57" s="282"/>
      <c r="L57" s="282"/>
      <c r="M57" s="282"/>
      <c r="N57" s="282"/>
      <c r="O57" s="282"/>
    </row>
    <row r="58" spans="1:16" x14ac:dyDescent="0.2">
      <c r="A58" s="217"/>
      <c r="B58" s="255" t="str">
        <f>'Monthly Pro Forma'!B77</f>
        <v>DEBT SERVICE</v>
      </c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</row>
    <row r="59" spans="1:16" x14ac:dyDescent="0.2">
      <c r="A59" s="217"/>
      <c r="B59" s="209" t="str">
        <f>'Monthly Pro Forma'!B78</f>
        <v>Acquisition Loan Debt Service</v>
      </c>
      <c r="C59" s="217"/>
      <c r="D59" s="217">
        <f>SUMIF('Monthly Pro Forma'!$F$5:$EH$5,"="&amp;D$5,'Monthly Pro Forma'!$F78:$EH78)</f>
        <v>0</v>
      </c>
      <c r="E59" s="217">
        <f>SUMIF('Monthly Pro Forma'!$F$5:$EH$5,"="&amp;E$5,'Monthly Pro Forma'!$F78:$EH78)</f>
        <v>-1610000.0000000002</v>
      </c>
      <c r="F59" s="217">
        <f>SUMIF('Monthly Pro Forma'!$F$5:$EH$5,"="&amp;F$5,'Monthly Pro Forma'!$F78:$EH78)</f>
        <v>-1610000.0000000002</v>
      </c>
      <c r="G59" s="217">
        <f>SUMIF('Monthly Pro Forma'!$F$5:$EH$5,"="&amp;G$5,'Monthly Pro Forma'!$F78:$EH78)</f>
        <v>-1960804.797650337</v>
      </c>
      <c r="H59" s="217">
        <f>SUMIF('Monthly Pro Forma'!$F$5:$EH$5,"="&amp;H$5,'Monthly Pro Forma'!$F78:$EH78)</f>
        <v>0</v>
      </c>
      <c r="I59" s="217">
        <f>SUMIF('Monthly Pro Forma'!$F$5:$EH$5,"="&amp;I$5,'Monthly Pro Forma'!$F78:$EH78)</f>
        <v>0</v>
      </c>
      <c r="J59" s="217">
        <f>SUMIF('Monthly Pro Forma'!$F$5:$EH$5,"="&amp;J$5,'Monthly Pro Forma'!$F78:$EH78)</f>
        <v>0</v>
      </c>
      <c r="K59" s="217">
        <f>SUMIF('Monthly Pro Forma'!$F$5:$EH$5,"="&amp;K$5,'Monthly Pro Forma'!$F78:$EH78)</f>
        <v>0</v>
      </c>
      <c r="L59" s="217">
        <f>SUMIF('Monthly Pro Forma'!$F$5:$EH$5,"="&amp;L$5,'Monthly Pro Forma'!$F78:$EH78)</f>
        <v>0</v>
      </c>
      <c r="M59" s="217">
        <f>SUMIF('Monthly Pro Forma'!$F$5:$EH$5,"="&amp;M$5,'Monthly Pro Forma'!$F78:$EH78)</f>
        <v>0</v>
      </c>
      <c r="N59" s="217">
        <f>SUMIF('Monthly Pro Forma'!$F$5:$EH$5,"="&amp;N$5,'Monthly Pro Forma'!$F78:$EH78)</f>
        <v>0</v>
      </c>
      <c r="O59" s="217">
        <f>SUMIF('Monthly Pro Forma'!$F$5:$EH$5,"="&amp;O$5,'Monthly Pro Forma'!$F78:$EH78)</f>
        <v>0</v>
      </c>
    </row>
    <row r="60" spans="1:16" x14ac:dyDescent="0.2">
      <c r="A60" s="217"/>
      <c r="B60" s="209" t="str">
        <f>'Monthly Pro Forma'!B79</f>
        <v>Pref Equity Debt Service</v>
      </c>
      <c r="D60" s="217">
        <f>SUMIF('Monthly Pro Forma'!$F$5:$EH$5,"="&amp;D$5,'Monthly Pro Forma'!$F79:$EH79)</f>
        <v>0</v>
      </c>
      <c r="E60" s="217">
        <f>SUMIF('Monthly Pro Forma'!$F$5:$EH$5,"="&amp;E$5,'Monthly Pro Forma'!$F79:$EH79)</f>
        <v>-1050000</v>
      </c>
      <c r="F60" s="217">
        <f>SUMIF('Monthly Pro Forma'!$F$5:$EH$5,"="&amp;F$5,'Monthly Pro Forma'!$F79:$EH79)</f>
        <v>-1050000</v>
      </c>
      <c r="G60" s="217">
        <f>SUMIF('Monthly Pro Forma'!$F$5:$EH$5,"="&amp;G$5,'Monthly Pro Forma'!$F79:$EH79)</f>
        <v>-1050000</v>
      </c>
      <c r="H60" s="217">
        <f>SUMIF('Monthly Pro Forma'!$F$5:$EH$5,"="&amp;H$5,'Monthly Pro Forma'!$F79:$EH79)</f>
        <v>0</v>
      </c>
      <c r="I60" s="217">
        <f>SUMIF('Monthly Pro Forma'!$F$5:$EH$5,"="&amp;I$5,'Monthly Pro Forma'!$F79:$EH79)</f>
        <v>0</v>
      </c>
      <c r="J60" s="217">
        <f>SUMIF('Monthly Pro Forma'!$F$5:$EH$5,"="&amp;J$5,'Monthly Pro Forma'!$F79:$EH79)</f>
        <v>0</v>
      </c>
      <c r="K60" s="217">
        <f>SUMIF('Monthly Pro Forma'!$F$5:$EH$5,"="&amp;K$5,'Monthly Pro Forma'!$F79:$EH79)</f>
        <v>0</v>
      </c>
      <c r="L60" s="217">
        <f>SUMIF('Monthly Pro Forma'!$F$5:$EH$5,"="&amp;L$5,'Monthly Pro Forma'!$F79:$EH79)</f>
        <v>0</v>
      </c>
      <c r="M60" s="217">
        <f>SUMIF('Monthly Pro Forma'!$F$5:$EH$5,"="&amp;M$5,'Monthly Pro Forma'!$F79:$EH79)</f>
        <v>0</v>
      </c>
      <c r="N60" s="217">
        <f>SUMIF('Monthly Pro Forma'!$F$5:$EH$5,"="&amp;N$5,'Monthly Pro Forma'!$F79:$EH79)</f>
        <v>0</v>
      </c>
      <c r="O60" s="217">
        <f>SUMIF('Monthly Pro Forma'!$F$5:$EH$5,"="&amp;O$5,'Monthly Pro Forma'!$F79:$EH79)</f>
        <v>0</v>
      </c>
    </row>
    <row r="61" spans="1:16" x14ac:dyDescent="0.2">
      <c r="A61" s="217"/>
      <c r="B61" s="209" t="str">
        <f>'Monthly Pro Forma'!B80</f>
        <v>Refi Loan Debt Service</v>
      </c>
      <c r="C61" s="217"/>
      <c r="D61" s="217">
        <f>SUMIF('Monthly Pro Forma'!$F$5:$EH$5,"="&amp;D$5,'Monthly Pro Forma'!$F80:$EH80)</f>
        <v>0</v>
      </c>
      <c r="E61" s="217">
        <f>SUMIF('Monthly Pro Forma'!$F$5:$EH$5,"="&amp;E$5,'Monthly Pro Forma'!$F80:$EH80)</f>
        <v>0</v>
      </c>
      <c r="F61" s="217">
        <f>SUMIF('Monthly Pro Forma'!$F$5:$EH$5,"="&amp;F$5,'Monthly Pro Forma'!$F80:$EH80)</f>
        <v>0</v>
      </c>
      <c r="G61" s="217">
        <f>SUMIF('Monthly Pro Forma'!$F$5:$EH$5,"="&amp;G$5,'Monthly Pro Forma'!$F80:$EH80)</f>
        <v>0</v>
      </c>
      <c r="H61" s="217">
        <f ca="1">SUMIF('Monthly Pro Forma'!$F$5:$EH$5,"="&amp;H$5,'Monthly Pro Forma'!$F80:$EH80)</f>
        <v>-2711056.8665020629</v>
      </c>
      <c r="I61" s="217">
        <f ca="1">SUMIF('Monthly Pro Forma'!$F$5:$EH$5,"="&amp;I$5,'Monthly Pro Forma'!$F80:$EH80)</f>
        <v>-2711056.8665020629</v>
      </c>
      <c r="J61" s="217">
        <f>SUMIF('Monthly Pro Forma'!$F$5:$EH$5,"="&amp;J$5,'Monthly Pro Forma'!$F80:$EH80)</f>
        <v>0</v>
      </c>
      <c r="K61" s="217">
        <f>SUMIF('Monthly Pro Forma'!$F$5:$EH$5,"="&amp;K$5,'Monthly Pro Forma'!$F80:$EH80)</f>
        <v>0</v>
      </c>
      <c r="L61" s="217">
        <f>SUMIF('Monthly Pro Forma'!$F$5:$EH$5,"="&amp;L$5,'Monthly Pro Forma'!$F80:$EH80)</f>
        <v>0</v>
      </c>
      <c r="M61" s="217">
        <f>SUMIF('Monthly Pro Forma'!$F$5:$EH$5,"="&amp;M$5,'Monthly Pro Forma'!$F80:$EH80)</f>
        <v>0</v>
      </c>
      <c r="N61" s="217">
        <f>SUMIF('Monthly Pro Forma'!$F$5:$EH$5,"="&amp;N$5,'Monthly Pro Forma'!$F80:$EH80)</f>
        <v>0</v>
      </c>
      <c r="O61" s="217">
        <f>SUMIF('Monthly Pro Forma'!$F$5:$EH$5,"="&amp;O$5,'Monthly Pro Forma'!$F80:$EH80)</f>
        <v>0</v>
      </c>
    </row>
    <row r="62" spans="1:16" s="145" customFormat="1" x14ac:dyDescent="0.2">
      <c r="A62" s="262"/>
      <c r="B62" s="283" t="str">
        <f>'Monthly Pro Forma'!B81</f>
        <v>Total Interest Expense</v>
      </c>
      <c r="C62" s="262"/>
      <c r="D62" s="264">
        <f>SUMIF('Monthly Pro Forma'!$F$5:$EH$5,"="&amp;D$5,'Monthly Pro Forma'!$F81:$EH81)</f>
        <v>0</v>
      </c>
      <c r="E62" s="264">
        <f>SUMIF('Monthly Pro Forma'!$F$5:$EH$5,"="&amp;E$5,'Monthly Pro Forma'!$F81:$EH81)</f>
        <v>-2660000</v>
      </c>
      <c r="F62" s="264">
        <f>SUMIF('Monthly Pro Forma'!$F$5:$EH$5,"="&amp;F$5,'Monthly Pro Forma'!$F81:$EH81)</f>
        <v>-2660000</v>
      </c>
      <c r="G62" s="264">
        <f>SUMIF('Monthly Pro Forma'!$F$5:$EH$5,"="&amp;G$5,'Monthly Pro Forma'!$F81:$EH81)</f>
        <v>-3010804.7976503377</v>
      </c>
      <c r="H62" s="264">
        <f ca="1">SUMIF('Monthly Pro Forma'!$F$5:$EH$5,"="&amp;H$5,'Monthly Pro Forma'!$F81:$EH81)</f>
        <v>-2711056.8665020629</v>
      </c>
      <c r="I62" s="264">
        <f ca="1">SUMIF('Monthly Pro Forma'!$F$5:$EH$5,"="&amp;I$5,'Monthly Pro Forma'!$F81:$EH81)</f>
        <v>-2711056.8665020629</v>
      </c>
      <c r="J62" s="264">
        <f>SUMIF('Monthly Pro Forma'!$F$5:$EH$5,"="&amp;J$5,'Monthly Pro Forma'!$F81:$EH81)</f>
        <v>0</v>
      </c>
      <c r="K62" s="264">
        <f>SUMIF('Monthly Pro Forma'!$F$5:$EH$5,"="&amp;K$5,'Monthly Pro Forma'!$F81:$EH81)</f>
        <v>0</v>
      </c>
      <c r="L62" s="264">
        <f>SUMIF('Monthly Pro Forma'!$F$5:$EH$5,"="&amp;L$5,'Monthly Pro Forma'!$F81:$EH81)</f>
        <v>0</v>
      </c>
      <c r="M62" s="264">
        <f>SUMIF('Monthly Pro Forma'!$F$5:$EH$5,"="&amp;M$5,'Monthly Pro Forma'!$F81:$EH81)</f>
        <v>0</v>
      </c>
      <c r="N62" s="264">
        <f>SUMIF('Monthly Pro Forma'!$F$5:$EH$5,"="&amp;N$5,'Monthly Pro Forma'!$F81:$EH81)</f>
        <v>0</v>
      </c>
      <c r="O62" s="264">
        <f>SUMIF('Monthly Pro Forma'!$F$5:$EH$5,"="&amp;O$5,'Monthly Pro Forma'!$F81:$EH81)</f>
        <v>0</v>
      </c>
      <c r="P62" s="144"/>
    </row>
    <row r="63" spans="1:16" x14ac:dyDescent="0.2">
      <c r="A63" s="217"/>
      <c r="B63" s="209"/>
      <c r="C63" s="217"/>
      <c r="D63" s="217"/>
      <c r="E63" s="217"/>
      <c r="F63" s="217"/>
      <c r="G63" s="217"/>
      <c r="H63" s="217"/>
      <c r="I63" s="217"/>
      <c r="J63" s="217"/>
      <c r="K63" s="217"/>
      <c r="L63" s="217"/>
      <c r="M63" s="217"/>
      <c r="N63" s="217"/>
      <c r="O63" s="217"/>
    </row>
    <row r="64" spans="1:16" x14ac:dyDescent="0.2">
      <c r="A64" s="217"/>
      <c r="B64" s="255" t="str">
        <f>'Monthly Pro Forma'!B83</f>
        <v xml:space="preserve">FINANCING </v>
      </c>
      <c r="C64" s="180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</row>
    <row r="65" spans="1:16" x14ac:dyDescent="0.2">
      <c r="A65" s="217"/>
      <c r="B65" s="209" t="str">
        <f>'Monthly Pro Forma'!B84</f>
        <v>Acquisition Loan Funding</v>
      </c>
      <c r="C65" s="217"/>
      <c r="D65" s="217">
        <f>SUMIF('Monthly Pro Forma'!$F$5:$EH$5,"="&amp;D$5,'Monthly Pro Forma'!$F84:$EH84)</f>
        <v>28000000</v>
      </c>
      <c r="E65" s="217">
        <f>SUMIF('Monthly Pro Forma'!$F$5:$EH$5,"="&amp;E$5,'Monthly Pro Forma'!$F84:$EH84)</f>
        <v>0</v>
      </c>
      <c r="F65" s="217">
        <f>SUMIF('Monthly Pro Forma'!$F$5:$EH$5,"="&amp;F$5,'Monthly Pro Forma'!$F84:$EH84)</f>
        <v>0</v>
      </c>
      <c r="G65" s="217">
        <f>SUMIF('Monthly Pro Forma'!$F$5:$EH$5,"="&amp;G$5,'Monthly Pro Forma'!$F84:$EH84)</f>
        <v>0</v>
      </c>
      <c r="H65" s="217">
        <f>SUMIF('Monthly Pro Forma'!$F$5:$EH$5,"="&amp;H$5,'Monthly Pro Forma'!$F84:$EH84)</f>
        <v>0</v>
      </c>
      <c r="I65" s="217">
        <f>SUMIF('Monthly Pro Forma'!$F$5:$EH$5,"="&amp;I$5,'Monthly Pro Forma'!$F84:$EH84)</f>
        <v>0</v>
      </c>
      <c r="J65" s="217">
        <f>SUMIF('Monthly Pro Forma'!$F$5:$EH$5,"="&amp;J$5,'Monthly Pro Forma'!$F84:$EH84)</f>
        <v>0</v>
      </c>
      <c r="K65" s="217">
        <f>SUMIF('Monthly Pro Forma'!$F$5:$EH$5,"="&amp;K$5,'Monthly Pro Forma'!$F84:$EH84)</f>
        <v>0</v>
      </c>
      <c r="L65" s="217">
        <f>SUMIF('Monthly Pro Forma'!$F$5:$EH$5,"="&amp;L$5,'Monthly Pro Forma'!$F84:$EH84)</f>
        <v>0</v>
      </c>
      <c r="M65" s="217">
        <f>SUMIF('Monthly Pro Forma'!$F$5:$EH$5,"="&amp;M$5,'Monthly Pro Forma'!$F84:$EH84)</f>
        <v>0</v>
      </c>
      <c r="N65" s="217">
        <f>SUMIF('Monthly Pro Forma'!$F$5:$EH$5,"="&amp;N$5,'Monthly Pro Forma'!$F84:$EH84)</f>
        <v>0</v>
      </c>
      <c r="O65" s="217">
        <f>SUMIF('Monthly Pro Forma'!$F$5:$EH$5,"="&amp;O$5,'Monthly Pro Forma'!$F84:$EH84)</f>
        <v>0</v>
      </c>
    </row>
    <row r="66" spans="1:16" x14ac:dyDescent="0.2">
      <c r="A66" s="217"/>
      <c r="B66" s="209" t="str">
        <f>'Monthly Pro Forma'!B85</f>
        <v>Acquisition Financing Fees</v>
      </c>
      <c r="C66" s="217"/>
      <c r="D66" s="217">
        <f>SUMIF('Monthly Pro Forma'!$F$5:$EH$5,"="&amp;D$5,'Monthly Pro Forma'!$F85:$EH85)</f>
        <v>-722137.35038701154</v>
      </c>
      <c r="E66" s="217">
        <f>SUMIF('Monthly Pro Forma'!$F$5:$EH$5,"="&amp;E$5,'Monthly Pro Forma'!$F85:$EH85)</f>
        <v>0</v>
      </c>
      <c r="F66" s="217">
        <f>SUMIF('Monthly Pro Forma'!$F$5:$EH$5,"="&amp;F$5,'Monthly Pro Forma'!$F85:$EH85)</f>
        <v>0</v>
      </c>
      <c r="G66" s="217">
        <f>SUMIF('Monthly Pro Forma'!$F$5:$EH$5,"="&amp;G$5,'Monthly Pro Forma'!$F85:$EH85)</f>
        <v>0</v>
      </c>
      <c r="H66" s="217">
        <f>SUMIF('Monthly Pro Forma'!$F$5:$EH$5,"="&amp;H$5,'Monthly Pro Forma'!$F85:$EH85)</f>
        <v>0</v>
      </c>
      <c r="I66" s="217">
        <f>SUMIF('Monthly Pro Forma'!$F$5:$EH$5,"="&amp;I$5,'Monthly Pro Forma'!$F85:$EH85)</f>
        <v>0</v>
      </c>
      <c r="J66" s="217">
        <f>SUMIF('Monthly Pro Forma'!$F$5:$EH$5,"="&amp;J$5,'Monthly Pro Forma'!$F85:$EH85)</f>
        <v>0</v>
      </c>
      <c r="K66" s="217">
        <f>SUMIF('Monthly Pro Forma'!$F$5:$EH$5,"="&amp;K$5,'Monthly Pro Forma'!$F85:$EH85)</f>
        <v>0</v>
      </c>
      <c r="L66" s="217">
        <f>SUMIF('Monthly Pro Forma'!$F$5:$EH$5,"="&amp;L$5,'Monthly Pro Forma'!$F85:$EH85)</f>
        <v>0</v>
      </c>
      <c r="M66" s="217">
        <f>SUMIF('Monthly Pro Forma'!$F$5:$EH$5,"="&amp;M$5,'Monthly Pro Forma'!$F85:$EH85)</f>
        <v>0</v>
      </c>
      <c r="N66" s="217">
        <f>SUMIF('Monthly Pro Forma'!$F$5:$EH$5,"="&amp;N$5,'Monthly Pro Forma'!$F85:$EH85)</f>
        <v>0</v>
      </c>
      <c r="O66" s="217">
        <f>SUMIF('Monthly Pro Forma'!$F$5:$EH$5,"="&amp;O$5,'Monthly Pro Forma'!$F85:$EH85)</f>
        <v>0</v>
      </c>
    </row>
    <row r="67" spans="1:16" x14ac:dyDescent="0.2">
      <c r="A67" s="217"/>
      <c r="B67" s="209" t="str">
        <f>'Monthly Pro Forma'!B86</f>
        <v>Acquisition Loan Prepayment Fee</v>
      </c>
      <c r="C67" s="217"/>
      <c r="D67" s="217">
        <f>SUMIF('Monthly Pro Forma'!$F$5:$EH$5,"="&amp;D$5,'Monthly Pro Forma'!$F86:$EH86)</f>
        <v>0</v>
      </c>
      <c r="E67" s="217">
        <f>SUMIF('Monthly Pro Forma'!$F$5:$EH$5,"="&amp;E$5,'Monthly Pro Forma'!$F86:$EH86)</f>
        <v>0</v>
      </c>
      <c r="F67" s="217">
        <f>SUMIF('Monthly Pro Forma'!$F$5:$EH$5,"="&amp;F$5,'Monthly Pro Forma'!$F86:$EH86)</f>
        <v>0</v>
      </c>
      <c r="G67" s="217">
        <f>SUMIF('Monthly Pro Forma'!$F$5:$EH$5,"="&amp;G$5,'Monthly Pro Forma'!$F86:$EH86)</f>
        <v>-276398.00764068676</v>
      </c>
      <c r="H67" s="217">
        <f>SUMIF('Monthly Pro Forma'!$F$5:$EH$5,"="&amp;H$5,'Monthly Pro Forma'!$F86:$EH86)</f>
        <v>0</v>
      </c>
      <c r="I67" s="217">
        <f>SUMIF('Monthly Pro Forma'!$F$5:$EH$5,"="&amp;I$5,'Monthly Pro Forma'!$F86:$EH86)</f>
        <v>0</v>
      </c>
      <c r="J67" s="217">
        <f>SUMIF('Monthly Pro Forma'!$F$5:$EH$5,"="&amp;J$5,'Monthly Pro Forma'!$F86:$EH86)</f>
        <v>0</v>
      </c>
      <c r="K67" s="217">
        <f>SUMIF('Monthly Pro Forma'!$F$5:$EH$5,"="&amp;K$5,'Monthly Pro Forma'!$F86:$EH86)</f>
        <v>0</v>
      </c>
      <c r="L67" s="217">
        <f>SUMIF('Monthly Pro Forma'!$F$5:$EH$5,"="&amp;L$5,'Monthly Pro Forma'!$F86:$EH86)</f>
        <v>0</v>
      </c>
      <c r="M67" s="217">
        <f>SUMIF('Monthly Pro Forma'!$F$5:$EH$5,"="&amp;M$5,'Monthly Pro Forma'!$F86:$EH86)</f>
        <v>0</v>
      </c>
      <c r="N67" s="217">
        <f>SUMIF('Monthly Pro Forma'!$F$5:$EH$5,"="&amp;N$5,'Monthly Pro Forma'!$F86:$EH86)</f>
        <v>0</v>
      </c>
      <c r="O67" s="217">
        <f>SUMIF('Monthly Pro Forma'!$F$5:$EH$5,"="&amp;O$5,'Monthly Pro Forma'!$F86:$EH86)</f>
        <v>0</v>
      </c>
    </row>
    <row r="68" spans="1:16" x14ac:dyDescent="0.2">
      <c r="A68" s="217"/>
      <c r="B68" s="209" t="str">
        <f>'Monthly Pro Forma'!B87</f>
        <v>Acquisition Loan Payoff</v>
      </c>
      <c r="C68" s="217"/>
      <c r="D68" s="217">
        <f>SUMIF('Monthly Pro Forma'!$F$5:$EH$5,"="&amp;D$5,'Monthly Pro Forma'!$F87:$EH87)</f>
        <v>0</v>
      </c>
      <c r="E68" s="217">
        <f>SUMIF('Monthly Pro Forma'!$F$5:$EH$5,"="&amp;E$5,'Monthly Pro Forma'!$F87:$EH87)</f>
        <v>0</v>
      </c>
      <c r="F68" s="217">
        <f>SUMIF('Monthly Pro Forma'!$F$5:$EH$5,"="&amp;F$5,'Monthly Pro Forma'!$F87:$EH87)</f>
        <v>0</v>
      </c>
      <c r="G68" s="217">
        <f>SUMIF('Monthly Pro Forma'!$F$5:$EH$5,"="&amp;G$5,'Monthly Pro Forma'!$F87:$EH87)</f>
        <v>-27639800.764068678</v>
      </c>
      <c r="H68" s="217">
        <f>SUMIF('Monthly Pro Forma'!$F$5:$EH$5,"="&amp;H$5,'Monthly Pro Forma'!$F87:$EH87)</f>
        <v>0</v>
      </c>
      <c r="I68" s="217">
        <f>SUMIF('Monthly Pro Forma'!$F$5:$EH$5,"="&amp;I$5,'Monthly Pro Forma'!$F87:$EH87)</f>
        <v>0</v>
      </c>
      <c r="J68" s="217">
        <f>SUMIF('Monthly Pro Forma'!$F$5:$EH$5,"="&amp;J$5,'Monthly Pro Forma'!$F87:$EH87)</f>
        <v>0</v>
      </c>
      <c r="K68" s="217">
        <f>SUMIF('Monthly Pro Forma'!$F$5:$EH$5,"="&amp;K$5,'Monthly Pro Forma'!$F87:$EH87)</f>
        <v>0</v>
      </c>
      <c r="L68" s="217">
        <f>SUMIF('Monthly Pro Forma'!$F$5:$EH$5,"="&amp;L$5,'Monthly Pro Forma'!$F87:$EH87)</f>
        <v>0</v>
      </c>
      <c r="M68" s="217">
        <f>SUMIF('Monthly Pro Forma'!$F$5:$EH$5,"="&amp;M$5,'Monthly Pro Forma'!$F87:$EH87)</f>
        <v>0</v>
      </c>
      <c r="N68" s="217">
        <f>SUMIF('Monthly Pro Forma'!$F$5:$EH$5,"="&amp;N$5,'Monthly Pro Forma'!$F87:$EH87)</f>
        <v>0</v>
      </c>
      <c r="O68" s="217">
        <f>SUMIF('Monthly Pro Forma'!$F$5:$EH$5,"="&amp;O$5,'Monthly Pro Forma'!$F87:$EH87)</f>
        <v>0</v>
      </c>
    </row>
    <row r="69" spans="1:16" x14ac:dyDescent="0.2">
      <c r="A69" s="217"/>
      <c r="B69" s="209" t="str">
        <f>'Monthly Pro Forma'!B88</f>
        <v>Pref Equity Acquisition Proceeds</v>
      </c>
      <c r="C69" s="217"/>
      <c r="D69" s="217">
        <f>SUMIF('Monthly Pro Forma'!$F$5:$EH$5,"="&amp;D$5,'Monthly Pro Forma'!$F88:$EH88)</f>
        <v>13700000</v>
      </c>
      <c r="E69" s="217">
        <f>SUMIF('Monthly Pro Forma'!$F$5:$EH$5,"="&amp;E$5,'Monthly Pro Forma'!$F88:$EH88)</f>
        <v>0</v>
      </c>
      <c r="F69" s="217">
        <f>SUMIF('Monthly Pro Forma'!$F$5:$EH$5,"="&amp;F$5,'Monthly Pro Forma'!$F88:$EH88)</f>
        <v>0</v>
      </c>
      <c r="G69" s="217">
        <f>SUMIF('Monthly Pro Forma'!$F$5:$EH$5,"="&amp;G$5,'Monthly Pro Forma'!$F88:$EH88)</f>
        <v>0</v>
      </c>
      <c r="H69" s="217">
        <f>SUMIF('Monthly Pro Forma'!$F$5:$EH$5,"="&amp;H$5,'Monthly Pro Forma'!$F88:$EH88)</f>
        <v>0</v>
      </c>
      <c r="I69" s="217">
        <f>SUMIF('Monthly Pro Forma'!$F$5:$EH$5,"="&amp;I$5,'Monthly Pro Forma'!$F88:$EH88)</f>
        <v>0</v>
      </c>
      <c r="J69" s="217">
        <f>SUMIF('Monthly Pro Forma'!$F$5:$EH$5,"="&amp;J$5,'Monthly Pro Forma'!$F88:$EH88)</f>
        <v>0</v>
      </c>
      <c r="K69" s="217">
        <f>SUMIF('Monthly Pro Forma'!$F$5:$EH$5,"="&amp;K$5,'Monthly Pro Forma'!$F88:$EH88)</f>
        <v>0</v>
      </c>
      <c r="L69" s="217">
        <f>SUMIF('Monthly Pro Forma'!$F$5:$EH$5,"="&amp;L$5,'Monthly Pro Forma'!$F88:$EH88)</f>
        <v>0</v>
      </c>
      <c r="M69" s="217">
        <f>SUMIF('Monthly Pro Forma'!$F$5:$EH$5,"="&amp;M$5,'Monthly Pro Forma'!$F88:$EH88)</f>
        <v>0</v>
      </c>
      <c r="N69" s="217">
        <f>SUMIF('Monthly Pro Forma'!$F$5:$EH$5,"="&amp;N$5,'Monthly Pro Forma'!$F88:$EH88)</f>
        <v>0</v>
      </c>
      <c r="O69" s="217">
        <f>SUMIF('Monthly Pro Forma'!$F$5:$EH$5,"="&amp;O$5,'Monthly Pro Forma'!$F88:$EH88)</f>
        <v>0</v>
      </c>
    </row>
    <row r="70" spans="1:16" x14ac:dyDescent="0.2">
      <c r="A70" s="217"/>
      <c r="B70" s="209" t="str">
        <f>'Monthly Pro Forma'!B89</f>
        <v>Pref Equity Capex Reimbursements</v>
      </c>
      <c r="C70" s="217"/>
      <c r="D70" s="217">
        <f>SUMIF('Monthly Pro Forma'!$F$5:$EH$5,"="&amp;D$5,'Monthly Pro Forma'!$F89:$EH89)</f>
        <v>0</v>
      </c>
      <c r="E70" s="217">
        <f>SUMIF('Monthly Pro Forma'!$F$5:$EH$5,"="&amp;E$5,'Monthly Pro Forma'!$F89:$EH89)</f>
        <v>510256.41025634058</v>
      </c>
      <c r="F70" s="217">
        <f>SUMIF('Monthly Pro Forma'!$F$5:$EH$5,"="&amp;F$5,'Monthly Pro Forma'!$F89:$EH89)</f>
        <v>502051.28205128206</v>
      </c>
      <c r="G70" s="217">
        <f>SUMIF('Monthly Pro Forma'!$F$5:$EH$5,"="&amp;G$5,'Monthly Pro Forma'!$F89:$EH89)</f>
        <v>287692.30769230763</v>
      </c>
      <c r="H70" s="217">
        <f>SUMIF('Monthly Pro Forma'!$F$5:$EH$5,"="&amp;H$5,'Monthly Pro Forma'!$F89:$EH89)</f>
        <v>0</v>
      </c>
      <c r="I70" s="217">
        <f>SUMIF('Monthly Pro Forma'!$F$5:$EH$5,"="&amp;I$5,'Monthly Pro Forma'!$F89:$EH89)</f>
        <v>0</v>
      </c>
      <c r="J70" s="217">
        <f>SUMIF('Monthly Pro Forma'!$F$5:$EH$5,"="&amp;J$5,'Monthly Pro Forma'!$F89:$EH89)</f>
        <v>0</v>
      </c>
      <c r="K70" s="217">
        <f>SUMIF('Monthly Pro Forma'!$F$5:$EH$5,"="&amp;K$5,'Monthly Pro Forma'!$F89:$EH89)</f>
        <v>0</v>
      </c>
      <c r="L70" s="217">
        <f>SUMIF('Monthly Pro Forma'!$F$5:$EH$5,"="&amp;L$5,'Monthly Pro Forma'!$F89:$EH89)</f>
        <v>0</v>
      </c>
      <c r="M70" s="217">
        <f>SUMIF('Monthly Pro Forma'!$F$5:$EH$5,"="&amp;M$5,'Monthly Pro Forma'!$F89:$EH89)</f>
        <v>0</v>
      </c>
      <c r="N70" s="217">
        <f>SUMIF('Monthly Pro Forma'!$F$5:$EH$5,"="&amp;N$5,'Monthly Pro Forma'!$F89:$EH89)</f>
        <v>0</v>
      </c>
      <c r="O70" s="217">
        <f>SUMIF('Monthly Pro Forma'!$F$5:$EH$5,"="&amp;O$5,'Monthly Pro Forma'!$F89:$EH89)</f>
        <v>0</v>
      </c>
    </row>
    <row r="71" spans="1:16" x14ac:dyDescent="0.2">
      <c r="A71" s="217"/>
      <c r="B71" s="209" t="str">
        <f>'Monthly Pro Forma'!B90</f>
        <v>Pref Equity Payoff</v>
      </c>
      <c r="C71" s="217"/>
      <c r="D71" s="217">
        <f>SUMIF('Monthly Pro Forma'!$F$5:$EH$5,"="&amp;D$5,'Monthly Pro Forma'!$F90:$EH90)</f>
        <v>0</v>
      </c>
      <c r="E71" s="217">
        <f>SUMIF('Monthly Pro Forma'!$F$5:$EH$5,"="&amp;E$5,'Monthly Pro Forma'!$F90:$EH90)</f>
        <v>0</v>
      </c>
      <c r="F71" s="217">
        <f>SUMIF('Monthly Pro Forma'!$F$5:$EH$5,"="&amp;F$5,'Monthly Pro Forma'!$F90:$EH90)</f>
        <v>0</v>
      </c>
      <c r="G71" s="217">
        <f>SUMIF('Monthly Pro Forma'!$F$5:$EH$5,"="&amp;G$5,'Monthly Pro Forma'!$F90:$EH90)</f>
        <v>-18403075.300000004</v>
      </c>
      <c r="H71" s="217">
        <f>SUMIF('Monthly Pro Forma'!$F$5:$EH$5,"="&amp;H$5,'Monthly Pro Forma'!$F90:$EH90)</f>
        <v>0</v>
      </c>
      <c r="I71" s="217">
        <f>SUMIF('Monthly Pro Forma'!$F$5:$EH$5,"="&amp;I$5,'Monthly Pro Forma'!$F90:$EH90)</f>
        <v>0</v>
      </c>
      <c r="J71" s="217">
        <f>SUMIF('Monthly Pro Forma'!$F$5:$EH$5,"="&amp;J$5,'Monthly Pro Forma'!$F90:$EH90)</f>
        <v>0</v>
      </c>
      <c r="K71" s="217">
        <f>SUMIF('Monthly Pro Forma'!$F$5:$EH$5,"="&amp;K$5,'Monthly Pro Forma'!$F90:$EH90)</f>
        <v>0</v>
      </c>
      <c r="L71" s="217">
        <f>SUMIF('Monthly Pro Forma'!$F$5:$EH$5,"="&amp;L$5,'Monthly Pro Forma'!$F90:$EH90)</f>
        <v>0</v>
      </c>
      <c r="M71" s="217">
        <f>SUMIF('Monthly Pro Forma'!$F$5:$EH$5,"="&amp;M$5,'Monthly Pro Forma'!$F90:$EH90)</f>
        <v>0</v>
      </c>
      <c r="N71" s="217">
        <f>SUMIF('Monthly Pro Forma'!$F$5:$EH$5,"="&amp;N$5,'Monthly Pro Forma'!$F90:$EH90)</f>
        <v>0</v>
      </c>
      <c r="O71" s="217">
        <f>SUMIF('Monthly Pro Forma'!$F$5:$EH$5,"="&amp;O$5,'Monthly Pro Forma'!$F90:$EH90)</f>
        <v>0</v>
      </c>
    </row>
    <row r="72" spans="1:16" x14ac:dyDescent="0.2">
      <c r="A72" s="217"/>
      <c r="B72" s="209" t="str">
        <f>'Monthly Pro Forma'!B91</f>
        <v>Refinance Loan Funding</v>
      </c>
      <c r="C72" s="217"/>
      <c r="D72" s="217">
        <f>SUMIF('Monthly Pro Forma'!$F$5:$EH$5,"="&amp;D$5,'Monthly Pro Forma'!$F91:$EH91)</f>
        <v>0</v>
      </c>
      <c r="E72" s="217">
        <f>SUMIF('Monthly Pro Forma'!$F$5:$EH$5,"="&amp;E$5,'Monthly Pro Forma'!$F91:$EH91)</f>
        <v>0</v>
      </c>
      <c r="F72" s="217">
        <f>SUMIF('Monthly Pro Forma'!$F$5:$EH$5,"="&amp;F$5,'Monthly Pro Forma'!$F91:$EH91)</f>
        <v>0</v>
      </c>
      <c r="G72" s="217">
        <f ca="1">SUMIF('Monthly Pro Forma'!$F$5:$EH$5,"="&amp;G$5,'Monthly Pro Forma'!$F91:$EH91)</f>
        <v>49291943.027310237</v>
      </c>
      <c r="H72" s="217">
        <f>SUMIF('Monthly Pro Forma'!$F$5:$EH$5,"="&amp;H$5,'Monthly Pro Forma'!$F91:$EH91)</f>
        <v>0</v>
      </c>
      <c r="I72" s="217">
        <f>SUMIF('Monthly Pro Forma'!$F$5:$EH$5,"="&amp;I$5,'Monthly Pro Forma'!$F91:$EH91)</f>
        <v>0</v>
      </c>
      <c r="J72" s="217">
        <f>SUMIF('Monthly Pro Forma'!$F$5:$EH$5,"="&amp;J$5,'Monthly Pro Forma'!$F91:$EH91)</f>
        <v>0</v>
      </c>
      <c r="K72" s="217">
        <f>SUMIF('Monthly Pro Forma'!$F$5:$EH$5,"="&amp;K$5,'Monthly Pro Forma'!$F91:$EH91)</f>
        <v>0</v>
      </c>
      <c r="L72" s="217">
        <f>SUMIF('Monthly Pro Forma'!$F$5:$EH$5,"="&amp;L$5,'Monthly Pro Forma'!$F91:$EH91)</f>
        <v>0</v>
      </c>
      <c r="M72" s="217">
        <f>SUMIF('Monthly Pro Forma'!$F$5:$EH$5,"="&amp;M$5,'Monthly Pro Forma'!$F91:$EH91)</f>
        <v>0</v>
      </c>
      <c r="N72" s="217">
        <f>SUMIF('Monthly Pro Forma'!$F$5:$EH$5,"="&amp;N$5,'Monthly Pro Forma'!$F91:$EH91)</f>
        <v>0</v>
      </c>
      <c r="O72" s="217">
        <f>SUMIF('Monthly Pro Forma'!$F$5:$EH$5,"="&amp;O$5,'Monthly Pro Forma'!$F91:$EH91)</f>
        <v>0</v>
      </c>
    </row>
    <row r="73" spans="1:16" x14ac:dyDescent="0.2">
      <c r="A73" s="217"/>
      <c r="B73" s="209" t="str">
        <f>'Monthly Pro Forma'!B92</f>
        <v>Refi Loan Fees</v>
      </c>
      <c r="C73" s="217"/>
      <c r="D73" s="217">
        <f>SUMIF('Monthly Pro Forma'!$F$5:$EH$5,"="&amp;D$5,'Monthly Pro Forma'!$F92:$EH92)</f>
        <v>0</v>
      </c>
      <c r="E73" s="217">
        <f>SUMIF('Monthly Pro Forma'!$F$5:$EH$5,"="&amp;E$5,'Monthly Pro Forma'!$F92:$EH92)</f>
        <v>0</v>
      </c>
      <c r="F73" s="217">
        <f>SUMIF('Monthly Pro Forma'!$F$5:$EH$5,"="&amp;F$5,'Monthly Pro Forma'!$F92:$EH92)</f>
        <v>0</v>
      </c>
      <c r="G73" s="217">
        <f ca="1">SUMIF('Monthly Pro Forma'!$F$5:$EH$5,"="&amp;G$5,'Monthly Pro Forma'!$F92:$EH92)</f>
        <v>-492919.43027310236</v>
      </c>
      <c r="H73" s="217">
        <f>SUMIF('Monthly Pro Forma'!$F$5:$EH$5,"="&amp;H$5,'Monthly Pro Forma'!$F92:$EH92)</f>
        <v>0</v>
      </c>
      <c r="I73" s="217">
        <f>SUMIF('Monthly Pro Forma'!$F$5:$EH$5,"="&amp;I$5,'Monthly Pro Forma'!$F92:$EH92)</f>
        <v>0</v>
      </c>
      <c r="J73" s="217">
        <f>SUMIF('Monthly Pro Forma'!$F$5:$EH$5,"="&amp;J$5,'Monthly Pro Forma'!$F92:$EH92)</f>
        <v>0</v>
      </c>
      <c r="K73" s="217">
        <f>SUMIF('Monthly Pro Forma'!$F$5:$EH$5,"="&amp;K$5,'Monthly Pro Forma'!$F92:$EH92)</f>
        <v>0</v>
      </c>
      <c r="L73" s="217">
        <f>SUMIF('Monthly Pro Forma'!$F$5:$EH$5,"="&amp;L$5,'Monthly Pro Forma'!$F92:$EH92)</f>
        <v>0</v>
      </c>
      <c r="M73" s="217">
        <f>SUMIF('Monthly Pro Forma'!$F$5:$EH$5,"="&amp;M$5,'Monthly Pro Forma'!$F92:$EH92)</f>
        <v>0</v>
      </c>
      <c r="N73" s="217">
        <f>SUMIF('Monthly Pro Forma'!$F$5:$EH$5,"="&amp;N$5,'Monthly Pro Forma'!$F92:$EH92)</f>
        <v>0</v>
      </c>
      <c r="O73" s="217">
        <f>SUMIF('Monthly Pro Forma'!$F$5:$EH$5,"="&amp;O$5,'Monthly Pro Forma'!$F92:$EH92)</f>
        <v>0</v>
      </c>
    </row>
    <row r="74" spans="1:16" x14ac:dyDescent="0.2">
      <c r="A74" s="217"/>
      <c r="B74" s="209" t="str">
        <f>'Monthly Pro Forma'!B93</f>
        <v>Refinance Loan Prepayment Fee</v>
      </c>
      <c r="C74" s="217"/>
      <c r="D74" s="217">
        <f>SUMIF('Monthly Pro Forma'!$F$5:$EH$5,"="&amp;D$5,'Monthly Pro Forma'!$F93:$EH93)</f>
        <v>0</v>
      </c>
      <c r="E74" s="217">
        <f>SUMIF('Monthly Pro Forma'!$F$5:$EH$5,"="&amp;E$5,'Monthly Pro Forma'!$F93:$EH93)</f>
        <v>0</v>
      </c>
      <c r="F74" s="217">
        <f>SUMIF('Monthly Pro Forma'!$F$5:$EH$5,"="&amp;F$5,'Monthly Pro Forma'!$F93:$EH93)</f>
        <v>0</v>
      </c>
      <c r="G74" s="217">
        <f>SUMIF('Monthly Pro Forma'!$F$5:$EH$5,"="&amp;G$5,'Monthly Pro Forma'!$F93:$EH93)</f>
        <v>0</v>
      </c>
      <c r="H74" s="217">
        <f>SUMIF('Monthly Pro Forma'!$F$5:$EH$5,"="&amp;H$5,'Monthly Pro Forma'!$F93:$EH93)</f>
        <v>0</v>
      </c>
      <c r="I74" s="217">
        <f ca="1">SUMIF('Monthly Pro Forma'!$F$5:$EH$5,"="&amp;I$5,'Monthly Pro Forma'!$F93:$EH93)</f>
        <v>-492919.43027310236</v>
      </c>
      <c r="J74" s="217">
        <f>SUMIF('Monthly Pro Forma'!$F$5:$EH$5,"="&amp;J$5,'Monthly Pro Forma'!$F93:$EH93)</f>
        <v>0</v>
      </c>
      <c r="K74" s="217">
        <f>SUMIF('Monthly Pro Forma'!$F$5:$EH$5,"="&amp;K$5,'Monthly Pro Forma'!$F93:$EH93)</f>
        <v>0</v>
      </c>
      <c r="L74" s="217">
        <f>SUMIF('Monthly Pro Forma'!$F$5:$EH$5,"="&amp;L$5,'Monthly Pro Forma'!$F93:$EH93)</f>
        <v>0</v>
      </c>
      <c r="M74" s="217">
        <f>SUMIF('Monthly Pro Forma'!$F$5:$EH$5,"="&amp;M$5,'Monthly Pro Forma'!$F93:$EH93)</f>
        <v>0</v>
      </c>
      <c r="N74" s="217">
        <f>SUMIF('Monthly Pro Forma'!$F$5:$EH$5,"="&amp;N$5,'Monthly Pro Forma'!$F93:$EH93)</f>
        <v>0</v>
      </c>
      <c r="O74" s="217">
        <f>SUMIF('Monthly Pro Forma'!$F$5:$EH$5,"="&amp;O$5,'Monthly Pro Forma'!$F93:$EH93)</f>
        <v>0</v>
      </c>
    </row>
    <row r="75" spans="1:16" x14ac:dyDescent="0.2">
      <c r="A75" s="217"/>
      <c r="B75" s="209" t="str">
        <f>'Monthly Pro Forma'!B94</f>
        <v>Refinance Loan Payoff</v>
      </c>
      <c r="C75" s="217"/>
      <c r="D75" s="217">
        <f>SUMIF('Monthly Pro Forma'!$F$5:$EH$5,"="&amp;D$5,'Monthly Pro Forma'!$F94:$EH94)</f>
        <v>0</v>
      </c>
      <c r="E75" s="217">
        <f>SUMIF('Monthly Pro Forma'!$F$5:$EH$5,"="&amp;E$5,'Monthly Pro Forma'!$F94:$EH94)</f>
        <v>0</v>
      </c>
      <c r="F75" s="217">
        <f>SUMIF('Monthly Pro Forma'!$F$5:$EH$5,"="&amp;F$5,'Monthly Pro Forma'!$F94:$EH94)</f>
        <v>0</v>
      </c>
      <c r="G75" s="217">
        <f>SUMIF('Monthly Pro Forma'!$F$5:$EH$5,"="&amp;G$5,'Monthly Pro Forma'!$F94:$EH94)</f>
        <v>0</v>
      </c>
      <c r="H75" s="217">
        <f>SUMIF('Monthly Pro Forma'!$F$5:$EH$5,"="&amp;H$5,'Monthly Pro Forma'!$F94:$EH94)</f>
        <v>0</v>
      </c>
      <c r="I75" s="217">
        <f ca="1">SUMIF('Monthly Pro Forma'!$F$5:$EH$5,"="&amp;I$5,'Monthly Pro Forma'!$F94:$EH94)</f>
        <v>-49291943.027310237</v>
      </c>
      <c r="J75" s="217">
        <f>SUMIF('Monthly Pro Forma'!$F$5:$EH$5,"="&amp;J$5,'Monthly Pro Forma'!$F94:$EH94)</f>
        <v>0</v>
      </c>
      <c r="K75" s="217">
        <f>SUMIF('Monthly Pro Forma'!$F$5:$EH$5,"="&amp;K$5,'Monthly Pro Forma'!$F94:$EH94)</f>
        <v>0</v>
      </c>
      <c r="L75" s="217">
        <f>SUMIF('Monthly Pro Forma'!$F$5:$EH$5,"="&amp;L$5,'Monthly Pro Forma'!$F94:$EH94)</f>
        <v>0</v>
      </c>
      <c r="M75" s="217">
        <f>SUMIF('Monthly Pro Forma'!$F$5:$EH$5,"="&amp;M$5,'Monthly Pro Forma'!$F94:$EH94)</f>
        <v>0</v>
      </c>
      <c r="N75" s="217">
        <f>SUMIF('Monthly Pro Forma'!$F$5:$EH$5,"="&amp;N$5,'Monthly Pro Forma'!$F94:$EH94)</f>
        <v>0</v>
      </c>
      <c r="O75" s="217">
        <f>SUMIF('Monthly Pro Forma'!$F$5:$EH$5,"="&amp;O$5,'Monthly Pro Forma'!$F94:$EH94)</f>
        <v>0</v>
      </c>
    </row>
    <row r="76" spans="1:16" s="145" customFormat="1" x14ac:dyDescent="0.2">
      <c r="A76" s="262"/>
      <c r="B76" s="261" t="s">
        <v>923</v>
      </c>
      <c r="C76" s="264"/>
      <c r="D76" s="264">
        <f>SUM(D65:D75)</f>
        <v>40977862.649612993</v>
      </c>
      <c r="E76" s="264">
        <f t="shared" ref="E76:O76" si="2">SUM(E65:E75)</f>
        <v>510256.41025634058</v>
      </c>
      <c r="F76" s="264">
        <f t="shared" si="2"/>
        <v>502051.28205128206</v>
      </c>
      <c r="G76" s="264">
        <f t="shared" ca="1" si="2"/>
        <v>2767441.8330200743</v>
      </c>
      <c r="H76" s="264">
        <f t="shared" si="2"/>
        <v>0</v>
      </c>
      <c r="I76" s="264">
        <f t="shared" ca="1" si="2"/>
        <v>-49784862.457583338</v>
      </c>
      <c r="J76" s="264">
        <f t="shared" si="2"/>
        <v>0</v>
      </c>
      <c r="K76" s="264">
        <f t="shared" si="2"/>
        <v>0</v>
      </c>
      <c r="L76" s="264">
        <f t="shared" si="2"/>
        <v>0</v>
      </c>
      <c r="M76" s="264">
        <f t="shared" si="2"/>
        <v>0</v>
      </c>
      <c r="N76" s="264">
        <f t="shared" si="2"/>
        <v>0</v>
      </c>
      <c r="O76" s="264">
        <f t="shared" si="2"/>
        <v>0</v>
      </c>
    </row>
    <row r="77" spans="1:16" x14ac:dyDescent="0.2">
      <c r="A77" s="217"/>
      <c r="B77" s="209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</row>
    <row r="78" spans="1:16" s="145" customFormat="1" ht="15" thickBot="1" x14ac:dyDescent="0.25">
      <c r="A78" s="262"/>
      <c r="B78" s="284" t="str">
        <f>'Monthly Pro Forma'!B98</f>
        <v>Levered Net Cash Flow</v>
      </c>
      <c r="C78" s="221"/>
      <c r="D78" s="219">
        <f>SUMIF('Monthly Pro Forma'!$F$5:$EH$5,"="&amp;D$5,'Monthly Pro Forma'!$F98:$EH98)</f>
        <v>-9883037.350387007</v>
      </c>
      <c r="E78" s="219">
        <f ca="1">SUMIF('Monthly Pro Forma'!$F$5:$EH$5,"="&amp;E$5,'Monthly Pro Forma'!$F98:$EH98)</f>
        <v>15249.283835083363</v>
      </c>
      <c r="F78" s="219">
        <f ca="1">SUMIF('Monthly Pro Forma'!$F$5:$EH$5,"="&amp;F$5,'Monthly Pro Forma'!$F98:$EH98)</f>
        <v>459745.4729532607</v>
      </c>
      <c r="G78" s="219">
        <f ca="1">SUMIF('Monthly Pro Forma'!$F$5:$EH$5,"="&amp;G$5,'Monthly Pro Forma'!$F98:$EH98)</f>
        <v>3107692.4460540237</v>
      </c>
      <c r="H78" s="219">
        <f ca="1">SUMIF('Monthly Pro Forma'!$F$5:$EH$5,"="&amp;H$5,'Monthly Pro Forma'!$F98:$EH98)</f>
        <v>1152202.1039193852</v>
      </c>
      <c r="I78" s="219">
        <f ca="1">SUMIF('Monthly Pro Forma'!$F$5:$EH$5,"="&amp;I$5,'Monthly Pro Forma'!$F98:$EH98)</f>
        <v>35561617.637958176</v>
      </c>
      <c r="J78" s="219">
        <f>SUMIF('Monthly Pro Forma'!$F$5:$EH$5,"="&amp;J$5,'Monthly Pro Forma'!$F98:$EH98)</f>
        <v>0</v>
      </c>
      <c r="K78" s="219">
        <f>SUMIF('Monthly Pro Forma'!$F$5:$EH$5,"="&amp;K$5,'Monthly Pro Forma'!$F98:$EH98)</f>
        <v>0</v>
      </c>
      <c r="L78" s="219">
        <f>SUMIF('Monthly Pro Forma'!$F$5:$EH$5,"="&amp;L$5,'Monthly Pro Forma'!$F98:$EH98)</f>
        <v>0</v>
      </c>
      <c r="M78" s="219">
        <f>SUMIF('Monthly Pro Forma'!$F$5:$EH$5,"="&amp;M$5,'Monthly Pro Forma'!$F98:$EH98)</f>
        <v>0</v>
      </c>
      <c r="N78" s="219">
        <f>SUMIF('Monthly Pro Forma'!$F$5:$EH$5,"="&amp;N$5,'Monthly Pro Forma'!$F98:$EH98)</f>
        <v>0</v>
      </c>
      <c r="O78" s="219">
        <f>SUMIF('Monthly Pro Forma'!$F$5:$EH$5,"="&amp;O$5,'Monthly Pro Forma'!$F98:$EH98)</f>
        <v>0</v>
      </c>
      <c r="P78" s="144"/>
    </row>
    <row r="79" spans="1:16" x14ac:dyDescent="0.2">
      <c r="B79" s="285" t="s">
        <v>782</v>
      </c>
      <c r="C79" s="286">
        <f ca="1">'Monthly Pro Forma'!C99</f>
        <v>9908344.7838870473</v>
      </c>
    </row>
    <row r="80" spans="1:16" x14ac:dyDescent="0.2">
      <c r="B80" s="276" t="s">
        <v>702</v>
      </c>
      <c r="C80" s="287">
        <f ca="1">SUM(D78:J78)</f>
        <v>30413469.594332922</v>
      </c>
    </row>
    <row r="81" spans="2:3" x14ac:dyDescent="0.2">
      <c r="B81" s="276" t="s">
        <v>120</v>
      </c>
      <c r="C81" s="288">
        <f ca="1">'Monthly Pro Forma'!C101</f>
        <v>0.35231075882911678</v>
      </c>
    </row>
    <row r="82" spans="2:3" ht="15" thickBot="1" x14ac:dyDescent="0.25">
      <c r="B82" s="279" t="s">
        <v>64</v>
      </c>
      <c r="C82" s="289">
        <f ca="1">'Monthly Pro Forma'!C102</f>
        <v>4.0694803478973913</v>
      </c>
    </row>
    <row r="83" spans="2:3" x14ac:dyDescent="0.2"/>
    <row r="84" spans="2:3" x14ac:dyDescent="0.2"/>
    <row r="85" spans="2:3" x14ac:dyDescent="0.2"/>
    <row r="86" spans="2:3" x14ac:dyDescent="0.2"/>
    <row r="87" spans="2:3" x14ac:dyDescent="0.2"/>
    <row r="88" spans="2:3" x14ac:dyDescent="0.2"/>
    <row r="89" spans="2:3" x14ac:dyDescent="0.2"/>
    <row r="90" spans="2:3" x14ac:dyDescent="0.2"/>
    <row r="91" spans="2:3" x14ac:dyDescent="0.2"/>
    <row r="92" spans="2:3" x14ac:dyDescent="0.2"/>
    <row r="93" spans="2:3" x14ac:dyDescent="0.2"/>
    <row r="94" spans="2:3" x14ac:dyDescent="0.2"/>
    <row r="95" spans="2:3" x14ac:dyDescent="0.2"/>
    <row r="96" spans="2:3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</sheetData>
  <sheetProtection selectLockedCells="1" selectUnlockedCells="1"/>
  <phoneticPr fontId="5" type="noConversion"/>
  <pageMargins left="0.7" right="0.7" top="0.75" bottom="0.75" header="0.3" footer="0.3"/>
  <pageSetup scale="46" orientation="landscape" r:id="rId1"/>
  <rowBreaks count="1" manualBreakCount="1">
    <brk id="78" max="14" man="1"/>
  </rowBreaks>
  <colBreaks count="1" manualBreakCount="1">
    <brk id="1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0BF8-CDE8-4238-803C-39091E147E77}">
  <sheetPr codeName="Sheet10">
    <pageSetUpPr fitToPage="1"/>
  </sheetPr>
  <dimension ref="B1:O58"/>
  <sheetViews>
    <sheetView showGridLines="0" topLeftCell="A21" zoomScaleNormal="100" zoomScaleSheetLayoutView="80" workbookViewId="0">
      <selection activeCell="B42" sqref="B42"/>
    </sheetView>
  </sheetViews>
  <sheetFormatPr defaultColWidth="8.7109375" defaultRowHeight="14.25" zeroHeight="1" outlineLevelCol="1" x14ac:dyDescent="0.2"/>
  <cols>
    <col min="1" max="1" width="2.7109375" style="144" customWidth="1"/>
    <col min="2" max="2" width="48.5703125" style="144" bestFit="1" customWidth="1"/>
    <col min="3" max="3" width="13.42578125" style="144" bestFit="1" customWidth="1"/>
    <col min="4" max="4" width="12.140625" style="144" customWidth="1"/>
    <col min="5" max="5" width="13" style="144" bestFit="1" customWidth="1"/>
    <col min="6" max="6" width="13.140625" style="144" bestFit="1" customWidth="1"/>
    <col min="7" max="7" width="13" style="144" bestFit="1" customWidth="1"/>
    <col min="8" max="8" width="12.85546875" style="144" bestFit="1" customWidth="1"/>
    <col min="9" max="9" width="10.5703125" style="144" hidden="1" customWidth="1" outlineLevel="1"/>
    <col min="10" max="10" width="12.42578125" style="144" hidden="1" customWidth="1" outlineLevel="1"/>
    <col min="11" max="11" width="11.140625" style="144" hidden="1" customWidth="1" outlineLevel="1"/>
    <col min="12" max="12" width="10.140625" style="144" hidden="1" customWidth="1" outlineLevel="1"/>
    <col min="13" max="13" width="13.7109375" style="144" hidden="1" customWidth="1" outlineLevel="1"/>
    <col min="14" max="14" width="8.7109375" style="144" collapsed="1"/>
    <col min="15" max="15" width="13" style="144" bestFit="1" customWidth="1"/>
    <col min="16" max="16384" width="8.7109375" style="144"/>
  </cols>
  <sheetData>
    <row r="1" spans="2:13" x14ac:dyDescent="0.2">
      <c r="B1" s="200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1"/>
    </row>
    <row r="2" spans="2:13" x14ac:dyDescent="0.2">
      <c r="B2" s="202" t="s">
        <v>899</v>
      </c>
      <c r="C2" s="203"/>
      <c r="D2" s="203"/>
      <c r="E2" s="204"/>
      <c r="F2" s="204"/>
      <c r="G2" s="205"/>
      <c r="H2" s="206"/>
      <c r="I2" s="206"/>
      <c r="J2" s="206"/>
      <c r="K2" s="205"/>
      <c r="L2" s="202"/>
      <c r="M2" s="206"/>
    </row>
    <row r="3" spans="2:13" x14ac:dyDescent="0.2">
      <c r="B3" s="202" t="str">
        <f>Name</f>
        <v>Property Name</v>
      </c>
      <c r="C3" s="203"/>
      <c r="D3" s="203"/>
      <c r="E3" s="204"/>
      <c r="F3" s="204"/>
      <c r="G3" s="205"/>
      <c r="H3" s="206"/>
      <c r="I3" s="206"/>
      <c r="J3" s="206"/>
      <c r="K3" s="205"/>
      <c r="L3" s="202"/>
      <c r="M3" s="206"/>
    </row>
    <row r="4" spans="2:13" x14ac:dyDescent="0.2">
      <c r="B4" s="202" t="str">
        <f>Address&amp;" "&amp;CityStateZip</f>
        <v>12345 Main St New York, NY 10004</v>
      </c>
      <c r="C4" s="203"/>
      <c r="D4" s="203"/>
      <c r="E4" s="204"/>
      <c r="F4" s="204"/>
      <c r="G4" s="205"/>
      <c r="H4" s="206"/>
      <c r="I4" s="206"/>
      <c r="J4" s="206"/>
      <c r="K4" s="205"/>
      <c r="L4" s="202"/>
      <c r="M4" s="206"/>
    </row>
    <row r="5" spans="2:13" x14ac:dyDescent="0.2">
      <c r="B5" s="202"/>
      <c r="C5" s="203"/>
      <c r="D5" s="203"/>
      <c r="E5" s="204"/>
      <c r="F5" s="204"/>
      <c r="G5" s="205"/>
      <c r="H5" s="206"/>
      <c r="I5" s="206"/>
      <c r="J5" s="206"/>
      <c r="K5" s="205"/>
      <c r="L5" s="202"/>
      <c r="M5" s="206"/>
    </row>
    <row r="6" spans="2:13" ht="18" customHeight="1" x14ac:dyDescent="0.2">
      <c r="B6" s="207"/>
      <c r="C6" s="203"/>
      <c r="D6" s="203"/>
      <c r="E6" s="204"/>
      <c r="F6" s="204"/>
      <c r="G6" s="205"/>
      <c r="H6" s="205"/>
      <c r="I6" s="205"/>
      <c r="J6" s="205"/>
      <c r="K6" s="205"/>
      <c r="L6" s="205"/>
      <c r="M6" s="208"/>
    </row>
    <row r="7" spans="2:13" x14ac:dyDescent="0.2">
      <c r="B7" s="209"/>
      <c r="C7" s="208" t="str">
        <f>'Annual Pro Forma'!D4</f>
        <v/>
      </c>
      <c r="D7" s="208" t="str">
        <f>'Annual Pro Forma'!E4</f>
        <v/>
      </c>
      <c r="E7" s="208" t="str">
        <f>'Annual Pro Forma'!F4</f>
        <v/>
      </c>
      <c r="F7" s="208" t="str">
        <f>'Annual Pro Forma'!G4</f>
        <v>Refinance</v>
      </c>
      <c r="G7" s="208" t="str">
        <f>'Annual Pro Forma'!H4</f>
        <v/>
      </c>
      <c r="H7" s="208" t="str">
        <f>'Annual Pro Forma'!I4</f>
        <v>Sale</v>
      </c>
      <c r="I7" s="208" t="str">
        <f>'Annual Pro Forma'!J4</f>
        <v/>
      </c>
      <c r="J7" s="208" t="str">
        <f>'Annual Pro Forma'!K4</f>
        <v/>
      </c>
      <c r="K7" s="208" t="str">
        <f>'Annual Pro Forma'!L4</f>
        <v/>
      </c>
      <c r="L7" s="208" t="str">
        <f>'Annual Pro Forma'!M4</f>
        <v/>
      </c>
      <c r="M7" s="208" t="str">
        <f>'Annual Pro Forma'!N4</f>
        <v/>
      </c>
    </row>
    <row r="8" spans="2:13" x14ac:dyDescent="0.2">
      <c r="B8" s="200"/>
      <c r="C8" s="210">
        <v>0</v>
      </c>
      <c r="D8" s="210">
        <v>1</v>
      </c>
      <c r="E8" s="210">
        <v>2</v>
      </c>
      <c r="F8" s="210">
        <v>3</v>
      </c>
      <c r="G8" s="210">
        <v>4</v>
      </c>
      <c r="H8" s="210">
        <v>5</v>
      </c>
      <c r="I8" s="210">
        <v>6</v>
      </c>
      <c r="J8" s="210">
        <v>7</v>
      </c>
      <c r="K8" s="210">
        <v>8</v>
      </c>
      <c r="L8" s="210">
        <v>9</v>
      </c>
      <c r="M8" s="210">
        <v>10</v>
      </c>
    </row>
    <row r="9" spans="2:13" x14ac:dyDescent="0.2">
      <c r="B9" s="200"/>
      <c r="C9" s="211">
        <f>EOMONTH(AnalysisStartDate,-1)</f>
        <v>44926</v>
      </c>
      <c r="D9" s="211">
        <f t="shared" ref="D9:M9" si="0">EOMONTH(C9,12)</f>
        <v>45291</v>
      </c>
      <c r="E9" s="211">
        <f t="shared" si="0"/>
        <v>45657</v>
      </c>
      <c r="F9" s="211">
        <f t="shared" si="0"/>
        <v>46022</v>
      </c>
      <c r="G9" s="211">
        <f t="shared" si="0"/>
        <v>46387</v>
      </c>
      <c r="H9" s="211">
        <f t="shared" si="0"/>
        <v>46752</v>
      </c>
      <c r="I9" s="211">
        <f t="shared" si="0"/>
        <v>47118</v>
      </c>
      <c r="J9" s="211">
        <f t="shared" si="0"/>
        <v>47483</v>
      </c>
      <c r="K9" s="211">
        <f t="shared" si="0"/>
        <v>47848</v>
      </c>
      <c r="L9" s="211">
        <f t="shared" si="0"/>
        <v>48213</v>
      </c>
      <c r="M9" s="211">
        <f t="shared" si="0"/>
        <v>48579</v>
      </c>
    </row>
    <row r="10" spans="2:13" ht="15" thickBot="1" x14ac:dyDescent="0.25">
      <c r="B10" s="212"/>
      <c r="C10" s="213"/>
      <c r="D10" s="213"/>
      <c r="E10" s="213"/>
      <c r="F10" s="213"/>
      <c r="G10" s="213"/>
      <c r="H10" s="213"/>
      <c r="I10" s="213"/>
      <c r="J10" s="213"/>
      <c r="K10" s="214"/>
      <c r="L10" s="213"/>
      <c r="M10" s="213"/>
    </row>
    <row r="11" spans="2:13" x14ac:dyDescent="0.2">
      <c r="B11" s="215" t="s">
        <v>214</v>
      </c>
      <c r="C11" s="216"/>
      <c r="D11" s="216"/>
      <c r="E11" s="216"/>
      <c r="F11" s="216"/>
      <c r="G11" s="216"/>
      <c r="H11" s="216"/>
      <c r="I11" s="216"/>
      <c r="J11" s="216"/>
      <c r="K11" s="216"/>
      <c r="L11" s="216"/>
      <c r="M11" s="216"/>
    </row>
    <row r="12" spans="2:13" x14ac:dyDescent="0.2">
      <c r="B12" s="209" t="s">
        <v>37</v>
      </c>
      <c r="C12" s="217">
        <f ca="1">SUMIF('Monthly Pro Forma'!$F$5:$EH$5,Returns!C$8,'Monthly Pro Forma'!$F116:$EH116)</f>
        <v>-9908344.7838870473</v>
      </c>
      <c r="D12" s="217">
        <f ca="1">SUMIF('Monthly Pro Forma'!$F$5:$EH$5,Returns!D$8,'Monthly Pro Forma'!$F116:$EH116)</f>
        <v>-57753.871224970208</v>
      </c>
      <c r="E12" s="217">
        <f ca="1">SUMIF('Monthly Pro Forma'!$F$5:$EH$5,Returns!E$8,'Monthly Pro Forma'!$F116:$EH116)</f>
        <v>0</v>
      </c>
      <c r="F12" s="217">
        <f ca="1">SUMIF('Monthly Pro Forma'!$F$5:$EH$5,Returns!F$8,'Monthly Pro Forma'!$F116:$EH116)</f>
        <v>0</v>
      </c>
      <c r="G12" s="217">
        <f ca="1">SUMIF('Monthly Pro Forma'!$F$5:$EH$5,Returns!G$8,'Monthly Pro Forma'!$F116:$EH116)</f>
        <v>0</v>
      </c>
      <c r="H12" s="217">
        <f ca="1">SUMIF('Monthly Pro Forma'!$F$5:$EH$5,Returns!H$8,'Monthly Pro Forma'!$F116:$EH116)</f>
        <v>0</v>
      </c>
      <c r="I12" s="217">
        <f>SUMIF('Monthly Pro Forma'!$F$5:$EH$5,Returns!I$8,'Monthly Pro Forma'!$F116:$EH116)</f>
        <v>0</v>
      </c>
      <c r="J12" s="217">
        <f>SUMIF('Monthly Pro Forma'!$F$5:$EH$5,Returns!J$8,'Monthly Pro Forma'!$F116:$EH116)</f>
        <v>0</v>
      </c>
      <c r="K12" s="217">
        <f>SUMIF('Monthly Pro Forma'!$F$5:$EH$5,Returns!K$8,'Monthly Pro Forma'!$F116:$EH116)</f>
        <v>0</v>
      </c>
      <c r="L12" s="217">
        <f>SUMIF('Monthly Pro Forma'!$F$5:$EH$5,Returns!L$8,'Monthly Pro Forma'!$F116:$EH116)</f>
        <v>0</v>
      </c>
      <c r="M12" s="217">
        <f>SUMIF('Monthly Pro Forma'!$F$5:$EH$5,Returns!M$8,'Monthly Pro Forma'!$F116:$EH116)</f>
        <v>0</v>
      </c>
    </row>
    <row r="13" spans="2:13" x14ac:dyDescent="0.2">
      <c r="B13" s="209" t="s">
        <v>38</v>
      </c>
      <c r="C13" s="217"/>
      <c r="D13" s="217">
        <f ca="1">SUMIF('Monthly Pro Forma'!$F$5:$EH$5,Returns!D$8,'Monthly Pro Forma'!$F$118:$EH$118)</f>
        <v>-17197.153889846915</v>
      </c>
      <c r="E13" s="217">
        <f ca="1">SUMIF('Monthly Pro Forma'!$F$5:$EH$5,Returns!E$8,'Monthly Pro Forma'!$F$118:$EH$118)</f>
        <v>459745.4729532607</v>
      </c>
      <c r="F13" s="217">
        <f ca="1">SUMIF('Monthly Pro Forma'!$F$5:$EH$5,Returns!F$8,'Monthly Pro Forma'!$F$118:$EH$118)</f>
        <v>3107692.4460540237</v>
      </c>
      <c r="G13" s="217">
        <f ca="1">SUMIF('Monthly Pro Forma'!$F$5:$EH$5,Returns!G$8,'Monthly Pro Forma'!$F$118:$EH$118)</f>
        <v>1152202.1039193852</v>
      </c>
      <c r="H13" s="217">
        <f ca="1">SUMIF('Monthly Pro Forma'!$F$5:$EH$5,Returns!H$8,'Monthly Pro Forma'!$F$118:$EH$118)</f>
        <v>35561617.637958176</v>
      </c>
      <c r="I13" s="217">
        <f>SUMIF('Monthly Pro Forma'!$F$5:$EH$5,Returns!I$8,'Monthly Pro Forma'!$F$118:$EH$118)</f>
        <v>0</v>
      </c>
      <c r="J13" s="217">
        <f>SUMIF('Monthly Pro Forma'!$F$5:$EH$5,Returns!J$8,'Monthly Pro Forma'!$F$118:$EH$118)</f>
        <v>0</v>
      </c>
      <c r="K13" s="217">
        <f>SUMIF('Monthly Pro Forma'!$F$5:$EH$5,Returns!K$8,'Monthly Pro Forma'!$F$118:$EH$118)</f>
        <v>0</v>
      </c>
      <c r="L13" s="217">
        <f>SUMIF('Monthly Pro Forma'!$F$5:$EH$5,Returns!L$8,'Monthly Pro Forma'!$F$118:$EH$118)</f>
        <v>0</v>
      </c>
      <c r="M13" s="217">
        <f>SUMIF('Monthly Pro Forma'!$F$5:$EH$5,Returns!M$8,'Monthly Pro Forma'!$F$118:$EH$118)</f>
        <v>0</v>
      </c>
    </row>
    <row r="14" spans="2:13" x14ac:dyDescent="0.2">
      <c r="B14" s="218" t="s">
        <v>119</v>
      </c>
      <c r="C14" s="219">
        <f t="shared" ref="C14:M14" ca="1" si="1">SUM(C12:C13)</f>
        <v>-9908344.7838870473</v>
      </c>
      <c r="D14" s="219">
        <f t="shared" ca="1" si="1"/>
        <v>-74951.025114817123</v>
      </c>
      <c r="E14" s="219">
        <f t="shared" ca="1" si="1"/>
        <v>459745.4729532607</v>
      </c>
      <c r="F14" s="219">
        <f t="shared" ca="1" si="1"/>
        <v>3107692.4460540237</v>
      </c>
      <c r="G14" s="219">
        <f t="shared" ca="1" si="1"/>
        <v>1152202.1039193852</v>
      </c>
      <c r="H14" s="219">
        <f t="shared" ca="1" si="1"/>
        <v>35561617.637958176</v>
      </c>
      <c r="I14" s="219">
        <f t="shared" si="1"/>
        <v>0</v>
      </c>
      <c r="J14" s="219">
        <f t="shared" si="1"/>
        <v>0</v>
      </c>
      <c r="K14" s="219">
        <f t="shared" si="1"/>
        <v>0</v>
      </c>
      <c r="L14" s="219">
        <f t="shared" si="1"/>
        <v>0</v>
      </c>
      <c r="M14" s="219">
        <f t="shared" si="1"/>
        <v>0</v>
      </c>
    </row>
    <row r="15" spans="2:13" x14ac:dyDescent="0.2">
      <c r="B15" s="145" t="s">
        <v>92</v>
      </c>
      <c r="C15" s="220">
        <f ca="1">SUM(C14:M14)</f>
        <v>30297961.851882979</v>
      </c>
      <c r="D15" s="221"/>
      <c r="E15" s="221"/>
      <c r="F15" s="221"/>
      <c r="G15" s="221"/>
      <c r="H15" s="221"/>
      <c r="I15" s="221"/>
      <c r="J15" s="221"/>
      <c r="K15" s="221"/>
      <c r="L15" s="221"/>
      <c r="M15" s="221"/>
    </row>
    <row r="16" spans="2:13" x14ac:dyDescent="0.2">
      <c r="B16" s="145" t="s">
        <v>120</v>
      </c>
      <c r="C16" s="222">
        <f ca="1">'Monthly Pro Forma'!C101</f>
        <v>0.35231075882911678</v>
      </c>
      <c r="D16" s="223"/>
    </row>
    <row r="17" spans="2:13" x14ac:dyDescent="0.2">
      <c r="B17" s="145" t="s">
        <v>825</v>
      </c>
      <c r="C17" s="224">
        <f ca="1">C15/-C14/(HoldPeriod/12)</f>
        <v>0.61156454509240599</v>
      </c>
      <c r="D17" s="225"/>
      <c r="E17" s="225"/>
      <c r="F17" s="225"/>
      <c r="G17" s="225"/>
      <c r="H17" s="225"/>
      <c r="I17" s="225"/>
      <c r="J17" s="225"/>
      <c r="K17" s="225"/>
      <c r="L17" s="225"/>
      <c r="M17" s="225"/>
    </row>
    <row r="18" spans="2:13" x14ac:dyDescent="0.2">
      <c r="B18" s="145" t="s">
        <v>64</v>
      </c>
      <c r="C18" s="226">
        <f ca="1">IF(C12=0,0,SUM(D14:M14)/-C14)</f>
        <v>4.0578227254620307</v>
      </c>
      <c r="D18" s="227"/>
      <c r="E18" s="227"/>
      <c r="F18" s="227"/>
      <c r="G18" s="227"/>
      <c r="H18" s="227"/>
      <c r="I18" s="227"/>
      <c r="J18" s="227"/>
      <c r="K18" s="227"/>
      <c r="L18" s="227"/>
      <c r="M18" s="227"/>
    </row>
    <row r="19" spans="2:13" ht="15" thickBot="1" x14ac:dyDescent="0.25">
      <c r="B19" s="228"/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</row>
    <row r="20" spans="2:13" ht="15" thickBot="1" x14ac:dyDescent="0.25">
      <c r="B20" s="229"/>
      <c r="C20" s="230"/>
      <c r="D20" s="228"/>
      <c r="E20" s="228"/>
      <c r="F20" s="228"/>
      <c r="G20" s="228"/>
      <c r="H20" s="228"/>
      <c r="I20" s="228"/>
      <c r="J20" s="228"/>
      <c r="K20" s="228"/>
      <c r="L20" s="228"/>
      <c r="M20" s="228"/>
    </row>
    <row r="21" spans="2:13" x14ac:dyDescent="0.2">
      <c r="B21" s="215" t="s">
        <v>824</v>
      </c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</row>
    <row r="22" spans="2:13" x14ac:dyDescent="0.2">
      <c r="B22" s="209" t="s">
        <v>37</v>
      </c>
      <c r="C22" s="217">
        <f ca="1">SUMIF('Monthly Pro Forma'!$F$5:$EH$5,Returns!C$8,'Monthly Pro Forma'!$F142:$EH142)</f>
        <v>-9908344.7838870473</v>
      </c>
      <c r="D22" s="217">
        <f ca="1">SUMIF('Monthly Pro Forma'!$F$5:$EH$5,Returns!D$8,'Monthly Pro Forma'!$F142:$EH142)</f>
        <v>-57753.871224970208</v>
      </c>
      <c r="E22" s="217">
        <f ca="1">SUMIF('Monthly Pro Forma'!$F$5:$EH$5,Returns!E$8,'Monthly Pro Forma'!$F142:$EH142)</f>
        <v>0</v>
      </c>
      <c r="F22" s="217">
        <f ca="1">SUMIF('Monthly Pro Forma'!$F$5:$EH$5,Returns!F$8,'Monthly Pro Forma'!$F142:$EH142)</f>
        <v>0</v>
      </c>
      <c r="G22" s="217">
        <f ca="1">SUMIF('Monthly Pro Forma'!$F$5:$EH$5,Returns!G$8,'Monthly Pro Forma'!$F142:$EH142)</f>
        <v>0</v>
      </c>
      <c r="H22" s="217">
        <f ca="1">SUMIF('Monthly Pro Forma'!$F$5:$EH$5,Returns!H$8,'Monthly Pro Forma'!$F142:$EH142)</f>
        <v>0</v>
      </c>
      <c r="I22" s="217">
        <f>SUMIF('Monthly Pro Forma'!$F$5:$EH$5,Returns!I$8,'Monthly Pro Forma'!$F142:$EH142)</f>
        <v>0</v>
      </c>
      <c r="J22" s="217">
        <f>SUMIF('Monthly Pro Forma'!$F$5:$EH$5,Returns!J$8,'Monthly Pro Forma'!$F142:$EH142)</f>
        <v>0</v>
      </c>
      <c r="K22" s="217">
        <f>SUMIF('Monthly Pro Forma'!$F$5:$EH$5,Returns!K$8,'Monthly Pro Forma'!$F142:$EH142)</f>
        <v>0</v>
      </c>
      <c r="L22" s="217">
        <f>SUMIF('Monthly Pro Forma'!$F$5:$EH$5,Returns!L$8,'Monthly Pro Forma'!$F142:$EH142)</f>
        <v>0</v>
      </c>
      <c r="M22" s="217">
        <f>SUMIF('Monthly Pro Forma'!$F$5:$EH$5,Returns!M$8,'Monthly Pro Forma'!$F142:$EH142)</f>
        <v>0</v>
      </c>
    </row>
    <row r="23" spans="2:13" x14ac:dyDescent="0.2">
      <c r="B23" s="209" t="s">
        <v>38</v>
      </c>
      <c r="C23" s="217"/>
      <c r="D23" s="217">
        <f ca="1">SUMIF('Monthly Pro Forma'!$F$5:$EH$5,Returns!D$8,'Monthly Pro Forma'!$F143:$EH143)</f>
        <v>40556.717335123292</v>
      </c>
      <c r="E23" s="217">
        <f ca="1">SUMIF('Monthly Pro Forma'!$F$5:$EH$5,Returns!E$8,'Monthly Pro Forma'!$F143:$EH143)</f>
        <v>459745.4729532607</v>
      </c>
      <c r="F23" s="217">
        <f ca="1">SUMIF('Monthly Pro Forma'!$F$5:$EH$5,Returns!F$8,'Monthly Pro Forma'!$F143:$EH143)</f>
        <v>3107692.4460540237</v>
      </c>
      <c r="G23" s="217">
        <f ca="1">SUMIF('Monthly Pro Forma'!$F$5:$EH$5,Returns!G$8,'Monthly Pro Forma'!$F143:$EH143)</f>
        <v>1152202.1039193852</v>
      </c>
      <c r="H23" s="217">
        <f ca="1">SUMIF('Monthly Pro Forma'!$F$5:$EH$5,Returns!H$8,'Monthly Pro Forma'!$F143:$EH143)</f>
        <v>27593770.913097348</v>
      </c>
      <c r="I23" s="217">
        <f ca="1">SUMIF('Monthly Pro Forma'!$F$5:$EH$5,Returns!I$8,'Monthly Pro Forma'!$F143:$EH143)</f>
        <v>0</v>
      </c>
      <c r="J23" s="217">
        <f ca="1">SUMIF('Monthly Pro Forma'!$F$5:$EH$5,Returns!J$8,'Monthly Pro Forma'!$F143:$EH143)</f>
        <v>0</v>
      </c>
      <c r="K23" s="217">
        <f ca="1">SUMIF('Monthly Pro Forma'!$F$5:$EH$5,Returns!K$8,'Monthly Pro Forma'!$F143:$EH143)</f>
        <v>0</v>
      </c>
      <c r="L23" s="217">
        <f ca="1">SUMIF('Monthly Pro Forma'!$F$5:$EH$5,Returns!L$8,'Monthly Pro Forma'!$F143:$EH143)</f>
        <v>0</v>
      </c>
      <c r="M23" s="217">
        <f ca="1">SUMIF('Monthly Pro Forma'!$F$5:$EH$5,Returns!M$8,'Monthly Pro Forma'!$F143:$EH143)</f>
        <v>0</v>
      </c>
    </row>
    <row r="24" spans="2:13" x14ac:dyDescent="0.2">
      <c r="B24" s="218" t="s">
        <v>119</v>
      </c>
      <c r="C24" s="219">
        <f t="shared" ref="C24:M24" ca="1" si="2">SUM(C22:C23)</f>
        <v>-9908344.7838870473</v>
      </c>
      <c r="D24" s="219">
        <f t="shared" ca="1" si="2"/>
        <v>-17197.153889846915</v>
      </c>
      <c r="E24" s="219">
        <f t="shared" ca="1" si="2"/>
        <v>459745.4729532607</v>
      </c>
      <c r="F24" s="219">
        <f t="shared" ca="1" si="2"/>
        <v>3107692.4460540237</v>
      </c>
      <c r="G24" s="219">
        <f t="shared" ca="1" si="2"/>
        <v>1152202.1039193852</v>
      </c>
      <c r="H24" s="219">
        <f t="shared" ca="1" si="2"/>
        <v>27593770.913097348</v>
      </c>
      <c r="I24" s="219">
        <f t="shared" ca="1" si="2"/>
        <v>0</v>
      </c>
      <c r="J24" s="219">
        <f t="shared" ca="1" si="2"/>
        <v>0</v>
      </c>
      <c r="K24" s="219">
        <f t="shared" ca="1" si="2"/>
        <v>0</v>
      </c>
      <c r="L24" s="219">
        <f t="shared" ca="1" si="2"/>
        <v>0</v>
      </c>
      <c r="M24" s="219">
        <f t="shared" ca="1" si="2"/>
        <v>0</v>
      </c>
    </row>
    <row r="25" spans="2:13" x14ac:dyDescent="0.2">
      <c r="B25" s="145" t="s">
        <v>92</v>
      </c>
      <c r="C25" s="220">
        <f ca="1">SUM(C24:M24)</f>
        <v>22387868.998247124</v>
      </c>
      <c r="D25" s="221"/>
      <c r="E25" s="221"/>
      <c r="F25" s="221"/>
      <c r="G25" s="221"/>
      <c r="H25" s="221"/>
      <c r="I25" s="221"/>
      <c r="J25" s="221"/>
      <c r="K25" s="221"/>
      <c r="L25" s="221"/>
      <c r="M25" s="221"/>
    </row>
    <row r="26" spans="2:13" x14ac:dyDescent="0.2">
      <c r="B26" s="145" t="s">
        <v>120</v>
      </c>
      <c r="C26" s="231">
        <f ca="1">'Monthly Pro Forma'!D145</f>
        <v>0.29265416264534005</v>
      </c>
      <c r="D26" s="223"/>
    </row>
    <row r="27" spans="2:13" x14ac:dyDescent="0.2">
      <c r="B27" s="145" t="s">
        <v>825</v>
      </c>
      <c r="C27" s="224">
        <f ca="1">C25/-C24/(HoldPeriod/12)</f>
        <v>0.45189927251329165</v>
      </c>
      <c r="D27" s="225"/>
      <c r="E27" s="225"/>
      <c r="F27" s="225"/>
      <c r="G27" s="225"/>
      <c r="H27" s="225"/>
      <c r="I27" s="225"/>
      <c r="J27" s="225"/>
      <c r="K27" s="225"/>
      <c r="L27" s="225"/>
      <c r="M27" s="225"/>
    </row>
    <row r="28" spans="2:13" x14ac:dyDescent="0.2">
      <c r="B28" s="145" t="s">
        <v>64</v>
      </c>
      <c r="C28" s="226">
        <f ca="1">C25/-C24+1</f>
        <v>3.2594963625664581</v>
      </c>
      <c r="D28" s="227"/>
      <c r="E28" s="227"/>
      <c r="F28" s="227"/>
      <c r="G28" s="227"/>
      <c r="H28" s="227"/>
      <c r="I28" s="227"/>
      <c r="J28" s="227"/>
      <c r="K28" s="227"/>
      <c r="L28" s="227"/>
      <c r="M28" s="227"/>
    </row>
    <row r="29" spans="2:13" ht="15" thickBot="1" x14ac:dyDescent="0.25"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</row>
    <row r="30" spans="2:13" x14ac:dyDescent="0.2">
      <c r="B30" s="232">
        <v>500000</v>
      </c>
      <c r="C30" s="233"/>
      <c r="D30" s="234">
        <f ca="1">B30/-C22</f>
        <v>5.0462515274306979E-2</v>
      </c>
      <c r="E30" s="235"/>
      <c r="F30" s="233"/>
      <c r="G30" s="233"/>
      <c r="H30" s="233"/>
      <c r="I30" s="233"/>
      <c r="J30" s="233"/>
      <c r="K30" s="233"/>
      <c r="L30" s="233"/>
      <c r="M30" s="233"/>
    </row>
    <row r="31" spans="2:13" x14ac:dyDescent="0.2">
      <c r="B31" s="236" t="s">
        <v>37</v>
      </c>
      <c r="C31" s="237">
        <f>-B30</f>
        <v>-500000</v>
      </c>
      <c r="D31" s="238">
        <f ca="1">IF(D22=0,0,D22*$D$30)</f>
        <v>-2914.4056088404172</v>
      </c>
      <c r="E31" s="238">
        <f t="shared" ref="E31:M31" ca="1" si="3">IF(E22=0,0,E22*$D$30)</f>
        <v>0</v>
      </c>
      <c r="F31" s="238">
        <f t="shared" ca="1" si="3"/>
        <v>0</v>
      </c>
      <c r="G31" s="238">
        <f t="shared" ca="1" si="3"/>
        <v>0</v>
      </c>
      <c r="H31" s="238">
        <f t="shared" ca="1" si="3"/>
        <v>0</v>
      </c>
      <c r="I31" s="238">
        <f t="shared" si="3"/>
        <v>0</v>
      </c>
      <c r="J31" s="238">
        <f t="shared" si="3"/>
        <v>0</v>
      </c>
      <c r="K31" s="238">
        <f t="shared" si="3"/>
        <v>0</v>
      </c>
      <c r="L31" s="238">
        <f t="shared" si="3"/>
        <v>0</v>
      </c>
      <c r="M31" s="238">
        <f t="shared" si="3"/>
        <v>0</v>
      </c>
    </row>
    <row r="32" spans="2:13" x14ac:dyDescent="0.2">
      <c r="B32" s="236" t="s">
        <v>38</v>
      </c>
      <c r="C32" s="238"/>
      <c r="D32" s="238">
        <f ca="1">$D$30*D23</f>
        <v>2046.5939679994099</v>
      </c>
      <c r="E32" s="238">
        <f t="shared" ref="E32:M32" ca="1" si="4">$D$30*E23</f>
        <v>23199.912951197406</v>
      </c>
      <c r="F32" s="238">
        <f t="shared" ca="1" si="4"/>
        <v>156821.9775268496</v>
      </c>
      <c r="G32" s="238">
        <f t="shared" ca="1" si="4"/>
        <v>58143.016268120613</v>
      </c>
      <c r="H32" s="238">
        <f t="shared" ca="1" si="4"/>
        <v>1392451.0861779025</v>
      </c>
      <c r="I32" s="238">
        <f t="shared" ca="1" si="4"/>
        <v>0</v>
      </c>
      <c r="J32" s="238">
        <f t="shared" ca="1" si="4"/>
        <v>0</v>
      </c>
      <c r="K32" s="238">
        <f t="shared" ca="1" si="4"/>
        <v>0</v>
      </c>
      <c r="L32" s="238">
        <f t="shared" ca="1" si="4"/>
        <v>0</v>
      </c>
      <c r="M32" s="238">
        <f t="shared" ca="1" si="4"/>
        <v>0</v>
      </c>
    </row>
    <row r="33" spans="2:15" x14ac:dyDescent="0.2">
      <c r="B33" s="218" t="s">
        <v>119</v>
      </c>
      <c r="C33" s="239">
        <f>SUM(C31:C32)</f>
        <v>-500000</v>
      </c>
      <c r="D33" s="239">
        <f t="shared" ref="D33:M33" ca="1" si="5">SUM(D31:D32)</f>
        <v>-867.81164084100737</v>
      </c>
      <c r="E33" s="239">
        <f t="shared" ca="1" si="5"/>
        <v>23199.912951197406</v>
      </c>
      <c r="F33" s="239">
        <f t="shared" ca="1" si="5"/>
        <v>156821.9775268496</v>
      </c>
      <c r="G33" s="239">
        <f t="shared" ca="1" si="5"/>
        <v>58143.016268120613</v>
      </c>
      <c r="H33" s="239">
        <f t="shared" ca="1" si="5"/>
        <v>1392451.0861779025</v>
      </c>
      <c r="I33" s="239">
        <f t="shared" ca="1" si="5"/>
        <v>0</v>
      </c>
      <c r="J33" s="239">
        <f t="shared" ca="1" si="5"/>
        <v>0</v>
      </c>
      <c r="K33" s="239">
        <f t="shared" ca="1" si="5"/>
        <v>0</v>
      </c>
      <c r="L33" s="239">
        <f t="shared" ca="1" si="5"/>
        <v>0</v>
      </c>
      <c r="M33" s="239">
        <f t="shared" ca="1" si="5"/>
        <v>0</v>
      </c>
    </row>
    <row r="34" spans="2:15" x14ac:dyDescent="0.2">
      <c r="B34" s="240" t="s">
        <v>92</v>
      </c>
      <c r="C34" s="241">
        <f ca="1">SUM(C33:M33)</f>
        <v>1129748.181283229</v>
      </c>
      <c r="D34" s="242"/>
      <c r="E34" s="242"/>
      <c r="F34" s="242"/>
      <c r="G34" s="242"/>
      <c r="H34" s="242"/>
      <c r="I34" s="242"/>
      <c r="J34" s="242"/>
      <c r="K34" s="242"/>
      <c r="L34" s="242"/>
      <c r="M34" s="242"/>
    </row>
    <row r="35" spans="2:15" x14ac:dyDescent="0.2">
      <c r="B35" s="240" t="s">
        <v>120</v>
      </c>
      <c r="C35" s="243">
        <f ca="1">C26</f>
        <v>0.29265416264534005</v>
      </c>
      <c r="D35" s="244"/>
      <c r="E35" s="245"/>
      <c r="F35" s="245"/>
      <c r="G35" s="245"/>
      <c r="H35" s="245"/>
      <c r="I35" s="245"/>
      <c r="J35" s="245"/>
      <c r="K35" s="245"/>
      <c r="L35" s="245"/>
      <c r="M35" s="245"/>
    </row>
    <row r="36" spans="2:15" x14ac:dyDescent="0.2">
      <c r="B36" s="240" t="s">
        <v>825</v>
      </c>
      <c r="C36" s="246">
        <f ca="1">C34/-C33/(HoldPeriod/12)</f>
        <v>0.45189927251329165</v>
      </c>
      <c r="D36" s="247"/>
      <c r="E36" s="247"/>
      <c r="F36" s="247"/>
      <c r="G36" s="247"/>
      <c r="H36" s="247"/>
      <c r="I36" s="247"/>
      <c r="J36" s="247"/>
      <c r="K36" s="247"/>
      <c r="L36" s="247"/>
      <c r="M36" s="247"/>
    </row>
    <row r="37" spans="2:15" x14ac:dyDescent="0.2">
      <c r="B37" s="240" t="s">
        <v>64</v>
      </c>
      <c r="C37" s="248">
        <f ca="1">C34/-C33+1</f>
        <v>3.2594963625664581</v>
      </c>
      <c r="D37" s="249"/>
      <c r="E37" s="250"/>
      <c r="F37" s="250"/>
      <c r="G37" s="249"/>
      <c r="H37" s="249"/>
      <c r="I37" s="249"/>
      <c r="J37" s="249"/>
      <c r="K37" s="249"/>
      <c r="L37" s="249"/>
      <c r="M37" s="249"/>
    </row>
    <row r="38" spans="2:15" x14ac:dyDescent="0.2"/>
    <row r="39" spans="2:15" x14ac:dyDescent="0.2">
      <c r="B39" s="215" t="s">
        <v>939</v>
      </c>
      <c r="C39" s="216"/>
      <c r="D39" s="216"/>
      <c r="E39" s="216"/>
      <c r="F39" s="216"/>
      <c r="G39" s="216"/>
      <c r="H39" s="216"/>
    </row>
    <row r="40" spans="2:15" x14ac:dyDescent="0.2">
      <c r="B40" s="209" t="s">
        <v>37</v>
      </c>
      <c r="C40" s="217">
        <f>-SUMIF('Monthly Pro Forma'!$F$5:$EH$5,Returns!C$8,'Monthly Pro Forma'!$F88:$EH88)</f>
        <v>-13700000</v>
      </c>
      <c r="D40" s="217">
        <f>SUMIF('Monthly Pro Forma'!$F$5:$EH$5,Returns!D$8,'Monthly Pro Forma'!$F88:$EH88)</f>
        <v>0</v>
      </c>
      <c r="E40" s="217">
        <f>SUMIF('Monthly Pro Forma'!$F$5:$EH$5,Returns!E$8,'Monthly Pro Forma'!$F88:$EH88)</f>
        <v>0</v>
      </c>
      <c r="F40" s="217">
        <f>SUMIF('Monthly Pro Forma'!$F$5:$EH$5,Returns!F$8,'Monthly Pro Forma'!$F88:$EH88)</f>
        <v>0</v>
      </c>
      <c r="G40" s="217">
        <f>SUMIF('Monthly Pro Forma'!$F$5:$EH$5,Returns!G$8,'Monthly Pro Forma'!$F88:$EH88)</f>
        <v>0</v>
      </c>
      <c r="H40" s="217">
        <f>SUMIF('Monthly Pro Forma'!$F$5:$EH$5,Returns!H$8,'Monthly Pro Forma'!$F88:$EH88)</f>
        <v>0</v>
      </c>
      <c r="I40" s="217">
        <f>SUMIF('Monthly Pro Forma'!$F$5:$EH$5,Returns!I$8,'Monthly Pro Forma'!$F88:$EH88)</f>
        <v>0</v>
      </c>
      <c r="J40" s="217">
        <f>SUMIF('Monthly Pro Forma'!$F$5:$EH$5,Returns!J$8,'Monthly Pro Forma'!$F88:$EH88)</f>
        <v>0</v>
      </c>
      <c r="K40" s="217">
        <f>SUMIF('Monthly Pro Forma'!$F$5:$EH$5,Returns!K$8,'Monthly Pro Forma'!$F88:$EH88)</f>
        <v>0</v>
      </c>
      <c r="L40" s="217">
        <f>SUMIF('Monthly Pro Forma'!$F$5:$EH$5,Returns!L$8,'Monthly Pro Forma'!$F88:$EH88)</f>
        <v>0</v>
      </c>
      <c r="M40" s="217">
        <f>SUMIF('Monthly Pro Forma'!$F$5:$EH$5,Returns!M$8,'Monthly Pro Forma'!$F88:$EH88)</f>
        <v>0</v>
      </c>
      <c r="O40" s="1287">
        <f>SUM(C40:H40)</f>
        <v>-13700000</v>
      </c>
    </row>
    <row r="41" spans="2:15" x14ac:dyDescent="0.2">
      <c r="B41" s="144" t="s">
        <v>893</v>
      </c>
      <c r="C41" s="217">
        <f>SUMIF('Monthly Pro Forma'!$F$5:$EH$5,Returns!C$8,'Monthly Pro Forma'!$F89:$EH89)</f>
        <v>0</v>
      </c>
      <c r="D41" s="217">
        <f>-SUMIF('Monthly Pro Forma'!$F$5:$EH$5,Returns!D$8,'Monthly Pro Forma'!$F89:$EH89)</f>
        <v>-510256.41025634058</v>
      </c>
      <c r="E41" s="217">
        <f>-SUMIF('Monthly Pro Forma'!$F$5:$EH$5,Returns!E$8,'Monthly Pro Forma'!$F89:$EH89)</f>
        <v>-502051.28205128206</v>
      </c>
      <c r="F41" s="217">
        <f>-SUMIF('Monthly Pro Forma'!$F$5:$EH$5,Returns!F$8,'Monthly Pro Forma'!$F89:$EH89)</f>
        <v>-287692.30769230763</v>
      </c>
      <c r="G41" s="217">
        <f>-SUMIF('Monthly Pro Forma'!$F$5:$EH$5,Returns!G$8,'Monthly Pro Forma'!$F89:$EH89)</f>
        <v>0</v>
      </c>
      <c r="H41" s="217">
        <f>-SUMIF('Monthly Pro Forma'!$F$5:$EH$5,Returns!H$8,'Monthly Pro Forma'!$F89:$EH89)</f>
        <v>0</v>
      </c>
      <c r="I41" s="217">
        <f>-SUMIF('Monthly Pro Forma'!$F$5:$EH$5,Returns!I$8,'Monthly Pro Forma'!$F89:$EH89)</f>
        <v>0</v>
      </c>
      <c r="J41" s="217">
        <f>-SUMIF('Monthly Pro Forma'!$F$5:$EH$5,Returns!J$8,'Monthly Pro Forma'!$F89:$EH89)</f>
        <v>0</v>
      </c>
      <c r="K41" s="217">
        <f>-SUMIF('Monthly Pro Forma'!$F$5:$EH$5,Returns!K$8,'Monthly Pro Forma'!$F89:$EH89)</f>
        <v>0</v>
      </c>
      <c r="L41" s="217">
        <f>-SUMIF('Monthly Pro Forma'!$F$5:$EH$5,Returns!L$8,'Monthly Pro Forma'!$F89:$EH89)</f>
        <v>0</v>
      </c>
      <c r="M41" s="217">
        <f>-SUMIF('Monthly Pro Forma'!$F$5:$EH$5,Returns!M$8,'Monthly Pro Forma'!$F89:$EH89)</f>
        <v>0</v>
      </c>
      <c r="O41" s="1287">
        <f>SUM(C41:H41)</f>
        <v>-1299999.9999999302</v>
      </c>
    </row>
    <row r="42" spans="2:15" x14ac:dyDescent="0.2">
      <c r="B42" s="209" t="s">
        <v>38</v>
      </c>
      <c r="C42" s="217">
        <f>SUMIF('Monthly Pro Forma'!$F$5:$EH$5,Returns!C$8,'Monthly Pro Forma'!$F79:$EH79)</f>
        <v>0</v>
      </c>
      <c r="D42" s="217">
        <f>-SUMIF('Monthly Pro Forma'!$F$5:$EH$5,Returns!D$8,'Monthly Pro Forma'!$F79:$EH79)</f>
        <v>1050000</v>
      </c>
      <c r="E42" s="217">
        <f>-SUMIF('Monthly Pro Forma'!$F$5:$EH$5,Returns!E$8,'Monthly Pro Forma'!$F79:$EH79)</f>
        <v>1050000</v>
      </c>
      <c r="F42" s="217">
        <f>-SUMIF('Monthly Pro Forma'!$F$5:$EH$5,Returns!F$8,'Monthly Pro Forma'!$F79:$EH79)</f>
        <v>1050000</v>
      </c>
      <c r="G42" s="217">
        <f>-SUMIF('Monthly Pro Forma'!$F$5:$EH$5,Returns!G$8,'Monthly Pro Forma'!$F79:$EH79)</f>
        <v>0</v>
      </c>
      <c r="H42" s="217">
        <f>-SUMIF('Monthly Pro Forma'!$F$5:$EH$5,Returns!H$8,'Monthly Pro Forma'!$F79:$EH79)</f>
        <v>0</v>
      </c>
      <c r="I42" s="217">
        <f>-SUMIF('Monthly Pro Forma'!$F$5:$EH$5,Returns!I$8,'Monthly Pro Forma'!$F79:$EH79)</f>
        <v>0</v>
      </c>
      <c r="J42" s="217">
        <f>-SUMIF('Monthly Pro Forma'!$F$5:$EH$5,Returns!J$8,'Monthly Pro Forma'!$F79:$EH79)</f>
        <v>0</v>
      </c>
      <c r="K42" s="217">
        <f>-SUMIF('Monthly Pro Forma'!$F$5:$EH$5,Returns!K$8,'Monthly Pro Forma'!$F79:$EH79)</f>
        <v>0</v>
      </c>
      <c r="L42" s="217">
        <f>-SUMIF('Monthly Pro Forma'!$F$5:$EH$5,Returns!L$8,'Monthly Pro Forma'!$F79:$EH79)</f>
        <v>0</v>
      </c>
      <c r="M42" s="217">
        <f>-SUMIF('Monthly Pro Forma'!$F$5:$EH$5,Returns!M$8,'Monthly Pro Forma'!$F79:$EH79)</f>
        <v>0</v>
      </c>
      <c r="O42" s="1287">
        <f>SUM(C42:H42)</f>
        <v>3150000</v>
      </c>
    </row>
    <row r="43" spans="2:15" x14ac:dyDescent="0.2">
      <c r="B43" s="144" t="s">
        <v>241</v>
      </c>
      <c r="C43" s="217">
        <f>-SUMIF('Monthly Pro Forma'!$F$5:$EH$5,Returns!C$8,'Monthly Pro Forma'!$F90:$EH90)</f>
        <v>0</v>
      </c>
      <c r="D43" s="217">
        <f>-SUMIF('Monthly Pro Forma'!$F$5:$EH$5,Returns!D$8,'Monthly Pro Forma'!$F90:$EH90)</f>
        <v>0</v>
      </c>
      <c r="E43" s="217">
        <f>-SUMIF('Monthly Pro Forma'!$F$5:$EH$5,Returns!E$8,'Monthly Pro Forma'!$F90:$EH90)</f>
        <v>0</v>
      </c>
      <c r="F43" s="217">
        <f>-SUMIF('Monthly Pro Forma'!$F$5:$EH$5,Returns!F$8,'Monthly Pro Forma'!$F90:$EH90)</f>
        <v>18403075.300000004</v>
      </c>
      <c r="G43" s="217">
        <f>-SUMIF('Monthly Pro Forma'!$F$5:$EH$5,Returns!G$8,'Monthly Pro Forma'!$F90:$EH90)</f>
        <v>0</v>
      </c>
      <c r="H43" s="217">
        <f>-SUMIF('Monthly Pro Forma'!$F$5:$EH$5,Returns!H$8,'Monthly Pro Forma'!$F90:$EH90)</f>
        <v>0</v>
      </c>
      <c r="I43" s="217">
        <f>-SUMIF('Monthly Pro Forma'!$F$5:$EH$5,Returns!I$8,'Monthly Pro Forma'!$F90:$EH90)</f>
        <v>0</v>
      </c>
      <c r="J43" s="217">
        <f>-SUMIF('Monthly Pro Forma'!$F$5:$EH$5,Returns!J$8,'Monthly Pro Forma'!$F90:$EH90)</f>
        <v>0</v>
      </c>
      <c r="K43" s="217">
        <f>-SUMIF('Monthly Pro Forma'!$F$5:$EH$5,Returns!K$8,'Monthly Pro Forma'!$F90:$EH90)</f>
        <v>0</v>
      </c>
      <c r="L43" s="217">
        <f>-SUMIF('Monthly Pro Forma'!$F$5:$EH$5,Returns!L$8,'Monthly Pro Forma'!$F90:$EH90)</f>
        <v>0</v>
      </c>
      <c r="M43" s="217">
        <f>-SUMIF('Monthly Pro Forma'!$F$5:$EH$5,Returns!M$8,'Monthly Pro Forma'!$F90:$EH90)</f>
        <v>0</v>
      </c>
      <c r="O43" s="1287">
        <f>SUM(C43:H43)</f>
        <v>18403075.300000004</v>
      </c>
    </row>
    <row r="44" spans="2:15" x14ac:dyDescent="0.2">
      <c r="B44" s="218" t="s">
        <v>119</v>
      </c>
      <c r="C44" s="219">
        <f t="shared" ref="C44:E44" si="6">SUM(C40:C43)</f>
        <v>-13700000</v>
      </c>
      <c r="D44" s="219">
        <f t="shared" si="6"/>
        <v>539743.58974365937</v>
      </c>
      <c r="E44" s="219">
        <f t="shared" si="6"/>
        <v>547948.717948718</v>
      </c>
      <c r="F44" s="219">
        <f>SUM(F40:F43)</f>
        <v>19165382.992307696</v>
      </c>
      <c r="G44" s="219">
        <f t="shared" ref="G44:M44" si="7">SUM(G40:G43)</f>
        <v>0</v>
      </c>
      <c r="H44" s="219">
        <f t="shared" si="7"/>
        <v>0</v>
      </c>
      <c r="I44" s="219">
        <f t="shared" si="7"/>
        <v>0</v>
      </c>
      <c r="J44" s="219">
        <f t="shared" si="7"/>
        <v>0</v>
      </c>
      <c r="K44" s="219">
        <f t="shared" si="7"/>
        <v>0</v>
      </c>
      <c r="L44" s="219">
        <f t="shared" si="7"/>
        <v>0</v>
      </c>
      <c r="M44" s="219">
        <f t="shared" si="7"/>
        <v>0</v>
      </c>
    </row>
    <row r="45" spans="2:15" x14ac:dyDescent="0.2">
      <c r="B45" s="145" t="s">
        <v>92</v>
      </c>
      <c r="C45" s="220">
        <f>SUM(C44:M44)</f>
        <v>6553075.3000000734</v>
      </c>
      <c r="D45" s="221"/>
      <c r="E45" s="221"/>
      <c r="F45" s="221"/>
      <c r="G45" s="221"/>
      <c r="H45" s="221"/>
    </row>
    <row r="46" spans="2:15" x14ac:dyDescent="0.2">
      <c r="B46" s="145" t="s">
        <v>120</v>
      </c>
      <c r="C46" s="222">
        <f>XIRR(C44:H44,C9:H9)</f>
        <v>0.14361117482185365</v>
      </c>
      <c r="D46" s="223"/>
    </row>
    <row r="47" spans="2:15" x14ac:dyDescent="0.2">
      <c r="B47" s="145" t="s">
        <v>825</v>
      </c>
      <c r="C47" s="224">
        <f>C45/-C44/(HoldPeriod/12)</f>
        <v>9.5665332846716397E-2</v>
      </c>
      <c r="D47" s="225"/>
      <c r="E47" s="225"/>
      <c r="F47" s="225"/>
      <c r="G47" s="225"/>
      <c r="H47" s="225"/>
    </row>
    <row r="48" spans="2:15" x14ac:dyDescent="0.2">
      <c r="B48" s="145" t="s">
        <v>64</v>
      </c>
      <c r="C48" s="226">
        <f>IF(C40=0,0,SUM(D44:M44)/-C44)</f>
        <v>1.4783266642335822</v>
      </c>
      <c r="D48" s="227"/>
      <c r="E48" s="227"/>
      <c r="F48" s="227"/>
      <c r="G48" s="227"/>
      <c r="H48" s="227"/>
    </row>
    <row r="49" spans="2:3" x14ac:dyDescent="0.2">
      <c r="B49" s="1288"/>
    </row>
    <row r="50" spans="2:3" x14ac:dyDescent="0.2">
      <c r="B50" s="144" t="s">
        <v>936</v>
      </c>
      <c r="C50" s="1287">
        <f>-SUM(O40:O41)</f>
        <v>14999999.999999929</v>
      </c>
    </row>
    <row r="51" spans="2:3" x14ac:dyDescent="0.2">
      <c r="B51" s="144" t="s">
        <v>937</v>
      </c>
      <c r="C51" s="1287">
        <f>SUM(O42:O43)</f>
        <v>21553075.300000004</v>
      </c>
    </row>
    <row r="52" spans="2:3" x14ac:dyDescent="0.2"/>
    <row r="53" spans="2:3" x14ac:dyDescent="0.2"/>
    <row r="54" spans="2:3" x14ac:dyDescent="0.2"/>
    <row r="55" spans="2:3" x14ac:dyDescent="0.2"/>
    <row r="56" spans="2:3" x14ac:dyDescent="0.2"/>
    <row r="57" spans="2:3" x14ac:dyDescent="0.2"/>
    <row r="58" spans="2:3" x14ac:dyDescent="0.2"/>
  </sheetData>
  <sheetProtection selectLockedCells="1" selectUnlockedCells="1"/>
  <pageMargins left="0" right="0" top="0" bottom="0" header="0" footer="0"/>
  <pageSetup scale="83" orientation="landscape" horizontalDpi="300" verticalDpi="300" r:id="rId1"/>
  <headerFooter scaleWithDoc="0">
    <oddFooter>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8A53-FC35-48CA-B795-F6216A168058}">
  <sheetPr codeName="Sheet11"/>
  <dimension ref="B2:Q86"/>
  <sheetViews>
    <sheetView showGridLines="0" zoomScale="70" zoomScaleNormal="70" workbookViewId="0">
      <selection activeCell="F65" sqref="F65"/>
    </sheetView>
  </sheetViews>
  <sheetFormatPr defaultColWidth="2.5703125" defaultRowHeight="18" x14ac:dyDescent="0.25"/>
  <cols>
    <col min="1" max="1" width="2.5703125" style="8"/>
    <col min="2" max="2" width="24.42578125" style="8" customWidth="1"/>
    <col min="3" max="3" width="15" style="8" bestFit="1" customWidth="1"/>
    <col min="4" max="4" width="17.85546875" style="8" bestFit="1" customWidth="1"/>
    <col min="5" max="5" width="20.140625" style="8" customWidth="1"/>
    <col min="6" max="6" width="16.5703125" style="8" customWidth="1"/>
    <col min="7" max="7" width="12.42578125" style="8" customWidth="1"/>
    <col min="8" max="8" width="21.28515625" style="8" bestFit="1" customWidth="1"/>
    <col min="9" max="9" width="17.140625" style="8" customWidth="1"/>
    <col min="10" max="10" width="17" style="8" bestFit="1" customWidth="1"/>
    <col min="11" max="11" width="17.42578125" style="8" customWidth="1"/>
    <col min="12" max="12" width="12.85546875" style="8" bestFit="1" customWidth="1"/>
    <col min="13" max="13" width="20.28515625" style="8" bestFit="1" customWidth="1"/>
    <col min="14" max="14" width="15.85546875" style="8" customWidth="1"/>
    <col min="15" max="15" width="13.28515625" style="8" customWidth="1"/>
    <col min="16" max="16" width="14.42578125" style="8" customWidth="1"/>
    <col min="17" max="17" width="14.42578125" style="9" customWidth="1"/>
    <col min="18" max="16384" width="2.5703125" style="8"/>
  </cols>
  <sheetData>
    <row r="2" spans="2:11" ht="18.75" thickBot="1" x14ac:dyDescent="0.3">
      <c r="B2" s="4" t="str">
        <f>Summary!B51</f>
        <v>Sources &amp; Uses</v>
      </c>
      <c r="C2" s="5"/>
      <c r="D2" s="5" t="str">
        <f>Summary!C51</f>
        <v>Total</v>
      </c>
      <c r="E2" s="5" t="s">
        <v>83</v>
      </c>
      <c r="F2" s="6" t="s">
        <v>149</v>
      </c>
      <c r="G2" s="7"/>
      <c r="H2" s="4" t="str">
        <f>Summary!B5</f>
        <v>Project Description</v>
      </c>
      <c r="I2" s="5"/>
      <c r="J2" s="5"/>
      <c r="K2" s="6"/>
    </row>
    <row r="3" spans="2:11" ht="18.75" thickBot="1" x14ac:dyDescent="0.3">
      <c r="B3" s="10" t="str">
        <f>Summary!B52</f>
        <v>Sources</v>
      </c>
      <c r="C3" s="11"/>
      <c r="D3" s="12"/>
      <c r="E3" s="12"/>
      <c r="F3" s="13"/>
      <c r="G3" s="14"/>
      <c r="H3" s="15" t="str">
        <f>Summary!B6</f>
        <v>Investment Name</v>
      </c>
      <c r="J3" s="16"/>
      <c r="K3" s="17" t="str">
        <f>Summary!E6</f>
        <v>Property Name</v>
      </c>
    </row>
    <row r="4" spans="2:11" x14ac:dyDescent="0.25">
      <c r="B4" s="18" t="str">
        <f>Summary!B53</f>
        <v>Equity</v>
      </c>
      <c r="C4" s="19"/>
      <c r="D4" s="20">
        <f>Summary!C53</f>
        <v>32192274.850387014</v>
      </c>
      <c r="E4" s="21">
        <f>Summary!D53</f>
        <v>131935.55266552055</v>
      </c>
      <c r="F4" s="22">
        <f>Summary!E53</f>
        <v>137.88494916044328</v>
      </c>
      <c r="G4" s="23"/>
      <c r="H4" s="15" t="str">
        <f>Summary!B7</f>
        <v>Property Type</v>
      </c>
      <c r="J4" s="16"/>
      <c r="K4" s="17" t="str">
        <f>Summary!E7</f>
        <v>Multifamily</v>
      </c>
    </row>
    <row r="5" spans="2:11" x14ac:dyDescent="0.25">
      <c r="B5" s="18" t="e">
        <f>Summary!#REF!</f>
        <v>#REF!</v>
      </c>
      <c r="C5" s="9"/>
      <c r="D5" s="20" t="e">
        <f>Summary!#REF!</f>
        <v>#REF!</v>
      </c>
      <c r="E5" s="21" t="e">
        <f>Summary!#REF!</f>
        <v>#REF!</v>
      </c>
      <c r="F5" s="22" t="e">
        <f>Summary!#REF!</f>
        <v>#REF!</v>
      </c>
      <c r="G5" s="23"/>
      <c r="H5" s="15" t="str">
        <f>Summary!B8</f>
        <v>Address</v>
      </c>
      <c r="J5" s="16"/>
      <c r="K5" s="17" t="str">
        <f>Summary!E8</f>
        <v>12345 Main St</v>
      </c>
    </row>
    <row r="6" spans="2:11" x14ac:dyDescent="0.25">
      <c r="B6" s="18" t="str">
        <f>Summary!B55</f>
        <v>Investor Equity</v>
      </c>
      <c r="C6" s="9"/>
      <c r="D6" s="20">
        <f>Summary!C55</f>
        <v>17192274.850387014</v>
      </c>
      <c r="E6" s="21">
        <f>Summary!D55</f>
        <v>70460.142829454984</v>
      </c>
      <c r="F6" s="22">
        <f>Summary!E55</f>
        <v>73.637416265706449</v>
      </c>
      <c r="G6" s="23"/>
      <c r="H6" s="15" t="str">
        <f>Summary!B9</f>
        <v>City State Zip</v>
      </c>
      <c r="J6" s="16"/>
      <c r="K6" s="17" t="str">
        <f>Summary!E9</f>
        <v>New York, NY 10004</v>
      </c>
    </row>
    <row r="7" spans="2:11" x14ac:dyDescent="0.25">
      <c r="B7" s="18" t="str">
        <f>Summary!B56</f>
        <v xml:space="preserve">Debt </v>
      </c>
      <c r="C7" s="19"/>
      <c r="D7" s="20">
        <f>Summary!C56</f>
        <v>28000000</v>
      </c>
      <c r="E7" s="21">
        <f>Summary!D56</f>
        <v>114754.09836065574</v>
      </c>
      <c r="F7" s="22">
        <f>Summary!E56</f>
        <v>119.92872807017544</v>
      </c>
      <c r="G7" s="23"/>
      <c r="H7" s="15" t="str">
        <f>Summary!B10</f>
        <v>Year Built</v>
      </c>
      <c r="I7" s="16">
        <f>Summary!C10</f>
        <v>2022</v>
      </c>
      <c r="J7" s="24" t="str">
        <f>Summary!D10</f>
        <v># of Stories</v>
      </c>
      <c r="K7" s="17">
        <f>Summary!E10</f>
        <v>3</v>
      </c>
    </row>
    <row r="8" spans="2:11" x14ac:dyDescent="0.25">
      <c r="B8" s="18" t="str">
        <f>Summary!B57</f>
        <v>Senior Debt</v>
      </c>
      <c r="C8" s="9"/>
      <c r="D8" s="20">
        <f>Summary!C57</f>
        <v>28000000</v>
      </c>
      <c r="E8" s="21">
        <f>Summary!D57</f>
        <v>114754.09836065574</v>
      </c>
      <c r="F8" s="22">
        <f>Summary!E57</f>
        <v>119.92872807017544</v>
      </c>
      <c r="G8" s="23"/>
      <c r="H8" s="15" t="str">
        <f>Summary!B11</f>
        <v>Acres</v>
      </c>
      <c r="I8" s="25">
        <f>Summary!C11</f>
        <v>23</v>
      </c>
      <c r="J8" s="26" t="str">
        <f>Summary!D11</f>
        <v>Lot Size (SF)</v>
      </c>
      <c r="K8" s="27">
        <f>Summary!E11</f>
        <v>1001880</v>
      </c>
    </row>
    <row r="9" spans="2:11" x14ac:dyDescent="0.25">
      <c r="B9" s="18" t="str">
        <f>Summary!B58</f>
        <v>Junior Debt</v>
      </c>
      <c r="C9" s="9"/>
      <c r="D9" s="20">
        <f>Summary!C58</f>
        <v>0</v>
      </c>
      <c r="E9" s="21">
        <f>Summary!D58</f>
        <v>0</v>
      </c>
      <c r="F9" s="22">
        <f>Summary!E58</f>
        <v>0</v>
      </c>
      <c r="G9" s="23"/>
      <c r="H9" s="15" t="str">
        <f>Summary!B12</f>
        <v>Parking Spaces</v>
      </c>
      <c r="I9" s="24">
        <f>Summary!C12</f>
        <v>450</v>
      </c>
      <c r="J9" s="16" t="str">
        <f>Summary!D12</f>
        <v>Units</v>
      </c>
      <c r="K9" s="28">
        <f>Summary!E12</f>
        <v>244</v>
      </c>
    </row>
    <row r="10" spans="2:11" ht="18.75" thickBot="1" x14ac:dyDescent="0.3">
      <c r="B10" s="18" t="str">
        <f>Summary!B59</f>
        <v>Total</v>
      </c>
      <c r="C10" s="29"/>
      <c r="D10" s="30">
        <f>Summary!C59</f>
        <v>60192274.850387014</v>
      </c>
      <c r="E10" s="31">
        <f>Summary!D59</f>
        <v>246689.65102617629</v>
      </c>
      <c r="F10" s="32">
        <f>Summary!E59</f>
        <v>257.81367723061874</v>
      </c>
      <c r="G10" s="33"/>
      <c r="H10" s="34" t="str">
        <f>Summary!B13</f>
        <v>Gross SF</v>
      </c>
      <c r="I10" s="35">
        <f>Summary!C13</f>
        <v>0</v>
      </c>
      <c r="J10" s="36" t="str">
        <f>Summary!D13</f>
        <v>NRSF</v>
      </c>
      <c r="K10" s="37">
        <f>Summary!E13</f>
        <v>233472</v>
      </c>
    </row>
    <row r="11" spans="2:11" ht="18.75" thickBot="1" x14ac:dyDescent="0.3">
      <c r="B11" s="10" t="str">
        <f>Summary!B60</f>
        <v>Uses</v>
      </c>
      <c r="C11" s="11"/>
      <c r="D11" s="12"/>
      <c r="E11" s="12"/>
      <c r="F11" s="13"/>
      <c r="G11" s="38"/>
    </row>
    <row r="12" spans="2:11" x14ac:dyDescent="0.25">
      <c r="B12" s="18" t="str">
        <f>Summary!B61</f>
        <v>Purchase Price</v>
      </c>
      <c r="C12" s="19"/>
      <c r="D12" s="20">
        <f>Summary!C61</f>
        <v>57219000</v>
      </c>
      <c r="E12" s="21">
        <f>Summary!D61</f>
        <v>234504.09836065574</v>
      </c>
      <c r="F12" s="22">
        <f>Summary!E61</f>
        <v>245.07863898026315</v>
      </c>
      <c r="G12" s="23"/>
      <c r="H12" s="39" t="str">
        <f>Summary!G5</f>
        <v>Timing</v>
      </c>
      <c r="I12" s="40" t="str">
        <f>Summary!H5</f>
        <v>Start</v>
      </c>
      <c r="J12" s="40" t="str">
        <f>Summary!I5</f>
        <v>Finish</v>
      </c>
      <c r="K12" s="41" t="str">
        <f>Summary!J5</f>
        <v>Months</v>
      </c>
    </row>
    <row r="13" spans="2:11" x14ac:dyDescent="0.25">
      <c r="B13" s="18" t="str">
        <f>Summary!B62</f>
        <v>Closing Costs</v>
      </c>
      <c r="C13" s="19"/>
      <c r="D13" s="20">
        <f>Summary!C62</f>
        <v>235900</v>
      </c>
      <c r="E13" s="21">
        <f>Summary!D62</f>
        <v>966.80327868852464</v>
      </c>
      <c r="F13" s="22">
        <f>Summary!E62</f>
        <v>1.0103995339912282</v>
      </c>
      <c r="G13" s="23"/>
      <c r="H13" s="42" t="str">
        <f>Summary!G6</f>
        <v>Analysis Start Date</v>
      </c>
      <c r="I13" s="43">
        <f>Summary!H6</f>
        <v>44927</v>
      </c>
      <c r="J13" s="44"/>
      <c r="K13" s="45"/>
    </row>
    <row r="14" spans="2:11" x14ac:dyDescent="0.25">
      <c r="B14" s="18" t="str">
        <f>Summary!B63</f>
        <v>Acquisition Fee</v>
      </c>
      <c r="C14" s="19"/>
      <c r="D14" s="20">
        <f>Summary!C63</f>
        <v>715237.5</v>
      </c>
      <c r="E14" s="21">
        <f>Summary!D63</f>
        <v>2931.3012295081967</v>
      </c>
      <c r="F14" s="22">
        <f>Summary!E63</f>
        <v>3.0634829872532894</v>
      </c>
      <c r="G14" s="23"/>
      <c r="H14" s="46" t="s">
        <v>133</v>
      </c>
      <c r="I14" s="47" t="e">
        <f>EOMONTH(I13,RenovationStart)</f>
        <v>#NAME?</v>
      </c>
      <c r="J14" s="47">
        <f>EOMONTH(I13,K14)</f>
        <v>45138</v>
      </c>
      <c r="K14" s="48">
        <f>TotalRenovationTime</f>
        <v>6</v>
      </c>
    </row>
    <row r="15" spans="2:11" x14ac:dyDescent="0.25">
      <c r="B15" s="18" t="str">
        <f>Summary!B64</f>
        <v>Capex Budget</v>
      </c>
      <c r="C15" s="9"/>
      <c r="D15" s="20">
        <f>Summary!C64</f>
        <v>1300000</v>
      </c>
      <c r="E15" s="21">
        <f>Summary!D64</f>
        <v>5327.8688524590161</v>
      </c>
      <c r="F15" s="22">
        <f>Summary!E64</f>
        <v>5.5681195175438596</v>
      </c>
      <c r="G15" s="23"/>
      <c r="H15" s="34" t="str">
        <f>Summary!G7</f>
        <v>Hold Period</v>
      </c>
      <c r="I15" s="49">
        <f>Summary!H7</f>
        <v>44927</v>
      </c>
      <c r="J15" s="49">
        <f>Summary!I7</f>
        <v>46783</v>
      </c>
      <c r="K15" s="50">
        <f>Summary!J7</f>
        <v>60</v>
      </c>
    </row>
    <row r="16" spans="2:11" x14ac:dyDescent="0.25">
      <c r="B16" s="18" t="e">
        <f>Summary!#REF!</f>
        <v>#REF!</v>
      </c>
      <c r="C16" s="9"/>
      <c r="D16" s="20" t="e">
        <f>Summary!#REF!</f>
        <v>#REF!</v>
      </c>
      <c r="E16" s="21" t="e">
        <f>Summary!#REF!</f>
        <v>#REF!</v>
      </c>
      <c r="F16" s="22" t="e">
        <f>Summary!#REF!</f>
        <v>#REF!</v>
      </c>
      <c r="G16" s="23"/>
    </row>
    <row r="17" spans="2:17" ht="18.75" thickBot="1" x14ac:dyDescent="0.3">
      <c r="B17" s="18" t="str">
        <f>Summary!B65</f>
        <v>Financing Costs</v>
      </c>
      <c r="C17" s="19"/>
      <c r="D17" s="20">
        <f>Summary!C65</f>
        <v>722137.35038701154</v>
      </c>
      <c r="E17" s="21">
        <f>Summary!D65</f>
        <v>2959.5793048648015</v>
      </c>
      <c r="F17" s="22">
        <f>Summary!E65</f>
        <v>3.0930362115671755</v>
      </c>
      <c r="G17" s="23"/>
      <c r="H17" s="4" t="str">
        <f>Summary!B35</f>
        <v>Financing Summary</v>
      </c>
      <c r="I17" s="5" t="str">
        <f>Summary!C35</f>
        <v>Senior</v>
      </c>
      <c r="J17" s="5" t="str">
        <f>Summary!D35</f>
        <v>Junior</v>
      </c>
      <c r="K17" s="6" t="str">
        <f>Summary!E35</f>
        <v>Refi</v>
      </c>
      <c r="M17" s="39" t="str">
        <f>Summary!B15</f>
        <v>Purchase</v>
      </c>
      <c r="N17" s="40"/>
      <c r="O17" s="40"/>
      <c r="P17" s="41"/>
      <c r="Q17" s="7"/>
    </row>
    <row r="18" spans="2:17" x14ac:dyDescent="0.25">
      <c r="B18" s="18" t="e">
        <f>Summary!#REF!</f>
        <v>#REF!</v>
      </c>
      <c r="C18" s="19"/>
      <c r="D18" s="20" t="e">
        <f>Summary!#REF!</f>
        <v>#REF!</v>
      </c>
      <c r="E18" s="21" t="e">
        <f>Summary!#REF!</f>
        <v>#REF!</v>
      </c>
      <c r="F18" s="22" t="e">
        <f>Summary!#REF!</f>
        <v>#REF!</v>
      </c>
      <c r="G18" s="23"/>
      <c r="H18" s="42" t="str">
        <f>Summary!B36</f>
        <v>Timing</v>
      </c>
      <c r="I18" s="51"/>
      <c r="J18" s="52"/>
      <c r="K18" s="53">
        <f>Summary!E36</f>
        <v>36</v>
      </c>
      <c r="M18" s="42" t="str">
        <f>Summary!B16</f>
        <v>Purchase Price</v>
      </c>
      <c r="N18" s="51"/>
      <c r="O18" s="51"/>
      <c r="P18" s="54">
        <f>Summary!E16</f>
        <v>50000000</v>
      </c>
      <c r="Q18" s="20"/>
    </row>
    <row r="19" spans="2:17" x14ac:dyDescent="0.25">
      <c r="B19" s="18" t="e">
        <f>Summary!#REF!</f>
        <v>#REF!</v>
      </c>
      <c r="C19" s="19"/>
      <c r="D19" s="20" t="e">
        <f>Summary!#REF!</f>
        <v>#REF!</v>
      </c>
      <c r="E19" s="21" t="e">
        <f>Summary!#REF!</f>
        <v>#REF!</v>
      </c>
      <c r="F19" s="22" t="e">
        <f>Summary!#REF!</f>
        <v>#REF!</v>
      </c>
      <c r="G19" s="23"/>
      <c r="H19" s="15" t="str">
        <f>Summary!B37</f>
        <v>Loan Amount</v>
      </c>
      <c r="I19" s="55">
        <f>Summary!C37</f>
        <v>28000000</v>
      </c>
      <c r="J19" s="20">
        <f>Summary!D37</f>
        <v>0</v>
      </c>
      <c r="K19" s="56">
        <f ca="1">Summary!E37</f>
        <v>49291943.027310237</v>
      </c>
      <c r="M19" s="15" t="str">
        <f>Summary!B17</f>
        <v>Purchase Price Per Unit</v>
      </c>
      <c r="N19" s="9"/>
      <c r="O19" s="9"/>
      <c r="P19" s="57">
        <f>Summary!E17</f>
        <v>204900</v>
      </c>
      <c r="Q19" s="58"/>
    </row>
    <row r="20" spans="2:17" x14ac:dyDescent="0.25">
      <c r="B20" s="18" t="e">
        <f>Summary!#REF!</f>
        <v>#REF!</v>
      </c>
      <c r="C20" s="19"/>
      <c r="D20" s="20" t="e">
        <f>Summary!#REF!</f>
        <v>#REF!</v>
      </c>
      <c r="E20" s="21" t="e">
        <f>Summary!#REF!</f>
        <v>#REF!</v>
      </c>
      <c r="F20" s="22" t="e">
        <f>Summary!#REF!</f>
        <v>#REF!</v>
      </c>
      <c r="G20" s="23"/>
      <c r="H20" s="15" t="str">
        <f>Summary!B38</f>
        <v>LTV</v>
      </c>
      <c r="I20" s="133">
        <f>Summary!C38</f>
        <v>0.56000000000000005</v>
      </c>
      <c r="J20" s="133">
        <f>Summary!D38</f>
        <v>0</v>
      </c>
      <c r="K20" s="134">
        <f>Summary!H40</f>
        <v>0.63</v>
      </c>
      <c r="M20" s="15" t="str">
        <f>Summary!B18</f>
        <v>Closing Costs</v>
      </c>
      <c r="N20" s="9"/>
      <c r="O20" s="59">
        <f>Summary!D18</f>
        <v>4.718E-3</v>
      </c>
      <c r="P20" s="60">
        <f>Summary!E18</f>
        <v>235900</v>
      </c>
      <c r="Q20" s="61"/>
    </row>
    <row r="21" spans="2:17" x14ac:dyDescent="0.25">
      <c r="B21" s="18" t="str">
        <f>Summary!B66</f>
        <v>Total</v>
      </c>
      <c r="C21" s="29"/>
      <c r="D21" s="30">
        <f>Summary!C66</f>
        <v>60192274.850387014</v>
      </c>
      <c r="E21" s="31">
        <f>Summary!D66</f>
        <v>246689.65102617629</v>
      </c>
      <c r="F21" s="32">
        <f>Summary!E66</f>
        <v>257.81367723061874</v>
      </c>
      <c r="G21" s="23"/>
      <c r="H21" s="15" t="str">
        <f>Summary!B40</f>
        <v>Debt Yield</v>
      </c>
      <c r="I21" s="62">
        <f ca="1">Summary!C40</f>
        <v>9.5535714285714279E-2</v>
      </c>
      <c r="J21" s="62">
        <f ca="1">Summary!D40</f>
        <v>9.5535714285714279E-2</v>
      </c>
      <c r="K21" s="63">
        <f ca="1">Summary!E40</f>
        <v>7.9365079365079375E-2</v>
      </c>
      <c r="M21" s="15" t="str">
        <f>Summary!B19</f>
        <v>Acquisition Fee</v>
      </c>
      <c r="N21" s="9"/>
      <c r="O21" s="62">
        <f>Summary!D19</f>
        <v>1.2500000000000001E-2</v>
      </c>
      <c r="P21" s="60">
        <f>Summary!E19</f>
        <v>625000</v>
      </c>
      <c r="Q21" s="61"/>
    </row>
    <row r="22" spans="2:17" x14ac:dyDescent="0.25">
      <c r="G22" s="33"/>
      <c r="H22" s="15" t="str">
        <f>Summary!B41</f>
        <v>DSCR</v>
      </c>
      <c r="I22" s="64">
        <f ca="1">Summary!C41</f>
        <v>1.6614906832298135</v>
      </c>
      <c r="J22" s="64">
        <f ca="1">Summary!D41</f>
        <v>1.6614906832298135</v>
      </c>
      <c r="K22" s="65">
        <f ca="1">Summary!E41</f>
        <v>1.443001439200581</v>
      </c>
      <c r="M22" s="15" t="str">
        <f>Summary!B21</f>
        <v>Financing Fees</v>
      </c>
      <c r="N22" s="9"/>
      <c r="O22" s="9"/>
      <c r="P22" s="60">
        <f>Summary!E21</f>
        <v>722137.35038701154</v>
      </c>
      <c r="Q22" s="61"/>
    </row>
    <row r="23" spans="2:17" x14ac:dyDescent="0.25">
      <c r="G23" s="9"/>
      <c r="H23" s="15" t="str">
        <f>Summary!B42</f>
        <v>Interest Rate</v>
      </c>
      <c r="I23" s="66">
        <f>Summary!C42</f>
        <v>5.7499999999999996E-2</v>
      </c>
      <c r="J23" s="59">
        <f>Summary!D42</f>
        <v>0</v>
      </c>
      <c r="K23" s="67">
        <f>Summary!E42</f>
        <v>5.5E-2</v>
      </c>
      <c r="M23" s="15" t="str">
        <f>Summary!B20</f>
        <v>Capital Expenses</v>
      </c>
      <c r="N23" s="9"/>
      <c r="O23" s="9"/>
      <c r="P23" s="60">
        <f>Summary!E20</f>
        <v>1300000</v>
      </c>
      <c r="Q23" s="61"/>
    </row>
    <row r="24" spans="2:17" x14ac:dyDescent="0.25">
      <c r="B24" s="68" t="str">
        <f>Summary!L61</f>
        <v>Project Returns</v>
      </c>
      <c r="C24" s="69"/>
      <c r="D24" s="69" t="str">
        <f>Summary!N61</f>
        <v>Investors</v>
      </c>
      <c r="E24" s="69" t="str">
        <f>Summary!O61</f>
        <v>Preferred Equity</v>
      </c>
      <c r="F24" s="70" t="str">
        <f>Summary!P61</f>
        <v>Project</v>
      </c>
      <c r="G24" s="7"/>
      <c r="H24" s="15" t="str">
        <f>Summary!B43</f>
        <v>Interest Only Period</v>
      </c>
      <c r="I24" s="135">
        <f>Summary!C43</f>
        <v>24</v>
      </c>
      <c r="J24" s="135">
        <f>Summary!D43</f>
        <v>0</v>
      </c>
      <c r="K24" s="136">
        <f>Summary!E43</f>
        <v>24</v>
      </c>
      <c r="M24" s="15" t="str">
        <f>Summary!B22</f>
        <v>Operating Reserves</v>
      </c>
      <c r="N24" s="9"/>
      <c r="O24" s="59">
        <f>Summary!D22</f>
        <v>0</v>
      </c>
      <c r="P24" s="60">
        <f>Summary!E22</f>
        <v>0</v>
      </c>
      <c r="Q24" s="61"/>
    </row>
    <row r="25" spans="2:17" x14ac:dyDescent="0.25">
      <c r="B25" s="71" t="str">
        <f>Summary!L62</f>
        <v>Yield (Year 1)</v>
      </c>
      <c r="C25" s="44"/>
      <c r="D25" s="72"/>
      <c r="E25" s="72"/>
      <c r="F25" s="73">
        <f ca="1">Summary!P62</f>
        <v>5.355881008466392E-2</v>
      </c>
      <c r="G25" s="74"/>
      <c r="H25" s="15" t="str">
        <f>Summary!B44</f>
        <v>Origination Fee</v>
      </c>
      <c r="I25" s="66">
        <f>Summary!C44</f>
        <v>0</v>
      </c>
      <c r="J25" s="59">
        <f>Summary!D44</f>
        <v>0</v>
      </c>
      <c r="K25" s="67">
        <f>Summary!E44</f>
        <v>0.01</v>
      </c>
      <c r="M25" s="81" t="str">
        <f>Summary!B23</f>
        <v>All in Purchase Price</v>
      </c>
      <c r="N25" s="82"/>
      <c r="O25" s="82"/>
      <c r="P25" s="83">
        <f>Summary!E23</f>
        <v>52883037.350387014</v>
      </c>
      <c r="Q25" s="61"/>
    </row>
    <row r="26" spans="2:17" x14ac:dyDescent="0.25">
      <c r="B26" s="75" t="str">
        <f>Summary!L63</f>
        <v>Average Annual ROI</v>
      </c>
      <c r="D26" s="76">
        <f ca="1">Summary!N63</f>
        <v>0.45189927251329165</v>
      </c>
      <c r="E26" s="76">
        <f>Summary!O63</f>
        <v>9.5665332846716397E-2</v>
      </c>
      <c r="F26" s="77">
        <f ca="1">Summary!P63</f>
        <v>0.61156454509240599</v>
      </c>
      <c r="G26" s="78"/>
      <c r="H26" s="15" t="str">
        <f>Summary!B45</f>
        <v>Prepayment Type</v>
      </c>
      <c r="I26" s="62" t="str">
        <f>Summary!C45</f>
        <v>Percent</v>
      </c>
      <c r="J26" s="79" t="str">
        <f>Summary!D45</f>
        <v>Percent</v>
      </c>
      <c r="K26" s="80" t="str">
        <f>Summary!E45</f>
        <v>Percent</v>
      </c>
      <c r="M26" s="15" t="str">
        <f>Summary!B24</f>
        <v>Year 1 NOI</v>
      </c>
      <c r="N26" s="9"/>
      <c r="O26" s="9"/>
      <c r="P26" s="60">
        <f ca="1">Summary!E24</f>
        <v>2675249.2838350832</v>
      </c>
      <c r="Q26" s="84"/>
    </row>
    <row r="27" spans="2:17" x14ac:dyDescent="0.25">
      <c r="B27" s="85" t="s">
        <v>126</v>
      </c>
      <c r="C27" s="86"/>
      <c r="D27" s="87">
        <f>Returns!D27</f>
        <v>0</v>
      </c>
      <c r="E27" s="87" t="e">
        <f>Returns!#REF!</f>
        <v>#REF!</v>
      </c>
      <c r="F27" s="88">
        <f>Returns!D17</f>
        <v>0</v>
      </c>
      <c r="G27" s="59"/>
      <c r="H27" s="15" t="str">
        <f>Summary!B47</f>
        <v>Amortization</v>
      </c>
      <c r="I27" s="89">
        <f>Summary!C47</f>
        <v>360</v>
      </c>
      <c r="J27" s="89">
        <f>Summary!D47</f>
        <v>10</v>
      </c>
      <c r="K27" s="90">
        <f>Summary!E47</f>
        <v>360</v>
      </c>
      <c r="L27" s="9"/>
      <c r="M27" s="34" t="str">
        <f>Summary!B25</f>
        <v>Year 1 Cap Rate</v>
      </c>
      <c r="N27" s="94"/>
      <c r="O27" s="94"/>
      <c r="P27" s="137">
        <f ca="1">Summary!E25</f>
        <v>5.3504985676701665E-2</v>
      </c>
      <c r="Q27" s="61"/>
    </row>
    <row r="28" spans="2:17" x14ac:dyDescent="0.25">
      <c r="B28" s="46" t="s">
        <v>127</v>
      </c>
      <c r="F28" s="91">
        <f ca="1">'Monthly Pro Forma'!C74</f>
        <v>0.15917506814002999</v>
      </c>
      <c r="G28" s="66"/>
      <c r="H28" s="34" t="str">
        <f>Summary!B48</f>
        <v>Loan Term</v>
      </c>
      <c r="I28" s="92">
        <f>Summary!C48</f>
        <v>7</v>
      </c>
      <c r="J28" s="92">
        <f>Summary!D48</f>
        <v>12</v>
      </c>
      <c r="K28" s="93">
        <f>Summary!E48</f>
        <v>5</v>
      </c>
      <c r="Q28" s="61"/>
    </row>
    <row r="29" spans="2:17" x14ac:dyDescent="0.25">
      <c r="B29" s="75" t="str">
        <f>Summary!L64</f>
        <v>Levered IRR</v>
      </c>
      <c r="D29" s="76">
        <f ca="1">Summary!N64</f>
        <v>0.29265416264534005</v>
      </c>
      <c r="E29" s="76">
        <f>Summary!O64</f>
        <v>0.14361117482185365</v>
      </c>
      <c r="F29" s="77">
        <f ca="1">Summary!P64</f>
        <v>0.35231075882911678</v>
      </c>
      <c r="G29" s="78"/>
    </row>
    <row r="30" spans="2:17" x14ac:dyDescent="0.25">
      <c r="B30" s="75" t="str">
        <f>Summary!L65</f>
        <v>Equity Multiple</v>
      </c>
      <c r="D30" s="95">
        <f ca="1">Summary!N65</f>
        <v>3.2464025064375082</v>
      </c>
      <c r="E30" s="95">
        <f>Summary!O65</f>
        <v>1.4783266642335822</v>
      </c>
      <c r="F30" s="96">
        <f ca="1">Summary!P65</f>
        <v>4.0694803478973913</v>
      </c>
      <c r="G30" s="95"/>
      <c r="H30" s="68" t="s">
        <v>128</v>
      </c>
      <c r="I30" s="40" t="s">
        <v>5</v>
      </c>
      <c r="J30" s="70" t="s">
        <v>83</v>
      </c>
    </row>
    <row r="31" spans="2:17" x14ac:dyDescent="0.25">
      <c r="B31" s="42" t="str">
        <f>Summary!L66</f>
        <v>Contributions</v>
      </c>
      <c r="C31" s="44"/>
      <c r="D31" s="97">
        <f ca="1">Summary!N66</f>
        <v>9966098.6551120188</v>
      </c>
      <c r="E31" s="97">
        <f>Summary!O66</f>
        <v>14999999.999999929</v>
      </c>
      <c r="F31" s="98">
        <f ca="1">Summary!P66</f>
        <v>9966098.6551120188</v>
      </c>
      <c r="G31" s="99"/>
      <c r="H31" s="100" t="s">
        <v>50</v>
      </c>
      <c r="I31" s="97">
        <f ca="1">Summary!P47</f>
        <v>4265047.6516390881</v>
      </c>
      <c r="J31" s="101">
        <f ca="1">IF(units=0,0,I31/units)</f>
        <v>17479.703490324133</v>
      </c>
    </row>
    <row r="32" spans="2:17" x14ac:dyDescent="0.25">
      <c r="B32" s="15" t="str">
        <f>Summary!L67</f>
        <v>Distributions</v>
      </c>
      <c r="D32" s="99">
        <f ca="1">Summary!N67</f>
        <v>32353967.653359137</v>
      </c>
      <c r="E32" s="99">
        <f>Summary!O67</f>
        <v>21553075.300000004</v>
      </c>
      <c r="F32" s="102">
        <f ca="1">Summary!P67</f>
        <v>40321814.378219962</v>
      </c>
      <c r="G32" s="99"/>
      <c r="H32" s="46" t="s">
        <v>129</v>
      </c>
      <c r="I32" s="78">
        <f>ExitCap</f>
        <v>0.05</v>
      </c>
      <c r="J32" s="57"/>
    </row>
    <row r="33" spans="2:16" x14ac:dyDescent="0.25">
      <c r="B33" s="15" t="s">
        <v>92</v>
      </c>
      <c r="D33" s="99">
        <f ca="1">D32-D31</f>
        <v>22387868.998247117</v>
      </c>
      <c r="E33" s="99">
        <f>E32-E31</f>
        <v>6553075.3000000753</v>
      </c>
      <c r="F33" s="102">
        <f ca="1">F32-F31</f>
        <v>30355715.723107941</v>
      </c>
      <c r="G33" s="99"/>
      <c r="H33" s="46" t="s">
        <v>130</v>
      </c>
      <c r="I33" s="99">
        <f ca="1">Summary!P48</f>
        <v>85300953.03278175</v>
      </c>
      <c r="J33" s="57">
        <f ca="1">IF(units=0,0,I33/units)</f>
        <v>349594.06980648258</v>
      </c>
    </row>
    <row r="34" spans="2:16" x14ac:dyDescent="0.25">
      <c r="B34" s="85"/>
      <c r="C34" s="86"/>
      <c r="D34" s="105"/>
      <c r="E34" s="105"/>
      <c r="F34" s="106"/>
      <c r="G34" s="66"/>
      <c r="H34" s="46" t="s">
        <v>131</v>
      </c>
      <c r="I34" s="99">
        <f ca="1">Summary!P53</f>
        <v>49291943.027310237</v>
      </c>
      <c r="J34" s="104">
        <f ca="1">IF(units=0,0,I34/units)</f>
        <v>202016.15994799277</v>
      </c>
    </row>
    <row r="35" spans="2:16" x14ac:dyDescent="0.25">
      <c r="D35" s="103"/>
      <c r="E35" s="103"/>
      <c r="F35" s="103"/>
      <c r="G35" s="66"/>
      <c r="H35" s="46" t="s">
        <v>25</v>
      </c>
      <c r="I35" s="99">
        <f ca="1">SUM(Summary!P50:P52)</f>
        <v>1772433.7257648285</v>
      </c>
      <c r="J35" s="104">
        <f ca="1">IF(units=0,0,I35/units)</f>
        <v>7264.0726465771659</v>
      </c>
    </row>
    <row r="36" spans="2:16" x14ac:dyDescent="0.25">
      <c r="G36" s="66"/>
      <c r="H36" s="85" t="s">
        <v>132</v>
      </c>
      <c r="I36" s="107">
        <f ca="1">I33-I34-I35</f>
        <v>34236576.279706687</v>
      </c>
      <c r="J36" s="108">
        <f ca="1">IF(units=0,0,I36/units)</f>
        <v>140313.83721191264</v>
      </c>
    </row>
    <row r="38" spans="2:16" ht="18.75" thickBot="1" x14ac:dyDescent="0.3"/>
    <row r="39" spans="2:16" x14ac:dyDescent="0.25">
      <c r="B39" s="110"/>
      <c r="C39" s="111">
        <f>'Annual Pro Forma'!D5</f>
        <v>0</v>
      </c>
      <c r="D39" s="111">
        <f>'Annual Pro Forma'!E5</f>
        <v>1</v>
      </c>
      <c r="E39" s="111">
        <f>'Annual Pro Forma'!F5</f>
        <v>2</v>
      </c>
      <c r="F39" s="111">
        <f>'Annual Pro Forma'!G5</f>
        <v>3</v>
      </c>
      <c r="G39" s="111">
        <f>'Annual Pro Forma'!H5</f>
        <v>4</v>
      </c>
      <c r="H39" s="111">
        <f>'Annual Pro Forma'!I5</f>
        <v>5</v>
      </c>
      <c r="I39" s="111">
        <f>'Annual Pro Forma'!J5</f>
        <v>6</v>
      </c>
      <c r="J39" s="111">
        <f>'Annual Pro Forma'!K5</f>
        <v>7</v>
      </c>
      <c r="K39" s="111">
        <f>'Annual Pro Forma'!L5</f>
        <v>8</v>
      </c>
      <c r="L39" s="111">
        <f>'Annual Pro Forma'!M5</f>
        <v>9</v>
      </c>
      <c r="M39" s="112">
        <f>'Annual Pro Forma'!N5</f>
        <v>10</v>
      </c>
    </row>
    <row r="40" spans="2:16" x14ac:dyDescent="0.25">
      <c r="B40" s="113"/>
      <c r="C40" s="114">
        <f>'Annual Pro Forma'!D6</f>
        <v>44926</v>
      </c>
      <c r="D40" s="114">
        <f>'Annual Pro Forma'!E6</f>
        <v>45291</v>
      </c>
      <c r="E40" s="114">
        <f>'Annual Pro Forma'!F6</f>
        <v>45657</v>
      </c>
      <c r="F40" s="114">
        <f>'Annual Pro Forma'!G6</f>
        <v>46022</v>
      </c>
      <c r="G40" s="114">
        <f>'Annual Pro Forma'!H6</f>
        <v>46387</v>
      </c>
      <c r="H40" s="114">
        <f>'Annual Pro Forma'!I6</f>
        <v>46752</v>
      </c>
      <c r="I40" s="114">
        <f>'Annual Pro Forma'!J6</f>
        <v>47118</v>
      </c>
      <c r="J40" s="114">
        <f>'Annual Pro Forma'!K6</f>
        <v>47483</v>
      </c>
      <c r="K40" s="114">
        <f>'Annual Pro Forma'!L6</f>
        <v>47848</v>
      </c>
      <c r="L40" s="114">
        <f>'Annual Pro Forma'!M6</f>
        <v>48213</v>
      </c>
      <c r="M40" s="115">
        <f>'Annual Pro Forma'!N6</f>
        <v>48579</v>
      </c>
    </row>
    <row r="41" spans="2:16" x14ac:dyDescent="0.25">
      <c r="B41" s="116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8"/>
    </row>
    <row r="42" spans="2:16" ht="18.75" thickBot="1" x14ac:dyDescent="0.3">
      <c r="B42" s="119" t="str">
        <f>'Annual Pro Forma'!B8</f>
        <v>RENTAL INCOME</v>
      </c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1"/>
      <c r="O42" s="122"/>
      <c r="P42" s="9"/>
    </row>
    <row r="43" spans="2:16" x14ac:dyDescent="0.25">
      <c r="B43" s="116" t="str">
        <f>'Annual Pro Forma'!B10</f>
        <v>Base Market Rent</v>
      </c>
      <c r="C43" s="109">
        <f>'Annual Pro Forma'!D10</f>
        <v>0</v>
      </c>
      <c r="D43" s="109">
        <f>'Annual Pro Forma'!E10</f>
        <v>4087063.2000000007</v>
      </c>
      <c r="E43" s="109">
        <f>'Annual Pro Forma'!F10</f>
        <v>4291416.3600000013</v>
      </c>
      <c r="F43" s="109">
        <f>'Annual Pro Forma'!G10</f>
        <v>4505987.1780000003</v>
      </c>
      <c r="G43" s="109">
        <f>'Annual Pro Forma'!H10</f>
        <v>4686226.665120001</v>
      </c>
      <c r="H43" s="109">
        <f>'Annual Pro Forma'!I10</f>
        <v>4873675.7317248005</v>
      </c>
      <c r="I43" s="109">
        <f>'Annual Pro Forma'!J10</f>
        <v>5068622.7609937936</v>
      </c>
      <c r="J43" s="109">
        <f>'Annual Pro Forma'!K10</f>
        <v>0</v>
      </c>
      <c r="K43" s="109">
        <f>'Annual Pro Forma'!L10</f>
        <v>0</v>
      </c>
      <c r="L43" s="109">
        <f>'Annual Pro Forma'!M10</f>
        <v>0</v>
      </c>
      <c r="M43" s="123">
        <f>'Annual Pro Forma'!N10</f>
        <v>0</v>
      </c>
      <c r="O43" s="124"/>
      <c r="P43" s="9"/>
    </row>
    <row r="44" spans="2:16" x14ac:dyDescent="0.25">
      <c r="B44" s="116" t="str">
        <f>'Annual Pro Forma'!B9</f>
        <v>Renovated Unit Move-Ins</v>
      </c>
      <c r="C44" s="109">
        <f>'Annual Pro Forma'!D9</f>
        <v>0</v>
      </c>
      <c r="D44" s="109">
        <f ca="1">'Annual Pro Forma'!E9</f>
        <v>55</v>
      </c>
      <c r="E44" s="109">
        <f ca="1">'Annual Pro Forma'!F9</f>
        <v>89</v>
      </c>
      <c r="F44" s="109">
        <f ca="1">'Annual Pro Forma'!G9</f>
        <v>51</v>
      </c>
      <c r="G44" s="109">
        <f ca="1">'Annual Pro Forma'!H9</f>
        <v>0</v>
      </c>
      <c r="H44" s="109">
        <f ca="1">'Annual Pro Forma'!I9</f>
        <v>0</v>
      </c>
      <c r="I44" s="109">
        <f ca="1">'Annual Pro Forma'!J9</f>
        <v>0</v>
      </c>
      <c r="J44" s="109">
        <f ca="1">'Annual Pro Forma'!K9</f>
        <v>0</v>
      </c>
      <c r="K44" s="109">
        <f ca="1">'Annual Pro Forma'!L9</f>
        <v>0</v>
      </c>
      <c r="L44" s="109">
        <f ca="1">'Annual Pro Forma'!M9</f>
        <v>0</v>
      </c>
      <c r="M44" s="123">
        <f ca="1">'Annual Pro Forma'!N9</f>
        <v>0</v>
      </c>
      <c r="O44" s="124"/>
      <c r="P44" s="9"/>
    </row>
    <row r="45" spans="2:16" x14ac:dyDescent="0.25">
      <c r="B45" s="116" t="str">
        <f>'Annual Pro Forma'!B11</f>
        <v>Premiums Achieved</v>
      </c>
      <c r="C45" s="109">
        <f>'Annual Pro Forma'!D11</f>
        <v>0</v>
      </c>
      <c r="D45" s="109">
        <f ca="1">'Annual Pro Forma'!E11</f>
        <v>105814.55166149756</v>
      </c>
      <c r="E45" s="109">
        <f ca="1">'Annual Pro Forma'!F11</f>
        <v>416813.13849933544</v>
      </c>
      <c r="F45" s="109">
        <f ca="1">'Annual Pro Forma'!G11</f>
        <v>761475.18202257412</v>
      </c>
      <c r="G45" s="109">
        <f ca="1">'Annual Pro Forma'!H11</f>
        <v>860318.47863051854</v>
      </c>
      <c r="H45" s="109">
        <f ca="1">'Annual Pro Forma'!I11</f>
        <v>894731.21777573961</v>
      </c>
      <c r="I45" s="109">
        <f ca="1">'Annual Pro Forma'!J11</f>
        <v>930520.46648676915</v>
      </c>
      <c r="J45" s="109">
        <f>'Annual Pro Forma'!K11</f>
        <v>0</v>
      </c>
      <c r="K45" s="109">
        <f>'Annual Pro Forma'!L11</f>
        <v>0</v>
      </c>
      <c r="L45" s="109">
        <f>'Annual Pro Forma'!M11</f>
        <v>0</v>
      </c>
      <c r="M45" s="123">
        <f>'Annual Pro Forma'!N11</f>
        <v>0</v>
      </c>
      <c r="O45" s="124"/>
      <c r="P45" s="9"/>
    </row>
    <row r="46" spans="2:16" x14ac:dyDescent="0.25">
      <c r="B46" s="116" t="str">
        <f>'Annual Pro Forma'!B12</f>
        <v>Loss to Lease</v>
      </c>
      <c r="C46" s="109">
        <f>'Annual Pro Forma'!D12</f>
        <v>0</v>
      </c>
      <c r="D46" s="109">
        <f ca="1">'Annual Pro Forma'!E12</f>
        <v>-176382.64825076767</v>
      </c>
      <c r="E46" s="109">
        <f ca="1">'Annual Pro Forma'!F12</f>
        <v>-92267.169972873104</v>
      </c>
      <c r="F46" s="109">
        <f ca="1">'Annual Pro Forma'!G12</f>
        <v>-105349.24720045147</v>
      </c>
      <c r="G46" s="109">
        <f ca="1">'Annual Pro Forma'!H12</f>
        <v>-110930.90287501043</v>
      </c>
      <c r="H46" s="109">
        <f ca="1">'Annual Pro Forma'!I12</f>
        <v>-115368.13899001079</v>
      </c>
      <c r="I46" s="109">
        <f ca="1">'Annual Pro Forma'!J12</f>
        <v>-119982.86454961129</v>
      </c>
      <c r="J46" s="109">
        <f ca="1">'Annual Pro Forma'!K12</f>
        <v>0</v>
      </c>
      <c r="K46" s="109">
        <f ca="1">'Annual Pro Forma'!L12</f>
        <v>0</v>
      </c>
      <c r="L46" s="109">
        <f ca="1">'Annual Pro Forma'!M12</f>
        <v>0</v>
      </c>
      <c r="M46" s="123">
        <f ca="1">'Annual Pro Forma'!N12</f>
        <v>0</v>
      </c>
      <c r="O46" s="124"/>
      <c r="P46" s="9"/>
    </row>
    <row r="47" spans="2:16" x14ac:dyDescent="0.25">
      <c r="B47" s="125" t="str">
        <f>'Annual Pro Forma'!B13</f>
        <v>Gross Potential Rent</v>
      </c>
      <c r="C47" s="126">
        <f>'Annual Pro Forma'!D13</f>
        <v>0</v>
      </c>
      <c r="D47" s="126">
        <f ca="1">'Annual Pro Forma'!E13</f>
        <v>4016495.1034107306</v>
      </c>
      <c r="E47" s="126">
        <f ca="1">'Annual Pro Forma'!F13</f>
        <v>4615962.3285264624</v>
      </c>
      <c r="F47" s="126">
        <f ca="1">'Annual Pro Forma'!G13</f>
        <v>5162113.1128221238</v>
      </c>
      <c r="G47" s="126">
        <f ca="1">'Annual Pro Forma'!H13</f>
        <v>5435614.2408755096</v>
      </c>
      <c r="H47" s="126">
        <f ca="1">'Annual Pro Forma'!I13</f>
        <v>5653038.8105105311</v>
      </c>
      <c r="I47" s="126">
        <f ca="1">'Annual Pro Forma'!J13</f>
        <v>5879160.3629309526</v>
      </c>
      <c r="J47" s="126">
        <f>'Annual Pro Forma'!K13</f>
        <v>0</v>
      </c>
      <c r="K47" s="126">
        <f>'Annual Pro Forma'!L13</f>
        <v>0</v>
      </c>
      <c r="L47" s="126">
        <f>'Annual Pro Forma'!M13</f>
        <v>0</v>
      </c>
      <c r="M47" s="127">
        <f>'Annual Pro Forma'!N13</f>
        <v>0</v>
      </c>
      <c r="O47" s="128"/>
      <c r="P47" s="9"/>
    </row>
    <row r="48" spans="2:16" x14ac:dyDescent="0.25">
      <c r="B48" s="116" t="str">
        <f>'Annual Pro Forma'!B14</f>
        <v>Physical Vacancy</v>
      </c>
      <c r="C48" s="109">
        <f>'Annual Pro Forma'!D14</f>
        <v>0</v>
      </c>
      <c r="D48" s="109">
        <f ca="1">'Annual Pro Forma'!E14</f>
        <v>-251572.66509968988</v>
      </c>
      <c r="E48" s="109">
        <f ca="1">'Annual Pro Forma'!F14</f>
        <v>-282493.7699099601</v>
      </c>
      <c r="F48" s="109">
        <f ca="1">'Annual Pro Forma'!G14</f>
        <v>-263373.11800112884</v>
      </c>
      <c r="G48" s="109">
        <f ca="1">'Annual Pro Forma'!H14</f>
        <v>-277327.25718752609</v>
      </c>
      <c r="H48" s="109">
        <f ca="1">'Annual Pro Forma'!I14</f>
        <v>-288420.34747502714</v>
      </c>
      <c r="I48" s="109">
        <f ca="1">'Annual Pro Forma'!J14</f>
        <v>-299957.16137402813</v>
      </c>
      <c r="J48" s="109">
        <f>'Annual Pro Forma'!K14</f>
        <v>0</v>
      </c>
      <c r="K48" s="109">
        <f>'Annual Pro Forma'!L14</f>
        <v>0</v>
      </c>
      <c r="L48" s="109">
        <f>'Annual Pro Forma'!M14</f>
        <v>0</v>
      </c>
      <c r="M48" s="123">
        <f>'Annual Pro Forma'!N14</f>
        <v>0</v>
      </c>
      <c r="O48" s="124"/>
      <c r="P48" s="9"/>
    </row>
    <row r="49" spans="2:17" x14ac:dyDescent="0.25">
      <c r="B49" s="116" t="str">
        <f>'Annual Pro Forma'!B15</f>
        <v>Bad Debt</v>
      </c>
      <c r="C49" s="109">
        <f>'Annual Pro Forma'!D15</f>
        <v>0</v>
      </c>
      <c r="D49" s="109">
        <f ca="1">'Annual Pro Forma'!E15</f>
        <v>-20082.475517053648</v>
      </c>
      <c r="E49" s="109">
        <f ca="1">'Annual Pro Forma'!F15</f>
        <v>-23079.811642632314</v>
      </c>
      <c r="F49" s="109">
        <f ca="1">'Annual Pro Forma'!G15</f>
        <v>-25810.565564110617</v>
      </c>
      <c r="G49" s="109">
        <f ca="1">'Annual Pro Forma'!H15</f>
        <v>-27178.071204377557</v>
      </c>
      <c r="H49" s="109">
        <f ca="1">'Annual Pro Forma'!I15</f>
        <v>-28265.194052552648</v>
      </c>
      <c r="I49" s="109">
        <f ca="1">'Annual Pro Forma'!J15</f>
        <v>-29395.801814654766</v>
      </c>
      <c r="J49" s="109">
        <f>'Annual Pro Forma'!K15</f>
        <v>0</v>
      </c>
      <c r="K49" s="109">
        <f>'Annual Pro Forma'!L15</f>
        <v>0</v>
      </c>
      <c r="L49" s="109">
        <f>'Annual Pro Forma'!M15</f>
        <v>0</v>
      </c>
      <c r="M49" s="123">
        <f>'Annual Pro Forma'!N15</f>
        <v>0</v>
      </c>
      <c r="O49" s="124"/>
      <c r="P49" s="9"/>
    </row>
    <row r="50" spans="2:17" x14ac:dyDescent="0.25">
      <c r="B50" s="116" t="str">
        <f>'Annual Pro Forma'!B16</f>
        <v>Concessions</v>
      </c>
      <c r="C50" s="109">
        <f>'Annual Pro Forma'!D16</f>
        <v>0</v>
      </c>
      <c r="D50" s="109">
        <f ca="1">'Annual Pro Forma'!E16</f>
        <v>-40164.951034107296</v>
      </c>
      <c r="E50" s="109">
        <f ca="1">'Annual Pro Forma'!F16</f>
        <v>-23079.811642632314</v>
      </c>
      <c r="F50" s="109">
        <f ca="1">'Annual Pro Forma'!G16</f>
        <v>-25810.565564110617</v>
      </c>
      <c r="G50" s="109">
        <f ca="1">'Annual Pro Forma'!H16</f>
        <v>-27178.071204377557</v>
      </c>
      <c r="H50" s="109">
        <f ca="1">'Annual Pro Forma'!I16</f>
        <v>-28265.194052552648</v>
      </c>
      <c r="I50" s="109">
        <f ca="1">'Annual Pro Forma'!J16</f>
        <v>-29395.801814654766</v>
      </c>
      <c r="J50" s="109">
        <f>'Annual Pro Forma'!K16</f>
        <v>0</v>
      </c>
      <c r="K50" s="109">
        <f>'Annual Pro Forma'!L16</f>
        <v>0</v>
      </c>
      <c r="L50" s="109">
        <f>'Annual Pro Forma'!M16</f>
        <v>0</v>
      </c>
      <c r="M50" s="123">
        <f>'Annual Pro Forma'!N16</f>
        <v>0</v>
      </c>
      <c r="O50" s="124"/>
      <c r="P50" s="9"/>
    </row>
    <row r="51" spans="2:17" x14ac:dyDescent="0.25">
      <c r="B51" s="125" t="str">
        <f>'Annual Pro Forma'!B17</f>
        <v>Net Rental Income</v>
      </c>
      <c r="C51" s="126">
        <f>'Annual Pro Forma'!D17</f>
        <v>0</v>
      </c>
      <c r="D51" s="126">
        <f ca="1">'Annual Pro Forma'!E17</f>
        <v>3704675.0117598791</v>
      </c>
      <c r="E51" s="126">
        <f ca="1">'Annual Pro Forma'!F17</f>
        <v>4287308.9353312375</v>
      </c>
      <c r="F51" s="126">
        <f ca="1">'Annual Pro Forma'!G17</f>
        <v>4847118.8636927726</v>
      </c>
      <c r="G51" s="126">
        <f ca="1">'Annual Pro Forma'!H17</f>
        <v>5103930.8412792282</v>
      </c>
      <c r="H51" s="126">
        <f ca="1">'Annual Pro Forma'!I17</f>
        <v>5308088.0749303969</v>
      </c>
      <c r="I51" s="126">
        <f ca="1">'Annual Pro Forma'!J17</f>
        <v>5520411.5979276123</v>
      </c>
      <c r="J51" s="126">
        <f>'Annual Pro Forma'!K17</f>
        <v>0</v>
      </c>
      <c r="K51" s="126">
        <f>'Annual Pro Forma'!L17</f>
        <v>0</v>
      </c>
      <c r="L51" s="126">
        <f>'Annual Pro Forma'!M17</f>
        <v>0</v>
      </c>
      <c r="M51" s="127">
        <f>'Annual Pro Forma'!N17</f>
        <v>0</v>
      </c>
      <c r="O51" s="128"/>
      <c r="P51" s="9"/>
    </row>
    <row r="52" spans="2:17" x14ac:dyDescent="0.25">
      <c r="B52" s="116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23"/>
      <c r="O52" s="124"/>
      <c r="P52" s="9"/>
    </row>
    <row r="53" spans="2:17" ht="18.75" thickBot="1" x14ac:dyDescent="0.3">
      <c r="B53" s="119" t="str">
        <f>'Annual Pro Forma'!B19</f>
        <v>OTHER INCOME</v>
      </c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1"/>
      <c r="O53" s="122"/>
      <c r="P53" s="9"/>
    </row>
    <row r="54" spans="2:17" x14ac:dyDescent="0.25">
      <c r="B54" s="129" t="str">
        <f>'Annual Pro Forma'!B20</f>
        <v>Other Income</v>
      </c>
      <c r="C54" s="130">
        <f>'Annual Pro Forma'!D20</f>
        <v>0</v>
      </c>
      <c r="D54" s="130">
        <f>'Annual Pro Forma'!E20</f>
        <v>311943.04959999997</v>
      </c>
      <c r="E54" s="130">
        <f>'Annual Pro Forma'!F20</f>
        <v>324420.77158399991</v>
      </c>
      <c r="F54" s="130">
        <f>'Annual Pro Forma'!G20</f>
        <v>335775.49858943984</v>
      </c>
      <c r="G54" s="130">
        <f>'Annual Pro Forma'!H20</f>
        <v>347527.64104007039</v>
      </c>
      <c r="H54" s="130">
        <f>'Annual Pro Forma'!I20</f>
        <v>359691.10847647279</v>
      </c>
      <c r="I54" s="130">
        <f>'Annual Pro Forma'!J20</f>
        <v>372280.29727314919</v>
      </c>
      <c r="J54" s="130">
        <f>'Annual Pro Forma'!K20</f>
        <v>0</v>
      </c>
      <c r="K54" s="130">
        <f>'Annual Pro Forma'!L20</f>
        <v>0</v>
      </c>
      <c r="L54" s="130">
        <f>'Annual Pro Forma'!M20</f>
        <v>0</v>
      </c>
      <c r="M54" s="131">
        <f>'Annual Pro Forma'!N20</f>
        <v>0</v>
      </c>
      <c r="O54" s="124"/>
      <c r="P54" s="9"/>
    </row>
    <row r="55" spans="2:17" x14ac:dyDescent="0.25">
      <c r="B55" s="116" t="str">
        <f>'Annual Pro Forma'!B21</f>
        <v>RUBS</v>
      </c>
      <c r="C55" s="109">
        <f>'Annual Pro Forma'!D21</f>
        <v>0</v>
      </c>
      <c r="D55" s="109">
        <f>'Annual Pro Forma'!E21</f>
        <v>123031.19280000002</v>
      </c>
      <c r="E55" s="109">
        <f>'Annual Pro Forma'!F21</f>
        <v>126722.12858399998</v>
      </c>
      <c r="F55" s="109">
        <f>'Annual Pro Forma'!G21</f>
        <v>130523.79244152001</v>
      </c>
      <c r="G55" s="109">
        <f>'Annual Pro Forma'!H21</f>
        <v>134439.50621476563</v>
      </c>
      <c r="H55" s="109">
        <f>'Annual Pro Forma'!I21</f>
        <v>138472.69140120858</v>
      </c>
      <c r="I55" s="109">
        <f>'Annual Pro Forma'!J21</f>
        <v>142626.87214324487</v>
      </c>
      <c r="J55" s="109">
        <f>'Annual Pro Forma'!K21</f>
        <v>0</v>
      </c>
      <c r="K55" s="109">
        <f>'Annual Pro Forma'!L21</f>
        <v>0</v>
      </c>
      <c r="L55" s="109">
        <f>'Annual Pro Forma'!M21</f>
        <v>0</v>
      </c>
      <c r="M55" s="123">
        <f>'Annual Pro Forma'!N21</f>
        <v>0</v>
      </c>
      <c r="O55" s="124"/>
      <c r="P55" s="9"/>
    </row>
    <row r="56" spans="2:17" x14ac:dyDescent="0.25">
      <c r="B56" s="125" t="str">
        <f>'Annual Pro Forma'!B22</f>
        <v>Total Other Income</v>
      </c>
      <c r="C56" s="126">
        <f>'Annual Pro Forma'!D22</f>
        <v>0</v>
      </c>
      <c r="D56" s="126">
        <f>'Annual Pro Forma'!E22</f>
        <v>434974.24240000005</v>
      </c>
      <c r="E56" s="126">
        <f>'Annual Pro Forma'!F22</f>
        <v>451142.90016800002</v>
      </c>
      <c r="F56" s="126">
        <f>'Annual Pro Forma'!G22</f>
        <v>466299.29103095998</v>
      </c>
      <c r="G56" s="126">
        <f>'Annual Pro Forma'!H22</f>
        <v>481967.14725483576</v>
      </c>
      <c r="H56" s="126">
        <f>'Annual Pro Forma'!I22</f>
        <v>498163.79987768113</v>
      </c>
      <c r="I56" s="126">
        <f>'Annual Pro Forma'!J22</f>
        <v>514907.16941639408</v>
      </c>
      <c r="J56" s="126">
        <f>'Annual Pro Forma'!K22</f>
        <v>0</v>
      </c>
      <c r="K56" s="126">
        <f>'Annual Pro Forma'!L22</f>
        <v>0</v>
      </c>
      <c r="L56" s="126">
        <f>'Annual Pro Forma'!M22</f>
        <v>0</v>
      </c>
      <c r="M56" s="127">
        <f>'Annual Pro Forma'!N22</f>
        <v>0</v>
      </c>
      <c r="O56" s="128"/>
      <c r="P56" s="9"/>
    </row>
    <row r="57" spans="2:17" x14ac:dyDescent="0.25">
      <c r="B57" s="116"/>
      <c r="C57" s="109"/>
      <c r="D57" s="109"/>
      <c r="E57" s="109"/>
      <c r="F57" s="109"/>
      <c r="G57" s="109">
        <f>'Annual Pro Forma'!H23</f>
        <v>0</v>
      </c>
      <c r="H57" s="109">
        <f>'Annual Pro Forma'!I23</f>
        <v>0</v>
      </c>
      <c r="I57" s="109">
        <f>'Annual Pro Forma'!J23</f>
        <v>0</v>
      </c>
      <c r="J57" s="109">
        <f>'Annual Pro Forma'!K23</f>
        <v>0</v>
      </c>
      <c r="K57" s="109">
        <f>'Annual Pro Forma'!L23</f>
        <v>0</v>
      </c>
      <c r="L57" s="109">
        <f>'Annual Pro Forma'!M23</f>
        <v>0</v>
      </c>
      <c r="M57" s="123">
        <f>'Annual Pro Forma'!N23</f>
        <v>0</v>
      </c>
      <c r="O57" s="124"/>
      <c r="P57" s="9"/>
    </row>
    <row r="58" spans="2:17" s="138" customFormat="1" x14ac:dyDescent="0.25">
      <c r="B58" s="139" t="str">
        <f>'Annual Pro Forma'!B24</f>
        <v>Effective Gross Income</v>
      </c>
      <c r="C58" s="140">
        <f>'Annual Pro Forma'!D24</f>
        <v>0</v>
      </c>
      <c r="D58" s="140">
        <f ca="1">'Annual Pro Forma'!E24</f>
        <v>4139649.2541598799</v>
      </c>
      <c r="E58" s="140">
        <f ca="1">'Annual Pro Forma'!F24</f>
        <v>4738451.8354992373</v>
      </c>
      <c r="F58" s="140">
        <f ca="1">'Annual Pro Forma'!G24</f>
        <v>5313418.1547237346</v>
      </c>
      <c r="G58" s="140">
        <f ca="1">'Annual Pro Forma'!H24</f>
        <v>5585897.9885340631</v>
      </c>
      <c r="H58" s="140">
        <f ca="1">'Annual Pro Forma'!I24</f>
        <v>5806251.8748080796</v>
      </c>
      <c r="I58" s="140">
        <f ca="1">'Annual Pro Forma'!J24</f>
        <v>6035318.7673440063</v>
      </c>
      <c r="J58" s="140">
        <f>'Annual Pro Forma'!K24</f>
        <v>0</v>
      </c>
      <c r="K58" s="140">
        <f>'Annual Pro Forma'!L24</f>
        <v>0</v>
      </c>
      <c r="L58" s="140">
        <f>'Annual Pro Forma'!M24</f>
        <v>0</v>
      </c>
      <c r="M58" s="141">
        <f>'Annual Pro Forma'!N24</f>
        <v>0</v>
      </c>
      <c r="O58" s="142"/>
      <c r="P58" s="143"/>
      <c r="Q58" s="143"/>
    </row>
    <row r="59" spans="2:17" x14ac:dyDescent="0.25">
      <c r="B59" s="116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23"/>
      <c r="O59" s="124"/>
      <c r="P59" s="9"/>
    </row>
    <row r="60" spans="2:17" ht="18.75" thickBot="1" x14ac:dyDescent="0.3">
      <c r="B60" s="119" t="str">
        <f>'Annual Pro Forma'!B26</f>
        <v>EXPENSES</v>
      </c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1"/>
      <c r="O60" s="122"/>
      <c r="P60" s="9"/>
    </row>
    <row r="61" spans="2:17" x14ac:dyDescent="0.25">
      <c r="B61" s="129" t="str">
        <f>'Annual Pro Forma'!B27</f>
        <v>Payroll</v>
      </c>
      <c r="C61" s="130">
        <f>'Annual Pro Forma'!D27</f>
        <v>0</v>
      </c>
      <c r="D61" s="130">
        <f>'Annual Pro Forma'!E27</f>
        <v>-347480.8</v>
      </c>
      <c r="E61" s="130">
        <f>'Annual Pro Forma'!F27</f>
        <v>-357905.22399999999</v>
      </c>
      <c r="F61" s="130">
        <f>'Annual Pro Forma'!G27</f>
        <v>-368642.38072000007</v>
      </c>
      <c r="G61" s="130">
        <f>'Annual Pro Forma'!H27</f>
        <v>-379701.65214160015</v>
      </c>
      <c r="H61" s="130">
        <f>'Annual Pro Forma'!I27</f>
        <v>-391092.70170584804</v>
      </c>
      <c r="I61" s="130">
        <f>'Annual Pro Forma'!J27</f>
        <v>-402825.48275702354</v>
      </c>
      <c r="J61" s="130">
        <f>'Annual Pro Forma'!K27</f>
        <v>0</v>
      </c>
      <c r="K61" s="130">
        <f>'Annual Pro Forma'!L27</f>
        <v>0</v>
      </c>
      <c r="L61" s="130">
        <f>'Annual Pro Forma'!M27</f>
        <v>0</v>
      </c>
      <c r="M61" s="131">
        <f>'Annual Pro Forma'!N27</f>
        <v>0</v>
      </c>
      <c r="O61" s="124"/>
      <c r="P61" s="9"/>
    </row>
    <row r="62" spans="2:17" x14ac:dyDescent="0.25">
      <c r="B62" s="116" t="str">
        <f>'Annual Pro Forma'!B28</f>
        <v>Management Fees</v>
      </c>
      <c r="C62" s="109">
        <f>'Annual Pro Forma'!D28</f>
        <v>0</v>
      </c>
      <c r="D62" s="109">
        <f ca="1">'Annual Pro Forma'!E28</f>
        <v>-124189.47762479639</v>
      </c>
      <c r="E62" s="109">
        <f ca="1">'Annual Pro Forma'!F28</f>
        <v>-142153.55506497712</v>
      </c>
      <c r="F62" s="109">
        <f ca="1">'Annual Pro Forma'!G28</f>
        <v>-159402.54464171201</v>
      </c>
      <c r="G62" s="109">
        <f ca="1">'Annual Pro Forma'!H28</f>
        <v>-167576.93965602189</v>
      </c>
      <c r="H62" s="109">
        <f ca="1">'Annual Pro Forma'!I28</f>
        <v>-174187.55624424244</v>
      </c>
      <c r="I62" s="109">
        <f ca="1">'Annual Pro Forma'!J28</f>
        <v>-181059.56302032023</v>
      </c>
      <c r="J62" s="109">
        <f>'Annual Pro Forma'!K28</f>
        <v>0</v>
      </c>
      <c r="K62" s="109">
        <f>'Annual Pro Forma'!L28</f>
        <v>0</v>
      </c>
      <c r="L62" s="109">
        <f>'Annual Pro Forma'!M28</f>
        <v>0</v>
      </c>
      <c r="M62" s="123">
        <f>'Annual Pro Forma'!N28</f>
        <v>0</v>
      </c>
      <c r="O62" s="124"/>
      <c r="P62" s="9"/>
    </row>
    <row r="63" spans="2:17" x14ac:dyDescent="0.25">
      <c r="B63" s="116" t="str">
        <f>'Annual Pro Forma'!B29</f>
        <v>Contract Services</v>
      </c>
      <c r="C63" s="109">
        <f>'Annual Pro Forma'!D29</f>
        <v>0</v>
      </c>
      <c r="D63" s="109">
        <f>'Annual Pro Forma'!E29</f>
        <v>-78160.51999999999</v>
      </c>
      <c r="E63" s="109">
        <f>'Annual Pro Forma'!F29</f>
        <v>-80505.335599999991</v>
      </c>
      <c r="F63" s="109">
        <f>'Annual Pro Forma'!G29</f>
        <v>-82920.495668000018</v>
      </c>
      <c r="G63" s="109">
        <f>'Annual Pro Forma'!H29</f>
        <v>-85408.110538039997</v>
      </c>
      <c r="H63" s="109">
        <f>'Annual Pro Forma'!I29</f>
        <v>-87970.35385418123</v>
      </c>
      <c r="I63" s="109">
        <f>'Annual Pro Forma'!J29</f>
        <v>-90609.464469806655</v>
      </c>
      <c r="J63" s="109">
        <f>'Annual Pro Forma'!K29</f>
        <v>0</v>
      </c>
      <c r="K63" s="109">
        <f>'Annual Pro Forma'!L29</f>
        <v>0</v>
      </c>
      <c r="L63" s="109">
        <f>'Annual Pro Forma'!M29</f>
        <v>0</v>
      </c>
      <c r="M63" s="123">
        <f>'Annual Pro Forma'!N29</f>
        <v>0</v>
      </c>
      <c r="O63" s="124"/>
      <c r="P63" s="9"/>
    </row>
    <row r="64" spans="2:17" x14ac:dyDescent="0.25">
      <c r="B64" s="116" t="str">
        <f>'Annual Pro Forma'!B30</f>
        <v>Administrative</v>
      </c>
      <c r="C64" s="109">
        <f>'Annual Pro Forma'!D30</f>
        <v>0</v>
      </c>
      <c r="D64" s="109">
        <f>'Annual Pro Forma'!E30</f>
        <v>-79762.262700000021</v>
      </c>
      <c r="E64" s="109">
        <f>'Annual Pro Forma'!F30</f>
        <v>-82155.130581000005</v>
      </c>
      <c r="F64" s="109">
        <f>'Annual Pro Forma'!G30</f>
        <v>-84619.784498429988</v>
      </c>
      <c r="G64" s="109">
        <f>'Annual Pro Forma'!H30</f>
        <v>-87158.378033382891</v>
      </c>
      <c r="H64" s="109">
        <f>'Annual Pro Forma'!I30</f>
        <v>-89773.129374384414</v>
      </c>
      <c r="I64" s="109">
        <f>'Annual Pro Forma'!J30</f>
        <v>-92466.323255615935</v>
      </c>
      <c r="J64" s="109">
        <f>'Annual Pro Forma'!K30</f>
        <v>0</v>
      </c>
      <c r="K64" s="109">
        <f>'Annual Pro Forma'!L30</f>
        <v>0</v>
      </c>
      <c r="L64" s="109">
        <f>'Annual Pro Forma'!M30</f>
        <v>0</v>
      </c>
      <c r="M64" s="123">
        <f>'Annual Pro Forma'!N30</f>
        <v>0</v>
      </c>
      <c r="O64" s="124"/>
      <c r="P64" s="9"/>
    </row>
    <row r="65" spans="2:17" x14ac:dyDescent="0.25">
      <c r="B65" s="116" t="str">
        <f>'Annual Pro Forma'!B31</f>
        <v>Marketing</v>
      </c>
      <c r="C65" s="109">
        <f>'Annual Pro Forma'!D31</f>
        <v>0</v>
      </c>
      <c r="D65" s="109">
        <f>'Annual Pro Forma'!E31</f>
        <v>-53279.839999999989</v>
      </c>
      <c r="E65" s="109">
        <f>'Annual Pro Forma'!F31</f>
        <v>-54878.235199999988</v>
      </c>
      <c r="F65" s="109">
        <f>'Annual Pro Forma'!G31</f>
        <v>-56524.582256000002</v>
      </c>
      <c r="G65" s="109">
        <f>'Annual Pro Forma'!H31</f>
        <v>-58220.319723680026</v>
      </c>
      <c r="H65" s="109">
        <f>'Annual Pro Forma'!I31</f>
        <v>-59966.929315390407</v>
      </c>
      <c r="I65" s="109">
        <f>'Annual Pro Forma'!J31</f>
        <v>-61765.937194852129</v>
      </c>
      <c r="J65" s="109">
        <f>'Annual Pro Forma'!K31</f>
        <v>0</v>
      </c>
      <c r="K65" s="109">
        <f>'Annual Pro Forma'!L31</f>
        <v>0</v>
      </c>
      <c r="L65" s="109">
        <f>'Annual Pro Forma'!M31</f>
        <v>0</v>
      </c>
      <c r="M65" s="123">
        <f>'Annual Pro Forma'!N31</f>
        <v>0</v>
      </c>
      <c r="O65" s="124"/>
      <c r="P65" s="9"/>
    </row>
    <row r="66" spans="2:17" x14ac:dyDescent="0.25">
      <c r="B66" s="116" t="str">
        <f>'Annual Pro Forma'!B32</f>
        <v>Utilities</v>
      </c>
      <c r="C66" s="109">
        <f>'Annual Pro Forma'!D32</f>
        <v>0</v>
      </c>
      <c r="D66" s="109">
        <f>'Annual Pro Forma'!E32</f>
        <v>-150038.04</v>
      </c>
      <c r="E66" s="109">
        <f>'Annual Pro Forma'!F32</f>
        <v>-154539.18120000002</v>
      </c>
      <c r="F66" s="109">
        <f>'Annual Pro Forma'!G32</f>
        <v>-159175.35663600007</v>
      </c>
      <c r="G66" s="109">
        <f>'Annual Pro Forma'!H32</f>
        <v>-163950.61733508002</v>
      </c>
      <c r="H66" s="109">
        <f>'Annual Pro Forma'!I32</f>
        <v>-168869.13585513242</v>
      </c>
      <c r="I66" s="109">
        <f>'Annual Pro Forma'!J32</f>
        <v>-173935.2099307864</v>
      </c>
      <c r="J66" s="109">
        <f>'Annual Pro Forma'!K32</f>
        <v>0</v>
      </c>
      <c r="K66" s="109">
        <f>'Annual Pro Forma'!L32</f>
        <v>0</v>
      </c>
      <c r="L66" s="109">
        <f>'Annual Pro Forma'!M32</f>
        <v>0</v>
      </c>
      <c r="M66" s="123">
        <f>'Annual Pro Forma'!N32</f>
        <v>0</v>
      </c>
      <c r="O66" s="124"/>
      <c r="P66" s="9"/>
    </row>
    <row r="67" spans="2:17" x14ac:dyDescent="0.25">
      <c r="B67" s="116" t="str">
        <f>'Annual Pro Forma'!B33</f>
        <v>Maintenance &amp; Repair</v>
      </c>
      <c r="C67" s="109">
        <f>'Annual Pro Forma'!D33</f>
        <v>0</v>
      </c>
      <c r="D67" s="109">
        <f>'Annual Pro Forma'!E33</f>
        <v>-171651.55999999997</v>
      </c>
      <c r="E67" s="109">
        <f>'Annual Pro Forma'!F33</f>
        <v>-176801.10680000004</v>
      </c>
      <c r="F67" s="109">
        <f>'Annual Pro Forma'!G33</f>
        <v>-182105.14000400002</v>
      </c>
      <c r="G67" s="109">
        <f>'Annual Pro Forma'!H33</f>
        <v>-187568.29420411994</v>
      </c>
      <c r="H67" s="109">
        <f>'Annual Pro Forma'!I33</f>
        <v>-193195.34303024365</v>
      </c>
      <c r="I67" s="109">
        <f>'Annual Pro Forma'!J33</f>
        <v>-198991.20332115085</v>
      </c>
      <c r="J67" s="109">
        <f>'Annual Pro Forma'!K33</f>
        <v>0</v>
      </c>
      <c r="K67" s="109">
        <f>'Annual Pro Forma'!L33</f>
        <v>0</v>
      </c>
      <c r="L67" s="109">
        <f>'Annual Pro Forma'!M33</f>
        <v>0</v>
      </c>
      <c r="M67" s="123">
        <f>'Annual Pro Forma'!N33</f>
        <v>0</v>
      </c>
      <c r="O67" s="124"/>
      <c r="P67" s="9"/>
    </row>
    <row r="68" spans="2:17" x14ac:dyDescent="0.25">
      <c r="B68" s="116" t="str">
        <f>'Annual Pro Forma'!B34</f>
        <v xml:space="preserve">Insurance </v>
      </c>
      <c r="C68" s="109">
        <f>'Annual Pro Forma'!D34</f>
        <v>0</v>
      </c>
      <c r="D68" s="109">
        <f>'Annual Pro Forma'!E34</f>
        <v>-106037.47000000003</v>
      </c>
      <c r="E68" s="109">
        <f>'Annual Pro Forma'!F34</f>
        <v>-109218.59410000003</v>
      </c>
      <c r="F68" s="109">
        <f>'Annual Pro Forma'!G34</f>
        <v>-112495.15192300004</v>
      </c>
      <c r="G68" s="109">
        <f>'Annual Pro Forma'!H34</f>
        <v>-115870.00648068999</v>
      </c>
      <c r="H68" s="109">
        <f>'Annual Pro Forma'!I34</f>
        <v>-119346.10667511071</v>
      </c>
      <c r="I68" s="109">
        <f>'Annual Pro Forma'!J34</f>
        <v>-122926.48987536402</v>
      </c>
      <c r="J68" s="109">
        <f>'Annual Pro Forma'!K34</f>
        <v>0</v>
      </c>
      <c r="K68" s="109">
        <f>'Annual Pro Forma'!L34</f>
        <v>0</v>
      </c>
      <c r="L68" s="109">
        <f>'Annual Pro Forma'!M34</f>
        <v>0</v>
      </c>
      <c r="M68" s="123">
        <f>'Annual Pro Forma'!N34</f>
        <v>0</v>
      </c>
      <c r="O68" s="124"/>
      <c r="P68" s="9"/>
    </row>
    <row r="69" spans="2:17" x14ac:dyDescent="0.25">
      <c r="B69" s="116" t="str">
        <f>'Annual Pro Forma'!B35</f>
        <v>Property Taxes</v>
      </c>
      <c r="C69" s="109">
        <f>'Annual Pro Forma'!D35</f>
        <v>0</v>
      </c>
      <c r="D69" s="109">
        <f>'Annual Pro Forma'!E35</f>
        <v>-305000</v>
      </c>
      <c r="E69" s="109">
        <f>'Annual Pro Forma'!F35</f>
        <v>-411750</v>
      </c>
      <c r="F69" s="109">
        <f>'Annual Pro Forma'!G35</f>
        <v>-419985</v>
      </c>
      <c r="G69" s="109">
        <f>'Annual Pro Forma'!H35</f>
        <v>-428384.6999999999</v>
      </c>
      <c r="H69" s="109">
        <f>'Annual Pro Forma'!I35</f>
        <v>-436952.39399999991</v>
      </c>
      <c r="I69" s="109">
        <f>'Annual Pro Forma'!J35</f>
        <v>-445691.44188</v>
      </c>
      <c r="J69" s="109">
        <f>'Annual Pro Forma'!K35</f>
        <v>0</v>
      </c>
      <c r="K69" s="109">
        <f>'Annual Pro Forma'!L35</f>
        <v>0</v>
      </c>
      <c r="L69" s="109">
        <f>'Annual Pro Forma'!M35</f>
        <v>0</v>
      </c>
      <c r="M69" s="123">
        <f>'Annual Pro Forma'!N35</f>
        <v>0</v>
      </c>
      <c r="O69" s="124"/>
      <c r="P69" s="9"/>
    </row>
    <row r="70" spans="2:17" x14ac:dyDescent="0.25">
      <c r="B70" s="125" t="str">
        <f>'Annual Pro Forma'!B36</f>
        <v>Total Expenses</v>
      </c>
      <c r="C70" s="126">
        <f>'Annual Pro Forma'!D36</f>
        <v>0</v>
      </c>
      <c r="D70" s="126">
        <f ca="1">'Annual Pro Forma'!E36</f>
        <v>-1415599.9703247964</v>
      </c>
      <c r="E70" s="126">
        <f ca="1">'Annual Pro Forma'!F36</f>
        <v>-1569906.3625459773</v>
      </c>
      <c r="F70" s="126">
        <f ca="1">'Annual Pro Forma'!G36</f>
        <v>-1625870.4363471423</v>
      </c>
      <c r="G70" s="126">
        <f ca="1">'Annual Pro Forma'!H36</f>
        <v>-1673839.0181126154</v>
      </c>
      <c r="H70" s="126">
        <f ca="1">'Annual Pro Forma'!I36</f>
        <v>-1721353.6500545328</v>
      </c>
      <c r="I70" s="126">
        <f ca="1">'Annual Pro Forma'!J36</f>
        <v>-1770271.1157049194</v>
      </c>
      <c r="J70" s="126">
        <f>'Annual Pro Forma'!K36</f>
        <v>0</v>
      </c>
      <c r="K70" s="126">
        <f>'Annual Pro Forma'!L36</f>
        <v>0</v>
      </c>
      <c r="L70" s="126">
        <f>'Annual Pro Forma'!M36</f>
        <v>0</v>
      </c>
      <c r="M70" s="127">
        <f>'Annual Pro Forma'!N36</f>
        <v>0</v>
      </c>
      <c r="O70" s="128"/>
      <c r="P70" s="9"/>
    </row>
    <row r="71" spans="2:17" x14ac:dyDescent="0.25">
      <c r="B71" s="116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23"/>
      <c r="O71" s="124"/>
      <c r="P71" s="9"/>
    </row>
    <row r="72" spans="2:17" s="138" customFormat="1" x14ac:dyDescent="0.25">
      <c r="B72" s="139" t="str">
        <f>'Annual Pro Forma'!B38</f>
        <v>Net Operating Income</v>
      </c>
      <c r="C72" s="140">
        <f>'Annual Pro Forma'!D38</f>
        <v>0</v>
      </c>
      <c r="D72" s="140">
        <f ca="1">'Annual Pro Forma'!E38</f>
        <v>2724049.2838350832</v>
      </c>
      <c r="E72" s="140">
        <f ca="1">'Annual Pro Forma'!F38</f>
        <v>3168545.4729532609</v>
      </c>
      <c r="F72" s="140">
        <f ca="1">'Annual Pro Forma'!G38</f>
        <v>3687547.7183765918</v>
      </c>
      <c r="G72" s="140">
        <f ca="1">'Annual Pro Forma'!H38</f>
        <v>3912058.9704214479</v>
      </c>
      <c r="H72" s="140">
        <f ca="1">'Annual Pro Forma'!I38</f>
        <v>4084898.2247535461</v>
      </c>
      <c r="I72" s="140">
        <f ca="1">'Annual Pro Forma'!J38</f>
        <v>4265047.6516390881</v>
      </c>
      <c r="J72" s="140">
        <f>'Annual Pro Forma'!K38</f>
        <v>0</v>
      </c>
      <c r="K72" s="140">
        <f>'Annual Pro Forma'!L38</f>
        <v>0</v>
      </c>
      <c r="L72" s="140">
        <f>'Annual Pro Forma'!M38</f>
        <v>0</v>
      </c>
      <c r="M72" s="141">
        <f>'Annual Pro Forma'!N38</f>
        <v>0</v>
      </c>
      <c r="O72" s="142"/>
      <c r="P72" s="143"/>
      <c r="Q72" s="143"/>
    </row>
    <row r="73" spans="2:17" x14ac:dyDescent="0.25">
      <c r="B73" s="113"/>
      <c r="C73" s="132"/>
      <c r="M73" s="123"/>
      <c r="O73" s="124"/>
      <c r="P73" s="9"/>
    </row>
    <row r="74" spans="2:17" ht="18.75" thickBot="1" x14ac:dyDescent="0.3">
      <c r="B74" s="119" t="str">
        <f>'Annual Pro Forma'!B40</f>
        <v>NON-OPERATING EXPENSES</v>
      </c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1"/>
      <c r="O74" s="122"/>
      <c r="P74" s="9"/>
    </row>
    <row r="75" spans="2:17" x14ac:dyDescent="0.25">
      <c r="B75" s="129" t="str">
        <f>'Annual Pro Forma'!B41</f>
        <v>Replacement Reserves</v>
      </c>
      <c r="C75" s="130">
        <f>'Annual Pro Forma'!D41</f>
        <v>0</v>
      </c>
      <c r="D75" s="130">
        <f>'Annual Pro Forma'!E41</f>
        <v>-48800</v>
      </c>
      <c r="E75" s="130">
        <f>'Annual Pro Forma'!F41</f>
        <v>-48800</v>
      </c>
      <c r="F75" s="130">
        <f>'Annual Pro Forma'!G41</f>
        <v>-48800</v>
      </c>
      <c r="G75" s="130">
        <f>'Annual Pro Forma'!H41</f>
        <v>-48800</v>
      </c>
      <c r="H75" s="130">
        <f>'Annual Pro Forma'!I41</f>
        <v>-48800</v>
      </c>
      <c r="I75" s="130">
        <f>'Annual Pro Forma'!J41</f>
        <v>0</v>
      </c>
      <c r="J75" s="130">
        <f>'Annual Pro Forma'!K41</f>
        <v>0</v>
      </c>
      <c r="K75" s="130">
        <f>'Annual Pro Forma'!L41</f>
        <v>0</v>
      </c>
      <c r="L75" s="130">
        <f>'Annual Pro Forma'!M41</f>
        <v>0</v>
      </c>
      <c r="M75" s="131">
        <f>'Annual Pro Forma'!N41</f>
        <v>0</v>
      </c>
      <c r="O75" s="124"/>
      <c r="P75" s="9"/>
    </row>
    <row r="76" spans="2:17" x14ac:dyDescent="0.25">
      <c r="B76" s="116" t="str">
        <f>'Annual Pro Forma'!B42</f>
        <v>Capital Improvements</v>
      </c>
      <c r="C76" s="109">
        <f>'Annual Pro Forma'!D42</f>
        <v>0</v>
      </c>
      <c r="D76" s="109">
        <f>'Annual Pro Forma'!E42</f>
        <v>-510256.41025634058</v>
      </c>
      <c r="E76" s="109">
        <f>'Annual Pro Forma'!F42</f>
        <v>-502051.28205128206</v>
      </c>
      <c r="F76" s="109">
        <f>'Annual Pro Forma'!G42</f>
        <v>-287692.30769230763</v>
      </c>
      <c r="G76" s="109">
        <f>'Annual Pro Forma'!H42</f>
        <v>0</v>
      </c>
      <c r="H76" s="109">
        <f>'Annual Pro Forma'!I42</f>
        <v>0</v>
      </c>
      <c r="I76" s="109">
        <f>'Annual Pro Forma'!J42</f>
        <v>0</v>
      </c>
      <c r="J76" s="109">
        <f>'Annual Pro Forma'!K42</f>
        <v>0</v>
      </c>
      <c r="K76" s="109">
        <f>'Annual Pro Forma'!L42</f>
        <v>0</v>
      </c>
      <c r="L76" s="109">
        <f>'Annual Pro Forma'!M42</f>
        <v>0</v>
      </c>
      <c r="M76" s="123">
        <f>'Annual Pro Forma'!N42</f>
        <v>0</v>
      </c>
      <c r="O76" s="124"/>
      <c r="P76" s="9"/>
    </row>
    <row r="77" spans="2:17" x14ac:dyDescent="0.25">
      <c r="B77" s="116" t="str">
        <f>'Annual Pro Forma'!B43</f>
        <v>Asset Management Fee</v>
      </c>
      <c r="C77" s="109">
        <f>'Annual Pro Forma'!D43</f>
        <v>0</v>
      </c>
      <c r="D77" s="109">
        <f ca="1">'Annual Pro Forma'!E43</f>
        <v>0</v>
      </c>
      <c r="E77" s="109">
        <f ca="1">'Annual Pro Forma'!F43</f>
        <v>0</v>
      </c>
      <c r="F77" s="109">
        <f ca="1">'Annual Pro Forma'!G43</f>
        <v>0</v>
      </c>
      <c r="G77" s="109">
        <f ca="1">'Annual Pro Forma'!H43</f>
        <v>0</v>
      </c>
      <c r="H77" s="109">
        <f ca="1">'Annual Pro Forma'!I43</f>
        <v>0</v>
      </c>
      <c r="I77" s="109">
        <f>'Annual Pro Forma'!J43</f>
        <v>0</v>
      </c>
      <c r="J77" s="109">
        <f>'Annual Pro Forma'!K43</f>
        <v>0</v>
      </c>
      <c r="K77" s="109">
        <f>'Annual Pro Forma'!L43</f>
        <v>0</v>
      </c>
      <c r="L77" s="109">
        <f>'Annual Pro Forma'!M43</f>
        <v>0</v>
      </c>
      <c r="M77" s="123">
        <f>'Annual Pro Forma'!N43</f>
        <v>0</v>
      </c>
      <c r="O77" s="124"/>
      <c r="P77" s="9"/>
    </row>
    <row r="78" spans="2:17" x14ac:dyDescent="0.25">
      <c r="B78" s="125" t="str">
        <f>'Annual Pro Forma'!B44</f>
        <v>Total Non-Operating Expenses</v>
      </c>
      <c r="C78" s="126">
        <f>'Annual Pro Forma'!D44</f>
        <v>0</v>
      </c>
      <c r="D78" s="126">
        <f ca="1">'Annual Pro Forma'!E44</f>
        <v>-559056.41025634063</v>
      </c>
      <c r="E78" s="126">
        <f ca="1">'Annual Pro Forma'!F44</f>
        <v>-550851.282051282</v>
      </c>
      <c r="F78" s="126">
        <f ca="1">'Annual Pro Forma'!G44</f>
        <v>-336492.30769230775</v>
      </c>
      <c r="G78" s="126">
        <f ca="1">'Annual Pro Forma'!H44</f>
        <v>-48800</v>
      </c>
      <c r="H78" s="126">
        <f ca="1">'Annual Pro Forma'!I44</f>
        <v>-48800</v>
      </c>
      <c r="I78" s="126">
        <f>'Annual Pro Forma'!J44</f>
        <v>0</v>
      </c>
      <c r="J78" s="126">
        <f>'Annual Pro Forma'!K44</f>
        <v>0</v>
      </c>
      <c r="K78" s="126">
        <f>'Annual Pro Forma'!L44</f>
        <v>0</v>
      </c>
      <c r="L78" s="126">
        <f>'Annual Pro Forma'!M44</f>
        <v>0</v>
      </c>
      <c r="M78" s="127">
        <f>'Annual Pro Forma'!N44</f>
        <v>0</v>
      </c>
      <c r="O78" s="128"/>
      <c r="P78" s="9"/>
    </row>
    <row r="79" spans="2:17" x14ac:dyDescent="0.25">
      <c r="B79" s="116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23"/>
      <c r="O79" s="124"/>
      <c r="P79" s="9"/>
    </row>
    <row r="80" spans="2:17" ht="18.75" thickBot="1" x14ac:dyDescent="0.3">
      <c r="B80" s="119" t="str">
        <f>'Annual Pro Forma'!B46</f>
        <v>ACQUISITION &amp; SALE</v>
      </c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1"/>
      <c r="O80" s="122"/>
      <c r="P80" s="9"/>
    </row>
    <row r="81" spans="2:17" x14ac:dyDescent="0.25">
      <c r="B81" s="129" t="str">
        <f>'Annual Pro Forma'!B47</f>
        <v>Acquisition Cost</v>
      </c>
      <c r="C81" s="130">
        <f>'Annual Pro Forma'!D47</f>
        <v>-50000000</v>
      </c>
      <c r="D81" s="130">
        <f>'Annual Pro Forma'!E47</f>
        <v>0</v>
      </c>
      <c r="E81" s="130">
        <f>'Annual Pro Forma'!F47</f>
        <v>0</v>
      </c>
      <c r="F81" s="130">
        <f>'Annual Pro Forma'!G47</f>
        <v>0</v>
      </c>
      <c r="G81" s="130">
        <f>'Annual Pro Forma'!H47</f>
        <v>0</v>
      </c>
      <c r="H81" s="130">
        <f>'Annual Pro Forma'!I47</f>
        <v>0</v>
      </c>
      <c r="I81" s="130">
        <f>'Annual Pro Forma'!J47</f>
        <v>0</v>
      </c>
      <c r="J81" s="130">
        <f>'Annual Pro Forma'!K47</f>
        <v>0</v>
      </c>
      <c r="K81" s="130">
        <f>'Annual Pro Forma'!L47</f>
        <v>0</v>
      </c>
      <c r="L81" s="130">
        <f>'Annual Pro Forma'!M47</f>
        <v>0</v>
      </c>
      <c r="M81" s="131">
        <f>'Annual Pro Forma'!N47</f>
        <v>0</v>
      </c>
      <c r="O81" s="124"/>
      <c r="P81" s="9"/>
    </row>
    <row r="82" spans="2:17" x14ac:dyDescent="0.25">
      <c r="B82" s="116" t="str">
        <f>'Annual Pro Forma'!B48</f>
        <v>Closing Costs</v>
      </c>
      <c r="C82" s="109">
        <f>'Annual Pro Forma'!D48</f>
        <v>-860900</v>
      </c>
      <c r="D82" s="109">
        <f>'Annual Pro Forma'!E48</f>
        <v>0</v>
      </c>
      <c r="E82" s="109">
        <f>'Annual Pro Forma'!F48</f>
        <v>0</v>
      </c>
      <c r="F82" s="109">
        <f>'Annual Pro Forma'!G48</f>
        <v>0</v>
      </c>
      <c r="G82" s="109">
        <f>'Annual Pro Forma'!H48</f>
        <v>0</v>
      </c>
      <c r="H82" s="109">
        <f>'Annual Pro Forma'!I48</f>
        <v>0</v>
      </c>
      <c r="I82" s="109">
        <f>'Annual Pro Forma'!J48</f>
        <v>0</v>
      </c>
      <c r="J82" s="109">
        <f>'Annual Pro Forma'!K48</f>
        <v>0</v>
      </c>
      <c r="K82" s="109">
        <f>'Annual Pro Forma'!L48</f>
        <v>0</v>
      </c>
      <c r="L82" s="109">
        <f>'Annual Pro Forma'!M48</f>
        <v>0</v>
      </c>
      <c r="M82" s="123">
        <f>'Annual Pro Forma'!N48</f>
        <v>0</v>
      </c>
      <c r="O82" s="124"/>
      <c r="P82" s="9"/>
    </row>
    <row r="83" spans="2:17" x14ac:dyDescent="0.25">
      <c r="B83" s="116" t="str">
        <f>'Annual Pro Forma'!B49</f>
        <v>Sale Price</v>
      </c>
      <c r="C83" s="109">
        <f>'Annual Pro Forma'!D49</f>
        <v>0</v>
      </c>
      <c r="D83" s="109">
        <f>'Annual Pro Forma'!E49</f>
        <v>0</v>
      </c>
      <c r="E83" s="109">
        <f>'Annual Pro Forma'!F49</f>
        <v>0</v>
      </c>
      <c r="F83" s="109">
        <f>'Annual Pro Forma'!G49</f>
        <v>0</v>
      </c>
      <c r="G83" s="109">
        <f>'Annual Pro Forma'!H49</f>
        <v>0</v>
      </c>
      <c r="H83" s="109">
        <f ca="1">'Annual Pro Forma'!I49</f>
        <v>85300953.03278175</v>
      </c>
      <c r="I83" s="109">
        <f>'Annual Pro Forma'!J49</f>
        <v>0</v>
      </c>
      <c r="J83" s="109">
        <f>'Annual Pro Forma'!K49</f>
        <v>0</v>
      </c>
      <c r="K83" s="109">
        <f>'Annual Pro Forma'!L49</f>
        <v>0</v>
      </c>
      <c r="L83" s="109">
        <f>'Annual Pro Forma'!M49</f>
        <v>0</v>
      </c>
      <c r="M83" s="123">
        <f>'Annual Pro Forma'!N49</f>
        <v>0</v>
      </c>
      <c r="O83" s="124"/>
      <c r="P83" s="9"/>
    </row>
    <row r="84" spans="2:17" x14ac:dyDescent="0.25">
      <c r="B84" s="116" t="str">
        <f>'Annual Pro Forma'!B50</f>
        <v>Costs of Sale</v>
      </c>
      <c r="C84" s="109">
        <f>'Annual Pro Forma'!D50</f>
        <v>0</v>
      </c>
      <c r="D84" s="109">
        <f>'Annual Pro Forma'!E50</f>
        <v>0</v>
      </c>
      <c r="E84" s="109">
        <f>'Annual Pro Forma'!F50</f>
        <v>0</v>
      </c>
      <c r="F84" s="109">
        <f>'Annual Pro Forma'!G50</f>
        <v>0</v>
      </c>
      <c r="G84" s="109">
        <f>'Annual Pro Forma'!H50</f>
        <v>0</v>
      </c>
      <c r="H84" s="109">
        <f ca="1">'Annual Pro Forma'!I50</f>
        <v>-1279514.2954917261</v>
      </c>
      <c r="I84" s="109">
        <f>'Annual Pro Forma'!J50</f>
        <v>0</v>
      </c>
      <c r="J84" s="109">
        <f>'Annual Pro Forma'!K50</f>
        <v>0</v>
      </c>
      <c r="K84" s="109">
        <f>'Annual Pro Forma'!L50</f>
        <v>0</v>
      </c>
      <c r="L84" s="109">
        <f>'Annual Pro Forma'!M50</f>
        <v>0</v>
      </c>
      <c r="M84" s="123">
        <f>'Annual Pro Forma'!N50</f>
        <v>0</v>
      </c>
      <c r="O84" s="124"/>
      <c r="P84" s="9"/>
    </row>
    <row r="85" spans="2:17" x14ac:dyDescent="0.25">
      <c r="B85" s="116" t="str">
        <f>'Annual Pro Forma'!B51</f>
        <v>Disposition Fee</v>
      </c>
      <c r="C85" s="109">
        <f>'Annual Pro Forma'!D51</f>
        <v>0</v>
      </c>
      <c r="D85" s="109">
        <f>'Annual Pro Forma'!E51</f>
        <v>0</v>
      </c>
      <c r="E85" s="109">
        <f>'Annual Pro Forma'!F51</f>
        <v>0</v>
      </c>
      <c r="F85" s="109">
        <f>'Annual Pro Forma'!G51</f>
        <v>0</v>
      </c>
      <c r="G85" s="109">
        <f>'Annual Pro Forma'!H51</f>
        <v>0</v>
      </c>
      <c r="H85" s="109">
        <f ca="1">'Annual Pro Forma'!I51</f>
        <v>0</v>
      </c>
      <c r="I85" s="109">
        <f>'Annual Pro Forma'!J51</f>
        <v>0</v>
      </c>
      <c r="J85" s="109">
        <f>'Annual Pro Forma'!K51</f>
        <v>0</v>
      </c>
      <c r="K85" s="109">
        <f>'Annual Pro Forma'!L51</f>
        <v>0</v>
      </c>
      <c r="L85" s="109">
        <f>'Annual Pro Forma'!M51</f>
        <v>0</v>
      </c>
      <c r="M85" s="123">
        <f>'Annual Pro Forma'!N51</f>
        <v>0</v>
      </c>
      <c r="O85" s="124"/>
      <c r="P85" s="9"/>
    </row>
    <row r="86" spans="2:17" s="138" customFormat="1" x14ac:dyDescent="0.25">
      <c r="B86" s="139" t="str">
        <f>'Annual Pro Forma'!B52</f>
        <v>Unlevered Cash Flow</v>
      </c>
      <c r="C86" s="140">
        <f>'Annual Pro Forma'!D52</f>
        <v>-50860900</v>
      </c>
      <c r="D86" s="140">
        <f ca="1">'Annual Pro Forma'!E52</f>
        <v>2164992.8735787426</v>
      </c>
      <c r="E86" s="140">
        <f ca="1">'Annual Pro Forma'!F52</f>
        <v>2617694.1909019784</v>
      </c>
      <c r="F86" s="140">
        <f ca="1">'Annual Pro Forma'!G52</f>
        <v>3351055.4106842838</v>
      </c>
      <c r="G86" s="140">
        <f ca="1">'Annual Pro Forma'!H52</f>
        <v>3863258.9704214483</v>
      </c>
      <c r="H86" s="140">
        <f ca="1">'Annual Pro Forma'!I52</f>
        <v>88057536.962043568</v>
      </c>
      <c r="I86" s="140">
        <f>'Annual Pro Forma'!J52</f>
        <v>0</v>
      </c>
      <c r="J86" s="140">
        <f>'Annual Pro Forma'!K52</f>
        <v>0</v>
      </c>
      <c r="K86" s="140">
        <f>'Annual Pro Forma'!L52</f>
        <v>0</v>
      </c>
      <c r="L86" s="140">
        <f>'Annual Pro Forma'!M52</f>
        <v>0</v>
      </c>
      <c r="M86" s="141">
        <f>'Annual Pro Forma'!N52</f>
        <v>0</v>
      </c>
      <c r="O86" s="142"/>
      <c r="P86" s="143"/>
      <c r="Q86" s="143"/>
    </row>
  </sheetData>
  <sheetProtection selectLockedCells="1" selectUnlockedCells="1"/>
  <conditionalFormatting sqref="I13 K15 J23 J25:J26">
    <cfRule type="containsBlanks" dxfId="43" priority="12">
      <formula>LEN(TRIM(I13))=0</formula>
    </cfRule>
  </conditionalFormatting>
  <conditionalFormatting sqref="K14">
    <cfRule type="containsBlanks" dxfId="42" priority="11">
      <formula>LEN(TRIM(K14))=0</formula>
    </cfRule>
  </conditionalFormatting>
  <conditionalFormatting sqref="I10">
    <cfRule type="containsBlanks" dxfId="41" priority="10">
      <formula>LEN(TRIM(I10))=0</formula>
    </cfRule>
  </conditionalFormatting>
  <conditionalFormatting sqref="I9">
    <cfRule type="containsBlanks" dxfId="40" priority="9">
      <formula>LEN(TRIM(I9))=0</formula>
    </cfRule>
  </conditionalFormatting>
  <conditionalFormatting sqref="K3:K6">
    <cfRule type="containsBlanks" dxfId="39" priority="8">
      <formula>LEN(TRIM(K3))=0</formula>
    </cfRule>
  </conditionalFormatting>
  <conditionalFormatting sqref="K7:K8">
    <cfRule type="containsBlanks" dxfId="38" priority="7">
      <formula>LEN(TRIM(K7))=0</formula>
    </cfRule>
  </conditionalFormatting>
  <conditionalFormatting sqref="I20">
    <cfRule type="containsBlanks" dxfId="37" priority="6">
      <formula>LEN(TRIM(I20))=0</formula>
    </cfRule>
  </conditionalFormatting>
  <conditionalFormatting sqref="J20">
    <cfRule type="containsBlanks" dxfId="36" priority="5">
      <formula>LEN(TRIM(J20))=0</formula>
    </cfRule>
  </conditionalFormatting>
  <conditionalFormatting sqref="J22">
    <cfRule type="cellIs" dxfId="35" priority="4" operator="lessThan">
      <formula>1.25</formula>
    </cfRule>
  </conditionalFormatting>
  <conditionalFormatting sqref="I27">
    <cfRule type="containsBlanks" dxfId="34" priority="2">
      <formula>LEN(TRIM(I27))=0</formula>
    </cfRule>
  </conditionalFormatting>
  <conditionalFormatting sqref="I28">
    <cfRule type="containsBlanks" dxfId="33" priority="1">
      <formula>LEN(TRIM(I28))=0</formula>
    </cfRule>
  </conditionalFormatting>
  <pageMargins left="0.7" right="0.7" top="0.75" bottom="0.75" header="0.3" footer="0.3"/>
  <pageSetup scale="34" orientation="portrait" r:id="rId1"/>
  <rowBreaks count="1" manualBreakCount="1">
    <brk id="3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794A-2AB4-4E72-9407-3EDC50D5C3B5}">
  <sheetPr codeName="Sheet13"/>
  <dimension ref="B2:K21"/>
  <sheetViews>
    <sheetView showGridLines="0" workbookViewId="0">
      <selection activeCell="J18" sqref="J18"/>
    </sheetView>
  </sheetViews>
  <sheetFormatPr defaultColWidth="8.7109375" defaultRowHeight="14.25" x14ac:dyDescent="0.2"/>
  <cols>
    <col min="1" max="7" width="8.7109375" style="1060"/>
    <col min="8" max="8" width="18.7109375" style="1060" bestFit="1" customWidth="1"/>
    <col min="9" max="9" width="8.7109375" style="1060"/>
    <col min="10" max="10" width="15.7109375" style="1060" customWidth="1"/>
    <col min="11" max="16384" width="8.7109375" style="1060"/>
  </cols>
  <sheetData>
    <row r="2" spans="2:11" x14ac:dyDescent="0.2">
      <c r="B2" s="1364"/>
      <c r="C2" s="1364"/>
      <c r="D2" s="1364"/>
      <c r="E2" s="1364"/>
      <c r="F2" s="1364"/>
    </row>
    <row r="3" spans="2:11" x14ac:dyDescent="0.2">
      <c r="B3" s="1365">
        <v>1</v>
      </c>
      <c r="C3" s="1364"/>
      <c r="D3" s="1364"/>
      <c r="E3" s="1364"/>
      <c r="F3" s="1364"/>
    </row>
    <row r="4" spans="2:11" x14ac:dyDescent="0.2">
      <c r="B4" s="1365">
        <v>2</v>
      </c>
      <c r="C4" s="1364"/>
      <c r="D4" s="1364"/>
      <c r="E4" s="1364"/>
      <c r="F4" s="1364"/>
    </row>
    <row r="5" spans="2:11" ht="15" x14ac:dyDescent="0.2">
      <c r="B5" s="1365">
        <v>3</v>
      </c>
      <c r="C5" s="1364"/>
      <c r="D5" s="1364"/>
      <c r="E5" s="1364"/>
      <c r="F5" s="1366"/>
      <c r="H5" s="1367"/>
      <c r="I5" s="609"/>
    </row>
    <row r="6" spans="2:11" x14ac:dyDescent="0.2">
      <c r="B6" s="1365">
        <v>4</v>
      </c>
      <c r="C6" s="1368" t="s">
        <v>39</v>
      </c>
      <c r="D6" s="1364"/>
      <c r="E6" s="1369" t="s">
        <v>90</v>
      </c>
      <c r="F6" s="1370" t="s">
        <v>87</v>
      </c>
      <c r="G6" s="609" t="s">
        <v>108</v>
      </c>
      <c r="H6" s="609" t="s">
        <v>142</v>
      </c>
      <c r="I6" s="609" t="s">
        <v>142</v>
      </c>
      <c r="J6" s="609" t="s">
        <v>192</v>
      </c>
      <c r="K6" s="1060" t="s">
        <v>107</v>
      </c>
    </row>
    <row r="7" spans="2:11" x14ac:dyDescent="0.2">
      <c r="B7" s="1365">
        <v>5</v>
      </c>
      <c r="C7" s="1368" t="s">
        <v>27</v>
      </c>
      <c r="D7" s="1364"/>
      <c r="E7" s="1369" t="s">
        <v>89</v>
      </c>
      <c r="F7" s="1370" t="s">
        <v>160</v>
      </c>
      <c r="G7" s="609" t="s">
        <v>109</v>
      </c>
      <c r="H7" s="609" t="s">
        <v>143</v>
      </c>
      <c r="I7" s="609" t="s">
        <v>175</v>
      </c>
      <c r="J7" s="609" t="s">
        <v>193</v>
      </c>
      <c r="K7" s="1060" t="s">
        <v>206</v>
      </c>
    </row>
    <row r="8" spans="2:11" x14ac:dyDescent="0.2">
      <c r="B8" s="1365">
        <v>6</v>
      </c>
      <c r="C8" s="1364"/>
      <c r="D8" s="1364"/>
      <c r="E8" s="1369"/>
      <c r="F8" s="1370" t="s">
        <v>161</v>
      </c>
      <c r="I8" s="609"/>
      <c r="J8" s="609" t="s">
        <v>194</v>
      </c>
      <c r="K8" s="1060" t="s">
        <v>207</v>
      </c>
    </row>
    <row r="9" spans="2:11" x14ac:dyDescent="0.2">
      <c r="B9" s="1365">
        <v>7</v>
      </c>
      <c r="C9" s="1364"/>
      <c r="D9" s="1364"/>
      <c r="E9" s="1369"/>
      <c r="F9" s="1370" t="s">
        <v>159</v>
      </c>
      <c r="K9" s="1060" t="s">
        <v>208</v>
      </c>
    </row>
    <row r="10" spans="2:11" x14ac:dyDescent="0.2">
      <c r="B10" s="1365">
        <v>8</v>
      </c>
      <c r="C10" s="1364"/>
      <c r="D10" s="1364"/>
      <c r="E10" s="1369"/>
      <c r="F10" s="1370" t="s">
        <v>178</v>
      </c>
    </row>
    <row r="11" spans="2:11" x14ac:dyDescent="0.2">
      <c r="B11" s="1365">
        <v>9</v>
      </c>
      <c r="C11" s="1364"/>
      <c r="D11" s="1364"/>
      <c r="E11" s="1369"/>
      <c r="F11" s="1370" t="s">
        <v>179</v>
      </c>
    </row>
    <row r="12" spans="2:11" x14ac:dyDescent="0.2">
      <c r="B12" s="1365">
        <v>10</v>
      </c>
      <c r="C12" s="1364"/>
      <c r="D12" s="1364"/>
      <c r="E12" s="1364"/>
      <c r="F12" s="1370" t="s">
        <v>162</v>
      </c>
      <c r="G12" s="1370"/>
    </row>
    <row r="13" spans="2:11" x14ac:dyDescent="0.2">
      <c r="B13" s="1365">
        <v>11</v>
      </c>
      <c r="C13" s="1364"/>
      <c r="D13" s="1364"/>
      <c r="E13" s="1364"/>
      <c r="F13" s="1370" t="s">
        <v>163</v>
      </c>
      <c r="G13" s="1370"/>
    </row>
    <row r="14" spans="2:11" x14ac:dyDescent="0.2">
      <c r="B14" s="1365">
        <v>12</v>
      </c>
      <c r="C14" s="1364"/>
      <c r="D14" s="1364"/>
      <c r="E14" s="1364"/>
      <c r="F14" s="1370" t="s">
        <v>164</v>
      </c>
      <c r="G14" s="1370"/>
    </row>
    <row r="15" spans="2:11" x14ac:dyDescent="0.2">
      <c r="B15" s="1365">
        <v>13</v>
      </c>
      <c r="C15" s="1364"/>
      <c r="D15" s="1364"/>
      <c r="E15" s="1364"/>
      <c r="F15" s="1370" t="s">
        <v>165</v>
      </c>
      <c r="G15" s="1370"/>
    </row>
    <row r="16" spans="2:11" x14ac:dyDescent="0.2">
      <c r="B16" s="1365">
        <v>14</v>
      </c>
      <c r="C16" s="1364"/>
      <c r="D16" s="1364"/>
      <c r="E16" s="1364"/>
      <c r="F16" s="1370" t="s">
        <v>166</v>
      </c>
      <c r="G16" s="1370"/>
    </row>
    <row r="17" spans="2:7" x14ac:dyDescent="0.2">
      <c r="B17" s="1365">
        <v>15</v>
      </c>
      <c r="C17" s="1364"/>
      <c r="D17" s="1364"/>
      <c r="E17" s="1364"/>
      <c r="F17" s="1370" t="s">
        <v>167</v>
      </c>
      <c r="G17" s="1370"/>
    </row>
    <row r="18" spans="2:7" x14ac:dyDescent="0.2">
      <c r="F18" s="1370"/>
      <c r="G18" s="1370"/>
    </row>
    <row r="19" spans="2:7" x14ac:dyDescent="0.2">
      <c r="F19" s="1370"/>
      <c r="G19" s="1370"/>
    </row>
    <row r="20" spans="2:7" x14ac:dyDescent="0.2">
      <c r="F20" s="1370"/>
      <c r="G20" s="1370"/>
    </row>
    <row r="21" spans="2:7" x14ac:dyDescent="0.2">
      <c r="F21" s="1370"/>
      <c r="G21" s="1370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CF2F-4217-4F46-926E-8B9A630946B4}">
  <sheetPr codeName="Sheet21"/>
  <dimension ref="F3:W26"/>
  <sheetViews>
    <sheetView topLeftCell="L1" zoomScaleNormal="100" workbookViewId="0">
      <selection activeCell="Q26" sqref="Q26"/>
    </sheetView>
  </sheetViews>
  <sheetFormatPr defaultColWidth="8.85546875" defaultRowHeight="14.25" x14ac:dyDescent="0.2"/>
  <cols>
    <col min="1" max="1" width="1.85546875" style="144" customWidth="1"/>
    <col min="2" max="5" width="8.85546875" style="144"/>
    <col min="6" max="6" width="13.5703125" style="144" bestFit="1" customWidth="1"/>
    <col min="7" max="7" width="19" style="144" bestFit="1" customWidth="1"/>
    <col min="8" max="8" width="21.28515625" style="144" bestFit="1" customWidth="1"/>
    <col min="9" max="9" width="17" style="144" bestFit="1" customWidth="1"/>
    <col min="10" max="10" width="20.5703125" style="144" bestFit="1" customWidth="1"/>
    <col min="11" max="11" width="29" style="144" bestFit="1" customWidth="1"/>
    <col min="12" max="12" width="24" style="144" bestFit="1" customWidth="1"/>
    <col min="13" max="13" width="22.28515625" style="144" bestFit="1" customWidth="1"/>
    <col min="14" max="14" width="29.7109375" style="144" bestFit="1" customWidth="1"/>
    <col min="15" max="15" width="31" style="144" bestFit="1" customWidth="1"/>
    <col min="16" max="16" width="20.7109375" style="144" bestFit="1" customWidth="1"/>
    <col min="17" max="17" width="12.5703125" style="144" bestFit="1" customWidth="1"/>
    <col min="18" max="18" width="33" style="144" bestFit="1" customWidth="1"/>
    <col min="19" max="19" width="27" style="144" bestFit="1" customWidth="1"/>
    <col min="20" max="20" width="22.42578125" style="144" bestFit="1" customWidth="1"/>
    <col min="21" max="21" width="8.85546875" style="144"/>
    <col min="22" max="22" width="21.140625" style="144" customWidth="1"/>
    <col min="23" max="23" width="18.140625" style="144" customWidth="1"/>
    <col min="24" max="16384" width="8.85546875" style="144"/>
  </cols>
  <sheetData>
    <row r="3" spans="6:23" x14ac:dyDescent="0.2">
      <c r="F3" s="144" t="s">
        <v>510</v>
      </c>
      <c r="G3" s="144" t="s">
        <v>78</v>
      </c>
      <c r="H3" s="144" t="s">
        <v>511</v>
      </c>
      <c r="I3" s="144" t="s">
        <v>93</v>
      </c>
      <c r="J3" s="144" t="s">
        <v>397</v>
      </c>
      <c r="K3" s="144" t="s">
        <v>94</v>
      </c>
      <c r="L3" s="144" t="s">
        <v>512</v>
      </c>
      <c r="M3" s="144" t="s">
        <v>401</v>
      </c>
      <c r="N3" s="144" t="s">
        <v>80</v>
      </c>
      <c r="O3" s="144" t="s">
        <v>403</v>
      </c>
      <c r="P3" s="144" t="s">
        <v>12</v>
      </c>
      <c r="Q3" s="144" t="s">
        <v>204</v>
      </c>
      <c r="R3" s="144" t="s">
        <v>513</v>
      </c>
      <c r="S3" s="144" t="s">
        <v>514</v>
      </c>
      <c r="T3" s="144" t="s">
        <v>141</v>
      </c>
      <c r="V3" s="144" t="s">
        <v>481</v>
      </c>
      <c r="W3" s="144" t="s">
        <v>515</v>
      </c>
    </row>
    <row r="4" spans="6:23" x14ac:dyDescent="0.2">
      <c r="F4" s="144" t="s">
        <v>96</v>
      </c>
      <c r="G4" s="144" t="s">
        <v>516</v>
      </c>
      <c r="H4" s="144" t="s">
        <v>517</v>
      </c>
      <c r="I4" s="144" t="s">
        <v>518</v>
      </c>
      <c r="J4" s="144" t="s">
        <v>519</v>
      </c>
      <c r="K4" s="144" t="s">
        <v>520</v>
      </c>
      <c r="L4" s="144" t="s">
        <v>521</v>
      </c>
      <c r="M4" s="144" t="s">
        <v>522</v>
      </c>
      <c r="N4" s="144" t="s">
        <v>523</v>
      </c>
      <c r="O4" s="144" t="s">
        <v>524</v>
      </c>
      <c r="P4" s="144" t="s">
        <v>525</v>
      </c>
      <c r="Q4" s="144" t="s">
        <v>407</v>
      </c>
      <c r="R4" s="144" t="s">
        <v>526</v>
      </c>
      <c r="S4" s="144" t="s">
        <v>527</v>
      </c>
      <c r="T4" s="144" t="s">
        <v>528</v>
      </c>
      <c r="V4" s="144" t="s">
        <v>483</v>
      </c>
      <c r="W4" s="144" t="s">
        <v>518</v>
      </c>
    </row>
    <row r="5" spans="6:23" x14ac:dyDescent="0.2">
      <c r="F5" s="144" t="s">
        <v>84</v>
      </c>
      <c r="G5" s="144" t="s">
        <v>529</v>
      </c>
      <c r="H5" s="144" t="s">
        <v>530</v>
      </c>
      <c r="I5" s="144" t="s">
        <v>531</v>
      </c>
      <c r="J5" s="144" t="s">
        <v>532</v>
      </c>
      <c r="K5" s="144" t="s">
        <v>533</v>
      </c>
      <c r="L5" s="144" t="s">
        <v>534</v>
      </c>
      <c r="M5" s="144" t="s">
        <v>535</v>
      </c>
      <c r="N5" s="144" t="s">
        <v>536</v>
      </c>
      <c r="O5" s="144" t="s">
        <v>537</v>
      </c>
      <c r="P5" s="144" t="s">
        <v>538</v>
      </c>
      <c r="Q5" s="144" t="s">
        <v>539</v>
      </c>
      <c r="R5" s="144" t="s">
        <v>229</v>
      </c>
      <c r="S5" s="144" t="s">
        <v>540</v>
      </c>
      <c r="T5" s="144" t="s">
        <v>230</v>
      </c>
      <c r="V5" s="144" t="s">
        <v>541</v>
      </c>
      <c r="W5" s="144" t="s">
        <v>518</v>
      </c>
    </row>
    <row r="6" spans="6:23" x14ac:dyDescent="0.2">
      <c r="F6" s="144" t="s">
        <v>14</v>
      </c>
      <c r="G6" s="144" t="s">
        <v>542</v>
      </c>
      <c r="H6" s="144" t="s">
        <v>543</v>
      </c>
      <c r="I6" s="144" t="s">
        <v>544</v>
      </c>
      <c r="K6" s="144" t="s">
        <v>545</v>
      </c>
      <c r="L6" s="144" t="s">
        <v>546</v>
      </c>
      <c r="M6" s="144" t="s">
        <v>547</v>
      </c>
      <c r="N6" s="144" t="s">
        <v>548</v>
      </c>
      <c r="O6" s="144" t="s">
        <v>549</v>
      </c>
      <c r="P6" s="144" t="s">
        <v>550</v>
      </c>
      <c r="Q6" s="144" t="s">
        <v>551</v>
      </c>
      <c r="R6" s="144" t="s">
        <v>552</v>
      </c>
      <c r="S6" s="144" t="s">
        <v>553</v>
      </c>
      <c r="T6" s="144" t="s">
        <v>554</v>
      </c>
      <c r="V6" s="144" t="s">
        <v>485</v>
      </c>
      <c r="W6" s="144" t="s">
        <v>531</v>
      </c>
    </row>
    <row r="7" spans="6:23" x14ac:dyDescent="0.2">
      <c r="F7" s="144" t="s">
        <v>15</v>
      </c>
      <c r="G7" s="144" t="s">
        <v>555</v>
      </c>
      <c r="H7" s="144" t="s">
        <v>556</v>
      </c>
      <c r="I7" s="144" t="s">
        <v>557</v>
      </c>
      <c r="K7" s="144" t="s">
        <v>558</v>
      </c>
      <c r="L7" s="144" t="s">
        <v>559</v>
      </c>
      <c r="M7" s="144" t="s">
        <v>560</v>
      </c>
      <c r="N7" s="144" t="s">
        <v>561</v>
      </c>
      <c r="O7" s="144" t="s">
        <v>562</v>
      </c>
      <c r="P7" s="144" t="s">
        <v>563</v>
      </c>
      <c r="R7" s="144" t="s">
        <v>564</v>
      </c>
      <c r="S7" s="144" t="s">
        <v>565</v>
      </c>
      <c r="V7" s="144" t="s">
        <v>566</v>
      </c>
      <c r="W7" s="144" t="s">
        <v>531</v>
      </c>
    </row>
    <row r="8" spans="6:23" x14ac:dyDescent="0.2">
      <c r="F8" s="144" t="s">
        <v>79</v>
      </c>
      <c r="G8" s="144" t="s">
        <v>567</v>
      </c>
      <c r="H8" s="144" t="s">
        <v>568</v>
      </c>
      <c r="I8" s="144" t="s">
        <v>476</v>
      </c>
      <c r="K8" s="144" t="s">
        <v>569</v>
      </c>
      <c r="L8" s="144" t="s">
        <v>570</v>
      </c>
      <c r="M8" s="144" t="s">
        <v>571</v>
      </c>
      <c r="N8" s="144" t="s">
        <v>572</v>
      </c>
      <c r="O8" s="144" t="s">
        <v>573</v>
      </c>
      <c r="P8" s="144" t="s">
        <v>574</v>
      </c>
      <c r="R8" s="144" t="s">
        <v>575</v>
      </c>
      <c r="S8" s="144" t="s">
        <v>576</v>
      </c>
    </row>
    <row r="9" spans="6:23" x14ac:dyDescent="0.2">
      <c r="G9" s="144" t="s">
        <v>577</v>
      </c>
      <c r="I9" s="144" t="s">
        <v>491</v>
      </c>
      <c r="K9" s="144" t="s">
        <v>578</v>
      </c>
      <c r="L9" s="144" t="s">
        <v>579</v>
      </c>
      <c r="M9" s="144" t="s">
        <v>580</v>
      </c>
      <c r="N9" s="144" t="s">
        <v>581</v>
      </c>
      <c r="O9" s="144" t="s">
        <v>582</v>
      </c>
      <c r="P9" s="144" t="s">
        <v>583</v>
      </c>
      <c r="R9" s="144" t="s">
        <v>584</v>
      </c>
      <c r="S9" s="144" t="s">
        <v>585</v>
      </c>
    </row>
    <row r="10" spans="6:23" x14ac:dyDescent="0.2">
      <c r="G10" s="144" t="s">
        <v>188</v>
      </c>
      <c r="I10" s="144" t="s">
        <v>586</v>
      </c>
      <c r="L10" s="144" t="s">
        <v>226</v>
      </c>
      <c r="M10" s="144" t="s">
        <v>587</v>
      </c>
      <c r="N10" s="144" t="s">
        <v>588</v>
      </c>
      <c r="O10" s="144" t="s">
        <v>589</v>
      </c>
      <c r="P10" s="144" t="s">
        <v>590</v>
      </c>
      <c r="S10" s="144" t="s">
        <v>591</v>
      </c>
      <c r="V10" s="144" t="s">
        <v>592</v>
      </c>
      <c r="W10" s="144" t="s">
        <v>515</v>
      </c>
    </row>
    <row r="11" spans="6:23" x14ac:dyDescent="0.2">
      <c r="G11" s="144" t="s">
        <v>283</v>
      </c>
      <c r="I11" s="144" t="s">
        <v>593</v>
      </c>
      <c r="L11" s="144" t="s">
        <v>594</v>
      </c>
      <c r="M11" s="144" t="s">
        <v>595</v>
      </c>
      <c r="O11" s="144" t="s">
        <v>596</v>
      </c>
      <c r="S11" s="144" t="s">
        <v>597</v>
      </c>
      <c r="V11" s="144" t="s">
        <v>495</v>
      </c>
      <c r="W11" s="144" t="s">
        <v>544</v>
      </c>
    </row>
    <row r="12" spans="6:23" x14ac:dyDescent="0.2">
      <c r="G12" s="144" t="s">
        <v>598</v>
      </c>
      <c r="L12" s="144" t="s">
        <v>599</v>
      </c>
      <c r="O12" s="144" t="s">
        <v>600</v>
      </c>
      <c r="S12" s="144" t="s">
        <v>601</v>
      </c>
      <c r="V12" s="144" t="s">
        <v>602</v>
      </c>
      <c r="W12" s="144" t="s">
        <v>544</v>
      </c>
    </row>
    <row r="13" spans="6:23" x14ac:dyDescent="0.2">
      <c r="G13" s="144" t="s">
        <v>603</v>
      </c>
      <c r="L13" s="144" t="s">
        <v>604</v>
      </c>
      <c r="O13" s="144" t="s">
        <v>605</v>
      </c>
      <c r="S13" s="144" t="s">
        <v>606</v>
      </c>
      <c r="V13" s="144" t="s">
        <v>497</v>
      </c>
      <c r="W13" s="144" t="s">
        <v>544</v>
      </c>
    </row>
    <row r="14" spans="6:23" x14ac:dyDescent="0.2">
      <c r="G14" s="144" t="s">
        <v>607</v>
      </c>
      <c r="L14" s="144" t="s">
        <v>608</v>
      </c>
      <c r="O14" s="144" t="s">
        <v>609</v>
      </c>
      <c r="S14" s="144" t="s">
        <v>610</v>
      </c>
      <c r="V14" s="144" t="s">
        <v>499</v>
      </c>
      <c r="W14" s="144" t="s">
        <v>557</v>
      </c>
    </row>
    <row r="15" spans="6:23" x14ac:dyDescent="0.2">
      <c r="G15" s="144" t="s">
        <v>611</v>
      </c>
      <c r="L15" s="144" t="s">
        <v>612</v>
      </c>
      <c r="S15" s="144" t="s">
        <v>613</v>
      </c>
      <c r="V15" s="144" t="s">
        <v>614</v>
      </c>
      <c r="W15" s="144" t="s">
        <v>557</v>
      </c>
    </row>
    <row r="16" spans="6:23" x14ac:dyDescent="0.2">
      <c r="G16" s="144" t="s">
        <v>615</v>
      </c>
      <c r="L16" s="144" t="s">
        <v>616</v>
      </c>
      <c r="S16" s="144" t="s">
        <v>617</v>
      </c>
    </row>
    <row r="17" spans="7:23" x14ac:dyDescent="0.2">
      <c r="G17" s="144" t="s">
        <v>618</v>
      </c>
      <c r="L17" s="144" t="s">
        <v>619</v>
      </c>
      <c r="S17" s="144" t="s">
        <v>620</v>
      </c>
    </row>
    <row r="18" spans="7:23" x14ac:dyDescent="0.2">
      <c r="L18" s="144" t="s">
        <v>621</v>
      </c>
      <c r="V18" s="144" t="s">
        <v>622</v>
      </c>
      <c r="W18" s="144" t="s">
        <v>515</v>
      </c>
    </row>
    <row r="19" spans="7:23" x14ac:dyDescent="0.2">
      <c r="L19" s="144" t="s">
        <v>623</v>
      </c>
      <c r="V19" s="144" t="s">
        <v>480</v>
      </c>
      <c r="W19" s="144" t="s">
        <v>476</v>
      </c>
    </row>
    <row r="20" spans="7:23" x14ac:dyDescent="0.2">
      <c r="L20" s="144" t="s">
        <v>227</v>
      </c>
      <c r="V20" s="144" t="s">
        <v>482</v>
      </c>
      <c r="W20" s="144" t="s">
        <v>476</v>
      </c>
    </row>
    <row r="21" spans="7:23" x14ac:dyDescent="0.2">
      <c r="L21" s="144" t="s">
        <v>624</v>
      </c>
      <c r="V21" s="144" t="s">
        <v>484</v>
      </c>
      <c r="W21" s="144" t="s">
        <v>476</v>
      </c>
    </row>
    <row r="22" spans="7:23" x14ac:dyDescent="0.2">
      <c r="L22" s="144" t="s">
        <v>625</v>
      </c>
      <c r="V22" s="144" t="s">
        <v>491</v>
      </c>
      <c r="W22" s="144" t="s">
        <v>491</v>
      </c>
    </row>
    <row r="23" spans="7:23" x14ac:dyDescent="0.2">
      <c r="L23" s="144" t="s">
        <v>626</v>
      </c>
      <c r="V23" s="144" t="s">
        <v>493</v>
      </c>
      <c r="W23" s="144" t="s">
        <v>586</v>
      </c>
    </row>
    <row r="24" spans="7:23" x14ac:dyDescent="0.2">
      <c r="L24" s="144" t="s">
        <v>627</v>
      </c>
      <c r="V24" s="144" t="s">
        <v>225</v>
      </c>
      <c r="W24" s="144" t="s">
        <v>593</v>
      </c>
    </row>
    <row r="25" spans="7:23" x14ac:dyDescent="0.2">
      <c r="L25" s="144" t="s">
        <v>628</v>
      </c>
      <c r="V25" s="144" t="s">
        <v>496</v>
      </c>
      <c r="W25" s="144" t="s">
        <v>593</v>
      </c>
    </row>
    <row r="26" spans="7:23" x14ac:dyDescent="0.2">
      <c r="L26" s="144" t="s">
        <v>629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80D3-F3F2-4A62-81C1-8776A6E8677E}">
  <sheetPr codeName="Sheet5"/>
  <dimension ref="B1:AI54"/>
  <sheetViews>
    <sheetView showGridLines="0" workbookViewId="0">
      <pane ySplit="2" topLeftCell="A30" activePane="bottomLeft" state="frozen"/>
      <selection pane="bottomLeft" activeCell="O38" sqref="O38"/>
    </sheetView>
  </sheetViews>
  <sheetFormatPr defaultColWidth="8.85546875" defaultRowHeight="14.25" x14ac:dyDescent="0.2"/>
  <cols>
    <col min="1" max="1" width="8.85546875" style="144"/>
    <col min="2" max="2" width="21.5703125" style="144" customWidth="1"/>
    <col min="3" max="3" width="9" style="144" bestFit="1" customWidth="1"/>
    <col min="4" max="4" width="13" style="144" bestFit="1" customWidth="1"/>
    <col min="5" max="5" width="12.85546875" style="151" bestFit="1" customWidth="1"/>
    <col min="6" max="6" width="13.5703125" style="151" bestFit="1" customWidth="1"/>
    <col min="7" max="7" width="12.5703125" style="151" bestFit="1" customWidth="1"/>
    <col min="8" max="8" width="13.5703125" style="151" bestFit="1" customWidth="1"/>
    <col min="9" max="9" width="13" style="151" bestFit="1" customWidth="1"/>
    <col min="10" max="10" width="12.42578125" style="151" bestFit="1" customWidth="1"/>
    <col min="11" max="14" width="9.85546875" style="151" customWidth="1"/>
    <col min="15" max="35" width="8.85546875" style="151"/>
    <col min="36" max="16384" width="8.85546875" style="144"/>
  </cols>
  <sheetData>
    <row r="1" spans="2:14" s="144" customFormat="1" x14ac:dyDescent="0.2"/>
    <row r="2" spans="2:14" s="144" customFormat="1" x14ac:dyDescent="0.2">
      <c r="B2" s="158" t="s">
        <v>807</v>
      </c>
      <c r="D2" s="680">
        <v>0</v>
      </c>
      <c r="E2" s="680">
        <v>1</v>
      </c>
      <c r="F2" s="680">
        <f>E2+1</f>
        <v>2</v>
      </c>
      <c r="G2" s="680">
        <f t="shared" ref="G2:N2" si="0">F2+1</f>
        <v>3</v>
      </c>
      <c r="H2" s="680">
        <f t="shared" si="0"/>
        <v>4</v>
      </c>
      <c r="I2" s="680">
        <f t="shared" si="0"/>
        <v>5</v>
      </c>
      <c r="J2" s="680">
        <f t="shared" si="0"/>
        <v>6</v>
      </c>
      <c r="K2" s="680">
        <f t="shared" si="0"/>
        <v>7</v>
      </c>
      <c r="L2" s="680">
        <f t="shared" si="0"/>
        <v>8</v>
      </c>
      <c r="M2" s="680">
        <f t="shared" si="0"/>
        <v>9</v>
      </c>
      <c r="N2" s="680">
        <f t="shared" si="0"/>
        <v>10</v>
      </c>
    </row>
    <row r="3" spans="2:14" s="144" customFormat="1" x14ac:dyDescent="0.2"/>
    <row r="4" spans="2:14" s="144" customFormat="1" x14ac:dyDescent="0.2"/>
    <row r="5" spans="2:14" s="144" customFormat="1" x14ac:dyDescent="0.2"/>
    <row r="6" spans="2:14" s="144" customFormat="1" x14ac:dyDescent="0.2">
      <c r="B6" s="878" t="s">
        <v>806</v>
      </c>
    </row>
    <row r="7" spans="2:14" s="144" customFormat="1" x14ac:dyDescent="0.2">
      <c r="B7" s="144" t="s">
        <v>96</v>
      </c>
      <c r="D7" s="550">
        <f>IF(D$2&gt;ROUNDUP((HoldPeriod+12)/12,0),"",'Annual Pro Forma'!D10+'Annual Pro Forma'!D11)</f>
        <v>0</v>
      </c>
      <c r="E7" s="550">
        <f ca="1">IF(E$2&gt;ROUNDUP((HoldPeriod+12)/12,0),"",'Annual Pro Forma'!E10+'Annual Pro Forma'!E11)</f>
        <v>4192877.7516614981</v>
      </c>
      <c r="F7" s="550">
        <f ca="1">IF(F$2&gt;ROUNDUP((HoldPeriod+12)/12,0),"",'Annual Pro Forma'!F10+'Annual Pro Forma'!F11)</f>
        <v>4708229.4984993367</v>
      </c>
      <c r="G7" s="550">
        <f ca="1">IF(G$2&gt;ROUNDUP((HoldPeriod+12)/12,0),"",'Annual Pro Forma'!G10+'Annual Pro Forma'!G11)</f>
        <v>5267462.3600225747</v>
      </c>
      <c r="H7" s="550">
        <f ca="1">IF(H$2&gt;ROUNDUP((HoldPeriod+12)/12,0),"",'Annual Pro Forma'!H10+'Annual Pro Forma'!H11)</f>
        <v>5546545.1437505195</v>
      </c>
      <c r="I7" s="550">
        <f ca="1">IF(I$2&gt;ROUNDUP((HoldPeriod+12)/12,0),"",'Annual Pro Forma'!I10+'Annual Pro Forma'!I11)</f>
        <v>5768406.9495005403</v>
      </c>
      <c r="J7" s="550">
        <f ca="1">IF(J$2&gt;ROUNDUP((HoldPeriod+12)/12,0),"",'Annual Pro Forma'!J10+'Annual Pro Forma'!J11)</f>
        <v>5999143.2274805624</v>
      </c>
      <c r="K7" s="550" t="str">
        <f>IF(K$2&gt;ROUNDUP((HoldPeriod+12)/12,0),"",'Annual Pro Forma'!K10+'Annual Pro Forma'!K11)</f>
        <v/>
      </c>
      <c r="L7" s="550" t="str">
        <f>IF(L$2&gt;ROUNDUP((HoldPeriod+12)/12,0),"",'Annual Pro Forma'!L10+'Annual Pro Forma'!L11)</f>
        <v/>
      </c>
      <c r="M7" s="550" t="str">
        <f>IF(M$2&gt;ROUNDUP((HoldPeriod+12)/12,0),"",'Annual Pro Forma'!M10+'Annual Pro Forma'!M11)</f>
        <v/>
      </c>
      <c r="N7" s="550" t="str">
        <f>IF(N$2&gt;ROUNDUP((HoldPeriod+12)/12,0),"",'Annual Pro Forma'!N10+'Annual Pro Forma'!N11)</f>
        <v/>
      </c>
    </row>
    <row r="8" spans="2:14" s="144" customFormat="1" x14ac:dyDescent="0.2">
      <c r="B8" s="144" t="s">
        <v>815</v>
      </c>
      <c r="D8" s="550">
        <f>IF(D$2&gt;ROUNDUP((HoldPeriod+12)/12,0),"",'Annual Pro Forma'!D12+'Annual Pro Forma'!D14+'Annual Pro Forma'!D15+'Annual Pro Forma'!D16)</f>
        <v>0</v>
      </c>
      <c r="E8" s="550">
        <f ca="1">IF(E$2&gt;ROUNDUP((HoldPeriod+12)/12,0),"",'Annual Pro Forma'!E12+'Annual Pro Forma'!E14+'Annual Pro Forma'!E15+'Annual Pro Forma'!E16)</f>
        <v>-488202.73990161851</v>
      </c>
      <c r="F8" s="550">
        <f ca="1">IF(F$2&gt;ROUNDUP((HoldPeriod+12)/12,0),"",'Annual Pro Forma'!F12+'Annual Pro Forma'!F14+'Annual Pro Forma'!F15+'Annual Pro Forma'!F16)</f>
        <v>-420920.56316809781</v>
      </c>
      <c r="G8" s="550">
        <f ca="1">IF(G$2&gt;ROUNDUP((HoldPeriod+12)/12,0),"",'Annual Pro Forma'!G12+'Annual Pro Forma'!G14+'Annual Pro Forma'!G15+'Annual Pro Forma'!G16)</f>
        <v>-420343.49632980162</v>
      </c>
      <c r="H8" s="550">
        <f ca="1">IF(H$2&gt;ROUNDUP((HoldPeriod+12)/12,0),"",'Annual Pro Forma'!H12+'Annual Pro Forma'!H14+'Annual Pro Forma'!H15+'Annual Pro Forma'!H16)</f>
        <v>-442614.30247129168</v>
      </c>
      <c r="I8" s="550">
        <f ca="1">IF(I$2&gt;ROUNDUP((HoldPeriod+12)/12,0),"",'Annual Pro Forma'!I12+'Annual Pro Forma'!I14+'Annual Pro Forma'!I15+'Annual Pro Forma'!I16)</f>
        <v>-460318.87457014318</v>
      </c>
      <c r="J8" s="550">
        <f ca="1">IF(J$2&gt;ROUNDUP((HoldPeriod+12)/12,0),"",'Annual Pro Forma'!J12+'Annual Pro Forma'!J14+'Annual Pro Forma'!J15+'Annual Pro Forma'!J16)</f>
        <v>-478731.62955294899</v>
      </c>
      <c r="K8" s="550" t="str">
        <f>IF(K$2&gt;ROUNDUP((HoldPeriod+12)/12,0),"",'Annual Pro Forma'!K12+'Annual Pro Forma'!K14+'Annual Pro Forma'!K15+'Annual Pro Forma'!K16)</f>
        <v/>
      </c>
      <c r="L8" s="550" t="str">
        <f>IF(L$2&gt;ROUNDUP((HoldPeriod+12)/12,0),"",'Annual Pro Forma'!L12+'Annual Pro Forma'!L14+'Annual Pro Forma'!L15+'Annual Pro Forma'!L16)</f>
        <v/>
      </c>
      <c r="M8" s="550" t="str">
        <f>IF(M$2&gt;ROUNDUP((HoldPeriod+12)/12,0),"",'Annual Pro Forma'!M12+'Annual Pro Forma'!M14+'Annual Pro Forma'!M15+'Annual Pro Forma'!M16)</f>
        <v/>
      </c>
      <c r="N8" s="550" t="str">
        <f>IF(N$2&gt;ROUNDUP((HoldPeriod+12)/12,0),"",'Annual Pro Forma'!N12+'Annual Pro Forma'!N14+'Annual Pro Forma'!N15+'Annual Pro Forma'!N16)</f>
        <v/>
      </c>
    </row>
    <row r="9" spans="2:14" s="144" customFormat="1" x14ac:dyDescent="0.2">
      <c r="B9" s="144" t="s">
        <v>78</v>
      </c>
      <c r="D9" s="550">
        <f>IF(D$2&gt;ROUNDUP((HoldPeriod+12)/12,0),"",'Annual Pro Forma'!D20+'Annual Pro Forma'!D21)</f>
        <v>0</v>
      </c>
      <c r="E9" s="550">
        <f>IF(E$2&gt;ROUNDUP((HoldPeriod+12)/12,0),"",'Annual Pro Forma'!E20+'Annual Pro Forma'!E21)</f>
        <v>434974.24239999999</v>
      </c>
      <c r="F9" s="550">
        <f>IF(F$2&gt;ROUNDUP((HoldPeriod+12)/12,0),"",'Annual Pro Forma'!F20+'Annual Pro Forma'!F21)</f>
        <v>451142.90016799991</v>
      </c>
      <c r="G9" s="550">
        <f>IF(G$2&gt;ROUNDUP((HoldPeriod+12)/12,0),"",'Annual Pro Forma'!G20+'Annual Pro Forma'!G21)</f>
        <v>466299.29103095987</v>
      </c>
      <c r="H9" s="550">
        <f>IF(H$2&gt;ROUNDUP((HoldPeriod+12)/12,0),"",'Annual Pro Forma'!H20+'Annual Pro Forma'!H21)</f>
        <v>481967.14725483605</v>
      </c>
      <c r="I9" s="550">
        <f>IF(I$2&gt;ROUNDUP((HoldPeriod+12)/12,0),"",'Annual Pro Forma'!I20+'Annual Pro Forma'!I21)</f>
        <v>498163.79987768136</v>
      </c>
      <c r="J9" s="550">
        <f>IF(J$2&gt;ROUNDUP((HoldPeriod+12)/12,0),"",'Annual Pro Forma'!J20+'Annual Pro Forma'!J21)</f>
        <v>514907.16941639408</v>
      </c>
      <c r="K9" s="550" t="str">
        <f>IF(K$2&gt;ROUNDUP((HoldPeriod+12)/12,0),"",'Annual Pro Forma'!K20+'Annual Pro Forma'!K21)</f>
        <v/>
      </c>
      <c r="L9" s="550" t="str">
        <f>IF(L$2&gt;ROUNDUP((HoldPeriod+12)/12,0),"",'Annual Pro Forma'!L20+'Annual Pro Forma'!L21)</f>
        <v/>
      </c>
      <c r="M9" s="550" t="str">
        <f>IF(M$2&gt;ROUNDUP((HoldPeriod+12)/12,0),"",'Annual Pro Forma'!M20+'Annual Pro Forma'!M21)</f>
        <v/>
      </c>
      <c r="N9" s="550" t="str">
        <f>IF(N$2&gt;ROUNDUP((HoldPeriod+12)/12,0),"",'Annual Pro Forma'!N20+'Annual Pro Forma'!N21)</f>
        <v/>
      </c>
    </row>
    <row r="10" spans="2:14" s="145" customFormat="1" x14ac:dyDescent="0.2">
      <c r="B10" s="145" t="s">
        <v>21</v>
      </c>
      <c r="D10" s="734">
        <f t="shared" ref="D10:N10" si="1">IF(D$2&gt;ROUNDUP((HoldPeriod+12)/12,0),"",SUM(D7:D9))</f>
        <v>0</v>
      </c>
      <c r="E10" s="734">
        <f t="shared" ca="1" si="1"/>
        <v>4139649.2541598794</v>
      </c>
      <c r="F10" s="734">
        <f t="shared" ca="1" si="1"/>
        <v>4738451.8354992382</v>
      </c>
      <c r="G10" s="734">
        <f t="shared" ca="1" si="1"/>
        <v>5313418.1547237337</v>
      </c>
      <c r="H10" s="734">
        <f t="shared" ca="1" si="1"/>
        <v>5585897.988534064</v>
      </c>
      <c r="I10" s="734">
        <f t="shared" ca="1" si="1"/>
        <v>5806251.8748080786</v>
      </c>
      <c r="J10" s="734">
        <f t="shared" ca="1" si="1"/>
        <v>6035318.7673440073</v>
      </c>
      <c r="K10" s="734" t="str">
        <f t="shared" si="1"/>
        <v/>
      </c>
      <c r="L10" s="734" t="str">
        <f t="shared" si="1"/>
        <v/>
      </c>
      <c r="M10" s="734" t="str">
        <f t="shared" si="1"/>
        <v/>
      </c>
      <c r="N10" s="734" t="str">
        <f t="shared" si="1"/>
        <v/>
      </c>
    </row>
    <row r="11" spans="2:14" s="144" customFormat="1" x14ac:dyDescent="0.2">
      <c r="B11" s="144" t="s">
        <v>41</v>
      </c>
      <c r="D11" s="550">
        <f>IF(D$2&gt;ROUNDUP((HoldPeriod+12)/12,0),"",'Annual Pro Forma'!D36)</f>
        <v>0</v>
      </c>
      <c r="E11" s="550">
        <f ca="1">IF(E$2&gt;ROUNDUP((HoldPeriod+12)/12,0),"",'Annual Pro Forma'!E36)</f>
        <v>-1415599.9703247964</v>
      </c>
      <c r="F11" s="550">
        <f ca="1">IF(F$2&gt;ROUNDUP((HoldPeriod+12)/12,0),"",'Annual Pro Forma'!F36)</f>
        <v>-1569906.3625459773</v>
      </c>
      <c r="G11" s="550">
        <f ca="1">IF(G$2&gt;ROUNDUP((HoldPeriod+12)/12,0),"",'Annual Pro Forma'!G36)</f>
        <v>-1625870.4363471423</v>
      </c>
      <c r="H11" s="550">
        <f ca="1">IF(H$2&gt;ROUNDUP((HoldPeriod+12)/12,0),"",'Annual Pro Forma'!H36)</f>
        <v>-1673839.0181126154</v>
      </c>
      <c r="I11" s="550">
        <f ca="1">IF(I$2&gt;ROUNDUP((HoldPeriod+12)/12,0),"",'Annual Pro Forma'!I36)</f>
        <v>-1721353.6500545328</v>
      </c>
      <c r="J11" s="550">
        <f ca="1">IF(J$2&gt;ROUNDUP((HoldPeriod+12)/12,0),"",'Annual Pro Forma'!J36)</f>
        <v>-1770271.1157049194</v>
      </c>
      <c r="K11" s="550" t="str">
        <f>IF(K$2&gt;ROUNDUP((HoldPeriod+12)/12,0),"",'Annual Pro Forma'!K36)</f>
        <v/>
      </c>
      <c r="L11" s="550" t="str">
        <f>IF(L$2&gt;ROUNDUP((HoldPeriod+12)/12,0),"",'Annual Pro Forma'!L36)</f>
        <v/>
      </c>
      <c r="M11" s="550" t="str">
        <f>IF(M$2&gt;ROUNDUP((HoldPeriod+12)/12,0),"",'Annual Pro Forma'!M36)</f>
        <v/>
      </c>
      <c r="N11" s="550" t="str">
        <f>IF(N$2&gt;ROUNDUP((HoldPeriod+12)/12,0),"",'Annual Pro Forma'!N36)</f>
        <v/>
      </c>
    </row>
    <row r="12" spans="2:14" s="145" customFormat="1" x14ac:dyDescent="0.2">
      <c r="B12" s="145" t="s">
        <v>23</v>
      </c>
      <c r="D12" s="734">
        <f t="shared" ref="D12:N12" si="2">IF(D$2&gt;ROUNDUP((HoldPeriod+12)/12,0),"",SUM(D10:D11))</f>
        <v>0</v>
      </c>
      <c r="E12" s="734">
        <f t="shared" ca="1" si="2"/>
        <v>2724049.2838350832</v>
      </c>
      <c r="F12" s="734">
        <f t="shared" ca="1" si="2"/>
        <v>3168545.4729532609</v>
      </c>
      <c r="G12" s="734">
        <f t="shared" ca="1" si="2"/>
        <v>3687547.7183765913</v>
      </c>
      <c r="H12" s="734">
        <f t="shared" ca="1" si="2"/>
        <v>3912058.9704214483</v>
      </c>
      <c r="I12" s="734">
        <f t="shared" ca="1" si="2"/>
        <v>4084898.2247535456</v>
      </c>
      <c r="J12" s="734">
        <f t="shared" ca="1" si="2"/>
        <v>4265047.6516390881</v>
      </c>
      <c r="K12" s="734" t="str">
        <f t="shared" si="2"/>
        <v/>
      </c>
      <c r="L12" s="734" t="str">
        <f t="shared" si="2"/>
        <v/>
      </c>
      <c r="M12" s="734" t="str">
        <f t="shared" si="2"/>
        <v/>
      </c>
      <c r="N12" s="734" t="str">
        <f t="shared" si="2"/>
        <v/>
      </c>
    </row>
    <row r="13" spans="2:14" s="144" customFormat="1" x14ac:dyDescent="0.2"/>
    <row r="14" spans="2:14" s="144" customFormat="1" x14ac:dyDescent="0.2">
      <c r="B14" s="878" t="s">
        <v>817</v>
      </c>
    </row>
    <row r="15" spans="2:14" s="144" customFormat="1" x14ac:dyDescent="0.2">
      <c r="B15" s="144" t="s">
        <v>818</v>
      </c>
      <c r="D15" s="152" t="e">
        <f t="shared" ref="D15:N15" si="3">IF(D$2&gt;ROUNDUP((HoldPeriod+12)/12,0),"",-D11/D10)</f>
        <v>#DIV/0!</v>
      </c>
      <c r="E15" s="152">
        <f t="shared" ca="1" si="3"/>
        <v>0.34196133136213858</v>
      </c>
      <c r="F15" s="152">
        <f t="shared" ca="1" si="3"/>
        <v>0.33131208610893764</v>
      </c>
      <c r="G15" s="152">
        <f t="shared" ca="1" si="3"/>
        <v>0.30599331522622802</v>
      </c>
      <c r="H15" s="152">
        <f t="shared" ca="1" si="3"/>
        <v>0.29965441931600501</v>
      </c>
      <c r="I15" s="152">
        <f t="shared" ca="1" si="3"/>
        <v>0.29646554906153305</v>
      </c>
      <c r="J15" s="152">
        <f t="shared" ca="1" si="3"/>
        <v>0.29331857751798113</v>
      </c>
      <c r="K15" s="152" t="str">
        <f t="shared" si="3"/>
        <v/>
      </c>
      <c r="L15" s="152" t="str">
        <f t="shared" si="3"/>
        <v/>
      </c>
      <c r="M15" s="152" t="str">
        <f t="shared" si="3"/>
        <v/>
      </c>
      <c r="N15" s="152" t="str">
        <f t="shared" si="3"/>
        <v/>
      </c>
    </row>
    <row r="16" spans="2:14" s="144" customFormat="1" x14ac:dyDescent="0.2">
      <c r="B16" s="144" t="s">
        <v>815</v>
      </c>
      <c r="D16" s="152" t="e">
        <f t="shared" ref="D16:N16" si="4">IF(D$2&gt;ROUNDUP((HoldPeriod+12)/12,0),"",-D8/D7)</f>
        <v>#DIV/0!</v>
      </c>
      <c r="E16" s="152">
        <f t="shared" ca="1" si="4"/>
        <v>0.11643619700292</v>
      </c>
      <c r="F16" s="152">
        <f t="shared" ca="1" si="4"/>
        <v>8.9401029262116183E-2</v>
      </c>
      <c r="G16" s="152">
        <f t="shared" ca="1" si="4"/>
        <v>7.9800000000000038E-2</v>
      </c>
      <c r="H16" s="152">
        <f t="shared" ca="1" si="4"/>
        <v>7.9800000000000038E-2</v>
      </c>
      <c r="I16" s="152">
        <f t="shared" ca="1" si="4"/>
        <v>7.980000000000001E-2</v>
      </c>
      <c r="J16" s="152">
        <f t="shared" ca="1" si="4"/>
        <v>7.9800000000000024E-2</v>
      </c>
      <c r="K16" s="152" t="str">
        <f t="shared" si="4"/>
        <v/>
      </c>
      <c r="L16" s="152" t="str">
        <f t="shared" si="4"/>
        <v/>
      </c>
      <c r="M16" s="152" t="str">
        <f t="shared" si="4"/>
        <v/>
      </c>
      <c r="N16" s="152" t="str">
        <f t="shared" si="4"/>
        <v/>
      </c>
    </row>
    <row r="17" spans="2:35" x14ac:dyDescent="0.2">
      <c r="B17" s="144" t="s">
        <v>819</v>
      </c>
      <c r="D17" s="1371">
        <f t="shared" ref="D17:N17" si="5">IF(D$2&gt;ROUNDUP((HoldPeriod+12)/12,0),"",D7/units/12)</f>
        <v>0</v>
      </c>
      <c r="E17" s="1371">
        <f t="shared" ca="1" si="5"/>
        <v>1431.9937676439542</v>
      </c>
      <c r="F17" s="1371">
        <f t="shared" ca="1" si="5"/>
        <v>1608.0018779027789</v>
      </c>
      <c r="G17" s="1371">
        <f t="shared" ca="1" si="5"/>
        <v>1798.9967076579833</v>
      </c>
      <c r="H17" s="1371">
        <f t="shared" ca="1" si="5"/>
        <v>1894.3118660350135</v>
      </c>
      <c r="I17" s="1371">
        <f t="shared" ca="1" si="5"/>
        <v>1970.0843406764141</v>
      </c>
      <c r="J17" s="1371">
        <f t="shared" ca="1" si="5"/>
        <v>2048.8877143034711</v>
      </c>
      <c r="K17" s="1371" t="str">
        <f t="shared" si="5"/>
        <v/>
      </c>
      <c r="L17" s="1371" t="str">
        <f t="shared" si="5"/>
        <v/>
      </c>
      <c r="M17" s="1371" t="str">
        <f t="shared" si="5"/>
        <v/>
      </c>
      <c r="N17" s="1371" t="str">
        <f t="shared" si="5"/>
        <v/>
      </c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</row>
    <row r="18" spans="2:35" x14ac:dyDescent="0.2"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</row>
    <row r="19" spans="2:35" x14ac:dyDescent="0.2">
      <c r="B19" s="145" t="s">
        <v>820</v>
      </c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</row>
    <row r="20" spans="2:35" x14ac:dyDescent="0.2">
      <c r="B20" s="144" t="s">
        <v>110</v>
      </c>
      <c r="D20" s="151">
        <f t="shared" ref="D20:N20" si="6">IF(D2&gt;ROUNDUP(HoldPeriod/12,0),"",PurchasePrice)</f>
        <v>50000000</v>
      </c>
      <c r="E20" s="151">
        <f t="shared" si="6"/>
        <v>50000000</v>
      </c>
      <c r="F20" s="151">
        <f t="shared" si="6"/>
        <v>50000000</v>
      </c>
      <c r="G20" s="151">
        <f t="shared" si="6"/>
        <v>50000000</v>
      </c>
      <c r="H20" s="151">
        <f t="shared" si="6"/>
        <v>50000000</v>
      </c>
      <c r="I20" s="151">
        <f t="shared" si="6"/>
        <v>50000000</v>
      </c>
      <c r="J20" s="151" t="str">
        <f t="shared" si="6"/>
        <v/>
      </c>
      <c r="K20" s="151" t="str">
        <f t="shared" si="6"/>
        <v/>
      </c>
      <c r="L20" s="151" t="str">
        <f t="shared" si="6"/>
        <v/>
      </c>
      <c r="M20" s="151" t="str">
        <f t="shared" si="6"/>
        <v/>
      </c>
      <c r="N20" s="151" t="str">
        <f t="shared" si="6"/>
        <v/>
      </c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</row>
    <row r="21" spans="2:35" x14ac:dyDescent="0.2">
      <c r="B21" s="144" t="s">
        <v>0</v>
      </c>
      <c r="D21" s="151">
        <f>IF(E2&gt;ROUNDUP(HoldPeriod/12,0),"",-'Annual Pro Forma'!D48)</f>
        <v>860900</v>
      </c>
      <c r="E21" s="151">
        <f t="shared" ref="E21:N21" si="7">IF(E2&gt;ROUNDUP(HoldPeriod/12,0),"",D21)</f>
        <v>860900</v>
      </c>
      <c r="F21" s="151">
        <f t="shared" si="7"/>
        <v>860900</v>
      </c>
      <c r="G21" s="151">
        <f t="shared" si="7"/>
        <v>860900</v>
      </c>
      <c r="H21" s="151">
        <f t="shared" si="7"/>
        <v>860900</v>
      </c>
      <c r="I21" s="151">
        <f t="shared" si="7"/>
        <v>860900</v>
      </c>
      <c r="J21" s="151" t="str">
        <f t="shared" si="7"/>
        <v/>
      </c>
      <c r="K21" s="151" t="str">
        <f t="shared" si="7"/>
        <v/>
      </c>
      <c r="L21" s="151" t="str">
        <f t="shared" si="7"/>
        <v/>
      </c>
      <c r="M21" s="151" t="str">
        <f t="shared" si="7"/>
        <v/>
      </c>
      <c r="N21" s="151" t="str">
        <f t="shared" si="7"/>
        <v/>
      </c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</row>
    <row r="22" spans="2:35" x14ac:dyDescent="0.2">
      <c r="B22" s="145" t="s">
        <v>811</v>
      </c>
      <c r="C22" s="145"/>
      <c r="D22" s="882">
        <f t="shared" ref="D22:N22" si="8">IF(D$2&gt;ROUNDUP(HoldPeriod/12,0),"",SUM(D20:D21))</f>
        <v>50860900</v>
      </c>
      <c r="E22" s="882">
        <f t="shared" si="8"/>
        <v>50860900</v>
      </c>
      <c r="F22" s="882">
        <f t="shared" si="8"/>
        <v>50860900</v>
      </c>
      <c r="G22" s="882">
        <f t="shared" si="8"/>
        <v>50860900</v>
      </c>
      <c r="H22" s="882">
        <f t="shared" si="8"/>
        <v>50860900</v>
      </c>
      <c r="I22" s="882">
        <f t="shared" si="8"/>
        <v>50860900</v>
      </c>
      <c r="J22" s="882" t="str">
        <f t="shared" si="8"/>
        <v/>
      </c>
      <c r="K22" s="882" t="str">
        <f t="shared" si="8"/>
        <v/>
      </c>
      <c r="L22" s="882" t="str">
        <f t="shared" si="8"/>
        <v/>
      </c>
      <c r="M22" s="882" t="str">
        <f t="shared" si="8"/>
        <v/>
      </c>
      <c r="N22" s="882" t="str">
        <f t="shared" si="8"/>
        <v/>
      </c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  <c r="AG22" s="144"/>
      <c r="AH22" s="144"/>
      <c r="AI22" s="144"/>
    </row>
    <row r="23" spans="2:35" x14ac:dyDescent="0.2">
      <c r="B23" s="144" t="s">
        <v>808</v>
      </c>
      <c r="D23" s="151">
        <f>IF(D$2&gt;ROUNDUP(HoldPeriod/12,0),"",-'Annual Pro Forma'!D42)</f>
        <v>0</v>
      </c>
      <c r="E23" s="151">
        <f>IF(E$2&gt;ROUNDUP(HoldPeriod/12,0),"",-'Annual Pro Forma'!E42+D23)</f>
        <v>510256.41025634058</v>
      </c>
      <c r="F23" s="151">
        <f>IF(F$2&gt;ROUNDUP(HoldPeriod/12,0),"",-'Annual Pro Forma'!F42+E23)</f>
        <v>1012307.6923076226</v>
      </c>
      <c r="G23" s="151">
        <f>IF(G$2&gt;ROUNDUP(HoldPeriod/12,0),"",-'Annual Pro Forma'!G42+F23)</f>
        <v>1299999.9999999302</v>
      </c>
      <c r="H23" s="151">
        <f>IF(H$2&gt;ROUNDUP(HoldPeriod/12,0),"",-'Annual Pro Forma'!H42+G23)</f>
        <v>1299999.9999999302</v>
      </c>
      <c r="I23" s="151">
        <f>IF(I$2&gt;ROUNDUP(HoldPeriod/12,0),"",-'Annual Pro Forma'!I42+H23)</f>
        <v>1299999.9999999302</v>
      </c>
      <c r="J23" s="151" t="str">
        <f>IF(J$2&gt;ROUNDUP(HoldPeriod/12,0),"",-'Annual Pro Forma'!J42+I23)</f>
        <v/>
      </c>
      <c r="K23" s="151" t="str">
        <f>IF(K$2&gt;ROUNDUP(HoldPeriod/12,0),"",-'Annual Pro Forma'!K42+J23)</f>
        <v/>
      </c>
      <c r="L23" s="151" t="str">
        <f>IF(L$2&gt;ROUNDUP(HoldPeriod/12,0),"",-'Annual Pro Forma'!L42+K23)</f>
        <v/>
      </c>
      <c r="M23" s="151" t="str">
        <f>IF(M$2&gt;ROUNDUP(HoldPeriod/12,0),"",-'Annual Pro Forma'!M42+L23)</f>
        <v/>
      </c>
      <c r="N23" s="151" t="str">
        <f>IF(N$2&gt;ROUNDUP(HoldPeriod/12,0),"",-'Annual Pro Forma'!N42+M23)</f>
        <v/>
      </c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</row>
    <row r="24" spans="2:35" x14ac:dyDescent="0.2">
      <c r="B24" s="145" t="s">
        <v>809</v>
      </c>
      <c r="D24" s="882">
        <f t="shared" ref="D24:N24" si="9">IF(D$2&gt;ROUNDUP(HoldPeriod/12,0),"",SUM(D22:D23))</f>
        <v>50860900</v>
      </c>
      <c r="E24" s="882">
        <f t="shared" si="9"/>
        <v>51371156.410256341</v>
      </c>
      <c r="F24" s="882">
        <f t="shared" si="9"/>
        <v>51873207.692307621</v>
      </c>
      <c r="G24" s="882">
        <f t="shared" si="9"/>
        <v>52160899.999999933</v>
      </c>
      <c r="H24" s="882">
        <f t="shared" si="9"/>
        <v>52160899.999999933</v>
      </c>
      <c r="I24" s="882">
        <f t="shared" si="9"/>
        <v>52160899.999999933</v>
      </c>
      <c r="J24" s="882" t="str">
        <f t="shared" si="9"/>
        <v/>
      </c>
      <c r="K24" s="882" t="str">
        <f t="shared" si="9"/>
        <v/>
      </c>
      <c r="L24" s="882" t="str">
        <f t="shared" si="9"/>
        <v/>
      </c>
      <c r="M24" s="882" t="str">
        <f t="shared" si="9"/>
        <v/>
      </c>
      <c r="N24" s="882" t="str">
        <f t="shared" si="9"/>
        <v/>
      </c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</row>
    <row r="25" spans="2:35" x14ac:dyDescent="0.2">
      <c r="B25" s="144" t="s">
        <v>114</v>
      </c>
      <c r="D25" s="151">
        <f>IF(D$2&gt;ROUNDUP(HoldPeriod/12,0),"",-'Annual Pro Forma'!D59)</f>
        <v>0</v>
      </c>
      <c r="E25" s="151">
        <f t="shared" ref="E25:N25" si="10">IF(E$2&gt;ROUNDUP(HoldPeriod/12,0),"",D25)</f>
        <v>0</v>
      </c>
      <c r="F25" s="151">
        <f t="shared" si="10"/>
        <v>0</v>
      </c>
      <c r="G25" s="151">
        <f t="shared" si="10"/>
        <v>0</v>
      </c>
      <c r="H25" s="151">
        <f t="shared" si="10"/>
        <v>0</v>
      </c>
      <c r="I25" s="151">
        <f t="shared" si="10"/>
        <v>0</v>
      </c>
      <c r="J25" s="151" t="str">
        <f t="shared" si="10"/>
        <v/>
      </c>
      <c r="K25" s="151" t="str">
        <f t="shared" si="10"/>
        <v/>
      </c>
      <c r="L25" s="151" t="str">
        <f t="shared" si="10"/>
        <v/>
      </c>
      <c r="M25" s="151" t="str">
        <f t="shared" si="10"/>
        <v/>
      </c>
      <c r="N25" s="151" t="str">
        <f t="shared" si="10"/>
        <v/>
      </c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</row>
    <row r="26" spans="2:35" x14ac:dyDescent="0.2">
      <c r="B26" s="145" t="s">
        <v>810</v>
      </c>
      <c r="D26" s="882">
        <f t="shared" ref="D26:N26" si="11">IF(D$2&gt;ROUNDUP(HoldPeriod/12,0),"",SUM(D24:D25))</f>
        <v>50860900</v>
      </c>
      <c r="E26" s="882">
        <f t="shared" si="11"/>
        <v>51371156.410256341</v>
      </c>
      <c r="F26" s="882">
        <f t="shared" si="11"/>
        <v>51873207.692307621</v>
      </c>
      <c r="G26" s="882">
        <f t="shared" si="11"/>
        <v>52160899.999999933</v>
      </c>
      <c r="H26" s="882">
        <f t="shared" si="11"/>
        <v>52160899.999999933</v>
      </c>
      <c r="I26" s="882">
        <f t="shared" si="11"/>
        <v>52160899.999999933</v>
      </c>
      <c r="J26" s="882" t="str">
        <f t="shared" si="11"/>
        <v/>
      </c>
      <c r="K26" s="882" t="str">
        <f t="shared" si="11"/>
        <v/>
      </c>
      <c r="L26" s="882" t="str">
        <f t="shared" si="11"/>
        <v/>
      </c>
      <c r="M26" s="882" t="str">
        <f t="shared" si="11"/>
        <v/>
      </c>
      <c r="N26" s="882" t="str">
        <f t="shared" si="11"/>
        <v/>
      </c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</row>
    <row r="27" spans="2:35" x14ac:dyDescent="0.2"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</row>
    <row r="28" spans="2:35" x14ac:dyDescent="0.2">
      <c r="B28" s="145" t="s">
        <v>2</v>
      </c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</row>
    <row r="29" spans="2:35" x14ac:dyDescent="0.2">
      <c r="B29" s="144" t="s">
        <v>752</v>
      </c>
      <c r="D29" s="151">
        <f>IF(D2&gt;ROUNDUP(HoldPeriod/12,0),"",'Annual Pro Forma'!D65+C29)</f>
        <v>28000000</v>
      </c>
      <c r="E29" s="151">
        <f>IF(E2&gt;ROUNDUP(HoldPeriod/12,0),"",'Annual Pro Forma'!E65+D29)</f>
        <v>28000000</v>
      </c>
      <c r="F29" s="151">
        <f>IF(F2&gt;ROUNDUP(HoldPeriod/12,0),"",'Annual Pro Forma'!F65+E29)</f>
        <v>28000000</v>
      </c>
      <c r="G29" s="151">
        <f>IF(G2&gt;ROUNDUP(HoldPeriod/12,0),"",'Annual Pro Forma'!G65+F29)</f>
        <v>28000000</v>
      </c>
      <c r="H29" s="151">
        <f>IF(H2&gt;ROUNDUP(HoldPeriod/12,0),"",'Annual Pro Forma'!H65+G29)</f>
        <v>28000000</v>
      </c>
      <c r="I29" s="151">
        <f>IF(I2&gt;ROUNDUP(HoldPeriod/12,0),"",'Annual Pro Forma'!I65+H29)</f>
        <v>28000000</v>
      </c>
      <c r="J29" s="151" t="str">
        <f>IF(J2&gt;ROUNDUP(HoldPeriod/12,0),"",'Annual Pro Forma'!J65+I29)</f>
        <v/>
      </c>
      <c r="K29" s="151" t="str">
        <f>IF(K2&gt;ROUNDUP(HoldPeriod/12,0),"",'Annual Pro Forma'!K65+J29)</f>
        <v/>
      </c>
      <c r="L29" s="151" t="str">
        <f>IF(L2&gt;ROUNDUP(HoldPeriod/12,0),"",'Annual Pro Forma'!L65+K29)</f>
        <v/>
      </c>
      <c r="M29" s="151" t="str">
        <f>IF(M2&gt;ROUNDUP(HoldPeriod/12,0),"",'Annual Pro Forma'!M65+L29)</f>
        <v/>
      </c>
      <c r="N29" s="151" t="str">
        <f>IF(N2&gt;ROUNDUP(HoldPeriod/12,0),"",'Annual Pro Forma'!N65+M29)</f>
        <v/>
      </c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</row>
    <row r="30" spans="2:35" x14ac:dyDescent="0.2">
      <c r="B30" s="144" t="s">
        <v>223</v>
      </c>
      <c r="D30" s="151" t="e">
        <f>-IF(D$2&gt;ROUNDUP(HoldPeriod/12,0),"",SUMIF('Monthly Pro Forma'!$F$5:$EH$5,'Summary Metrics'!D$2,'Monthly Pro Forma'!#REF!))</f>
        <v>#REF!</v>
      </c>
      <c r="E30" s="151" t="str">
        <f>IFERROR(-IF(E$2&gt;ROUNDUP(HoldPeriod/12,0),"",SUMIF('Monthly Pro Forma'!$F$5:$EH$5,'Summary Metrics'!E$2,'Monthly Pro Forma'!#REF!)-D30),"")</f>
        <v/>
      </c>
      <c r="F30" s="151" t="str">
        <f>IFERROR(-IF(F$2&gt;ROUNDUP(HoldPeriod/12,0),"",SUMIF('Monthly Pro Forma'!$F$5:$EH$5,'Summary Metrics'!F$2,'Monthly Pro Forma'!#REF!)-E30),"")</f>
        <v/>
      </c>
      <c r="G30" s="151" t="str">
        <f>IFERROR(-IF(G$2&gt;ROUNDUP(HoldPeriod/12,0),"",SUMIF('Monthly Pro Forma'!$F$5:$EH$5,'Summary Metrics'!G$2,'Monthly Pro Forma'!#REF!)-F30),"")</f>
        <v/>
      </c>
      <c r="H30" s="151" t="str">
        <f>IFERROR(-IF(H$2&gt;ROUNDUP(HoldPeriod/12,0),"",SUMIF('Monthly Pro Forma'!$F$5:$EH$5,'Summary Metrics'!H$2,'Monthly Pro Forma'!#REF!)-G30),"")</f>
        <v/>
      </c>
      <c r="I30" s="151" t="str">
        <f>IFERROR(-IF(I$2&gt;ROUNDUP(HoldPeriod/12,0),"",SUMIF('Monthly Pro Forma'!$F$5:$EH$5,'Summary Metrics'!I$2,'Monthly Pro Forma'!#REF!)-H30),"")</f>
        <v/>
      </c>
      <c r="J30" s="151" t="str">
        <f>IFERROR(-IF(J$2&gt;ROUNDUP(HoldPeriod/12,0),"",SUMIF('Monthly Pro Forma'!$F$5:$EH$5,'Summary Metrics'!J$2,'Monthly Pro Forma'!#REF!)-I30),"")</f>
        <v/>
      </c>
      <c r="K30" s="151" t="str">
        <f>IFERROR(-IF(K$2&gt;ROUNDUP(HoldPeriod/12,0),"",SUMIF('Monthly Pro Forma'!$F$5:$EH$5,'Summary Metrics'!K$2,'Monthly Pro Forma'!#REF!)-J30),"")</f>
        <v/>
      </c>
      <c r="L30" s="151" t="str">
        <f>IFERROR(-IF(L$2&gt;ROUNDUP(HoldPeriod/12,0),"",SUMIF('Monthly Pro Forma'!$F$5:$EH$5,'Summary Metrics'!L$2,'Monthly Pro Forma'!#REF!)-K30),"")</f>
        <v/>
      </c>
      <c r="M30" s="151" t="str">
        <f>IFERROR(-IF(M$2&gt;ROUNDUP(HoldPeriod/12,0),"",SUMIF('Monthly Pro Forma'!$F$5:$EH$5,'Summary Metrics'!M$2,'Monthly Pro Forma'!#REF!)-L30),"")</f>
        <v/>
      </c>
      <c r="N30" s="151" t="str">
        <f>IFERROR(-IF(N$2&gt;ROUNDUP(HoldPeriod/12,0),"",SUMIF('Monthly Pro Forma'!$F$5:$EH$5,'Summary Metrics'!N$2,'Monthly Pro Forma'!#REF!)-M30),"")</f>
        <v/>
      </c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</row>
    <row r="31" spans="2:35" x14ac:dyDescent="0.2">
      <c r="B31" s="144" t="s">
        <v>744</v>
      </c>
      <c r="D31" s="151">
        <f>IF(D$2&gt;ROUNDUP(HoldPeriod/12,0),"",'Closing Budget'!E93)</f>
        <v>17192274.850387014</v>
      </c>
      <c r="E31" s="151">
        <f t="shared" ref="E31:N31" si="12">IF(E$2&gt;ROUNDUP(HoldPeriod/12,0),"",D31)</f>
        <v>17192274.850387014</v>
      </c>
      <c r="F31" s="151">
        <f t="shared" si="12"/>
        <v>17192274.850387014</v>
      </c>
      <c r="G31" s="151">
        <f t="shared" si="12"/>
        <v>17192274.850387014</v>
      </c>
      <c r="H31" s="151">
        <f t="shared" si="12"/>
        <v>17192274.850387014</v>
      </c>
      <c r="I31" s="151">
        <f t="shared" si="12"/>
        <v>17192274.850387014</v>
      </c>
      <c r="J31" s="151" t="str">
        <f t="shared" si="12"/>
        <v/>
      </c>
      <c r="K31" s="151" t="str">
        <f t="shared" si="12"/>
        <v/>
      </c>
      <c r="L31" s="151" t="str">
        <f t="shared" si="12"/>
        <v/>
      </c>
      <c r="M31" s="151" t="str">
        <f t="shared" si="12"/>
        <v/>
      </c>
      <c r="N31" s="151" t="str">
        <f t="shared" si="12"/>
        <v/>
      </c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</row>
    <row r="32" spans="2:35" x14ac:dyDescent="0.2">
      <c r="B32" s="144" t="s">
        <v>821</v>
      </c>
      <c r="D32" s="151" t="e">
        <f t="shared" ref="D32:N32" si="13">IF(D2&gt;ROUNDUP(HoldPeriod/12,0),"",D26-SUM(D29:D31))</f>
        <v>#REF!</v>
      </c>
      <c r="E32" s="151">
        <f t="shared" si="13"/>
        <v>6178881.5598693267</v>
      </c>
      <c r="F32" s="151">
        <f t="shared" si="13"/>
        <v>6680932.8419206068</v>
      </c>
      <c r="G32" s="151">
        <f t="shared" si="13"/>
        <v>6968625.1496129185</v>
      </c>
      <c r="H32" s="151">
        <f t="shared" si="13"/>
        <v>6968625.1496129185</v>
      </c>
      <c r="I32" s="151">
        <f t="shared" si="13"/>
        <v>6968625.1496129185</v>
      </c>
      <c r="J32" s="151" t="str">
        <f t="shared" si="13"/>
        <v/>
      </c>
      <c r="K32" s="151" t="str">
        <f t="shared" si="13"/>
        <v/>
      </c>
      <c r="L32" s="151" t="str">
        <f t="shared" si="13"/>
        <v/>
      </c>
      <c r="M32" s="151" t="str">
        <f t="shared" si="13"/>
        <v/>
      </c>
      <c r="N32" s="151" t="str">
        <f t="shared" si="13"/>
        <v/>
      </c>
    </row>
    <row r="33" spans="2:35" x14ac:dyDescent="0.2">
      <c r="B33" s="144" t="s">
        <v>799</v>
      </c>
      <c r="D33" s="882" t="e">
        <f t="shared" ref="D33:N33" si="14">IF(D$2&gt;ROUNDUP(HoldPeriod/12,0),"",SUM(D29:D32))</f>
        <v>#REF!</v>
      </c>
      <c r="E33" s="882">
        <f t="shared" si="14"/>
        <v>51371156.410256341</v>
      </c>
      <c r="F33" s="882">
        <f t="shared" si="14"/>
        <v>51873207.692307621</v>
      </c>
      <c r="G33" s="882">
        <f t="shared" si="14"/>
        <v>52160899.999999933</v>
      </c>
      <c r="H33" s="882">
        <f t="shared" si="14"/>
        <v>52160899.999999933</v>
      </c>
      <c r="I33" s="882">
        <f t="shared" si="14"/>
        <v>52160899.999999933</v>
      </c>
      <c r="J33" s="882" t="str">
        <f t="shared" si="14"/>
        <v/>
      </c>
      <c r="K33" s="882" t="str">
        <f t="shared" si="14"/>
        <v/>
      </c>
      <c r="L33" s="882" t="str">
        <f t="shared" si="14"/>
        <v/>
      </c>
      <c r="M33" s="882" t="str">
        <f t="shared" si="14"/>
        <v/>
      </c>
      <c r="N33" s="882" t="str">
        <f t="shared" si="14"/>
        <v/>
      </c>
    </row>
    <row r="34" spans="2:35" s="145" customFormat="1" x14ac:dyDescent="0.2">
      <c r="O34" s="882"/>
      <c r="P34" s="882"/>
      <c r="Q34" s="882"/>
      <c r="R34" s="882"/>
      <c r="S34" s="882"/>
      <c r="T34" s="882"/>
      <c r="U34" s="882"/>
      <c r="V34" s="882"/>
      <c r="W34" s="882"/>
      <c r="X34" s="882"/>
      <c r="Y34" s="882"/>
      <c r="Z34" s="882"/>
      <c r="AA34" s="882"/>
      <c r="AB34" s="882"/>
      <c r="AC34" s="882"/>
      <c r="AD34" s="882"/>
      <c r="AE34" s="882"/>
      <c r="AF34" s="882"/>
      <c r="AG34" s="882"/>
      <c r="AH34" s="882"/>
      <c r="AI34" s="882"/>
    </row>
    <row r="35" spans="2:35" x14ac:dyDescent="0.2">
      <c r="B35" s="145" t="s">
        <v>812</v>
      </c>
      <c r="J35" s="144"/>
      <c r="K35" s="144"/>
      <c r="L35" s="144"/>
      <c r="M35" s="144"/>
      <c r="N35" s="144"/>
    </row>
    <row r="36" spans="2:35" x14ac:dyDescent="0.2">
      <c r="B36" s="144" t="s">
        <v>813</v>
      </c>
      <c r="D36" s="152">
        <f t="shared" ref="D36:I36" si="15">IF(D$2&gt;ROUNDUP(HoldPeriod/12,0),"",D$12/D20)</f>
        <v>0</v>
      </c>
      <c r="E36" s="152">
        <f t="shared" ca="1" si="15"/>
        <v>5.4480985676701663E-2</v>
      </c>
      <c r="F36" s="152">
        <f t="shared" ca="1" si="15"/>
        <v>6.3370909459065219E-2</v>
      </c>
      <c r="G36" s="152">
        <f t="shared" ca="1" si="15"/>
        <v>7.3750954367531832E-2</v>
      </c>
      <c r="H36" s="152">
        <f t="shared" ca="1" si="15"/>
        <v>7.8241179408428965E-2</v>
      </c>
      <c r="I36" s="152">
        <f t="shared" ca="1" si="15"/>
        <v>8.1697964495070913E-2</v>
      </c>
      <c r="J36" s="144"/>
      <c r="K36" s="144"/>
      <c r="L36" s="144"/>
      <c r="M36" s="144"/>
      <c r="N36" s="144"/>
    </row>
    <row r="37" spans="2:35" x14ac:dyDescent="0.2">
      <c r="B37" s="144" t="s">
        <v>823</v>
      </c>
      <c r="D37" s="152">
        <f t="shared" ref="D37:I37" si="16">IF(D$2&gt;ROUNDUP(HoldPeriod/12,0),"",D$12/D24)</f>
        <v>0</v>
      </c>
      <c r="E37" s="152">
        <f t="shared" ca="1" si="16"/>
        <v>5.3026824276262971E-2</v>
      </c>
      <c r="F37" s="152">
        <f t="shared" ca="1" si="16"/>
        <v>6.1082505091026605E-2</v>
      </c>
      <c r="G37" s="152">
        <f t="shared" ca="1" si="16"/>
        <v>7.0695630604084597E-2</v>
      </c>
      <c r="H37" s="152">
        <f t="shared" ca="1" si="16"/>
        <v>7.4999836475625484E-2</v>
      </c>
      <c r="I37" s="152">
        <f t="shared" ca="1" si="16"/>
        <v>7.8313415312112153E-2</v>
      </c>
      <c r="J37" s="144"/>
      <c r="K37" s="144"/>
      <c r="L37" s="144"/>
      <c r="M37" s="144"/>
      <c r="N37" s="144"/>
    </row>
    <row r="38" spans="2:35" x14ac:dyDescent="0.2">
      <c r="B38" s="144" t="s">
        <v>814</v>
      </c>
      <c r="D38" s="152">
        <f t="shared" ref="D38:I38" si="17">IF(D$2&gt;ROUNDUP(HoldPeriod/12,0),"",D$12/D26)</f>
        <v>0</v>
      </c>
      <c r="E38" s="152">
        <f t="shared" ca="1" si="17"/>
        <v>5.3026824276262971E-2</v>
      </c>
      <c r="F38" s="152">
        <f t="shared" ca="1" si="17"/>
        <v>6.1082505091026605E-2</v>
      </c>
      <c r="G38" s="152">
        <f t="shared" ca="1" si="17"/>
        <v>7.0695630604084597E-2</v>
      </c>
      <c r="H38" s="152">
        <f t="shared" ca="1" si="17"/>
        <v>7.4999836475625484E-2</v>
      </c>
      <c r="I38" s="152">
        <f t="shared" ca="1" si="17"/>
        <v>7.8313415312112153E-2</v>
      </c>
    </row>
    <row r="39" spans="2:35" x14ac:dyDescent="0.2">
      <c r="B39" s="144" t="s">
        <v>816</v>
      </c>
      <c r="D39" s="1372" t="e">
        <f t="shared" ref="D39:I39" si="18">IF(D$2&gt;ROUNDUP(HoldPeriod/12,0),"",D20/D7)</f>
        <v>#DIV/0!</v>
      </c>
      <c r="E39" s="1372">
        <f t="shared" ca="1" si="18"/>
        <v>11.924983975549171</v>
      </c>
      <c r="F39" s="1372">
        <f t="shared" ca="1" si="18"/>
        <v>10.619703227282484</v>
      </c>
      <c r="G39" s="1372">
        <f t="shared" ca="1" si="18"/>
        <v>9.4922367892887447</v>
      </c>
      <c r="H39" s="1372">
        <f t="shared" ca="1" si="18"/>
        <v>9.0146205798643315</v>
      </c>
      <c r="I39" s="1372">
        <f t="shared" ca="1" si="18"/>
        <v>8.6679044037157027</v>
      </c>
      <c r="J39" s="144"/>
      <c r="K39" s="144"/>
      <c r="L39" s="144"/>
      <c r="M39" s="144"/>
      <c r="N39" s="144"/>
    </row>
    <row r="40" spans="2:35" x14ac:dyDescent="0.2">
      <c r="B40" s="144" t="s">
        <v>822</v>
      </c>
      <c r="C40" s="982">
        <v>5.5E-2</v>
      </c>
      <c r="D40" s="550">
        <f ca="1">E12/$C$40</f>
        <v>49528168.797001511</v>
      </c>
      <c r="E40" s="550">
        <f t="shared" ref="E40:I40" ca="1" si="19">F12/$C$40</f>
        <v>57609917.690059289</v>
      </c>
      <c r="F40" s="550">
        <f t="shared" ca="1" si="19"/>
        <v>67046322.152301662</v>
      </c>
      <c r="G40" s="550">
        <f t="shared" ca="1" si="19"/>
        <v>71128344.916753605</v>
      </c>
      <c r="H40" s="550">
        <f t="shared" ca="1" si="19"/>
        <v>74270876.813700825</v>
      </c>
      <c r="I40" s="550">
        <f t="shared" ca="1" si="19"/>
        <v>77546320.938892514</v>
      </c>
      <c r="J40" s="550"/>
      <c r="K40" s="144"/>
      <c r="L40" s="144"/>
      <c r="M40" s="144"/>
      <c r="N40" s="144"/>
    </row>
    <row r="41" spans="2:35" x14ac:dyDescent="0.2">
      <c r="E41" s="144"/>
      <c r="F41" s="144"/>
      <c r="G41" s="144"/>
      <c r="H41" s="144"/>
      <c r="I41" s="144"/>
      <c r="J41" s="144"/>
      <c r="K41" s="144"/>
      <c r="L41" s="144"/>
      <c r="M41" s="144"/>
      <c r="N41" s="144"/>
    </row>
    <row r="42" spans="2:35" x14ac:dyDescent="0.2">
      <c r="E42" s="144"/>
      <c r="F42" s="144"/>
      <c r="G42" s="144"/>
      <c r="H42" s="144"/>
      <c r="I42" s="144"/>
      <c r="J42" s="144"/>
      <c r="K42" s="144"/>
      <c r="L42" s="144"/>
      <c r="M42" s="144"/>
      <c r="N42" s="144"/>
    </row>
    <row r="43" spans="2:35" x14ac:dyDescent="0.2">
      <c r="E43" s="144"/>
      <c r="F43" s="144"/>
      <c r="G43" s="144"/>
      <c r="H43" s="144"/>
      <c r="I43" s="144"/>
      <c r="J43" s="144"/>
      <c r="K43" s="144"/>
      <c r="L43" s="144"/>
      <c r="M43" s="144"/>
      <c r="N43" s="144"/>
    </row>
    <row r="50" spans="10:35" s="144" customFormat="1" x14ac:dyDescent="0.2"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1"/>
      <c r="AD50" s="151"/>
      <c r="AE50" s="151"/>
      <c r="AF50" s="151"/>
      <c r="AG50" s="151"/>
      <c r="AH50" s="151"/>
      <c r="AI50" s="151"/>
    </row>
    <row r="51" spans="10:35" s="144" customFormat="1" x14ac:dyDescent="0.2">
      <c r="J51" s="152" t="str">
        <f>IF(J$2&gt;ROUNDUP(HoldPeriod/12,0),"",J$12/J20)</f>
        <v/>
      </c>
      <c r="K51" s="152" t="str">
        <f>IF(K$2&gt;ROUNDUP(HoldPeriod/12,0),"",K$12/K20)</f>
        <v/>
      </c>
      <c r="L51" s="152" t="str">
        <f>IF(L$2&gt;ROUNDUP(HoldPeriod/12,0),"",L$12/L20)</f>
        <v/>
      </c>
      <c r="M51" s="152" t="str">
        <f>IF(M$2&gt;ROUNDUP(HoldPeriod/12,0),"",M$12/M20)</f>
        <v/>
      </c>
      <c r="N51" s="152" t="str">
        <f>IF(N$2&gt;ROUNDUP(HoldPeriod/12,0),"",N$12/N20)</f>
        <v/>
      </c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</row>
    <row r="52" spans="10:35" s="144" customFormat="1" x14ac:dyDescent="0.2"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</row>
    <row r="53" spans="10:35" s="144" customFormat="1" x14ac:dyDescent="0.2"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</row>
    <row r="54" spans="10:35" s="144" customFormat="1" x14ac:dyDescent="0.2">
      <c r="J54" s="1372" t="str">
        <f>IF(J$2&gt;ROUNDUP(HoldPeriod/12,0),"",J20/J7)</f>
        <v/>
      </c>
      <c r="K54" s="1372" t="str">
        <f>IF(K$2&gt;ROUNDUP(HoldPeriod/12,0),"",K20/K7)</f>
        <v/>
      </c>
      <c r="L54" s="1372" t="str">
        <f>IF(L$2&gt;ROUNDUP(HoldPeriod/12,0),"",L20/L7)</f>
        <v/>
      </c>
      <c r="M54" s="1372" t="str">
        <f>IF(M$2&gt;ROUNDUP(HoldPeriod/12,0),"",M20/M7)</f>
        <v/>
      </c>
      <c r="N54" s="1372" t="str">
        <f>IF(N$2&gt;ROUNDUP(HoldPeriod/12,0),"",N20/N7)</f>
        <v/>
      </c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1417-415D-4B0D-A5A6-6577A2C947ED}">
  <sheetPr codeName="Sheet1">
    <tabColor theme="2" tint="-0.249977111117893"/>
  </sheetPr>
  <dimension ref="A1:EF149"/>
  <sheetViews>
    <sheetView showGridLines="0" topLeftCell="B1" zoomScaleNormal="100" zoomScaleSheetLayoutView="80" workbookViewId="0">
      <selection activeCell="B42" sqref="B42"/>
    </sheetView>
  </sheetViews>
  <sheetFormatPr defaultColWidth="8.7109375" defaultRowHeight="14.25" zeroHeight="1" outlineLevelRow="1" x14ac:dyDescent="0.2"/>
  <cols>
    <col min="1" max="1" width="2.42578125" style="166" customWidth="1"/>
    <col min="2" max="2" width="25.42578125" style="162" customWidth="1"/>
    <col min="3" max="3" width="12.7109375" style="158" bestFit="1" customWidth="1"/>
    <col min="4" max="4" width="14.5703125" style="158" bestFit="1" customWidth="1"/>
    <col min="5" max="6" width="12.7109375" style="158" bestFit="1" customWidth="1"/>
    <col min="7" max="7" width="13.85546875" style="158" bestFit="1" customWidth="1"/>
    <col min="8" max="8" width="16" style="158" customWidth="1"/>
    <col min="9" max="9" width="12.7109375" style="158" bestFit="1" customWidth="1"/>
    <col min="10" max="10" width="14.85546875" style="158" customWidth="1"/>
    <col min="11" max="11" width="13.85546875" style="158" bestFit="1" customWidth="1"/>
    <col min="12" max="12" width="16.85546875" style="158" bestFit="1" customWidth="1"/>
    <col min="13" max="122" width="13.85546875" style="158" bestFit="1" customWidth="1"/>
    <col min="123" max="123" width="13.140625" style="158" bestFit="1" customWidth="1"/>
    <col min="124" max="125" width="12" style="158" bestFit="1" customWidth="1"/>
    <col min="126" max="134" width="11.140625" style="158" bestFit="1" customWidth="1"/>
    <col min="135" max="135" width="12" style="158" bestFit="1" customWidth="1"/>
    <col min="136" max="16384" width="8.7109375" style="158"/>
  </cols>
  <sheetData>
    <row r="1" spans="1:136" x14ac:dyDescent="0.2"/>
    <row r="2" spans="1:136" ht="19.5" x14ac:dyDescent="0.25">
      <c r="B2" s="167" t="s">
        <v>75</v>
      </c>
    </row>
    <row r="3" spans="1:136" ht="18" x14ac:dyDescent="0.25">
      <c r="B3" s="168" t="str">
        <f>Name</f>
        <v>Property Name</v>
      </c>
    </row>
    <row r="4" spans="1:136" x14ac:dyDescent="0.2"/>
    <row r="5" spans="1:136" ht="18" x14ac:dyDescent="0.25">
      <c r="B5" s="169" t="s">
        <v>75</v>
      </c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0"/>
      <c r="CE5" s="170"/>
      <c r="CF5" s="170"/>
      <c r="CG5" s="170"/>
      <c r="CH5" s="170"/>
      <c r="CI5" s="170"/>
      <c r="CJ5" s="170"/>
      <c r="CK5" s="170"/>
      <c r="CL5" s="170"/>
      <c r="CM5" s="170"/>
      <c r="CN5" s="170"/>
      <c r="CO5" s="170"/>
      <c r="CP5" s="170"/>
      <c r="CQ5" s="170"/>
      <c r="CR5" s="170"/>
      <c r="CS5" s="170"/>
      <c r="CT5" s="170"/>
      <c r="CU5" s="170"/>
      <c r="CV5" s="170"/>
      <c r="CW5" s="170"/>
      <c r="CX5" s="170"/>
      <c r="CY5" s="170"/>
      <c r="CZ5" s="170"/>
      <c r="DA5" s="170"/>
      <c r="DB5" s="170"/>
      <c r="DC5" s="170"/>
      <c r="DD5" s="170"/>
      <c r="DE5" s="170"/>
      <c r="DF5" s="170"/>
      <c r="DG5" s="170"/>
      <c r="DH5" s="170"/>
      <c r="DI5" s="170"/>
      <c r="DJ5" s="170"/>
      <c r="DK5" s="170"/>
      <c r="DL5" s="170"/>
      <c r="DM5" s="170"/>
      <c r="DN5" s="170"/>
      <c r="DO5" s="170"/>
      <c r="DP5" s="170"/>
      <c r="DQ5" s="170"/>
      <c r="DR5" s="170"/>
      <c r="DS5" s="170"/>
      <c r="DT5" s="170"/>
      <c r="DU5" s="170"/>
      <c r="DV5" s="170"/>
      <c r="DW5" s="170"/>
      <c r="DX5" s="170"/>
      <c r="DY5" s="170"/>
      <c r="DZ5" s="170"/>
      <c r="EA5" s="170"/>
      <c r="EB5" s="170"/>
      <c r="EC5" s="170"/>
      <c r="ED5" s="170"/>
      <c r="EE5" s="170"/>
    </row>
    <row r="6" spans="1:136" x14ac:dyDescent="0.2">
      <c r="B6" s="171"/>
      <c r="C6" s="172">
        <v>0</v>
      </c>
      <c r="D6" s="172">
        <f>C6+1</f>
        <v>1</v>
      </c>
      <c r="E6" s="172">
        <f t="shared" ref="E6:BP6" si="0">D6+1</f>
        <v>2</v>
      </c>
      <c r="F6" s="172">
        <f t="shared" si="0"/>
        <v>3</v>
      </c>
      <c r="G6" s="172">
        <f t="shared" si="0"/>
        <v>4</v>
      </c>
      <c r="H6" s="172">
        <f t="shared" si="0"/>
        <v>5</v>
      </c>
      <c r="I6" s="172">
        <f t="shared" si="0"/>
        <v>6</v>
      </c>
      <c r="J6" s="172">
        <f t="shared" si="0"/>
        <v>7</v>
      </c>
      <c r="K6" s="172">
        <f t="shared" si="0"/>
        <v>8</v>
      </c>
      <c r="L6" s="172">
        <f t="shared" si="0"/>
        <v>9</v>
      </c>
      <c r="M6" s="172">
        <f t="shared" si="0"/>
        <v>10</v>
      </c>
      <c r="N6" s="172">
        <f t="shared" si="0"/>
        <v>11</v>
      </c>
      <c r="O6" s="172">
        <f t="shared" si="0"/>
        <v>12</v>
      </c>
      <c r="P6" s="172">
        <f t="shared" si="0"/>
        <v>13</v>
      </c>
      <c r="Q6" s="172">
        <f t="shared" si="0"/>
        <v>14</v>
      </c>
      <c r="R6" s="172">
        <f t="shared" si="0"/>
        <v>15</v>
      </c>
      <c r="S6" s="172">
        <f t="shared" si="0"/>
        <v>16</v>
      </c>
      <c r="T6" s="172">
        <f t="shared" si="0"/>
        <v>17</v>
      </c>
      <c r="U6" s="172">
        <f t="shared" si="0"/>
        <v>18</v>
      </c>
      <c r="V6" s="172">
        <f t="shared" si="0"/>
        <v>19</v>
      </c>
      <c r="W6" s="172">
        <f t="shared" si="0"/>
        <v>20</v>
      </c>
      <c r="X6" s="172">
        <f t="shared" si="0"/>
        <v>21</v>
      </c>
      <c r="Y6" s="172">
        <f t="shared" si="0"/>
        <v>22</v>
      </c>
      <c r="Z6" s="172">
        <f t="shared" si="0"/>
        <v>23</v>
      </c>
      <c r="AA6" s="172">
        <f t="shared" si="0"/>
        <v>24</v>
      </c>
      <c r="AB6" s="172">
        <f t="shared" si="0"/>
        <v>25</v>
      </c>
      <c r="AC6" s="172">
        <f t="shared" si="0"/>
        <v>26</v>
      </c>
      <c r="AD6" s="172">
        <f t="shared" si="0"/>
        <v>27</v>
      </c>
      <c r="AE6" s="172">
        <f t="shared" si="0"/>
        <v>28</v>
      </c>
      <c r="AF6" s="172">
        <f t="shared" si="0"/>
        <v>29</v>
      </c>
      <c r="AG6" s="172">
        <f t="shared" si="0"/>
        <v>30</v>
      </c>
      <c r="AH6" s="172">
        <f t="shared" si="0"/>
        <v>31</v>
      </c>
      <c r="AI6" s="172">
        <f t="shared" si="0"/>
        <v>32</v>
      </c>
      <c r="AJ6" s="172">
        <f t="shared" si="0"/>
        <v>33</v>
      </c>
      <c r="AK6" s="172">
        <f t="shared" si="0"/>
        <v>34</v>
      </c>
      <c r="AL6" s="172">
        <f t="shared" si="0"/>
        <v>35</v>
      </c>
      <c r="AM6" s="172">
        <f t="shared" si="0"/>
        <v>36</v>
      </c>
      <c r="AN6" s="172">
        <f t="shared" si="0"/>
        <v>37</v>
      </c>
      <c r="AO6" s="172">
        <f t="shared" si="0"/>
        <v>38</v>
      </c>
      <c r="AP6" s="172">
        <f t="shared" si="0"/>
        <v>39</v>
      </c>
      <c r="AQ6" s="172">
        <f t="shared" si="0"/>
        <v>40</v>
      </c>
      <c r="AR6" s="172">
        <f t="shared" si="0"/>
        <v>41</v>
      </c>
      <c r="AS6" s="172">
        <f t="shared" si="0"/>
        <v>42</v>
      </c>
      <c r="AT6" s="172">
        <f t="shared" si="0"/>
        <v>43</v>
      </c>
      <c r="AU6" s="172">
        <f t="shared" si="0"/>
        <v>44</v>
      </c>
      <c r="AV6" s="172">
        <f t="shared" si="0"/>
        <v>45</v>
      </c>
      <c r="AW6" s="172">
        <f t="shared" si="0"/>
        <v>46</v>
      </c>
      <c r="AX6" s="172">
        <f t="shared" si="0"/>
        <v>47</v>
      </c>
      <c r="AY6" s="172">
        <f t="shared" si="0"/>
        <v>48</v>
      </c>
      <c r="AZ6" s="172">
        <f t="shared" si="0"/>
        <v>49</v>
      </c>
      <c r="BA6" s="172">
        <f t="shared" si="0"/>
        <v>50</v>
      </c>
      <c r="BB6" s="172">
        <f t="shared" si="0"/>
        <v>51</v>
      </c>
      <c r="BC6" s="172">
        <f t="shared" si="0"/>
        <v>52</v>
      </c>
      <c r="BD6" s="172">
        <f t="shared" si="0"/>
        <v>53</v>
      </c>
      <c r="BE6" s="172">
        <f t="shared" si="0"/>
        <v>54</v>
      </c>
      <c r="BF6" s="172">
        <f t="shared" si="0"/>
        <v>55</v>
      </c>
      <c r="BG6" s="172">
        <f t="shared" si="0"/>
        <v>56</v>
      </c>
      <c r="BH6" s="172">
        <f t="shared" si="0"/>
        <v>57</v>
      </c>
      <c r="BI6" s="172">
        <f t="shared" si="0"/>
        <v>58</v>
      </c>
      <c r="BJ6" s="172">
        <f t="shared" si="0"/>
        <v>59</v>
      </c>
      <c r="BK6" s="172">
        <f t="shared" si="0"/>
        <v>60</v>
      </c>
      <c r="BL6" s="172">
        <f t="shared" si="0"/>
        <v>61</v>
      </c>
      <c r="BM6" s="172">
        <f t="shared" si="0"/>
        <v>62</v>
      </c>
      <c r="BN6" s="172">
        <f t="shared" si="0"/>
        <v>63</v>
      </c>
      <c r="BO6" s="172">
        <f t="shared" si="0"/>
        <v>64</v>
      </c>
      <c r="BP6" s="172">
        <f t="shared" si="0"/>
        <v>65</v>
      </c>
      <c r="BQ6" s="172">
        <f t="shared" ref="BQ6:EB6" si="1">BP6+1</f>
        <v>66</v>
      </c>
      <c r="BR6" s="172">
        <f t="shared" si="1"/>
        <v>67</v>
      </c>
      <c r="BS6" s="172">
        <f t="shared" si="1"/>
        <v>68</v>
      </c>
      <c r="BT6" s="172">
        <f t="shared" si="1"/>
        <v>69</v>
      </c>
      <c r="BU6" s="172">
        <f t="shared" si="1"/>
        <v>70</v>
      </c>
      <c r="BV6" s="172">
        <f t="shared" si="1"/>
        <v>71</v>
      </c>
      <c r="BW6" s="172">
        <f t="shared" si="1"/>
        <v>72</v>
      </c>
      <c r="BX6" s="172">
        <f t="shared" si="1"/>
        <v>73</v>
      </c>
      <c r="BY6" s="172">
        <f t="shared" si="1"/>
        <v>74</v>
      </c>
      <c r="BZ6" s="172">
        <f t="shared" si="1"/>
        <v>75</v>
      </c>
      <c r="CA6" s="172">
        <f t="shared" si="1"/>
        <v>76</v>
      </c>
      <c r="CB6" s="172">
        <f t="shared" si="1"/>
        <v>77</v>
      </c>
      <c r="CC6" s="172">
        <f t="shared" si="1"/>
        <v>78</v>
      </c>
      <c r="CD6" s="172">
        <f t="shared" si="1"/>
        <v>79</v>
      </c>
      <c r="CE6" s="172">
        <f t="shared" si="1"/>
        <v>80</v>
      </c>
      <c r="CF6" s="172">
        <f t="shared" si="1"/>
        <v>81</v>
      </c>
      <c r="CG6" s="172">
        <f t="shared" si="1"/>
        <v>82</v>
      </c>
      <c r="CH6" s="172">
        <f t="shared" si="1"/>
        <v>83</v>
      </c>
      <c r="CI6" s="172">
        <f t="shared" si="1"/>
        <v>84</v>
      </c>
      <c r="CJ6" s="172">
        <f t="shared" si="1"/>
        <v>85</v>
      </c>
      <c r="CK6" s="172">
        <f t="shared" si="1"/>
        <v>86</v>
      </c>
      <c r="CL6" s="172">
        <f t="shared" si="1"/>
        <v>87</v>
      </c>
      <c r="CM6" s="172">
        <f t="shared" si="1"/>
        <v>88</v>
      </c>
      <c r="CN6" s="172">
        <f t="shared" si="1"/>
        <v>89</v>
      </c>
      <c r="CO6" s="172">
        <f t="shared" si="1"/>
        <v>90</v>
      </c>
      <c r="CP6" s="172">
        <f t="shared" si="1"/>
        <v>91</v>
      </c>
      <c r="CQ6" s="172">
        <f t="shared" si="1"/>
        <v>92</v>
      </c>
      <c r="CR6" s="172">
        <f t="shared" si="1"/>
        <v>93</v>
      </c>
      <c r="CS6" s="172">
        <f t="shared" si="1"/>
        <v>94</v>
      </c>
      <c r="CT6" s="172">
        <f t="shared" si="1"/>
        <v>95</v>
      </c>
      <c r="CU6" s="172">
        <f t="shared" si="1"/>
        <v>96</v>
      </c>
      <c r="CV6" s="172">
        <f t="shared" si="1"/>
        <v>97</v>
      </c>
      <c r="CW6" s="172">
        <f t="shared" si="1"/>
        <v>98</v>
      </c>
      <c r="CX6" s="172">
        <f t="shared" si="1"/>
        <v>99</v>
      </c>
      <c r="CY6" s="172">
        <f t="shared" si="1"/>
        <v>100</v>
      </c>
      <c r="CZ6" s="172">
        <f t="shared" si="1"/>
        <v>101</v>
      </c>
      <c r="DA6" s="172">
        <f t="shared" si="1"/>
        <v>102</v>
      </c>
      <c r="DB6" s="172">
        <f t="shared" si="1"/>
        <v>103</v>
      </c>
      <c r="DC6" s="172">
        <f t="shared" si="1"/>
        <v>104</v>
      </c>
      <c r="DD6" s="172">
        <f t="shared" si="1"/>
        <v>105</v>
      </c>
      <c r="DE6" s="172">
        <f t="shared" si="1"/>
        <v>106</v>
      </c>
      <c r="DF6" s="172">
        <f t="shared" si="1"/>
        <v>107</v>
      </c>
      <c r="DG6" s="172">
        <f t="shared" si="1"/>
        <v>108</v>
      </c>
      <c r="DH6" s="172">
        <f t="shared" si="1"/>
        <v>109</v>
      </c>
      <c r="DI6" s="172">
        <f t="shared" si="1"/>
        <v>110</v>
      </c>
      <c r="DJ6" s="172">
        <f t="shared" si="1"/>
        <v>111</v>
      </c>
      <c r="DK6" s="172">
        <f t="shared" si="1"/>
        <v>112</v>
      </c>
      <c r="DL6" s="172">
        <f t="shared" si="1"/>
        <v>113</v>
      </c>
      <c r="DM6" s="172">
        <f t="shared" si="1"/>
        <v>114</v>
      </c>
      <c r="DN6" s="172">
        <f t="shared" si="1"/>
        <v>115</v>
      </c>
      <c r="DO6" s="172">
        <f t="shared" si="1"/>
        <v>116</v>
      </c>
      <c r="DP6" s="172">
        <f t="shared" si="1"/>
        <v>117</v>
      </c>
      <c r="DQ6" s="172">
        <f t="shared" si="1"/>
        <v>118</v>
      </c>
      <c r="DR6" s="172">
        <f t="shared" si="1"/>
        <v>119</v>
      </c>
      <c r="DS6" s="172">
        <f t="shared" si="1"/>
        <v>120</v>
      </c>
      <c r="DT6" s="172">
        <f t="shared" si="1"/>
        <v>121</v>
      </c>
      <c r="DU6" s="172">
        <f t="shared" si="1"/>
        <v>122</v>
      </c>
      <c r="DV6" s="172">
        <f t="shared" si="1"/>
        <v>123</v>
      </c>
      <c r="DW6" s="172">
        <f t="shared" si="1"/>
        <v>124</v>
      </c>
      <c r="DX6" s="172">
        <f t="shared" si="1"/>
        <v>125</v>
      </c>
      <c r="DY6" s="172">
        <f t="shared" si="1"/>
        <v>126</v>
      </c>
      <c r="DZ6" s="172">
        <f t="shared" si="1"/>
        <v>127</v>
      </c>
      <c r="EA6" s="172">
        <f t="shared" si="1"/>
        <v>128</v>
      </c>
      <c r="EB6" s="172">
        <f t="shared" si="1"/>
        <v>129</v>
      </c>
      <c r="EC6" s="172">
        <f>EB6+1</f>
        <v>130</v>
      </c>
      <c r="ED6" s="172">
        <f>EC6+1</f>
        <v>131</v>
      </c>
      <c r="EE6" s="172">
        <f>ED6+1</f>
        <v>132</v>
      </c>
    </row>
    <row r="7" spans="1:136" x14ac:dyDescent="0.2">
      <c r="B7" s="171"/>
      <c r="C7" s="173">
        <f>ROUNDUP(C6/12,0)</f>
        <v>0</v>
      </c>
      <c r="D7" s="173">
        <f>ROUNDUP(D6/12,0)</f>
        <v>1</v>
      </c>
      <c r="E7" s="173">
        <f t="shared" ref="E7:BP7" si="2">ROUNDUP(E6/12,0)</f>
        <v>1</v>
      </c>
      <c r="F7" s="173">
        <f t="shared" si="2"/>
        <v>1</v>
      </c>
      <c r="G7" s="173">
        <f t="shared" si="2"/>
        <v>1</v>
      </c>
      <c r="H7" s="173">
        <f t="shared" si="2"/>
        <v>1</v>
      </c>
      <c r="I7" s="173">
        <f t="shared" si="2"/>
        <v>1</v>
      </c>
      <c r="J7" s="173">
        <f t="shared" si="2"/>
        <v>1</v>
      </c>
      <c r="K7" s="173">
        <f t="shared" si="2"/>
        <v>1</v>
      </c>
      <c r="L7" s="173">
        <f t="shared" si="2"/>
        <v>1</v>
      </c>
      <c r="M7" s="173">
        <f t="shared" si="2"/>
        <v>1</v>
      </c>
      <c r="N7" s="173">
        <f t="shared" si="2"/>
        <v>1</v>
      </c>
      <c r="O7" s="173">
        <f t="shared" si="2"/>
        <v>1</v>
      </c>
      <c r="P7" s="173">
        <f t="shared" si="2"/>
        <v>2</v>
      </c>
      <c r="Q7" s="173">
        <f t="shared" si="2"/>
        <v>2</v>
      </c>
      <c r="R7" s="173">
        <f t="shared" si="2"/>
        <v>2</v>
      </c>
      <c r="S7" s="173">
        <f t="shared" si="2"/>
        <v>2</v>
      </c>
      <c r="T7" s="173">
        <f t="shared" si="2"/>
        <v>2</v>
      </c>
      <c r="U7" s="173">
        <f t="shared" si="2"/>
        <v>2</v>
      </c>
      <c r="V7" s="173">
        <f t="shared" si="2"/>
        <v>2</v>
      </c>
      <c r="W7" s="173">
        <f t="shared" si="2"/>
        <v>2</v>
      </c>
      <c r="X7" s="173">
        <f t="shared" si="2"/>
        <v>2</v>
      </c>
      <c r="Y7" s="173">
        <f t="shared" si="2"/>
        <v>2</v>
      </c>
      <c r="Z7" s="173">
        <f t="shared" si="2"/>
        <v>2</v>
      </c>
      <c r="AA7" s="173">
        <f t="shared" si="2"/>
        <v>2</v>
      </c>
      <c r="AB7" s="173">
        <f t="shared" si="2"/>
        <v>3</v>
      </c>
      <c r="AC7" s="173">
        <f t="shared" si="2"/>
        <v>3</v>
      </c>
      <c r="AD7" s="173">
        <f t="shared" si="2"/>
        <v>3</v>
      </c>
      <c r="AE7" s="173">
        <f t="shared" si="2"/>
        <v>3</v>
      </c>
      <c r="AF7" s="173">
        <f t="shared" si="2"/>
        <v>3</v>
      </c>
      <c r="AG7" s="173">
        <f t="shared" si="2"/>
        <v>3</v>
      </c>
      <c r="AH7" s="173">
        <f t="shared" si="2"/>
        <v>3</v>
      </c>
      <c r="AI7" s="173">
        <f t="shared" si="2"/>
        <v>3</v>
      </c>
      <c r="AJ7" s="173">
        <f t="shared" si="2"/>
        <v>3</v>
      </c>
      <c r="AK7" s="173">
        <f t="shared" si="2"/>
        <v>3</v>
      </c>
      <c r="AL7" s="173">
        <f t="shared" si="2"/>
        <v>3</v>
      </c>
      <c r="AM7" s="173">
        <f t="shared" si="2"/>
        <v>3</v>
      </c>
      <c r="AN7" s="173">
        <f t="shared" si="2"/>
        <v>4</v>
      </c>
      <c r="AO7" s="173">
        <f t="shared" si="2"/>
        <v>4</v>
      </c>
      <c r="AP7" s="173">
        <f t="shared" si="2"/>
        <v>4</v>
      </c>
      <c r="AQ7" s="173">
        <f t="shared" si="2"/>
        <v>4</v>
      </c>
      <c r="AR7" s="173">
        <f t="shared" si="2"/>
        <v>4</v>
      </c>
      <c r="AS7" s="173">
        <f t="shared" si="2"/>
        <v>4</v>
      </c>
      <c r="AT7" s="173">
        <f t="shared" si="2"/>
        <v>4</v>
      </c>
      <c r="AU7" s="173">
        <f t="shared" si="2"/>
        <v>4</v>
      </c>
      <c r="AV7" s="173">
        <f t="shared" si="2"/>
        <v>4</v>
      </c>
      <c r="AW7" s="173">
        <f t="shared" si="2"/>
        <v>4</v>
      </c>
      <c r="AX7" s="173">
        <f t="shared" si="2"/>
        <v>4</v>
      </c>
      <c r="AY7" s="173">
        <f t="shared" si="2"/>
        <v>4</v>
      </c>
      <c r="AZ7" s="173">
        <f t="shared" si="2"/>
        <v>5</v>
      </c>
      <c r="BA7" s="173">
        <f t="shared" si="2"/>
        <v>5</v>
      </c>
      <c r="BB7" s="173">
        <f t="shared" si="2"/>
        <v>5</v>
      </c>
      <c r="BC7" s="173">
        <f t="shared" si="2"/>
        <v>5</v>
      </c>
      <c r="BD7" s="173">
        <f t="shared" si="2"/>
        <v>5</v>
      </c>
      <c r="BE7" s="173">
        <f t="shared" si="2"/>
        <v>5</v>
      </c>
      <c r="BF7" s="173">
        <f t="shared" si="2"/>
        <v>5</v>
      </c>
      <c r="BG7" s="173">
        <f t="shared" si="2"/>
        <v>5</v>
      </c>
      <c r="BH7" s="173">
        <f t="shared" si="2"/>
        <v>5</v>
      </c>
      <c r="BI7" s="173">
        <f t="shared" si="2"/>
        <v>5</v>
      </c>
      <c r="BJ7" s="173">
        <f t="shared" si="2"/>
        <v>5</v>
      </c>
      <c r="BK7" s="173">
        <f t="shared" si="2"/>
        <v>5</v>
      </c>
      <c r="BL7" s="173">
        <f t="shared" si="2"/>
        <v>6</v>
      </c>
      <c r="BM7" s="173">
        <f t="shared" si="2"/>
        <v>6</v>
      </c>
      <c r="BN7" s="173">
        <f t="shared" si="2"/>
        <v>6</v>
      </c>
      <c r="BO7" s="173">
        <f t="shared" si="2"/>
        <v>6</v>
      </c>
      <c r="BP7" s="173">
        <f t="shared" si="2"/>
        <v>6</v>
      </c>
      <c r="BQ7" s="173">
        <f t="shared" ref="BQ7:EB7" si="3">ROUNDUP(BQ6/12,0)</f>
        <v>6</v>
      </c>
      <c r="BR7" s="173">
        <f t="shared" si="3"/>
        <v>6</v>
      </c>
      <c r="BS7" s="173">
        <f t="shared" si="3"/>
        <v>6</v>
      </c>
      <c r="BT7" s="173">
        <f t="shared" si="3"/>
        <v>6</v>
      </c>
      <c r="BU7" s="173">
        <f t="shared" si="3"/>
        <v>6</v>
      </c>
      <c r="BV7" s="173">
        <f t="shared" si="3"/>
        <v>6</v>
      </c>
      <c r="BW7" s="173">
        <f t="shared" si="3"/>
        <v>6</v>
      </c>
      <c r="BX7" s="173">
        <f t="shared" si="3"/>
        <v>7</v>
      </c>
      <c r="BY7" s="173">
        <f t="shared" si="3"/>
        <v>7</v>
      </c>
      <c r="BZ7" s="173">
        <f t="shared" si="3"/>
        <v>7</v>
      </c>
      <c r="CA7" s="173">
        <f t="shared" si="3"/>
        <v>7</v>
      </c>
      <c r="CB7" s="173">
        <f t="shared" si="3"/>
        <v>7</v>
      </c>
      <c r="CC7" s="173">
        <f t="shared" si="3"/>
        <v>7</v>
      </c>
      <c r="CD7" s="173">
        <f t="shared" si="3"/>
        <v>7</v>
      </c>
      <c r="CE7" s="173">
        <f t="shared" si="3"/>
        <v>7</v>
      </c>
      <c r="CF7" s="173">
        <f t="shared" si="3"/>
        <v>7</v>
      </c>
      <c r="CG7" s="173">
        <f t="shared" si="3"/>
        <v>7</v>
      </c>
      <c r="CH7" s="173">
        <f t="shared" si="3"/>
        <v>7</v>
      </c>
      <c r="CI7" s="173">
        <f t="shared" si="3"/>
        <v>7</v>
      </c>
      <c r="CJ7" s="173">
        <f t="shared" si="3"/>
        <v>8</v>
      </c>
      <c r="CK7" s="173">
        <f t="shared" si="3"/>
        <v>8</v>
      </c>
      <c r="CL7" s="173">
        <f t="shared" si="3"/>
        <v>8</v>
      </c>
      <c r="CM7" s="173">
        <f t="shared" si="3"/>
        <v>8</v>
      </c>
      <c r="CN7" s="173">
        <f t="shared" si="3"/>
        <v>8</v>
      </c>
      <c r="CO7" s="173">
        <f t="shared" si="3"/>
        <v>8</v>
      </c>
      <c r="CP7" s="173">
        <f t="shared" si="3"/>
        <v>8</v>
      </c>
      <c r="CQ7" s="173">
        <f t="shared" si="3"/>
        <v>8</v>
      </c>
      <c r="CR7" s="173">
        <f t="shared" si="3"/>
        <v>8</v>
      </c>
      <c r="CS7" s="173">
        <f t="shared" si="3"/>
        <v>8</v>
      </c>
      <c r="CT7" s="173">
        <f t="shared" si="3"/>
        <v>8</v>
      </c>
      <c r="CU7" s="173">
        <f t="shared" si="3"/>
        <v>8</v>
      </c>
      <c r="CV7" s="173">
        <f t="shared" si="3"/>
        <v>9</v>
      </c>
      <c r="CW7" s="173">
        <f t="shared" si="3"/>
        <v>9</v>
      </c>
      <c r="CX7" s="173">
        <f t="shared" si="3"/>
        <v>9</v>
      </c>
      <c r="CY7" s="173">
        <f t="shared" si="3"/>
        <v>9</v>
      </c>
      <c r="CZ7" s="173">
        <f t="shared" si="3"/>
        <v>9</v>
      </c>
      <c r="DA7" s="173">
        <f t="shared" si="3"/>
        <v>9</v>
      </c>
      <c r="DB7" s="173">
        <f t="shared" si="3"/>
        <v>9</v>
      </c>
      <c r="DC7" s="173">
        <f t="shared" si="3"/>
        <v>9</v>
      </c>
      <c r="DD7" s="173">
        <f t="shared" si="3"/>
        <v>9</v>
      </c>
      <c r="DE7" s="173">
        <f t="shared" si="3"/>
        <v>9</v>
      </c>
      <c r="DF7" s="173">
        <f t="shared" si="3"/>
        <v>9</v>
      </c>
      <c r="DG7" s="173">
        <f t="shared" si="3"/>
        <v>9</v>
      </c>
      <c r="DH7" s="173">
        <f t="shared" si="3"/>
        <v>10</v>
      </c>
      <c r="DI7" s="173">
        <f t="shared" si="3"/>
        <v>10</v>
      </c>
      <c r="DJ7" s="173">
        <f t="shared" si="3"/>
        <v>10</v>
      </c>
      <c r="DK7" s="173">
        <f t="shared" si="3"/>
        <v>10</v>
      </c>
      <c r="DL7" s="173">
        <f t="shared" si="3"/>
        <v>10</v>
      </c>
      <c r="DM7" s="173">
        <f t="shared" si="3"/>
        <v>10</v>
      </c>
      <c r="DN7" s="173">
        <f t="shared" si="3"/>
        <v>10</v>
      </c>
      <c r="DO7" s="173">
        <f t="shared" si="3"/>
        <v>10</v>
      </c>
      <c r="DP7" s="173">
        <f t="shared" si="3"/>
        <v>10</v>
      </c>
      <c r="DQ7" s="173">
        <f t="shared" si="3"/>
        <v>10</v>
      </c>
      <c r="DR7" s="173">
        <f t="shared" si="3"/>
        <v>10</v>
      </c>
      <c r="DS7" s="173">
        <f t="shared" si="3"/>
        <v>10</v>
      </c>
      <c r="DT7" s="173">
        <f t="shared" si="3"/>
        <v>11</v>
      </c>
      <c r="DU7" s="173">
        <f t="shared" si="3"/>
        <v>11</v>
      </c>
      <c r="DV7" s="173">
        <f t="shared" si="3"/>
        <v>11</v>
      </c>
      <c r="DW7" s="173">
        <f t="shared" si="3"/>
        <v>11</v>
      </c>
      <c r="DX7" s="173">
        <f t="shared" si="3"/>
        <v>11</v>
      </c>
      <c r="DY7" s="173">
        <f t="shared" si="3"/>
        <v>11</v>
      </c>
      <c r="DZ7" s="173">
        <f t="shared" si="3"/>
        <v>11</v>
      </c>
      <c r="EA7" s="173">
        <f t="shared" si="3"/>
        <v>11</v>
      </c>
      <c r="EB7" s="173">
        <f t="shared" si="3"/>
        <v>11</v>
      </c>
      <c r="EC7" s="173">
        <f>ROUNDUP(EC6/12,0)</f>
        <v>11</v>
      </c>
      <c r="ED7" s="173">
        <f>ROUNDUP(ED6/12,0)</f>
        <v>11</v>
      </c>
      <c r="EE7" s="173">
        <f>ROUNDUP(EE6/12,0)</f>
        <v>11</v>
      </c>
    </row>
    <row r="8" spans="1:136" x14ac:dyDescent="0.2">
      <c r="B8" s="174"/>
      <c r="C8" s="175">
        <f>EOMONTH(AnalysisStartDate,-1)</f>
        <v>44926</v>
      </c>
      <c r="D8" s="175">
        <f>EOMONTH(AnalysisStartDate,0)</f>
        <v>44957</v>
      </c>
      <c r="E8" s="175">
        <f t="shared" ref="E8:BP8" si="4">EOMONTH(D8,1)</f>
        <v>44985</v>
      </c>
      <c r="F8" s="175">
        <f t="shared" si="4"/>
        <v>45016</v>
      </c>
      <c r="G8" s="175">
        <f t="shared" si="4"/>
        <v>45046</v>
      </c>
      <c r="H8" s="175">
        <f t="shared" si="4"/>
        <v>45077</v>
      </c>
      <c r="I8" s="175">
        <f t="shared" si="4"/>
        <v>45107</v>
      </c>
      <c r="J8" s="175">
        <f t="shared" si="4"/>
        <v>45138</v>
      </c>
      <c r="K8" s="175">
        <f t="shared" si="4"/>
        <v>45169</v>
      </c>
      <c r="L8" s="175">
        <f t="shared" si="4"/>
        <v>45199</v>
      </c>
      <c r="M8" s="175">
        <f t="shared" si="4"/>
        <v>45230</v>
      </c>
      <c r="N8" s="175">
        <f t="shared" si="4"/>
        <v>45260</v>
      </c>
      <c r="O8" s="175">
        <f t="shared" si="4"/>
        <v>45291</v>
      </c>
      <c r="P8" s="175">
        <f t="shared" si="4"/>
        <v>45322</v>
      </c>
      <c r="Q8" s="175">
        <f t="shared" si="4"/>
        <v>45351</v>
      </c>
      <c r="R8" s="175">
        <f t="shared" si="4"/>
        <v>45382</v>
      </c>
      <c r="S8" s="175">
        <f t="shared" si="4"/>
        <v>45412</v>
      </c>
      <c r="T8" s="175">
        <f t="shared" si="4"/>
        <v>45443</v>
      </c>
      <c r="U8" s="175">
        <f t="shared" si="4"/>
        <v>45473</v>
      </c>
      <c r="V8" s="175">
        <f t="shared" si="4"/>
        <v>45504</v>
      </c>
      <c r="W8" s="175">
        <f t="shared" si="4"/>
        <v>45535</v>
      </c>
      <c r="X8" s="175">
        <f t="shared" si="4"/>
        <v>45565</v>
      </c>
      <c r="Y8" s="175">
        <f t="shared" si="4"/>
        <v>45596</v>
      </c>
      <c r="Z8" s="175">
        <f t="shared" si="4"/>
        <v>45626</v>
      </c>
      <c r="AA8" s="175">
        <f t="shared" si="4"/>
        <v>45657</v>
      </c>
      <c r="AB8" s="175">
        <f t="shared" si="4"/>
        <v>45688</v>
      </c>
      <c r="AC8" s="175">
        <f t="shared" si="4"/>
        <v>45716</v>
      </c>
      <c r="AD8" s="175">
        <f t="shared" si="4"/>
        <v>45747</v>
      </c>
      <c r="AE8" s="175">
        <f t="shared" si="4"/>
        <v>45777</v>
      </c>
      <c r="AF8" s="175">
        <f t="shared" si="4"/>
        <v>45808</v>
      </c>
      <c r="AG8" s="175">
        <f t="shared" si="4"/>
        <v>45838</v>
      </c>
      <c r="AH8" s="175">
        <f t="shared" si="4"/>
        <v>45869</v>
      </c>
      <c r="AI8" s="175">
        <f t="shared" si="4"/>
        <v>45900</v>
      </c>
      <c r="AJ8" s="175">
        <f t="shared" si="4"/>
        <v>45930</v>
      </c>
      <c r="AK8" s="175">
        <f t="shared" si="4"/>
        <v>45961</v>
      </c>
      <c r="AL8" s="175">
        <f t="shared" si="4"/>
        <v>45991</v>
      </c>
      <c r="AM8" s="175">
        <f t="shared" si="4"/>
        <v>46022</v>
      </c>
      <c r="AN8" s="175">
        <f t="shared" si="4"/>
        <v>46053</v>
      </c>
      <c r="AO8" s="175">
        <f t="shared" si="4"/>
        <v>46081</v>
      </c>
      <c r="AP8" s="175">
        <f t="shared" si="4"/>
        <v>46112</v>
      </c>
      <c r="AQ8" s="175">
        <f t="shared" si="4"/>
        <v>46142</v>
      </c>
      <c r="AR8" s="175">
        <f t="shared" si="4"/>
        <v>46173</v>
      </c>
      <c r="AS8" s="175">
        <f t="shared" si="4"/>
        <v>46203</v>
      </c>
      <c r="AT8" s="175">
        <f t="shared" si="4"/>
        <v>46234</v>
      </c>
      <c r="AU8" s="175">
        <f t="shared" si="4"/>
        <v>46265</v>
      </c>
      <c r="AV8" s="175">
        <f t="shared" si="4"/>
        <v>46295</v>
      </c>
      <c r="AW8" s="175">
        <f t="shared" si="4"/>
        <v>46326</v>
      </c>
      <c r="AX8" s="175">
        <f t="shared" si="4"/>
        <v>46356</v>
      </c>
      <c r="AY8" s="175">
        <f t="shared" si="4"/>
        <v>46387</v>
      </c>
      <c r="AZ8" s="175">
        <f t="shared" si="4"/>
        <v>46418</v>
      </c>
      <c r="BA8" s="175">
        <f t="shared" si="4"/>
        <v>46446</v>
      </c>
      <c r="BB8" s="175">
        <f t="shared" si="4"/>
        <v>46477</v>
      </c>
      <c r="BC8" s="175">
        <f t="shared" si="4"/>
        <v>46507</v>
      </c>
      <c r="BD8" s="175">
        <f t="shared" si="4"/>
        <v>46538</v>
      </c>
      <c r="BE8" s="175">
        <f t="shared" si="4"/>
        <v>46568</v>
      </c>
      <c r="BF8" s="175">
        <f t="shared" si="4"/>
        <v>46599</v>
      </c>
      <c r="BG8" s="175">
        <f t="shared" si="4"/>
        <v>46630</v>
      </c>
      <c r="BH8" s="175">
        <f t="shared" si="4"/>
        <v>46660</v>
      </c>
      <c r="BI8" s="175">
        <f t="shared" si="4"/>
        <v>46691</v>
      </c>
      <c r="BJ8" s="175">
        <f t="shared" si="4"/>
        <v>46721</v>
      </c>
      <c r="BK8" s="175">
        <f t="shared" si="4"/>
        <v>46752</v>
      </c>
      <c r="BL8" s="175">
        <f t="shared" si="4"/>
        <v>46783</v>
      </c>
      <c r="BM8" s="175">
        <f t="shared" si="4"/>
        <v>46812</v>
      </c>
      <c r="BN8" s="175">
        <f t="shared" si="4"/>
        <v>46843</v>
      </c>
      <c r="BO8" s="175">
        <f t="shared" si="4"/>
        <v>46873</v>
      </c>
      <c r="BP8" s="175">
        <f t="shared" si="4"/>
        <v>46904</v>
      </c>
      <c r="BQ8" s="175">
        <f t="shared" ref="BQ8:EB8" si="5">EOMONTH(BP8,1)</f>
        <v>46934</v>
      </c>
      <c r="BR8" s="175">
        <f t="shared" si="5"/>
        <v>46965</v>
      </c>
      <c r="BS8" s="175">
        <f t="shared" si="5"/>
        <v>46996</v>
      </c>
      <c r="BT8" s="175">
        <f t="shared" si="5"/>
        <v>47026</v>
      </c>
      <c r="BU8" s="175">
        <f t="shared" si="5"/>
        <v>47057</v>
      </c>
      <c r="BV8" s="175">
        <f t="shared" si="5"/>
        <v>47087</v>
      </c>
      <c r="BW8" s="175">
        <f t="shared" si="5"/>
        <v>47118</v>
      </c>
      <c r="BX8" s="175">
        <f t="shared" si="5"/>
        <v>47149</v>
      </c>
      <c r="BY8" s="175">
        <f t="shared" si="5"/>
        <v>47177</v>
      </c>
      <c r="BZ8" s="175">
        <f t="shared" si="5"/>
        <v>47208</v>
      </c>
      <c r="CA8" s="175">
        <f t="shared" si="5"/>
        <v>47238</v>
      </c>
      <c r="CB8" s="175">
        <f t="shared" si="5"/>
        <v>47269</v>
      </c>
      <c r="CC8" s="175">
        <f t="shared" si="5"/>
        <v>47299</v>
      </c>
      <c r="CD8" s="175">
        <f t="shared" si="5"/>
        <v>47330</v>
      </c>
      <c r="CE8" s="175">
        <f t="shared" si="5"/>
        <v>47361</v>
      </c>
      <c r="CF8" s="175">
        <f t="shared" si="5"/>
        <v>47391</v>
      </c>
      <c r="CG8" s="175">
        <f t="shared" si="5"/>
        <v>47422</v>
      </c>
      <c r="CH8" s="175">
        <f t="shared" si="5"/>
        <v>47452</v>
      </c>
      <c r="CI8" s="175">
        <f t="shared" si="5"/>
        <v>47483</v>
      </c>
      <c r="CJ8" s="175">
        <f t="shared" si="5"/>
        <v>47514</v>
      </c>
      <c r="CK8" s="175">
        <f t="shared" si="5"/>
        <v>47542</v>
      </c>
      <c r="CL8" s="175">
        <f t="shared" si="5"/>
        <v>47573</v>
      </c>
      <c r="CM8" s="175">
        <f t="shared" si="5"/>
        <v>47603</v>
      </c>
      <c r="CN8" s="175">
        <f t="shared" si="5"/>
        <v>47634</v>
      </c>
      <c r="CO8" s="175">
        <f t="shared" si="5"/>
        <v>47664</v>
      </c>
      <c r="CP8" s="175">
        <f t="shared" si="5"/>
        <v>47695</v>
      </c>
      <c r="CQ8" s="175">
        <f t="shared" si="5"/>
        <v>47726</v>
      </c>
      <c r="CR8" s="175">
        <f t="shared" si="5"/>
        <v>47756</v>
      </c>
      <c r="CS8" s="175">
        <f t="shared" si="5"/>
        <v>47787</v>
      </c>
      <c r="CT8" s="175">
        <f t="shared" si="5"/>
        <v>47817</v>
      </c>
      <c r="CU8" s="175">
        <f t="shared" si="5"/>
        <v>47848</v>
      </c>
      <c r="CV8" s="175">
        <f t="shared" si="5"/>
        <v>47879</v>
      </c>
      <c r="CW8" s="175">
        <f t="shared" si="5"/>
        <v>47907</v>
      </c>
      <c r="CX8" s="175">
        <f t="shared" si="5"/>
        <v>47938</v>
      </c>
      <c r="CY8" s="175">
        <f t="shared" si="5"/>
        <v>47968</v>
      </c>
      <c r="CZ8" s="175">
        <f t="shared" si="5"/>
        <v>47999</v>
      </c>
      <c r="DA8" s="175">
        <f t="shared" si="5"/>
        <v>48029</v>
      </c>
      <c r="DB8" s="175">
        <f t="shared" si="5"/>
        <v>48060</v>
      </c>
      <c r="DC8" s="175">
        <f t="shared" si="5"/>
        <v>48091</v>
      </c>
      <c r="DD8" s="175">
        <f t="shared" si="5"/>
        <v>48121</v>
      </c>
      <c r="DE8" s="175">
        <f t="shared" si="5"/>
        <v>48152</v>
      </c>
      <c r="DF8" s="175">
        <f t="shared" si="5"/>
        <v>48182</v>
      </c>
      <c r="DG8" s="175">
        <f t="shared" si="5"/>
        <v>48213</v>
      </c>
      <c r="DH8" s="175">
        <f t="shared" si="5"/>
        <v>48244</v>
      </c>
      <c r="DI8" s="175">
        <f t="shared" si="5"/>
        <v>48273</v>
      </c>
      <c r="DJ8" s="175">
        <f t="shared" si="5"/>
        <v>48304</v>
      </c>
      <c r="DK8" s="175">
        <f t="shared" si="5"/>
        <v>48334</v>
      </c>
      <c r="DL8" s="175">
        <f t="shared" si="5"/>
        <v>48365</v>
      </c>
      <c r="DM8" s="175">
        <f t="shared" si="5"/>
        <v>48395</v>
      </c>
      <c r="DN8" s="175">
        <f t="shared" si="5"/>
        <v>48426</v>
      </c>
      <c r="DO8" s="175">
        <f t="shared" si="5"/>
        <v>48457</v>
      </c>
      <c r="DP8" s="175">
        <f t="shared" si="5"/>
        <v>48487</v>
      </c>
      <c r="DQ8" s="175">
        <f t="shared" si="5"/>
        <v>48518</v>
      </c>
      <c r="DR8" s="175">
        <f t="shared" si="5"/>
        <v>48548</v>
      </c>
      <c r="DS8" s="175">
        <f t="shared" si="5"/>
        <v>48579</v>
      </c>
      <c r="DT8" s="175">
        <f t="shared" si="5"/>
        <v>48610</v>
      </c>
      <c r="DU8" s="175">
        <f t="shared" si="5"/>
        <v>48638</v>
      </c>
      <c r="DV8" s="175">
        <f t="shared" si="5"/>
        <v>48669</v>
      </c>
      <c r="DW8" s="175">
        <f t="shared" si="5"/>
        <v>48699</v>
      </c>
      <c r="DX8" s="175">
        <f t="shared" si="5"/>
        <v>48730</v>
      </c>
      <c r="DY8" s="175">
        <f t="shared" si="5"/>
        <v>48760</v>
      </c>
      <c r="DZ8" s="175">
        <f t="shared" si="5"/>
        <v>48791</v>
      </c>
      <c r="EA8" s="175">
        <f t="shared" si="5"/>
        <v>48822</v>
      </c>
      <c r="EB8" s="175">
        <f t="shared" si="5"/>
        <v>48852</v>
      </c>
      <c r="EC8" s="175">
        <f>EOMONTH(EB8,1)</f>
        <v>48883</v>
      </c>
      <c r="ED8" s="175">
        <f>EOMONTH(EC8,1)</f>
        <v>48913</v>
      </c>
      <c r="EE8" s="175">
        <f>EOMONTH(ED8,1)</f>
        <v>48944</v>
      </c>
    </row>
    <row r="9" spans="1:136" x14ac:dyDescent="0.2">
      <c r="CW9" s="176"/>
    </row>
    <row r="10" spans="1:136" s="180" customFormat="1" ht="15" thickBot="1" x14ac:dyDescent="0.25">
      <c r="A10" s="177"/>
      <c r="B10" s="178" t="s">
        <v>112</v>
      </c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79"/>
      <c r="CA10" s="179"/>
      <c r="CB10" s="179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  <c r="CM10" s="179"/>
      <c r="CN10" s="179"/>
      <c r="CO10" s="179"/>
      <c r="CP10" s="179"/>
      <c r="CQ10" s="179"/>
      <c r="CR10" s="179"/>
      <c r="CS10" s="179"/>
      <c r="CT10" s="179"/>
      <c r="CU10" s="179"/>
      <c r="CV10" s="179"/>
      <c r="CW10" s="179"/>
      <c r="CX10" s="179"/>
      <c r="CY10" s="179"/>
      <c r="CZ10" s="179"/>
      <c r="DA10" s="179"/>
      <c r="DB10" s="179"/>
      <c r="DC10" s="179"/>
      <c r="DD10" s="179"/>
      <c r="DE10" s="179"/>
      <c r="DF10" s="179"/>
      <c r="DG10" s="179"/>
      <c r="DH10" s="179"/>
      <c r="DI10" s="179"/>
      <c r="DJ10" s="179"/>
      <c r="DK10" s="179"/>
      <c r="DL10" s="179"/>
      <c r="DM10" s="179"/>
      <c r="DN10" s="179"/>
      <c r="DO10" s="179"/>
      <c r="DP10" s="179"/>
      <c r="DQ10" s="179"/>
      <c r="DR10" s="179"/>
      <c r="DS10" s="179"/>
      <c r="DT10" s="179"/>
      <c r="DU10" s="179"/>
      <c r="DV10" s="179"/>
      <c r="DW10" s="179"/>
      <c r="DX10" s="179"/>
      <c r="DY10" s="179"/>
      <c r="DZ10" s="179"/>
      <c r="EA10" s="179"/>
      <c r="EB10" s="179"/>
      <c r="EC10" s="179"/>
      <c r="ED10" s="179"/>
      <c r="EE10" s="179"/>
    </row>
    <row r="11" spans="1:136" s="183" customFormat="1" x14ac:dyDescent="0.2">
      <c r="A11" s="181"/>
      <c r="B11" s="182" t="s">
        <v>703</v>
      </c>
      <c r="D11" s="184">
        <f t="shared" ref="D11:AI11" si="6">C17</f>
        <v>28000000</v>
      </c>
      <c r="E11" s="184">
        <f t="shared" si="6"/>
        <v>28000000</v>
      </c>
      <c r="F11" s="184">
        <f t="shared" si="6"/>
        <v>28000000</v>
      </c>
      <c r="G11" s="184">
        <f t="shared" si="6"/>
        <v>28000000</v>
      </c>
      <c r="H11" s="184">
        <f t="shared" si="6"/>
        <v>28000000</v>
      </c>
      <c r="I11" s="184">
        <f t="shared" si="6"/>
        <v>28000000</v>
      </c>
      <c r="J11" s="184">
        <f t="shared" si="6"/>
        <v>28000000</v>
      </c>
      <c r="K11" s="184">
        <f t="shared" si="6"/>
        <v>28000000</v>
      </c>
      <c r="L11" s="184">
        <f t="shared" si="6"/>
        <v>28000000</v>
      </c>
      <c r="M11" s="184">
        <f t="shared" si="6"/>
        <v>28000000</v>
      </c>
      <c r="N11" s="184">
        <f t="shared" si="6"/>
        <v>28000000</v>
      </c>
      <c r="O11" s="184">
        <f t="shared" si="6"/>
        <v>28000000</v>
      </c>
      <c r="P11" s="184">
        <f t="shared" si="6"/>
        <v>28000000</v>
      </c>
      <c r="Q11" s="184">
        <f t="shared" si="6"/>
        <v>28000000</v>
      </c>
      <c r="R11" s="184">
        <f t="shared" si="6"/>
        <v>28000000</v>
      </c>
      <c r="S11" s="184">
        <f t="shared" si="6"/>
        <v>28000000</v>
      </c>
      <c r="T11" s="184">
        <f t="shared" si="6"/>
        <v>28000000</v>
      </c>
      <c r="U11" s="184">
        <f t="shared" si="6"/>
        <v>28000000</v>
      </c>
      <c r="V11" s="184">
        <f t="shared" si="6"/>
        <v>28000000</v>
      </c>
      <c r="W11" s="184">
        <f t="shared" si="6"/>
        <v>28000000</v>
      </c>
      <c r="X11" s="184">
        <f t="shared" si="6"/>
        <v>28000000</v>
      </c>
      <c r="Y11" s="184">
        <f t="shared" si="6"/>
        <v>28000000</v>
      </c>
      <c r="Z11" s="184">
        <f t="shared" si="6"/>
        <v>28000000</v>
      </c>
      <c r="AA11" s="184">
        <f t="shared" si="6"/>
        <v>28000000</v>
      </c>
      <c r="AB11" s="184">
        <f t="shared" si="6"/>
        <v>28000000</v>
      </c>
      <c r="AC11" s="184">
        <f t="shared" si="6"/>
        <v>27970766.266862471</v>
      </c>
      <c r="AD11" s="184">
        <f t="shared" si="6"/>
        <v>27941392.455420326</v>
      </c>
      <c r="AE11" s="184">
        <f t="shared" si="6"/>
        <v>27911877.894465022</v>
      </c>
      <c r="AF11" s="184">
        <f t="shared" si="6"/>
        <v>27882221.909571804</v>
      </c>
      <c r="AG11" s="184">
        <f t="shared" si="6"/>
        <v>27852423.823084306</v>
      </c>
      <c r="AH11" s="184">
        <f t="shared" si="6"/>
        <v>27822482.954099055</v>
      </c>
      <c r="AI11" s="184">
        <f t="shared" si="6"/>
        <v>27792398.618449919</v>
      </c>
      <c r="AJ11" s="184">
        <f t="shared" ref="AJ11:BO11" si="7">AI17</f>
        <v>27762170.128692463</v>
      </c>
      <c r="AK11" s="184">
        <f t="shared" si="7"/>
        <v>27731796.794088252</v>
      </c>
      <c r="AL11" s="184">
        <f t="shared" si="7"/>
        <v>27701277.920589063</v>
      </c>
      <c r="AM11" s="184">
        <f t="shared" si="7"/>
        <v>27670612.810821023</v>
      </c>
      <c r="AN11" s="184">
        <f t="shared" si="7"/>
        <v>0</v>
      </c>
      <c r="AO11" s="184">
        <f t="shared" si="7"/>
        <v>0</v>
      </c>
      <c r="AP11" s="184">
        <f t="shared" si="7"/>
        <v>0</v>
      </c>
      <c r="AQ11" s="184">
        <f t="shared" si="7"/>
        <v>0</v>
      </c>
      <c r="AR11" s="184">
        <f t="shared" si="7"/>
        <v>0</v>
      </c>
      <c r="AS11" s="184">
        <f t="shared" si="7"/>
        <v>0</v>
      </c>
      <c r="AT11" s="184">
        <f t="shared" si="7"/>
        <v>0</v>
      </c>
      <c r="AU11" s="184">
        <f t="shared" si="7"/>
        <v>0</v>
      </c>
      <c r="AV11" s="184">
        <f t="shared" si="7"/>
        <v>0</v>
      </c>
      <c r="AW11" s="184">
        <f t="shared" si="7"/>
        <v>0</v>
      </c>
      <c r="AX11" s="184">
        <f t="shared" si="7"/>
        <v>0</v>
      </c>
      <c r="AY11" s="184">
        <f t="shared" si="7"/>
        <v>0</v>
      </c>
      <c r="AZ11" s="184">
        <f t="shared" si="7"/>
        <v>0</v>
      </c>
      <c r="BA11" s="184">
        <f t="shared" si="7"/>
        <v>0</v>
      </c>
      <c r="BB11" s="184">
        <f t="shared" si="7"/>
        <v>0</v>
      </c>
      <c r="BC11" s="184">
        <f t="shared" si="7"/>
        <v>0</v>
      </c>
      <c r="BD11" s="184">
        <f t="shared" si="7"/>
        <v>0</v>
      </c>
      <c r="BE11" s="184">
        <f t="shared" si="7"/>
        <v>0</v>
      </c>
      <c r="BF11" s="184">
        <f t="shared" si="7"/>
        <v>0</v>
      </c>
      <c r="BG11" s="184">
        <f t="shared" si="7"/>
        <v>0</v>
      </c>
      <c r="BH11" s="184">
        <f t="shared" si="7"/>
        <v>0</v>
      </c>
      <c r="BI11" s="184">
        <f t="shared" si="7"/>
        <v>0</v>
      </c>
      <c r="BJ11" s="184">
        <f t="shared" si="7"/>
        <v>0</v>
      </c>
      <c r="BK11" s="184">
        <f t="shared" si="7"/>
        <v>0</v>
      </c>
      <c r="BL11" s="184">
        <f t="shared" si="7"/>
        <v>0</v>
      </c>
      <c r="BM11" s="184">
        <f t="shared" si="7"/>
        <v>0</v>
      </c>
      <c r="BN11" s="184">
        <f t="shared" si="7"/>
        <v>0</v>
      </c>
      <c r="BO11" s="184">
        <f t="shared" si="7"/>
        <v>0</v>
      </c>
      <c r="BP11" s="184">
        <f t="shared" ref="BP11:CU11" si="8">BO17</f>
        <v>0</v>
      </c>
      <c r="BQ11" s="184">
        <f t="shared" si="8"/>
        <v>0</v>
      </c>
      <c r="BR11" s="184">
        <f t="shared" si="8"/>
        <v>0</v>
      </c>
      <c r="BS11" s="184">
        <f t="shared" si="8"/>
        <v>0</v>
      </c>
      <c r="BT11" s="184">
        <f t="shared" si="8"/>
        <v>0</v>
      </c>
      <c r="BU11" s="184">
        <f t="shared" si="8"/>
        <v>0</v>
      </c>
      <c r="BV11" s="184">
        <f t="shared" si="8"/>
        <v>0</v>
      </c>
      <c r="BW11" s="184">
        <f t="shared" si="8"/>
        <v>0</v>
      </c>
      <c r="BX11" s="184">
        <f t="shared" si="8"/>
        <v>0</v>
      </c>
      <c r="BY11" s="184">
        <f t="shared" si="8"/>
        <v>0</v>
      </c>
      <c r="BZ11" s="184">
        <f t="shared" si="8"/>
        <v>0</v>
      </c>
      <c r="CA11" s="184">
        <f t="shared" si="8"/>
        <v>0</v>
      </c>
      <c r="CB11" s="184">
        <f t="shared" si="8"/>
        <v>0</v>
      </c>
      <c r="CC11" s="184">
        <f t="shared" si="8"/>
        <v>0</v>
      </c>
      <c r="CD11" s="184">
        <f t="shared" si="8"/>
        <v>0</v>
      </c>
      <c r="CE11" s="184">
        <f t="shared" si="8"/>
        <v>0</v>
      </c>
      <c r="CF11" s="184">
        <f t="shared" si="8"/>
        <v>0</v>
      </c>
      <c r="CG11" s="184">
        <f t="shared" si="8"/>
        <v>0</v>
      </c>
      <c r="CH11" s="184">
        <f t="shared" si="8"/>
        <v>0</v>
      </c>
      <c r="CI11" s="184">
        <f t="shared" si="8"/>
        <v>0</v>
      </c>
      <c r="CJ11" s="184">
        <f t="shared" si="8"/>
        <v>0</v>
      </c>
      <c r="CK11" s="184">
        <f t="shared" si="8"/>
        <v>0</v>
      </c>
      <c r="CL11" s="184">
        <f t="shared" si="8"/>
        <v>0</v>
      </c>
      <c r="CM11" s="184">
        <f t="shared" si="8"/>
        <v>0</v>
      </c>
      <c r="CN11" s="184">
        <f t="shared" si="8"/>
        <v>0</v>
      </c>
      <c r="CO11" s="184">
        <f t="shared" si="8"/>
        <v>0</v>
      </c>
      <c r="CP11" s="184">
        <f t="shared" si="8"/>
        <v>0</v>
      </c>
      <c r="CQ11" s="184">
        <f t="shared" si="8"/>
        <v>0</v>
      </c>
      <c r="CR11" s="184">
        <f t="shared" si="8"/>
        <v>0</v>
      </c>
      <c r="CS11" s="184">
        <f t="shared" si="8"/>
        <v>0</v>
      </c>
      <c r="CT11" s="184">
        <f t="shared" si="8"/>
        <v>0</v>
      </c>
      <c r="CU11" s="184">
        <f t="shared" si="8"/>
        <v>0</v>
      </c>
      <c r="CV11" s="184">
        <f t="shared" ref="CV11:EE11" si="9">CU17</f>
        <v>0</v>
      </c>
      <c r="CW11" s="184">
        <f t="shared" si="9"/>
        <v>0</v>
      </c>
      <c r="CX11" s="184">
        <f t="shared" si="9"/>
        <v>0</v>
      </c>
      <c r="CY11" s="184">
        <f t="shared" si="9"/>
        <v>0</v>
      </c>
      <c r="CZ11" s="184">
        <f t="shared" si="9"/>
        <v>0</v>
      </c>
      <c r="DA11" s="184">
        <f t="shared" si="9"/>
        <v>0</v>
      </c>
      <c r="DB11" s="184">
        <f t="shared" si="9"/>
        <v>0</v>
      </c>
      <c r="DC11" s="184">
        <f t="shared" si="9"/>
        <v>0</v>
      </c>
      <c r="DD11" s="184">
        <f t="shared" si="9"/>
        <v>0</v>
      </c>
      <c r="DE11" s="184">
        <f t="shared" si="9"/>
        <v>0</v>
      </c>
      <c r="DF11" s="184">
        <f t="shared" si="9"/>
        <v>0</v>
      </c>
      <c r="DG11" s="184">
        <f t="shared" si="9"/>
        <v>0</v>
      </c>
      <c r="DH11" s="184">
        <f t="shared" si="9"/>
        <v>0</v>
      </c>
      <c r="DI11" s="184">
        <f t="shared" si="9"/>
        <v>0</v>
      </c>
      <c r="DJ11" s="184">
        <f t="shared" si="9"/>
        <v>0</v>
      </c>
      <c r="DK11" s="184">
        <f t="shared" si="9"/>
        <v>0</v>
      </c>
      <c r="DL11" s="184">
        <f t="shared" si="9"/>
        <v>0</v>
      </c>
      <c r="DM11" s="184">
        <f t="shared" si="9"/>
        <v>0</v>
      </c>
      <c r="DN11" s="184">
        <f t="shared" si="9"/>
        <v>0</v>
      </c>
      <c r="DO11" s="184">
        <f t="shared" si="9"/>
        <v>0</v>
      </c>
      <c r="DP11" s="184">
        <f t="shared" si="9"/>
        <v>0</v>
      </c>
      <c r="DQ11" s="184">
        <f t="shared" si="9"/>
        <v>0</v>
      </c>
      <c r="DR11" s="184">
        <f t="shared" si="9"/>
        <v>0</v>
      </c>
      <c r="DS11" s="184">
        <f t="shared" si="9"/>
        <v>0</v>
      </c>
      <c r="DT11" s="184">
        <f t="shared" si="9"/>
        <v>0</v>
      </c>
      <c r="DU11" s="184">
        <f t="shared" si="9"/>
        <v>0</v>
      </c>
      <c r="DV11" s="184">
        <f t="shared" si="9"/>
        <v>0</v>
      </c>
      <c r="DW11" s="184">
        <f t="shared" si="9"/>
        <v>0</v>
      </c>
      <c r="DX11" s="184">
        <f t="shared" si="9"/>
        <v>0</v>
      </c>
      <c r="DY11" s="184">
        <f t="shared" si="9"/>
        <v>0</v>
      </c>
      <c r="DZ11" s="184">
        <f t="shared" si="9"/>
        <v>0</v>
      </c>
      <c r="EA11" s="184">
        <f t="shared" si="9"/>
        <v>0</v>
      </c>
      <c r="EB11" s="184">
        <f t="shared" si="9"/>
        <v>0</v>
      </c>
      <c r="EC11" s="184">
        <f t="shared" si="9"/>
        <v>0</v>
      </c>
      <c r="ED11" s="184">
        <f t="shared" si="9"/>
        <v>0</v>
      </c>
      <c r="EE11" s="184">
        <f t="shared" si="9"/>
        <v>0</v>
      </c>
    </row>
    <row r="12" spans="1:136" s="183" customFormat="1" x14ac:dyDescent="0.2">
      <c r="A12" s="181"/>
      <c r="B12" s="185" t="s">
        <v>707</v>
      </c>
      <c r="C12" s="183">
        <f t="shared" ref="C12" si="10">IF(C6=0,Senior_Proceeds-interest_reserve,IF(C8=reserve_release_period,interest_reserve,IF(C8=earnout_release_period,earnout,0)))</f>
        <v>28000000</v>
      </c>
      <c r="D12" s="183">
        <f t="shared" ref="D12:AI12" si="11">IF(D6=0,Senior_Proceeds,0)</f>
        <v>0</v>
      </c>
      <c r="E12" s="183">
        <f t="shared" si="11"/>
        <v>0</v>
      </c>
      <c r="F12" s="183">
        <f t="shared" si="11"/>
        <v>0</v>
      </c>
      <c r="G12" s="183">
        <f t="shared" si="11"/>
        <v>0</v>
      </c>
      <c r="H12" s="183">
        <f t="shared" si="11"/>
        <v>0</v>
      </c>
      <c r="I12" s="183">
        <f t="shared" si="11"/>
        <v>0</v>
      </c>
      <c r="J12" s="183">
        <f t="shared" si="11"/>
        <v>0</v>
      </c>
      <c r="K12" s="183">
        <f t="shared" si="11"/>
        <v>0</v>
      </c>
      <c r="L12" s="183">
        <f t="shared" si="11"/>
        <v>0</v>
      </c>
      <c r="M12" s="183">
        <f t="shared" si="11"/>
        <v>0</v>
      </c>
      <c r="N12" s="183">
        <f t="shared" si="11"/>
        <v>0</v>
      </c>
      <c r="O12" s="183">
        <f t="shared" si="11"/>
        <v>0</v>
      </c>
      <c r="P12" s="183">
        <f t="shared" si="11"/>
        <v>0</v>
      </c>
      <c r="Q12" s="183">
        <f t="shared" si="11"/>
        <v>0</v>
      </c>
      <c r="R12" s="183">
        <f t="shared" si="11"/>
        <v>0</v>
      </c>
      <c r="S12" s="183">
        <f t="shared" si="11"/>
        <v>0</v>
      </c>
      <c r="T12" s="183">
        <f t="shared" si="11"/>
        <v>0</v>
      </c>
      <c r="U12" s="183">
        <f t="shared" si="11"/>
        <v>0</v>
      </c>
      <c r="V12" s="183">
        <f t="shared" si="11"/>
        <v>0</v>
      </c>
      <c r="W12" s="183">
        <f t="shared" si="11"/>
        <v>0</v>
      </c>
      <c r="X12" s="183">
        <f t="shared" si="11"/>
        <v>0</v>
      </c>
      <c r="Y12" s="183">
        <f t="shared" si="11"/>
        <v>0</v>
      </c>
      <c r="Z12" s="183">
        <f t="shared" si="11"/>
        <v>0</v>
      </c>
      <c r="AA12" s="183">
        <f t="shared" si="11"/>
        <v>0</v>
      </c>
      <c r="AB12" s="183">
        <f t="shared" si="11"/>
        <v>0</v>
      </c>
      <c r="AC12" s="183">
        <f t="shared" si="11"/>
        <v>0</v>
      </c>
      <c r="AD12" s="183">
        <f t="shared" si="11"/>
        <v>0</v>
      </c>
      <c r="AE12" s="183">
        <f t="shared" si="11"/>
        <v>0</v>
      </c>
      <c r="AF12" s="183">
        <f t="shared" si="11"/>
        <v>0</v>
      </c>
      <c r="AG12" s="183">
        <f t="shared" si="11"/>
        <v>0</v>
      </c>
      <c r="AH12" s="183">
        <f t="shared" si="11"/>
        <v>0</v>
      </c>
      <c r="AI12" s="183">
        <f t="shared" si="11"/>
        <v>0</v>
      </c>
      <c r="AJ12" s="183">
        <f t="shared" ref="AJ12:BO12" si="12">IF(AJ6=0,Senior_Proceeds,0)</f>
        <v>0</v>
      </c>
      <c r="AK12" s="183">
        <f t="shared" si="12"/>
        <v>0</v>
      </c>
      <c r="AL12" s="183">
        <f t="shared" si="12"/>
        <v>0</v>
      </c>
      <c r="AM12" s="183">
        <f t="shared" si="12"/>
        <v>0</v>
      </c>
      <c r="AN12" s="183">
        <f t="shared" si="12"/>
        <v>0</v>
      </c>
      <c r="AO12" s="183">
        <f t="shared" si="12"/>
        <v>0</v>
      </c>
      <c r="AP12" s="183">
        <f t="shared" si="12"/>
        <v>0</v>
      </c>
      <c r="AQ12" s="183">
        <f t="shared" si="12"/>
        <v>0</v>
      </c>
      <c r="AR12" s="183">
        <f t="shared" si="12"/>
        <v>0</v>
      </c>
      <c r="AS12" s="183">
        <f t="shared" si="12"/>
        <v>0</v>
      </c>
      <c r="AT12" s="183">
        <f t="shared" si="12"/>
        <v>0</v>
      </c>
      <c r="AU12" s="183">
        <f t="shared" si="12"/>
        <v>0</v>
      </c>
      <c r="AV12" s="183">
        <f t="shared" si="12"/>
        <v>0</v>
      </c>
      <c r="AW12" s="183">
        <f t="shared" si="12"/>
        <v>0</v>
      </c>
      <c r="AX12" s="183">
        <f t="shared" si="12"/>
        <v>0</v>
      </c>
      <c r="AY12" s="183">
        <f t="shared" si="12"/>
        <v>0</v>
      </c>
      <c r="AZ12" s="183">
        <f t="shared" si="12"/>
        <v>0</v>
      </c>
      <c r="BA12" s="183">
        <f t="shared" si="12"/>
        <v>0</v>
      </c>
      <c r="BB12" s="183">
        <f t="shared" si="12"/>
        <v>0</v>
      </c>
      <c r="BC12" s="183">
        <f t="shared" si="12"/>
        <v>0</v>
      </c>
      <c r="BD12" s="183">
        <f t="shared" si="12"/>
        <v>0</v>
      </c>
      <c r="BE12" s="183">
        <f t="shared" si="12"/>
        <v>0</v>
      </c>
      <c r="BF12" s="183">
        <f t="shared" si="12"/>
        <v>0</v>
      </c>
      <c r="BG12" s="183">
        <f t="shared" si="12"/>
        <v>0</v>
      </c>
      <c r="BH12" s="183">
        <f t="shared" si="12"/>
        <v>0</v>
      </c>
      <c r="BI12" s="183">
        <f t="shared" si="12"/>
        <v>0</v>
      </c>
      <c r="BJ12" s="183">
        <f t="shared" si="12"/>
        <v>0</v>
      </c>
      <c r="BK12" s="183">
        <f t="shared" si="12"/>
        <v>0</v>
      </c>
      <c r="BL12" s="183">
        <f t="shared" si="12"/>
        <v>0</v>
      </c>
      <c r="BM12" s="183">
        <f t="shared" si="12"/>
        <v>0</v>
      </c>
      <c r="BN12" s="183">
        <f t="shared" si="12"/>
        <v>0</v>
      </c>
      <c r="BO12" s="183">
        <f t="shared" si="12"/>
        <v>0</v>
      </c>
      <c r="BP12" s="183">
        <f t="shared" ref="BP12:CU12" si="13">IF(BP6=0,Senior_Proceeds,0)</f>
        <v>0</v>
      </c>
      <c r="BQ12" s="183">
        <f t="shared" si="13"/>
        <v>0</v>
      </c>
      <c r="BR12" s="183">
        <f t="shared" si="13"/>
        <v>0</v>
      </c>
      <c r="BS12" s="183">
        <f t="shared" si="13"/>
        <v>0</v>
      </c>
      <c r="BT12" s="183">
        <f t="shared" si="13"/>
        <v>0</v>
      </c>
      <c r="BU12" s="183">
        <f t="shared" si="13"/>
        <v>0</v>
      </c>
      <c r="BV12" s="183">
        <f t="shared" si="13"/>
        <v>0</v>
      </c>
      <c r="BW12" s="183">
        <f t="shared" si="13"/>
        <v>0</v>
      </c>
      <c r="BX12" s="183">
        <f t="shared" si="13"/>
        <v>0</v>
      </c>
      <c r="BY12" s="183">
        <f t="shared" si="13"/>
        <v>0</v>
      </c>
      <c r="BZ12" s="183">
        <f t="shared" si="13"/>
        <v>0</v>
      </c>
      <c r="CA12" s="183">
        <f t="shared" si="13"/>
        <v>0</v>
      </c>
      <c r="CB12" s="183">
        <f t="shared" si="13"/>
        <v>0</v>
      </c>
      <c r="CC12" s="183">
        <f t="shared" si="13"/>
        <v>0</v>
      </c>
      <c r="CD12" s="183">
        <f t="shared" si="13"/>
        <v>0</v>
      </c>
      <c r="CE12" s="183">
        <f t="shared" si="13"/>
        <v>0</v>
      </c>
      <c r="CF12" s="183">
        <f t="shared" si="13"/>
        <v>0</v>
      </c>
      <c r="CG12" s="183">
        <f t="shared" si="13"/>
        <v>0</v>
      </c>
      <c r="CH12" s="183">
        <f t="shared" si="13"/>
        <v>0</v>
      </c>
      <c r="CI12" s="183">
        <f t="shared" si="13"/>
        <v>0</v>
      </c>
      <c r="CJ12" s="183">
        <f t="shared" si="13"/>
        <v>0</v>
      </c>
      <c r="CK12" s="183">
        <f t="shared" si="13"/>
        <v>0</v>
      </c>
      <c r="CL12" s="183">
        <f t="shared" si="13"/>
        <v>0</v>
      </c>
      <c r="CM12" s="183">
        <f t="shared" si="13"/>
        <v>0</v>
      </c>
      <c r="CN12" s="183">
        <f t="shared" si="13"/>
        <v>0</v>
      </c>
      <c r="CO12" s="183">
        <f t="shared" si="13"/>
        <v>0</v>
      </c>
      <c r="CP12" s="183">
        <f t="shared" si="13"/>
        <v>0</v>
      </c>
      <c r="CQ12" s="183">
        <f t="shared" si="13"/>
        <v>0</v>
      </c>
      <c r="CR12" s="183">
        <f t="shared" si="13"/>
        <v>0</v>
      </c>
      <c r="CS12" s="183">
        <f t="shared" si="13"/>
        <v>0</v>
      </c>
      <c r="CT12" s="183">
        <f t="shared" si="13"/>
        <v>0</v>
      </c>
      <c r="CU12" s="183">
        <f t="shared" si="13"/>
        <v>0</v>
      </c>
      <c r="CV12" s="183">
        <f t="shared" ref="CV12:EE12" si="14">IF(CV6=0,Senior_Proceeds,0)</f>
        <v>0</v>
      </c>
      <c r="CW12" s="183">
        <f t="shared" si="14"/>
        <v>0</v>
      </c>
      <c r="CX12" s="183">
        <f t="shared" si="14"/>
        <v>0</v>
      </c>
      <c r="CY12" s="183">
        <f t="shared" si="14"/>
        <v>0</v>
      </c>
      <c r="CZ12" s="183">
        <f t="shared" si="14"/>
        <v>0</v>
      </c>
      <c r="DA12" s="183">
        <f t="shared" si="14"/>
        <v>0</v>
      </c>
      <c r="DB12" s="183">
        <f t="shared" si="14"/>
        <v>0</v>
      </c>
      <c r="DC12" s="183">
        <f t="shared" si="14"/>
        <v>0</v>
      </c>
      <c r="DD12" s="183">
        <f t="shared" si="14"/>
        <v>0</v>
      </c>
      <c r="DE12" s="183">
        <f t="shared" si="14"/>
        <v>0</v>
      </c>
      <c r="DF12" s="183">
        <f t="shared" si="14"/>
        <v>0</v>
      </c>
      <c r="DG12" s="183">
        <f t="shared" si="14"/>
        <v>0</v>
      </c>
      <c r="DH12" s="183">
        <f t="shared" si="14"/>
        <v>0</v>
      </c>
      <c r="DI12" s="183">
        <f t="shared" si="14"/>
        <v>0</v>
      </c>
      <c r="DJ12" s="183">
        <f t="shared" si="14"/>
        <v>0</v>
      </c>
      <c r="DK12" s="183">
        <f t="shared" si="14"/>
        <v>0</v>
      </c>
      <c r="DL12" s="183">
        <f t="shared" si="14"/>
        <v>0</v>
      </c>
      <c r="DM12" s="183">
        <f t="shared" si="14"/>
        <v>0</v>
      </c>
      <c r="DN12" s="183">
        <f t="shared" si="14"/>
        <v>0</v>
      </c>
      <c r="DO12" s="183">
        <f t="shared" si="14"/>
        <v>0</v>
      </c>
      <c r="DP12" s="183">
        <f t="shared" si="14"/>
        <v>0</v>
      </c>
      <c r="DQ12" s="183">
        <f t="shared" si="14"/>
        <v>0</v>
      </c>
      <c r="DR12" s="183">
        <f t="shared" si="14"/>
        <v>0</v>
      </c>
      <c r="DS12" s="183">
        <f t="shared" si="14"/>
        <v>0</v>
      </c>
      <c r="DT12" s="183">
        <f t="shared" si="14"/>
        <v>0</v>
      </c>
      <c r="DU12" s="183">
        <f t="shared" si="14"/>
        <v>0</v>
      </c>
      <c r="DV12" s="183">
        <f t="shared" si="14"/>
        <v>0</v>
      </c>
      <c r="DW12" s="183">
        <f t="shared" si="14"/>
        <v>0</v>
      </c>
      <c r="DX12" s="183">
        <f t="shared" si="14"/>
        <v>0</v>
      </c>
      <c r="DY12" s="183">
        <f t="shared" si="14"/>
        <v>0</v>
      </c>
      <c r="DZ12" s="183">
        <f t="shared" si="14"/>
        <v>0</v>
      </c>
      <c r="EA12" s="183">
        <f t="shared" si="14"/>
        <v>0</v>
      </c>
      <c r="EB12" s="183">
        <f t="shared" si="14"/>
        <v>0</v>
      </c>
      <c r="EC12" s="183">
        <f t="shared" si="14"/>
        <v>0</v>
      </c>
      <c r="ED12" s="183">
        <f t="shared" si="14"/>
        <v>0</v>
      </c>
      <c r="EE12" s="183">
        <f t="shared" si="14"/>
        <v>0</v>
      </c>
      <c r="EF12" s="183" t="s">
        <v>243</v>
      </c>
    </row>
    <row r="13" spans="1:136" s="183" customFormat="1" x14ac:dyDescent="0.2">
      <c r="A13" s="181"/>
      <c r="B13" s="185" t="s">
        <v>36</v>
      </c>
      <c r="C13" s="183">
        <v>0</v>
      </c>
      <c r="D13" s="183">
        <f t="shared" ref="D13:AI13" si="15">IF(RefiMonth&gt;0,IF(OR(D6&gt;HoldPeriod,D6&gt;RefiMonth),0,-(D11)*SeniorInt/12),IF(D6&gt;HoldPeriod,0,-D11*SeniorInt/12))</f>
        <v>-134166.66666666666</v>
      </c>
      <c r="E13" s="183">
        <f t="shared" si="15"/>
        <v>-134166.66666666666</v>
      </c>
      <c r="F13" s="183">
        <f t="shared" si="15"/>
        <v>-134166.66666666666</v>
      </c>
      <c r="G13" s="183">
        <f t="shared" si="15"/>
        <v>-134166.66666666666</v>
      </c>
      <c r="H13" s="183">
        <f t="shared" si="15"/>
        <v>-134166.66666666666</v>
      </c>
      <c r="I13" s="183">
        <f t="shared" si="15"/>
        <v>-134166.66666666666</v>
      </c>
      <c r="J13" s="183">
        <f t="shared" si="15"/>
        <v>-134166.66666666666</v>
      </c>
      <c r="K13" s="183">
        <f t="shared" si="15"/>
        <v>-134166.66666666666</v>
      </c>
      <c r="L13" s="183">
        <f t="shared" si="15"/>
        <v>-134166.66666666666</v>
      </c>
      <c r="M13" s="183">
        <f t="shared" si="15"/>
        <v>-134166.66666666666</v>
      </c>
      <c r="N13" s="183">
        <f t="shared" si="15"/>
        <v>-134166.66666666666</v>
      </c>
      <c r="O13" s="183">
        <f t="shared" si="15"/>
        <v>-134166.66666666666</v>
      </c>
      <c r="P13" s="183">
        <f t="shared" si="15"/>
        <v>-134166.66666666666</v>
      </c>
      <c r="Q13" s="183">
        <f t="shared" si="15"/>
        <v>-134166.66666666666</v>
      </c>
      <c r="R13" s="183">
        <f t="shared" si="15"/>
        <v>-134166.66666666666</v>
      </c>
      <c r="S13" s="183">
        <f t="shared" si="15"/>
        <v>-134166.66666666666</v>
      </c>
      <c r="T13" s="183">
        <f t="shared" si="15"/>
        <v>-134166.66666666666</v>
      </c>
      <c r="U13" s="183">
        <f t="shared" si="15"/>
        <v>-134166.66666666666</v>
      </c>
      <c r="V13" s="183">
        <f t="shared" si="15"/>
        <v>-134166.66666666666</v>
      </c>
      <c r="W13" s="183">
        <f t="shared" si="15"/>
        <v>-134166.66666666666</v>
      </c>
      <c r="X13" s="183">
        <f t="shared" si="15"/>
        <v>-134166.66666666666</v>
      </c>
      <c r="Y13" s="183">
        <f t="shared" si="15"/>
        <v>-134166.66666666666</v>
      </c>
      <c r="Z13" s="183">
        <f t="shared" si="15"/>
        <v>-134166.66666666666</v>
      </c>
      <c r="AA13" s="183">
        <f t="shared" si="15"/>
        <v>-134166.66666666666</v>
      </c>
      <c r="AB13" s="183">
        <f t="shared" si="15"/>
        <v>-134166.66666666666</v>
      </c>
      <c r="AC13" s="183">
        <f t="shared" si="15"/>
        <v>-134026.58836204934</v>
      </c>
      <c r="AD13" s="183">
        <f t="shared" si="15"/>
        <v>-133885.83884888905</v>
      </c>
      <c r="AE13" s="183">
        <f t="shared" si="15"/>
        <v>-133744.4149109782</v>
      </c>
      <c r="AF13" s="183">
        <f t="shared" si="15"/>
        <v>-133602.31331669822</v>
      </c>
      <c r="AG13" s="183">
        <f t="shared" si="15"/>
        <v>-133459.53081894564</v>
      </c>
      <c r="AH13" s="183">
        <f t="shared" si="15"/>
        <v>-133316.06415505797</v>
      </c>
      <c r="AI13" s="183">
        <f t="shared" si="15"/>
        <v>-133171.91004673918</v>
      </c>
      <c r="AJ13" s="183">
        <f t="shared" ref="AJ13:BO13" si="16">IF(RefiMonth&gt;0,IF(OR(AJ6&gt;HoldPeriod,AJ6&gt;RefiMonth),0,-(AJ11)*SeniorInt/12),IF(AJ6&gt;HoldPeriod,0,-AJ11*SeniorInt/12))</f>
        <v>-133027.0651999847</v>
      </c>
      <c r="AK13" s="183">
        <f t="shared" si="16"/>
        <v>-132881.52630500621</v>
      </c>
      <c r="AL13" s="183">
        <f t="shared" si="16"/>
        <v>-132735.29003615593</v>
      </c>
      <c r="AM13" s="183">
        <f t="shared" si="16"/>
        <v>-132588.35305185072</v>
      </c>
      <c r="AN13" s="183">
        <f t="shared" si="16"/>
        <v>0</v>
      </c>
      <c r="AO13" s="183">
        <f t="shared" si="16"/>
        <v>0</v>
      </c>
      <c r="AP13" s="183">
        <f t="shared" si="16"/>
        <v>0</v>
      </c>
      <c r="AQ13" s="183">
        <f t="shared" si="16"/>
        <v>0</v>
      </c>
      <c r="AR13" s="183">
        <f t="shared" si="16"/>
        <v>0</v>
      </c>
      <c r="AS13" s="183">
        <f t="shared" si="16"/>
        <v>0</v>
      </c>
      <c r="AT13" s="183">
        <f t="shared" si="16"/>
        <v>0</v>
      </c>
      <c r="AU13" s="183">
        <f t="shared" si="16"/>
        <v>0</v>
      </c>
      <c r="AV13" s="183">
        <f t="shared" si="16"/>
        <v>0</v>
      </c>
      <c r="AW13" s="183">
        <f t="shared" si="16"/>
        <v>0</v>
      </c>
      <c r="AX13" s="183">
        <f t="shared" si="16"/>
        <v>0</v>
      </c>
      <c r="AY13" s="183">
        <f t="shared" si="16"/>
        <v>0</v>
      </c>
      <c r="AZ13" s="183">
        <f t="shared" si="16"/>
        <v>0</v>
      </c>
      <c r="BA13" s="183">
        <f t="shared" si="16"/>
        <v>0</v>
      </c>
      <c r="BB13" s="183">
        <f t="shared" si="16"/>
        <v>0</v>
      </c>
      <c r="BC13" s="183">
        <f t="shared" si="16"/>
        <v>0</v>
      </c>
      <c r="BD13" s="183">
        <f t="shared" si="16"/>
        <v>0</v>
      </c>
      <c r="BE13" s="183">
        <f t="shared" si="16"/>
        <v>0</v>
      </c>
      <c r="BF13" s="183">
        <f t="shared" si="16"/>
        <v>0</v>
      </c>
      <c r="BG13" s="183">
        <f t="shared" si="16"/>
        <v>0</v>
      </c>
      <c r="BH13" s="183">
        <f t="shared" si="16"/>
        <v>0</v>
      </c>
      <c r="BI13" s="183">
        <f t="shared" si="16"/>
        <v>0</v>
      </c>
      <c r="BJ13" s="183">
        <f t="shared" si="16"/>
        <v>0</v>
      </c>
      <c r="BK13" s="183">
        <f t="shared" si="16"/>
        <v>0</v>
      </c>
      <c r="BL13" s="183">
        <f t="shared" si="16"/>
        <v>0</v>
      </c>
      <c r="BM13" s="183">
        <f t="shared" si="16"/>
        <v>0</v>
      </c>
      <c r="BN13" s="183">
        <f t="shared" si="16"/>
        <v>0</v>
      </c>
      <c r="BO13" s="183">
        <f t="shared" si="16"/>
        <v>0</v>
      </c>
      <c r="BP13" s="183">
        <f t="shared" ref="BP13:CU13" si="17">IF(RefiMonth&gt;0,IF(OR(BP6&gt;HoldPeriod,BP6&gt;RefiMonth),0,-(BP11)*SeniorInt/12),IF(BP6&gt;HoldPeriod,0,-BP11*SeniorInt/12))</f>
        <v>0</v>
      </c>
      <c r="BQ13" s="183">
        <f t="shared" si="17"/>
        <v>0</v>
      </c>
      <c r="BR13" s="183">
        <f t="shared" si="17"/>
        <v>0</v>
      </c>
      <c r="BS13" s="183">
        <f t="shared" si="17"/>
        <v>0</v>
      </c>
      <c r="BT13" s="183">
        <f t="shared" si="17"/>
        <v>0</v>
      </c>
      <c r="BU13" s="183">
        <f t="shared" si="17"/>
        <v>0</v>
      </c>
      <c r="BV13" s="183">
        <f t="shared" si="17"/>
        <v>0</v>
      </c>
      <c r="BW13" s="183">
        <f t="shared" si="17"/>
        <v>0</v>
      </c>
      <c r="BX13" s="183">
        <f t="shared" si="17"/>
        <v>0</v>
      </c>
      <c r="BY13" s="183">
        <f t="shared" si="17"/>
        <v>0</v>
      </c>
      <c r="BZ13" s="183">
        <f t="shared" si="17"/>
        <v>0</v>
      </c>
      <c r="CA13" s="183">
        <f t="shared" si="17"/>
        <v>0</v>
      </c>
      <c r="CB13" s="183">
        <f t="shared" si="17"/>
        <v>0</v>
      </c>
      <c r="CC13" s="183">
        <f t="shared" si="17"/>
        <v>0</v>
      </c>
      <c r="CD13" s="183">
        <f t="shared" si="17"/>
        <v>0</v>
      </c>
      <c r="CE13" s="183">
        <f t="shared" si="17"/>
        <v>0</v>
      </c>
      <c r="CF13" s="183">
        <f t="shared" si="17"/>
        <v>0</v>
      </c>
      <c r="CG13" s="183">
        <f t="shared" si="17"/>
        <v>0</v>
      </c>
      <c r="CH13" s="183">
        <f t="shared" si="17"/>
        <v>0</v>
      </c>
      <c r="CI13" s="183">
        <f t="shared" si="17"/>
        <v>0</v>
      </c>
      <c r="CJ13" s="183">
        <f t="shared" si="17"/>
        <v>0</v>
      </c>
      <c r="CK13" s="183">
        <f t="shared" si="17"/>
        <v>0</v>
      </c>
      <c r="CL13" s="183">
        <f t="shared" si="17"/>
        <v>0</v>
      </c>
      <c r="CM13" s="183">
        <f t="shared" si="17"/>
        <v>0</v>
      </c>
      <c r="CN13" s="183">
        <f t="shared" si="17"/>
        <v>0</v>
      </c>
      <c r="CO13" s="183">
        <f t="shared" si="17"/>
        <v>0</v>
      </c>
      <c r="CP13" s="183">
        <f t="shared" si="17"/>
        <v>0</v>
      </c>
      <c r="CQ13" s="183">
        <f t="shared" si="17"/>
        <v>0</v>
      </c>
      <c r="CR13" s="183">
        <f t="shared" si="17"/>
        <v>0</v>
      </c>
      <c r="CS13" s="183">
        <f t="shared" si="17"/>
        <v>0</v>
      </c>
      <c r="CT13" s="183">
        <f t="shared" si="17"/>
        <v>0</v>
      </c>
      <c r="CU13" s="183">
        <f t="shared" si="17"/>
        <v>0</v>
      </c>
      <c r="CV13" s="183">
        <f t="shared" ref="CV13:EE13" si="18">IF(RefiMonth&gt;0,IF(OR(CV6&gt;HoldPeriod,CV6&gt;RefiMonth),0,-(CV11)*SeniorInt/12),IF(CV6&gt;HoldPeriod,0,-CV11*SeniorInt/12))</f>
        <v>0</v>
      </c>
      <c r="CW13" s="183">
        <f t="shared" si="18"/>
        <v>0</v>
      </c>
      <c r="CX13" s="183">
        <f t="shared" si="18"/>
        <v>0</v>
      </c>
      <c r="CY13" s="183">
        <f t="shared" si="18"/>
        <v>0</v>
      </c>
      <c r="CZ13" s="183">
        <f t="shared" si="18"/>
        <v>0</v>
      </c>
      <c r="DA13" s="183">
        <f t="shared" si="18"/>
        <v>0</v>
      </c>
      <c r="DB13" s="183">
        <f t="shared" si="18"/>
        <v>0</v>
      </c>
      <c r="DC13" s="183">
        <f t="shared" si="18"/>
        <v>0</v>
      </c>
      <c r="DD13" s="183">
        <f t="shared" si="18"/>
        <v>0</v>
      </c>
      <c r="DE13" s="183">
        <f t="shared" si="18"/>
        <v>0</v>
      </c>
      <c r="DF13" s="183">
        <f t="shared" si="18"/>
        <v>0</v>
      </c>
      <c r="DG13" s="183">
        <f t="shared" si="18"/>
        <v>0</v>
      </c>
      <c r="DH13" s="183">
        <f t="shared" si="18"/>
        <v>0</v>
      </c>
      <c r="DI13" s="183">
        <f t="shared" si="18"/>
        <v>0</v>
      </c>
      <c r="DJ13" s="183">
        <f t="shared" si="18"/>
        <v>0</v>
      </c>
      <c r="DK13" s="183">
        <f t="shared" si="18"/>
        <v>0</v>
      </c>
      <c r="DL13" s="183">
        <f t="shared" si="18"/>
        <v>0</v>
      </c>
      <c r="DM13" s="183">
        <f t="shared" si="18"/>
        <v>0</v>
      </c>
      <c r="DN13" s="183">
        <f t="shared" si="18"/>
        <v>0</v>
      </c>
      <c r="DO13" s="183">
        <f t="shared" si="18"/>
        <v>0</v>
      </c>
      <c r="DP13" s="183">
        <f t="shared" si="18"/>
        <v>0</v>
      </c>
      <c r="DQ13" s="183">
        <f t="shared" si="18"/>
        <v>0</v>
      </c>
      <c r="DR13" s="183">
        <f t="shared" si="18"/>
        <v>0</v>
      </c>
      <c r="DS13" s="183">
        <f t="shared" si="18"/>
        <v>0</v>
      </c>
      <c r="DT13" s="183">
        <f t="shared" si="18"/>
        <v>0</v>
      </c>
      <c r="DU13" s="183">
        <f t="shared" si="18"/>
        <v>0</v>
      </c>
      <c r="DV13" s="183">
        <f t="shared" si="18"/>
        <v>0</v>
      </c>
      <c r="DW13" s="183">
        <f t="shared" si="18"/>
        <v>0</v>
      </c>
      <c r="DX13" s="183">
        <f t="shared" si="18"/>
        <v>0</v>
      </c>
      <c r="DY13" s="183">
        <f t="shared" si="18"/>
        <v>0</v>
      </c>
      <c r="DZ13" s="183">
        <f t="shared" si="18"/>
        <v>0</v>
      </c>
      <c r="EA13" s="183">
        <f t="shared" si="18"/>
        <v>0</v>
      </c>
      <c r="EB13" s="183">
        <f t="shared" si="18"/>
        <v>0</v>
      </c>
      <c r="EC13" s="183">
        <f t="shared" si="18"/>
        <v>0</v>
      </c>
      <c r="ED13" s="183">
        <f t="shared" si="18"/>
        <v>0</v>
      </c>
      <c r="EE13" s="183">
        <f t="shared" si="18"/>
        <v>0</v>
      </c>
    </row>
    <row r="14" spans="1:136" s="183" customFormat="1" x14ac:dyDescent="0.2">
      <c r="A14" s="181"/>
      <c r="B14" s="185" t="s">
        <v>35</v>
      </c>
      <c r="C14" s="183">
        <v>0</v>
      </c>
      <c r="D14" s="183">
        <f t="shared" ref="D14:AI14" si="19">IF(RefiMonth&gt;0,IF(OR(D6&gt;HoldPeriod,D6&gt;RefiMonth,D6&lt;=SeniorIO),0,D15-D13),IF(OR(D6&gt;HoldPeriod,D6&lt;=SeniorIO),0,D15-D13))</f>
        <v>0</v>
      </c>
      <c r="E14" s="183">
        <f t="shared" si="19"/>
        <v>0</v>
      </c>
      <c r="F14" s="183">
        <f t="shared" si="19"/>
        <v>0</v>
      </c>
      <c r="G14" s="183">
        <f t="shared" si="19"/>
        <v>0</v>
      </c>
      <c r="H14" s="183">
        <f t="shared" si="19"/>
        <v>0</v>
      </c>
      <c r="I14" s="183">
        <f t="shared" si="19"/>
        <v>0</v>
      </c>
      <c r="J14" s="183">
        <f t="shared" si="19"/>
        <v>0</v>
      </c>
      <c r="K14" s="183">
        <f t="shared" si="19"/>
        <v>0</v>
      </c>
      <c r="L14" s="183">
        <f t="shared" si="19"/>
        <v>0</v>
      </c>
      <c r="M14" s="183">
        <f t="shared" si="19"/>
        <v>0</v>
      </c>
      <c r="N14" s="183">
        <f t="shared" si="19"/>
        <v>0</v>
      </c>
      <c r="O14" s="183">
        <f t="shared" si="19"/>
        <v>0</v>
      </c>
      <c r="P14" s="183">
        <f t="shared" si="19"/>
        <v>0</v>
      </c>
      <c r="Q14" s="183">
        <f t="shared" si="19"/>
        <v>0</v>
      </c>
      <c r="R14" s="183">
        <f t="shared" si="19"/>
        <v>0</v>
      </c>
      <c r="S14" s="183">
        <f t="shared" si="19"/>
        <v>0</v>
      </c>
      <c r="T14" s="183">
        <f t="shared" si="19"/>
        <v>0</v>
      </c>
      <c r="U14" s="183">
        <f t="shared" si="19"/>
        <v>0</v>
      </c>
      <c r="V14" s="183">
        <f t="shared" si="19"/>
        <v>0</v>
      </c>
      <c r="W14" s="183">
        <f t="shared" si="19"/>
        <v>0</v>
      </c>
      <c r="X14" s="183">
        <f t="shared" si="19"/>
        <v>0</v>
      </c>
      <c r="Y14" s="183">
        <f t="shared" si="19"/>
        <v>0</v>
      </c>
      <c r="Z14" s="183">
        <f t="shared" si="19"/>
        <v>0</v>
      </c>
      <c r="AA14" s="183">
        <f t="shared" si="19"/>
        <v>0</v>
      </c>
      <c r="AB14" s="183">
        <f t="shared" si="19"/>
        <v>-29233.73313752815</v>
      </c>
      <c r="AC14" s="183">
        <f t="shared" si="19"/>
        <v>-29373.811442145467</v>
      </c>
      <c r="AD14" s="183">
        <f t="shared" si="19"/>
        <v>-29514.560955305758</v>
      </c>
      <c r="AE14" s="183">
        <f t="shared" si="19"/>
        <v>-29655.984893216606</v>
      </c>
      <c r="AF14" s="183">
        <f t="shared" si="19"/>
        <v>-29798.086487496592</v>
      </c>
      <c r="AG14" s="183">
        <f t="shared" si="19"/>
        <v>-29940.868985249137</v>
      </c>
      <c r="AH14" s="183">
        <f t="shared" si="19"/>
        <v>-30084.335649136803</v>
      </c>
      <c r="AI14" s="183">
        <f t="shared" si="19"/>
        <v>-30228.489757455594</v>
      </c>
      <c r="AJ14" s="183">
        <f t="shared" ref="AJ14:BO14" si="20">IF(RefiMonth&gt;0,IF(OR(AJ6&gt;HoldPeriod,AJ6&gt;RefiMonth,AJ6&lt;=SeniorIO),0,AJ15-AJ13),IF(OR(AJ6&gt;HoldPeriod,AJ6&lt;=SeniorIO),0,AJ15-AJ13))</f>
        <v>-30373.334604210075</v>
      </c>
      <c r="AK14" s="183">
        <f t="shared" si="20"/>
        <v>-30518.873499188572</v>
      </c>
      <c r="AL14" s="183">
        <f t="shared" si="20"/>
        <v>-30665.109768038848</v>
      </c>
      <c r="AM14" s="183">
        <f t="shared" si="20"/>
        <v>-30812.04675234406</v>
      </c>
      <c r="AN14" s="183">
        <f t="shared" si="20"/>
        <v>0</v>
      </c>
      <c r="AO14" s="183">
        <f t="shared" si="20"/>
        <v>0</v>
      </c>
      <c r="AP14" s="183">
        <f t="shared" si="20"/>
        <v>0</v>
      </c>
      <c r="AQ14" s="183">
        <f t="shared" si="20"/>
        <v>0</v>
      </c>
      <c r="AR14" s="183">
        <f t="shared" si="20"/>
        <v>0</v>
      </c>
      <c r="AS14" s="183">
        <f t="shared" si="20"/>
        <v>0</v>
      </c>
      <c r="AT14" s="183">
        <f t="shared" si="20"/>
        <v>0</v>
      </c>
      <c r="AU14" s="183">
        <f t="shared" si="20"/>
        <v>0</v>
      </c>
      <c r="AV14" s="183">
        <f t="shared" si="20"/>
        <v>0</v>
      </c>
      <c r="AW14" s="183">
        <f t="shared" si="20"/>
        <v>0</v>
      </c>
      <c r="AX14" s="183">
        <f t="shared" si="20"/>
        <v>0</v>
      </c>
      <c r="AY14" s="183">
        <f t="shared" si="20"/>
        <v>0</v>
      </c>
      <c r="AZ14" s="183">
        <f t="shared" si="20"/>
        <v>0</v>
      </c>
      <c r="BA14" s="183">
        <f t="shared" si="20"/>
        <v>0</v>
      </c>
      <c r="BB14" s="183">
        <f t="shared" si="20"/>
        <v>0</v>
      </c>
      <c r="BC14" s="183">
        <f t="shared" si="20"/>
        <v>0</v>
      </c>
      <c r="BD14" s="183">
        <f t="shared" si="20"/>
        <v>0</v>
      </c>
      <c r="BE14" s="183">
        <f t="shared" si="20"/>
        <v>0</v>
      </c>
      <c r="BF14" s="183">
        <f t="shared" si="20"/>
        <v>0</v>
      </c>
      <c r="BG14" s="183">
        <f t="shared" si="20"/>
        <v>0</v>
      </c>
      <c r="BH14" s="183">
        <f t="shared" si="20"/>
        <v>0</v>
      </c>
      <c r="BI14" s="183">
        <f t="shared" si="20"/>
        <v>0</v>
      </c>
      <c r="BJ14" s="183">
        <f t="shared" si="20"/>
        <v>0</v>
      </c>
      <c r="BK14" s="183">
        <f t="shared" si="20"/>
        <v>0</v>
      </c>
      <c r="BL14" s="183">
        <f t="shared" si="20"/>
        <v>0</v>
      </c>
      <c r="BM14" s="183">
        <f t="shared" si="20"/>
        <v>0</v>
      </c>
      <c r="BN14" s="183">
        <f t="shared" si="20"/>
        <v>0</v>
      </c>
      <c r="BO14" s="183">
        <f t="shared" si="20"/>
        <v>0</v>
      </c>
      <c r="BP14" s="183">
        <f t="shared" ref="BP14:CU14" si="21">IF(RefiMonth&gt;0,IF(OR(BP6&gt;HoldPeriod,BP6&gt;RefiMonth,BP6&lt;=SeniorIO),0,BP15-BP13),IF(OR(BP6&gt;HoldPeriod,BP6&lt;=SeniorIO),0,BP15-BP13))</f>
        <v>0</v>
      </c>
      <c r="BQ14" s="183">
        <f t="shared" si="21"/>
        <v>0</v>
      </c>
      <c r="BR14" s="183">
        <f t="shared" si="21"/>
        <v>0</v>
      </c>
      <c r="BS14" s="183">
        <f t="shared" si="21"/>
        <v>0</v>
      </c>
      <c r="BT14" s="183">
        <f t="shared" si="21"/>
        <v>0</v>
      </c>
      <c r="BU14" s="183">
        <f t="shared" si="21"/>
        <v>0</v>
      </c>
      <c r="BV14" s="183">
        <f t="shared" si="21"/>
        <v>0</v>
      </c>
      <c r="BW14" s="183">
        <f t="shared" si="21"/>
        <v>0</v>
      </c>
      <c r="BX14" s="183">
        <f t="shared" si="21"/>
        <v>0</v>
      </c>
      <c r="BY14" s="183">
        <f t="shared" si="21"/>
        <v>0</v>
      </c>
      <c r="BZ14" s="183">
        <f t="shared" si="21"/>
        <v>0</v>
      </c>
      <c r="CA14" s="183">
        <f t="shared" si="21"/>
        <v>0</v>
      </c>
      <c r="CB14" s="183">
        <f t="shared" si="21"/>
        <v>0</v>
      </c>
      <c r="CC14" s="183">
        <f t="shared" si="21"/>
        <v>0</v>
      </c>
      <c r="CD14" s="183">
        <f t="shared" si="21"/>
        <v>0</v>
      </c>
      <c r="CE14" s="183">
        <f t="shared" si="21"/>
        <v>0</v>
      </c>
      <c r="CF14" s="183">
        <f t="shared" si="21"/>
        <v>0</v>
      </c>
      <c r="CG14" s="183">
        <f t="shared" si="21"/>
        <v>0</v>
      </c>
      <c r="CH14" s="183">
        <f t="shared" si="21"/>
        <v>0</v>
      </c>
      <c r="CI14" s="183">
        <f t="shared" si="21"/>
        <v>0</v>
      </c>
      <c r="CJ14" s="183">
        <f t="shared" si="21"/>
        <v>0</v>
      </c>
      <c r="CK14" s="183">
        <f t="shared" si="21"/>
        <v>0</v>
      </c>
      <c r="CL14" s="183">
        <f t="shared" si="21"/>
        <v>0</v>
      </c>
      <c r="CM14" s="183">
        <f t="shared" si="21"/>
        <v>0</v>
      </c>
      <c r="CN14" s="183">
        <f t="shared" si="21"/>
        <v>0</v>
      </c>
      <c r="CO14" s="183">
        <f t="shared" si="21"/>
        <v>0</v>
      </c>
      <c r="CP14" s="183">
        <f t="shared" si="21"/>
        <v>0</v>
      </c>
      <c r="CQ14" s="183">
        <f t="shared" si="21"/>
        <v>0</v>
      </c>
      <c r="CR14" s="183">
        <f t="shared" si="21"/>
        <v>0</v>
      </c>
      <c r="CS14" s="183">
        <f t="shared" si="21"/>
        <v>0</v>
      </c>
      <c r="CT14" s="183">
        <f t="shared" si="21"/>
        <v>0</v>
      </c>
      <c r="CU14" s="183">
        <f t="shared" si="21"/>
        <v>0</v>
      </c>
      <c r="CV14" s="183">
        <f t="shared" ref="CV14:EA14" si="22">IF(RefiMonth&gt;0,IF(OR(CV6&gt;HoldPeriod,CV6&gt;RefiMonth,CV6&lt;=SeniorIO),0,CV15-CV13),IF(OR(CV6&gt;HoldPeriod,CV6&lt;=SeniorIO),0,CV15-CV13))</f>
        <v>0</v>
      </c>
      <c r="CW14" s="183">
        <f t="shared" si="22"/>
        <v>0</v>
      </c>
      <c r="CX14" s="183">
        <f t="shared" si="22"/>
        <v>0</v>
      </c>
      <c r="CY14" s="183">
        <f t="shared" si="22"/>
        <v>0</v>
      </c>
      <c r="CZ14" s="183">
        <f t="shared" si="22"/>
        <v>0</v>
      </c>
      <c r="DA14" s="183">
        <f t="shared" si="22"/>
        <v>0</v>
      </c>
      <c r="DB14" s="183">
        <f t="shared" si="22"/>
        <v>0</v>
      </c>
      <c r="DC14" s="183">
        <f t="shared" si="22"/>
        <v>0</v>
      </c>
      <c r="DD14" s="183">
        <f t="shared" si="22"/>
        <v>0</v>
      </c>
      <c r="DE14" s="183">
        <f t="shared" si="22"/>
        <v>0</v>
      </c>
      <c r="DF14" s="183">
        <f t="shared" si="22"/>
        <v>0</v>
      </c>
      <c r="DG14" s="183">
        <f t="shared" si="22"/>
        <v>0</v>
      </c>
      <c r="DH14" s="183">
        <f t="shared" si="22"/>
        <v>0</v>
      </c>
      <c r="DI14" s="183">
        <f t="shared" si="22"/>
        <v>0</v>
      </c>
      <c r="DJ14" s="183">
        <f t="shared" si="22"/>
        <v>0</v>
      </c>
      <c r="DK14" s="183">
        <f t="shared" si="22"/>
        <v>0</v>
      </c>
      <c r="DL14" s="183">
        <f t="shared" si="22"/>
        <v>0</v>
      </c>
      <c r="DM14" s="183">
        <f t="shared" si="22"/>
        <v>0</v>
      </c>
      <c r="DN14" s="183">
        <f t="shared" si="22"/>
        <v>0</v>
      </c>
      <c r="DO14" s="183">
        <f t="shared" si="22"/>
        <v>0</v>
      </c>
      <c r="DP14" s="183">
        <f t="shared" si="22"/>
        <v>0</v>
      </c>
      <c r="DQ14" s="183">
        <f t="shared" si="22"/>
        <v>0</v>
      </c>
      <c r="DR14" s="183">
        <f t="shared" si="22"/>
        <v>0</v>
      </c>
      <c r="DS14" s="183">
        <f t="shared" si="22"/>
        <v>0</v>
      </c>
      <c r="DT14" s="183">
        <f t="shared" si="22"/>
        <v>0</v>
      </c>
      <c r="DU14" s="183">
        <f t="shared" si="22"/>
        <v>0</v>
      </c>
      <c r="DV14" s="183">
        <f t="shared" si="22"/>
        <v>0</v>
      </c>
      <c r="DW14" s="183">
        <f t="shared" si="22"/>
        <v>0</v>
      </c>
      <c r="DX14" s="183">
        <f t="shared" si="22"/>
        <v>0</v>
      </c>
      <c r="DY14" s="183">
        <f t="shared" si="22"/>
        <v>0</v>
      </c>
      <c r="DZ14" s="183">
        <f t="shared" si="22"/>
        <v>0</v>
      </c>
      <c r="EA14" s="183">
        <f t="shared" si="22"/>
        <v>0</v>
      </c>
      <c r="EB14" s="183">
        <f t="shared" ref="EB14:EE14" si="23">IF(RefiMonth&gt;0,IF(OR(EB6&gt;HoldPeriod,EB6&gt;RefiMonth,EB6&lt;=SeniorIO),0,EB15-EB13),IF(OR(EB6&gt;HoldPeriod,EB6&lt;=SeniorIO),0,EB15-EB13))</f>
        <v>0</v>
      </c>
      <c r="EC14" s="183">
        <f t="shared" si="23"/>
        <v>0</v>
      </c>
      <c r="ED14" s="183">
        <f t="shared" si="23"/>
        <v>0</v>
      </c>
      <c r="EE14" s="183">
        <f t="shared" si="23"/>
        <v>0</v>
      </c>
      <c r="EF14" s="183" t="s">
        <v>243</v>
      </c>
    </row>
    <row r="15" spans="1:136" s="183" customFormat="1" x14ac:dyDescent="0.2">
      <c r="A15" s="181"/>
      <c r="B15" s="185" t="s">
        <v>34</v>
      </c>
      <c r="C15" s="183">
        <v>0</v>
      </c>
      <c r="D15" s="183">
        <f t="shared" ref="D15:AI15" si="24">IF(RefiMonth&gt;0,IF(OR(D6&gt;HoldPeriod,D6&gt;RefiMonth),0,IF(D6&lt;=SeniorIO,D13,PMT(SeniorInt/12,MIN(Senior_Amort+SeniorIO-C6,Senior_Amort),D11+D12,0))),IF(D6&gt;HoldPeriod,0,IF(D6&lt;=SeniorIO,D13,PMT(SeniorInt/12,MIN(Senior_Amort+SeniorIO-C6,Senior_Amort),D11+D12,0))))</f>
        <v>-134166.66666666666</v>
      </c>
      <c r="E15" s="183">
        <f t="shared" si="24"/>
        <v>-134166.66666666666</v>
      </c>
      <c r="F15" s="183">
        <f t="shared" si="24"/>
        <v>-134166.66666666666</v>
      </c>
      <c r="G15" s="183">
        <f t="shared" si="24"/>
        <v>-134166.66666666666</v>
      </c>
      <c r="H15" s="183">
        <f t="shared" si="24"/>
        <v>-134166.66666666666</v>
      </c>
      <c r="I15" s="183">
        <f t="shared" si="24"/>
        <v>-134166.66666666666</v>
      </c>
      <c r="J15" s="183">
        <f t="shared" si="24"/>
        <v>-134166.66666666666</v>
      </c>
      <c r="K15" s="183">
        <f t="shared" si="24"/>
        <v>-134166.66666666666</v>
      </c>
      <c r="L15" s="183">
        <f t="shared" si="24"/>
        <v>-134166.66666666666</v>
      </c>
      <c r="M15" s="183">
        <f t="shared" si="24"/>
        <v>-134166.66666666666</v>
      </c>
      <c r="N15" s="183">
        <f t="shared" si="24"/>
        <v>-134166.66666666666</v>
      </c>
      <c r="O15" s="183">
        <f t="shared" si="24"/>
        <v>-134166.66666666666</v>
      </c>
      <c r="P15" s="183">
        <f t="shared" si="24"/>
        <v>-134166.66666666666</v>
      </c>
      <c r="Q15" s="183">
        <f t="shared" si="24"/>
        <v>-134166.66666666666</v>
      </c>
      <c r="R15" s="183">
        <f t="shared" si="24"/>
        <v>-134166.66666666666</v>
      </c>
      <c r="S15" s="183">
        <f t="shared" si="24"/>
        <v>-134166.66666666666</v>
      </c>
      <c r="T15" s="183">
        <f t="shared" si="24"/>
        <v>-134166.66666666666</v>
      </c>
      <c r="U15" s="183">
        <f t="shared" si="24"/>
        <v>-134166.66666666666</v>
      </c>
      <c r="V15" s="183">
        <f t="shared" si="24"/>
        <v>-134166.66666666666</v>
      </c>
      <c r="W15" s="183">
        <f t="shared" si="24"/>
        <v>-134166.66666666666</v>
      </c>
      <c r="X15" s="183">
        <f t="shared" si="24"/>
        <v>-134166.66666666666</v>
      </c>
      <c r="Y15" s="183">
        <f t="shared" si="24"/>
        <v>-134166.66666666666</v>
      </c>
      <c r="Z15" s="183">
        <f t="shared" si="24"/>
        <v>-134166.66666666666</v>
      </c>
      <c r="AA15" s="183">
        <f t="shared" si="24"/>
        <v>-134166.66666666666</v>
      </c>
      <c r="AB15" s="183">
        <f t="shared" si="24"/>
        <v>-163400.39980419481</v>
      </c>
      <c r="AC15" s="183">
        <f t="shared" si="24"/>
        <v>-163400.39980419481</v>
      </c>
      <c r="AD15" s="183">
        <f t="shared" si="24"/>
        <v>-163400.39980419481</v>
      </c>
      <c r="AE15" s="183">
        <f t="shared" si="24"/>
        <v>-163400.39980419481</v>
      </c>
      <c r="AF15" s="183">
        <f t="shared" si="24"/>
        <v>-163400.39980419481</v>
      </c>
      <c r="AG15" s="183">
        <f t="shared" si="24"/>
        <v>-163400.39980419478</v>
      </c>
      <c r="AH15" s="183">
        <f t="shared" si="24"/>
        <v>-163400.39980419478</v>
      </c>
      <c r="AI15" s="183">
        <f t="shared" si="24"/>
        <v>-163400.39980419478</v>
      </c>
      <c r="AJ15" s="183">
        <f t="shared" ref="AJ15:BO15" si="25">IF(RefiMonth&gt;0,IF(OR(AJ6&gt;HoldPeriod,AJ6&gt;RefiMonth),0,IF(AJ6&lt;=SeniorIO,AJ13,PMT(SeniorInt/12,MIN(Senior_Amort+SeniorIO-AI6,Senior_Amort),AJ11+AJ12,0))),IF(AJ6&gt;HoldPeriod,0,IF(AJ6&lt;=SeniorIO,AJ13,PMT(SeniorInt/12,MIN(Senior_Amort+SeniorIO-AI6,Senior_Amort),AJ11+AJ12,0))))</f>
        <v>-163400.39980419478</v>
      </c>
      <c r="AK15" s="183">
        <f t="shared" si="25"/>
        <v>-163400.39980419478</v>
      </c>
      <c r="AL15" s="183">
        <f t="shared" si="25"/>
        <v>-163400.39980419478</v>
      </c>
      <c r="AM15" s="183">
        <f t="shared" si="25"/>
        <v>-163400.39980419478</v>
      </c>
      <c r="AN15" s="183">
        <f t="shared" si="25"/>
        <v>0</v>
      </c>
      <c r="AO15" s="183">
        <f t="shared" si="25"/>
        <v>0</v>
      </c>
      <c r="AP15" s="183">
        <f t="shared" si="25"/>
        <v>0</v>
      </c>
      <c r="AQ15" s="183">
        <f t="shared" si="25"/>
        <v>0</v>
      </c>
      <c r="AR15" s="183">
        <f t="shared" si="25"/>
        <v>0</v>
      </c>
      <c r="AS15" s="183">
        <f t="shared" si="25"/>
        <v>0</v>
      </c>
      <c r="AT15" s="183">
        <f t="shared" si="25"/>
        <v>0</v>
      </c>
      <c r="AU15" s="183">
        <f t="shared" si="25"/>
        <v>0</v>
      </c>
      <c r="AV15" s="183">
        <f t="shared" si="25"/>
        <v>0</v>
      </c>
      <c r="AW15" s="183">
        <f t="shared" si="25"/>
        <v>0</v>
      </c>
      <c r="AX15" s="183">
        <f t="shared" si="25"/>
        <v>0</v>
      </c>
      <c r="AY15" s="183">
        <f t="shared" si="25"/>
        <v>0</v>
      </c>
      <c r="AZ15" s="183">
        <f t="shared" si="25"/>
        <v>0</v>
      </c>
      <c r="BA15" s="183">
        <f t="shared" si="25"/>
        <v>0</v>
      </c>
      <c r="BB15" s="183">
        <f t="shared" si="25"/>
        <v>0</v>
      </c>
      <c r="BC15" s="183">
        <f t="shared" si="25"/>
        <v>0</v>
      </c>
      <c r="BD15" s="183">
        <f t="shared" si="25"/>
        <v>0</v>
      </c>
      <c r="BE15" s="183">
        <f t="shared" si="25"/>
        <v>0</v>
      </c>
      <c r="BF15" s="183">
        <f t="shared" si="25"/>
        <v>0</v>
      </c>
      <c r="BG15" s="183">
        <f t="shared" si="25"/>
        <v>0</v>
      </c>
      <c r="BH15" s="183">
        <f t="shared" si="25"/>
        <v>0</v>
      </c>
      <c r="BI15" s="183">
        <f t="shared" si="25"/>
        <v>0</v>
      </c>
      <c r="BJ15" s="183">
        <f t="shared" si="25"/>
        <v>0</v>
      </c>
      <c r="BK15" s="183">
        <f t="shared" si="25"/>
        <v>0</v>
      </c>
      <c r="BL15" s="183">
        <f t="shared" si="25"/>
        <v>0</v>
      </c>
      <c r="BM15" s="183">
        <f t="shared" si="25"/>
        <v>0</v>
      </c>
      <c r="BN15" s="183">
        <f t="shared" si="25"/>
        <v>0</v>
      </c>
      <c r="BO15" s="183">
        <f t="shared" si="25"/>
        <v>0</v>
      </c>
      <c r="BP15" s="183">
        <f t="shared" ref="BP15:CU15" si="26">IF(RefiMonth&gt;0,IF(OR(BP6&gt;HoldPeriod,BP6&gt;RefiMonth),0,IF(BP6&lt;=SeniorIO,BP13,PMT(SeniorInt/12,MIN(Senior_Amort+SeniorIO-BO6,Senior_Amort),BP11+BP12,0))),IF(BP6&gt;HoldPeriod,0,IF(BP6&lt;=SeniorIO,BP13,PMT(SeniorInt/12,MIN(Senior_Amort+SeniorIO-BO6,Senior_Amort),BP11+BP12,0))))</f>
        <v>0</v>
      </c>
      <c r="BQ15" s="183">
        <f t="shared" si="26"/>
        <v>0</v>
      </c>
      <c r="BR15" s="183">
        <f t="shared" si="26"/>
        <v>0</v>
      </c>
      <c r="BS15" s="183">
        <f t="shared" si="26"/>
        <v>0</v>
      </c>
      <c r="BT15" s="183">
        <f t="shared" si="26"/>
        <v>0</v>
      </c>
      <c r="BU15" s="183">
        <f t="shared" si="26"/>
        <v>0</v>
      </c>
      <c r="BV15" s="183">
        <f t="shared" si="26"/>
        <v>0</v>
      </c>
      <c r="BW15" s="183">
        <f t="shared" si="26"/>
        <v>0</v>
      </c>
      <c r="BX15" s="183">
        <f t="shared" si="26"/>
        <v>0</v>
      </c>
      <c r="BY15" s="183">
        <f t="shared" si="26"/>
        <v>0</v>
      </c>
      <c r="BZ15" s="183">
        <f t="shared" si="26"/>
        <v>0</v>
      </c>
      <c r="CA15" s="183">
        <f t="shared" si="26"/>
        <v>0</v>
      </c>
      <c r="CB15" s="183">
        <f t="shared" si="26"/>
        <v>0</v>
      </c>
      <c r="CC15" s="183">
        <f t="shared" si="26"/>
        <v>0</v>
      </c>
      <c r="CD15" s="183">
        <f t="shared" si="26"/>
        <v>0</v>
      </c>
      <c r="CE15" s="183">
        <f t="shared" si="26"/>
        <v>0</v>
      </c>
      <c r="CF15" s="183">
        <f t="shared" si="26"/>
        <v>0</v>
      </c>
      <c r="CG15" s="183">
        <f t="shared" si="26"/>
        <v>0</v>
      </c>
      <c r="CH15" s="183">
        <f t="shared" si="26"/>
        <v>0</v>
      </c>
      <c r="CI15" s="183">
        <f t="shared" si="26"/>
        <v>0</v>
      </c>
      <c r="CJ15" s="183">
        <f t="shared" si="26"/>
        <v>0</v>
      </c>
      <c r="CK15" s="183">
        <f t="shared" si="26"/>
        <v>0</v>
      </c>
      <c r="CL15" s="183">
        <f t="shared" si="26"/>
        <v>0</v>
      </c>
      <c r="CM15" s="183">
        <f t="shared" si="26"/>
        <v>0</v>
      </c>
      <c r="CN15" s="183">
        <f t="shared" si="26"/>
        <v>0</v>
      </c>
      <c r="CO15" s="183">
        <f t="shared" si="26"/>
        <v>0</v>
      </c>
      <c r="CP15" s="183">
        <f t="shared" si="26"/>
        <v>0</v>
      </c>
      <c r="CQ15" s="183">
        <f t="shared" si="26"/>
        <v>0</v>
      </c>
      <c r="CR15" s="183">
        <f t="shared" si="26"/>
        <v>0</v>
      </c>
      <c r="CS15" s="183">
        <f t="shared" si="26"/>
        <v>0</v>
      </c>
      <c r="CT15" s="183">
        <f t="shared" si="26"/>
        <v>0</v>
      </c>
      <c r="CU15" s="183">
        <f t="shared" si="26"/>
        <v>0</v>
      </c>
      <c r="CV15" s="183">
        <f t="shared" ref="CV15:EE15" si="27">IF(RefiMonth&gt;0,IF(OR(CV6&gt;HoldPeriod,CV6&gt;RefiMonth),0,IF(CV6&lt;=SeniorIO,CV13,PMT(SeniorInt/12,MIN(Senior_Amort+SeniorIO-CU6,Senior_Amort),CV11+CV12,0))),IF(CV6&gt;HoldPeriod,0,IF(CV6&lt;=SeniorIO,CV13,PMT(SeniorInt/12,MIN(Senior_Amort+SeniorIO-CU6,Senior_Amort),CV11+CV12,0))))</f>
        <v>0</v>
      </c>
      <c r="CW15" s="183">
        <f t="shared" si="27"/>
        <v>0</v>
      </c>
      <c r="CX15" s="183">
        <f t="shared" si="27"/>
        <v>0</v>
      </c>
      <c r="CY15" s="183">
        <f t="shared" si="27"/>
        <v>0</v>
      </c>
      <c r="CZ15" s="183">
        <f t="shared" si="27"/>
        <v>0</v>
      </c>
      <c r="DA15" s="183">
        <f t="shared" si="27"/>
        <v>0</v>
      </c>
      <c r="DB15" s="183">
        <f t="shared" si="27"/>
        <v>0</v>
      </c>
      <c r="DC15" s="183">
        <f t="shared" si="27"/>
        <v>0</v>
      </c>
      <c r="DD15" s="183">
        <f t="shared" si="27"/>
        <v>0</v>
      </c>
      <c r="DE15" s="183">
        <f t="shared" si="27"/>
        <v>0</v>
      </c>
      <c r="DF15" s="183">
        <f t="shared" si="27"/>
        <v>0</v>
      </c>
      <c r="DG15" s="183">
        <f t="shared" si="27"/>
        <v>0</v>
      </c>
      <c r="DH15" s="183">
        <f t="shared" si="27"/>
        <v>0</v>
      </c>
      <c r="DI15" s="183">
        <f t="shared" si="27"/>
        <v>0</v>
      </c>
      <c r="DJ15" s="183">
        <f t="shared" si="27"/>
        <v>0</v>
      </c>
      <c r="DK15" s="183">
        <f t="shared" si="27"/>
        <v>0</v>
      </c>
      <c r="DL15" s="183">
        <f t="shared" si="27"/>
        <v>0</v>
      </c>
      <c r="DM15" s="183">
        <f t="shared" si="27"/>
        <v>0</v>
      </c>
      <c r="DN15" s="183">
        <f t="shared" si="27"/>
        <v>0</v>
      </c>
      <c r="DO15" s="183">
        <f t="shared" si="27"/>
        <v>0</v>
      </c>
      <c r="DP15" s="183">
        <f t="shared" si="27"/>
        <v>0</v>
      </c>
      <c r="DQ15" s="183">
        <f t="shared" si="27"/>
        <v>0</v>
      </c>
      <c r="DR15" s="183">
        <f t="shared" si="27"/>
        <v>0</v>
      </c>
      <c r="DS15" s="183">
        <f t="shared" si="27"/>
        <v>0</v>
      </c>
      <c r="DT15" s="183">
        <f t="shared" si="27"/>
        <v>0</v>
      </c>
      <c r="DU15" s="183">
        <f t="shared" si="27"/>
        <v>0</v>
      </c>
      <c r="DV15" s="183">
        <f t="shared" si="27"/>
        <v>0</v>
      </c>
      <c r="DW15" s="183">
        <f t="shared" si="27"/>
        <v>0</v>
      </c>
      <c r="DX15" s="183">
        <f t="shared" si="27"/>
        <v>0</v>
      </c>
      <c r="DY15" s="183">
        <f t="shared" si="27"/>
        <v>0</v>
      </c>
      <c r="DZ15" s="183">
        <f t="shared" si="27"/>
        <v>0</v>
      </c>
      <c r="EA15" s="183">
        <f t="shared" si="27"/>
        <v>0</v>
      </c>
      <c r="EB15" s="183">
        <f t="shared" si="27"/>
        <v>0</v>
      </c>
      <c r="EC15" s="183">
        <f t="shared" si="27"/>
        <v>0</v>
      </c>
      <c r="ED15" s="183">
        <f t="shared" si="27"/>
        <v>0</v>
      </c>
      <c r="EE15" s="183">
        <f t="shared" si="27"/>
        <v>0</v>
      </c>
      <c r="EF15" s="183" t="s">
        <v>243</v>
      </c>
    </row>
    <row r="16" spans="1:136" s="183" customFormat="1" x14ac:dyDescent="0.2">
      <c r="A16" s="181"/>
      <c r="B16" s="185" t="s">
        <v>28</v>
      </c>
      <c r="C16" s="183">
        <v>0</v>
      </c>
      <c r="D16" s="183">
        <f t="shared" ref="D16:AI16" si="28">IF(OR(D6=HoldPeriod,D6=RefiMonth),-(D11+D12+D14),0)</f>
        <v>0</v>
      </c>
      <c r="E16" s="183">
        <f t="shared" si="28"/>
        <v>0</v>
      </c>
      <c r="F16" s="183">
        <f t="shared" si="28"/>
        <v>0</v>
      </c>
      <c r="G16" s="183">
        <f t="shared" si="28"/>
        <v>0</v>
      </c>
      <c r="H16" s="183">
        <f t="shared" si="28"/>
        <v>0</v>
      </c>
      <c r="I16" s="183">
        <f t="shared" si="28"/>
        <v>0</v>
      </c>
      <c r="J16" s="183">
        <f t="shared" si="28"/>
        <v>0</v>
      </c>
      <c r="K16" s="183">
        <f t="shared" si="28"/>
        <v>0</v>
      </c>
      <c r="L16" s="183">
        <f t="shared" si="28"/>
        <v>0</v>
      </c>
      <c r="M16" s="183">
        <f t="shared" si="28"/>
        <v>0</v>
      </c>
      <c r="N16" s="183">
        <f t="shared" si="28"/>
        <v>0</v>
      </c>
      <c r="O16" s="183">
        <f t="shared" si="28"/>
        <v>0</v>
      </c>
      <c r="P16" s="183">
        <f t="shared" si="28"/>
        <v>0</v>
      </c>
      <c r="Q16" s="183">
        <f t="shared" si="28"/>
        <v>0</v>
      </c>
      <c r="R16" s="183">
        <f t="shared" si="28"/>
        <v>0</v>
      </c>
      <c r="S16" s="183">
        <f t="shared" si="28"/>
        <v>0</v>
      </c>
      <c r="T16" s="183">
        <f t="shared" si="28"/>
        <v>0</v>
      </c>
      <c r="U16" s="183">
        <f t="shared" si="28"/>
        <v>0</v>
      </c>
      <c r="V16" s="183">
        <f t="shared" si="28"/>
        <v>0</v>
      </c>
      <c r="W16" s="183">
        <f t="shared" si="28"/>
        <v>0</v>
      </c>
      <c r="X16" s="183">
        <f t="shared" si="28"/>
        <v>0</v>
      </c>
      <c r="Y16" s="183">
        <f t="shared" si="28"/>
        <v>0</v>
      </c>
      <c r="Z16" s="183">
        <f t="shared" si="28"/>
        <v>0</v>
      </c>
      <c r="AA16" s="183">
        <f t="shared" si="28"/>
        <v>0</v>
      </c>
      <c r="AB16" s="183">
        <f t="shared" si="28"/>
        <v>0</v>
      </c>
      <c r="AC16" s="183">
        <f t="shared" si="28"/>
        <v>0</v>
      </c>
      <c r="AD16" s="183">
        <f t="shared" si="28"/>
        <v>0</v>
      </c>
      <c r="AE16" s="183">
        <f t="shared" si="28"/>
        <v>0</v>
      </c>
      <c r="AF16" s="183">
        <f t="shared" si="28"/>
        <v>0</v>
      </c>
      <c r="AG16" s="183">
        <f t="shared" si="28"/>
        <v>0</v>
      </c>
      <c r="AH16" s="183">
        <f t="shared" si="28"/>
        <v>0</v>
      </c>
      <c r="AI16" s="183">
        <f t="shared" si="28"/>
        <v>0</v>
      </c>
      <c r="AJ16" s="183">
        <f t="shared" ref="AJ16:BO16" si="29">IF(OR(AJ6=HoldPeriod,AJ6=RefiMonth),-(AJ11+AJ12+AJ14),0)</f>
        <v>0</v>
      </c>
      <c r="AK16" s="183">
        <f t="shared" si="29"/>
        <v>0</v>
      </c>
      <c r="AL16" s="183">
        <f t="shared" si="29"/>
        <v>0</v>
      </c>
      <c r="AM16" s="183">
        <f t="shared" si="29"/>
        <v>-27639800.764068678</v>
      </c>
      <c r="AN16" s="183">
        <f t="shared" si="29"/>
        <v>0</v>
      </c>
      <c r="AO16" s="183">
        <f t="shared" si="29"/>
        <v>0</v>
      </c>
      <c r="AP16" s="183">
        <f t="shared" si="29"/>
        <v>0</v>
      </c>
      <c r="AQ16" s="183">
        <f t="shared" si="29"/>
        <v>0</v>
      </c>
      <c r="AR16" s="183">
        <f t="shared" si="29"/>
        <v>0</v>
      </c>
      <c r="AS16" s="183">
        <f t="shared" si="29"/>
        <v>0</v>
      </c>
      <c r="AT16" s="183">
        <f t="shared" si="29"/>
        <v>0</v>
      </c>
      <c r="AU16" s="183">
        <f t="shared" si="29"/>
        <v>0</v>
      </c>
      <c r="AV16" s="183">
        <f t="shared" si="29"/>
        <v>0</v>
      </c>
      <c r="AW16" s="183">
        <f t="shared" si="29"/>
        <v>0</v>
      </c>
      <c r="AX16" s="183">
        <f t="shared" si="29"/>
        <v>0</v>
      </c>
      <c r="AY16" s="183">
        <f t="shared" si="29"/>
        <v>0</v>
      </c>
      <c r="AZ16" s="183">
        <f t="shared" si="29"/>
        <v>0</v>
      </c>
      <c r="BA16" s="183">
        <f t="shared" si="29"/>
        <v>0</v>
      </c>
      <c r="BB16" s="183">
        <f t="shared" si="29"/>
        <v>0</v>
      </c>
      <c r="BC16" s="183">
        <f t="shared" si="29"/>
        <v>0</v>
      </c>
      <c r="BD16" s="183">
        <f t="shared" si="29"/>
        <v>0</v>
      </c>
      <c r="BE16" s="183">
        <f t="shared" si="29"/>
        <v>0</v>
      </c>
      <c r="BF16" s="183">
        <f t="shared" si="29"/>
        <v>0</v>
      </c>
      <c r="BG16" s="183">
        <f t="shared" si="29"/>
        <v>0</v>
      </c>
      <c r="BH16" s="183">
        <f t="shared" si="29"/>
        <v>0</v>
      </c>
      <c r="BI16" s="183">
        <f t="shared" si="29"/>
        <v>0</v>
      </c>
      <c r="BJ16" s="183">
        <f t="shared" si="29"/>
        <v>0</v>
      </c>
      <c r="BK16" s="183">
        <f t="shared" si="29"/>
        <v>0</v>
      </c>
      <c r="BL16" s="183">
        <f t="shared" si="29"/>
        <v>0</v>
      </c>
      <c r="BM16" s="183">
        <f t="shared" si="29"/>
        <v>0</v>
      </c>
      <c r="BN16" s="183">
        <f t="shared" si="29"/>
        <v>0</v>
      </c>
      <c r="BO16" s="183">
        <f t="shared" si="29"/>
        <v>0</v>
      </c>
      <c r="BP16" s="183">
        <f t="shared" ref="BP16:CU16" si="30">IF(OR(BP6=HoldPeriod,BP6=RefiMonth),-(BP11+BP12+BP14),0)</f>
        <v>0</v>
      </c>
      <c r="BQ16" s="183">
        <f t="shared" si="30"/>
        <v>0</v>
      </c>
      <c r="BR16" s="183">
        <f t="shared" si="30"/>
        <v>0</v>
      </c>
      <c r="BS16" s="183">
        <f t="shared" si="30"/>
        <v>0</v>
      </c>
      <c r="BT16" s="183">
        <f t="shared" si="30"/>
        <v>0</v>
      </c>
      <c r="BU16" s="183">
        <f t="shared" si="30"/>
        <v>0</v>
      </c>
      <c r="BV16" s="183">
        <f t="shared" si="30"/>
        <v>0</v>
      </c>
      <c r="BW16" s="183">
        <f t="shared" si="30"/>
        <v>0</v>
      </c>
      <c r="BX16" s="183">
        <f t="shared" si="30"/>
        <v>0</v>
      </c>
      <c r="BY16" s="183">
        <f t="shared" si="30"/>
        <v>0</v>
      </c>
      <c r="BZ16" s="183">
        <f t="shared" si="30"/>
        <v>0</v>
      </c>
      <c r="CA16" s="183">
        <f t="shared" si="30"/>
        <v>0</v>
      </c>
      <c r="CB16" s="183">
        <f t="shared" si="30"/>
        <v>0</v>
      </c>
      <c r="CC16" s="183">
        <f t="shared" si="30"/>
        <v>0</v>
      </c>
      <c r="CD16" s="183">
        <f t="shared" si="30"/>
        <v>0</v>
      </c>
      <c r="CE16" s="183">
        <f t="shared" si="30"/>
        <v>0</v>
      </c>
      <c r="CF16" s="183">
        <f t="shared" si="30"/>
        <v>0</v>
      </c>
      <c r="CG16" s="183">
        <f t="shared" si="30"/>
        <v>0</v>
      </c>
      <c r="CH16" s="183">
        <f t="shared" si="30"/>
        <v>0</v>
      </c>
      <c r="CI16" s="183">
        <f t="shared" si="30"/>
        <v>0</v>
      </c>
      <c r="CJ16" s="183">
        <f t="shared" si="30"/>
        <v>0</v>
      </c>
      <c r="CK16" s="183">
        <f t="shared" si="30"/>
        <v>0</v>
      </c>
      <c r="CL16" s="183">
        <f t="shared" si="30"/>
        <v>0</v>
      </c>
      <c r="CM16" s="183">
        <f t="shared" si="30"/>
        <v>0</v>
      </c>
      <c r="CN16" s="183">
        <f t="shared" si="30"/>
        <v>0</v>
      </c>
      <c r="CO16" s="183">
        <f t="shared" si="30"/>
        <v>0</v>
      </c>
      <c r="CP16" s="183">
        <f t="shared" si="30"/>
        <v>0</v>
      </c>
      <c r="CQ16" s="183">
        <f t="shared" si="30"/>
        <v>0</v>
      </c>
      <c r="CR16" s="183">
        <f t="shared" si="30"/>
        <v>0</v>
      </c>
      <c r="CS16" s="183">
        <f t="shared" si="30"/>
        <v>0</v>
      </c>
      <c r="CT16" s="183">
        <f t="shared" si="30"/>
        <v>0</v>
      </c>
      <c r="CU16" s="183">
        <f t="shared" si="30"/>
        <v>0</v>
      </c>
      <c r="CV16" s="183">
        <f t="shared" ref="CV16:EE16" si="31">IF(OR(CV6=HoldPeriod,CV6=RefiMonth),-(CV11+CV12+CV14),0)</f>
        <v>0</v>
      </c>
      <c r="CW16" s="183">
        <f t="shared" si="31"/>
        <v>0</v>
      </c>
      <c r="CX16" s="183">
        <f t="shared" si="31"/>
        <v>0</v>
      </c>
      <c r="CY16" s="183">
        <f t="shared" si="31"/>
        <v>0</v>
      </c>
      <c r="CZ16" s="183">
        <f t="shared" si="31"/>
        <v>0</v>
      </c>
      <c r="DA16" s="183">
        <f t="shared" si="31"/>
        <v>0</v>
      </c>
      <c r="DB16" s="183">
        <f t="shared" si="31"/>
        <v>0</v>
      </c>
      <c r="DC16" s="183">
        <f t="shared" si="31"/>
        <v>0</v>
      </c>
      <c r="DD16" s="183">
        <f t="shared" si="31"/>
        <v>0</v>
      </c>
      <c r="DE16" s="183">
        <f t="shared" si="31"/>
        <v>0</v>
      </c>
      <c r="DF16" s="183">
        <f t="shared" si="31"/>
        <v>0</v>
      </c>
      <c r="DG16" s="183">
        <f t="shared" si="31"/>
        <v>0</v>
      </c>
      <c r="DH16" s="183">
        <f t="shared" si="31"/>
        <v>0</v>
      </c>
      <c r="DI16" s="183">
        <f t="shared" si="31"/>
        <v>0</v>
      </c>
      <c r="DJ16" s="183">
        <f t="shared" si="31"/>
        <v>0</v>
      </c>
      <c r="DK16" s="183">
        <f t="shared" si="31"/>
        <v>0</v>
      </c>
      <c r="DL16" s="183">
        <f t="shared" si="31"/>
        <v>0</v>
      </c>
      <c r="DM16" s="183">
        <f t="shared" si="31"/>
        <v>0</v>
      </c>
      <c r="DN16" s="183">
        <f t="shared" si="31"/>
        <v>0</v>
      </c>
      <c r="DO16" s="183">
        <f t="shared" si="31"/>
        <v>0</v>
      </c>
      <c r="DP16" s="183">
        <f t="shared" si="31"/>
        <v>0</v>
      </c>
      <c r="DQ16" s="183">
        <f t="shared" si="31"/>
        <v>0</v>
      </c>
      <c r="DR16" s="183">
        <f t="shared" si="31"/>
        <v>0</v>
      </c>
      <c r="DS16" s="183">
        <f t="shared" si="31"/>
        <v>0</v>
      </c>
      <c r="DT16" s="183">
        <f t="shared" si="31"/>
        <v>0</v>
      </c>
      <c r="DU16" s="183">
        <f t="shared" si="31"/>
        <v>0</v>
      </c>
      <c r="DV16" s="183">
        <f t="shared" si="31"/>
        <v>0</v>
      </c>
      <c r="DW16" s="183">
        <f t="shared" si="31"/>
        <v>0</v>
      </c>
      <c r="DX16" s="183">
        <f t="shared" si="31"/>
        <v>0</v>
      </c>
      <c r="DY16" s="183">
        <f t="shared" si="31"/>
        <v>0</v>
      </c>
      <c r="DZ16" s="183">
        <f t="shared" si="31"/>
        <v>0</v>
      </c>
      <c r="EA16" s="183">
        <f t="shared" si="31"/>
        <v>0</v>
      </c>
      <c r="EB16" s="183">
        <f t="shared" si="31"/>
        <v>0</v>
      </c>
      <c r="EC16" s="183">
        <f t="shared" si="31"/>
        <v>0</v>
      </c>
      <c r="ED16" s="183">
        <f t="shared" si="31"/>
        <v>0</v>
      </c>
      <c r="EE16" s="183">
        <f t="shared" si="31"/>
        <v>0</v>
      </c>
      <c r="EF16" s="183" t="s">
        <v>243</v>
      </c>
    </row>
    <row r="17" spans="1:136" s="183" customFormat="1" x14ac:dyDescent="0.2">
      <c r="A17" s="181"/>
      <c r="B17" s="186" t="s">
        <v>704</v>
      </c>
      <c r="C17" s="187">
        <f t="shared" ref="C17:AG17" si="32">C11+C12+C14+C16</f>
        <v>28000000</v>
      </c>
      <c r="D17" s="187">
        <f t="shared" si="32"/>
        <v>28000000</v>
      </c>
      <c r="E17" s="187">
        <f t="shared" si="32"/>
        <v>28000000</v>
      </c>
      <c r="F17" s="187">
        <f t="shared" si="32"/>
        <v>28000000</v>
      </c>
      <c r="G17" s="187">
        <f t="shared" si="32"/>
        <v>28000000</v>
      </c>
      <c r="H17" s="187">
        <f t="shared" si="32"/>
        <v>28000000</v>
      </c>
      <c r="I17" s="187">
        <f t="shared" si="32"/>
        <v>28000000</v>
      </c>
      <c r="J17" s="187">
        <f t="shared" si="32"/>
        <v>28000000</v>
      </c>
      <c r="K17" s="187">
        <f t="shared" si="32"/>
        <v>28000000</v>
      </c>
      <c r="L17" s="187">
        <f t="shared" si="32"/>
        <v>28000000</v>
      </c>
      <c r="M17" s="187">
        <f t="shared" si="32"/>
        <v>28000000</v>
      </c>
      <c r="N17" s="187">
        <f t="shared" si="32"/>
        <v>28000000</v>
      </c>
      <c r="O17" s="187">
        <f t="shared" si="32"/>
        <v>28000000</v>
      </c>
      <c r="P17" s="187">
        <f t="shared" si="32"/>
        <v>28000000</v>
      </c>
      <c r="Q17" s="187">
        <f t="shared" si="32"/>
        <v>28000000</v>
      </c>
      <c r="R17" s="187">
        <f t="shared" si="32"/>
        <v>28000000</v>
      </c>
      <c r="S17" s="187">
        <f t="shared" si="32"/>
        <v>28000000</v>
      </c>
      <c r="T17" s="187">
        <f t="shared" si="32"/>
        <v>28000000</v>
      </c>
      <c r="U17" s="187">
        <f t="shared" si="32"/>
        <v>28000000</v>
      </c>
      <c r="V17" s="187">
        <f t="shared" si="32"/>
        <v>28000000</v>
      </c>
      <c r="W17" s="187">
        <f t="shared" si="32"/>
        <v>28000000</v>
      </c>
      <c r="X17" s="187">
        <f t="shared" si="32"/>
        <v>28000000</v>
      </c>
      <c r="Y17" s="187">
        <f t="shared" si="32"/>
        <v>28000000</v>
      </c>
      <c r="Z17" s="187">
        <f t="shared" si="32"/>
        <v>28000000</v>
      </c>
      <c r="AA17" s="187">
        <f t="shared" si="32"/>
        <v>28000000</v>
      </c>
      <c r="AB17" s="187">
        <f t="shared" si="32"/>
        <v>27970766.266862471</v>
      </c>
      <c r="AC17" s="187">
        <f t="shared" si="32"/>
        <v>27941392.455420326</v>
      </c>
      <c r="AD17" s="187">
        <f t="shared" si="32"/>
        <v>27911877.894465022</v>
      </c>
      <c r="AE17" s="187">
        <f t="shared" si="32"/>
        <v>27882221.909571804</v>
      </c>
      <c r="AF17" s="187">
        <f t="shared" si="32"/>
        <v>27852423.823084306</v>
      </c>
      <c r="AG17" s="187">
        <f t="shared" si="32"/>
        <v>27822482.954099055</v>
      </c>
      <c r="AH17" s="187">
        <f>AH11+AH12+AH14+AH16</f>
        <v>27792398.618449919</v>
      </c>
      <c r="AI17" s="187">
        <f t="shared" ref="AI17:BN17" si="33">AI11+AI12+AI14+AI16</f>
        <v>27762170.128692463</v>
      </c>
      <c r="AJ17" s="187">
        <f t="shared" si="33"/>
        <v>27731796.794088252</v>
      </c>
      <c r="AK17" s="187">
        <f t="shared" si="33"/>
        <v>27701277.920589063</v>
      </c>
      <c r="AL17" s="187">
        <f t="shared" si="33"/>
        <v>27670612.810821023</v>
      </c>
      <c r="AM17" s="187">
        <f t="shared" si="33"/>
        <v>0</v>
      </c>
      <c r="AN17" s="187">
        <f t="shared" si="33"/>
        <v>0</v>
      </c>
      <c r="AO17" s="187">
        <f t="shared" si="33"/>
        <v>0</v>
      </c>
      <c r="AP17" s="187">
        <f t="shared" si="33"/>
        <v>0</v>
      </c>
      <c r="AQ17" s="187">
        <f t="shared" si="33"/>
        <v>0</v>
      </c>
      <c r="AR17" s="187">
        <f t="shared" si="33"/>
        <v>0</v>
      </c>
      <c r="AS17" s="187">
        <f t="shared" si="33"/>
        <v>0</v>
      </c>
      <c r="AT17" s="187">
        <f t="shared" si="33"/>
        <v>0</v>
      </c>
      <c r="AU17" s="187">
        <f t="shared" si="33"/>
        <v>0</v>
      </c>
      <c r="AV17" s="187">
        <f t="shared" si="33"/>
        <v>0</v>
      </c>
      <c r="AW17" s="187">
        <f t="shared" si="33"/>
        <v>0</v>
      </c>
      <c r="AX17" s="187">
        <f t="shared" si="33"/>
        <v>0</v>
      </c>
      <c r="AY17" s="187">
        <f t="shared" si="33"/>
        <v>0</v>
      </c>
      <c r="AZ17" s="187">
        <f t="shared" si="33"/>
        <v>0</v>
      </c>
      <c r="BA17" s="187">
        <f t="shared" si="33"/>
        <v>0</v>
      </c>
      <c r="BB17" s="187">
        <f t="shared" si="33"/>
        <v>0</v>
      </c>
      <c r="BC17" s="187">
        <f t="shared" si="33"/>
        <v>0</v>
      </c>
      <c r="BD17" s="187">
        <f t="shared" si="33"/>
        <v>0</v>
      </c>
      <c r="BE17" s="187">
        <f t="shared" si="33"/>
        <v>0</v>
      </c>
      <c r="BF17" s="187">
        <f t="shared" si="33"/>
        <v>0</v>
      </c>
      <c r="BG17" s="187">
        <f t="shared" si="33"/>
        <v>0</v>
      </c>
      <c r="BH17" s="187">
        <f t="shared" si="33"/>
        <v>0</v>
      </c>
      <c r="BI17" s="187">
        <f t="shared" si="33"/>
        <v>0</v>
      </c>
      <c r="BJ17" s="187">
        <f t="shared" si="33"/>
        <v>0</v>
      </c>
      <c r="BK17" s="187">
        <f t="shared" si="33"/>
        <v>0</v>
      </c>
      <c r="BL17" s="187">
        <f t="shared" si="33"/>
        <v>0</v>
      </c>
      <c r="BM17" s="187">
        <f t="shared" si="33"/>
        <v>0</v>
      </c>
      <c r="BN17" s="187">
        <f t="shared" si="33"/>
        <v>0</v>
      </c>
      <c r="BO17" s="187">
        <f t="shared" ref="BO17:CT17" si="34">BO11+BO12+BO14+BO16</f>
        <v>0</v>
      </c>
      <c r="BP17" s="187">
        <f t="shared" si="34"/>
        <v>0</v>
      </c>
      <c r="BQ17" s="187">
        <f t="shared" si="34"/>
        <v>0</v>
      </c>
      <c r="BR17" s="187">
        <f t="shared" si="34"/>
        <v>0</v>
      </c>
      <c r="BS17" s="187">
        <f t="shared" si="34"/>
        <v>0</v>
      </c>
      <c r="BT17" s="187">
        <f t="shared" si="34"/>
        <v>0</v>
      </c>
      <c r="BU17" s="187">
        <f t="shared" si="34"/>
        <v>0</v>
      </c>
      <c r="BV17" s="187">
        <f t="shared" si="34"/>
        <v>0</v>
      </c>
      <c r="BW17" s="187">
        <f t="shared" si="34"/>
        <v>0</v>
      </c>
      <c r="BX17" s="187">
        <f t="shared" si="34"/>
        <v>0</v>
      </c>
      <c r="BY17" s="187">
        <f t="shared" si="34"/>
        <v>0</v>
      </c>
      <c r="BZ17" s="187">
        <f t="shared" si="34"/>
        <v>0</v>
      </c>
      <c r="CA17" s="187">
        <f t="shared" si="34"/>
        <v>0</v>
      </c>
      <c r="CB17" s="187">
        <f t="shared" si="34"/>
        <v>0</v>
      </c>
      <c r="CC17" s="187">
        <f t="shared" si="34"/>
        <v>0</v>
      </c>
      <c r="CD17" s="187">
        <f t="shared" si="34"/>
        <v>0</v>
      </c>
      <c r="CE17" s="187">
        <f t="shared" si="34"/>
        <v>0</v>
      </c>
      <c r="CF17" s="187">
        <f t="shared" si="34"/>
        <v>0</v>
      </c>
      <c r="CG17" s="187">
        <f t="shared" si="34"/>
        <v>0</v>
      </c>
      <c r="CH17" s="187">
        <f t="shared" si="34"/>
        <v>0</v>
      </c>
      <c r="CI17" s="187">
        <f t="shared" si="34"/>
        <v>0</v>
      </c>
      <c r="CJ17" s="187">
        <f t="shared" si="34"/>
        <v>0</v>
      </c>
      <c r="CK17" s="187">
        <f t="shared" si="34"/>
        <v>0</v>
      </c>
      <c r="CL17" s="187">
        <f t="shared" si="34"/>
        <v>0</v>
      </c>
      <c r="CM17" s="187">
        <f t="shared" si="34"/>
        <v>0</v>
      </c>
      <c r="CN17" s="187">
        <f t="shared" si="34"/>
        <v>0</v>
      </c>
      <c r="CO17" s="187">
        <f t="shared" si="34"/>
        <v>0</v>
      </c>
      <c r="CP17" s="187">
        <f t="shared" si="34"/>
        <v>0</v>
      </c>
      <c r="CQ17" s="187">
        <f t="shared" si="34"/>
        <v>0</v>
      </c>
      <c r="CR17" s="187">
        <f t="shared" si="34"/>
        <v>0</v>
      </c>
      <c r="CS17" s="187">
        <f t="shared" si="34"/>
        <v>0</v>
      </c>
      <c r="CT17" s="187">
        <f t="shared" si="34"/>
        <v>0</v>
      </c>
      <c r="CU17" s="187">
        <f t="shared" ref="CU17:DZ17" si="35">CU11+CU12+CU14+CU16</f>
        <v>0</v>
      </c>
      <c r="CV17" s="187">
        <f t="shared" si="35"/>
        <v>0</v>
      </c>
      <c r="CW17" s="187">
        <f t="shared" si="35"/>
        <v>0</v>
      </c>
      <c r="CX17" s="187">
        <f t="shared" si="35"/>
        <v>0</v>
      </c>
      <c r="CY17" s="187">
        <f t="shared" si="35"/>
        <v>0</v>
      </c>
      <c r="CZ17" s="187">
        <f t="shared" si="35"/>
        <v>0</v>
      </c>
      <c r="DA17" s="187">
        <f t="shared" si="35"/>
        <v>0</v>
      </c>
      <c r="DB17" s="187">
        <f t="shared" si="35"/>
        <v>0</v>
      </c>
      <c r="DC17" s="187">
        <f t="shared" si="35"/>
        <v>0</v>
      </c>
      <c r="DD17" s="187">
        <f t="shared" si="35"/>
        <v>0</v>
      </c>
      <c r="DE17" s="187">
        <f t="shared" si="35"/>
        <v>0</v>
      </c>
      <c r="DF17" s="187">
        <f t="shared" si="35"/>
        <v>0</v>
      </c>
      <c r="DG17" s="187">
        <f t="shared" si="35"/>
        <v>0</v>
      </c>
      <c r="DH17" s="187">
        <f t="shared" si="35"/>
        <v>0</v>
      </c>
      <c r="DI17" s="187">
        <f t="shared" si="35"/>
        <v>0</v>
      </c>
      <c r="DJ17" s="187">
        <f t="shared" si="35"/>
        <v>0</v>
      </c>
      <c r="DK17" s="187">
        <f t="shared" si="35"/>
        <v>0</v>
      </c>
      <c r="DL17" s="187">
        <f t="shared" si="35"/>
        <v>0</v>
      </c>
      <c r="DM17" s="187">
        <f t="shared" si="35"/>
        <v>0</v>
      </c>
      <c r="DN17" s="187">
        <f t="shared" si="35"/>
        <v>0</v>
      </c>
      <c r="DO17" s="187">
        <f t="shared" si="35"/>
        <v>0</v>
      </c>
      <c r="DP17" s="187">
        <f t="shared" si="35"/>
        <v>0</v>
      </c>
      <c r="DQ17" s="187">
        <f t="shared" si="35"/>
        <v>0</v>
      </c>
      <c r="DR17" s="187">
        <f t="shared" si="35"/>
        <v>0</v>
      </c>
      <c r="DS17" s="187">
        <f t="shared" si="35"/>
        <v>0</v>
      </c>
      <c r="DT17" s="187">
        <f t="shared" si="35"/>
        <v>0</v>
      </c>
      <c r="DU17" s="187">
        <f t="shared" si="35"/>
        <v>0</v>
      </c>
      <c r="DV17" s="187">
        <f t="shared" si="35"/>
        <v>0</v>
      </c>
      <c r="DW17" s="187">
        <f t="shared" si="35"/>
        <v>0</v>
      </c>
      <c r="DX17" s="187">
        <f t="shared" si="35"/>
        <v>0</v>
      </c>
      <c r="DY17" s="187">
        <f t="shared" si="35"/>
        <v>0</v>
      </c>
      <c r="DZ17" s="187">
        <f t="shared" si="35"/>
        <v>0</v>
      </c>
      <c r="EA17" s="187">
        <f t="shared" ref="EA17:EE17" si="36">EA11+EA12+EA14+EA16</f>
        <v>0</v>
      </c>
      <c r="EB17" s="187">
        <f t="shared" si="36"/>
        <v>0</v>
      </c>
      <c r="EC17" s="187">
        <f t="shared" si="36"/>
        <v>0</v>
      </c>
      <c r="ED17" s="187">
        <f t="shared" si="36"/>
        <v>0</v>
      </c>
      <c r="EE17" s="187">
        <f t="shared" si="36"/>
        <v>0</v>
      </c>
      <c r="EF17" s="183" t="s">
        <v>243</v>
      </c>
    </row>
    <row r="18" spans="1:136" s="183" customFormat="1" x14ac:dyDescent="0.2">
      <c r="A18" s="181"/>
      <c r="B18" s="188" t="s">
        <v>222</v>
      </c>
      <c r="C18" s="189">
        <f t="shared" ref="C18:AH18" si="37">IF(C6=0,-Snr_Loan_Fee,0)</f>
        <v>0</v>
      </c>
      <c r="D18" s="189">
        <f t="shared" si="37"/>
        <v>0</v>
      </c>
      <c r="E18" s="189">
        <f t="shared" si="37"/>
        <v>0</v>
      </c>
      <c r="F18" s="189">
        <f t="shared" si="37"/>
        <v>0</v>
      </c>
      <c r="G18" s="189">
        <f t="shared" si="37"/>
        <v>0</v>
      </c>
      <c r="H18" s="189">
        <f t="shared" si="37"/>
        <v>0</v>
      </c>
      <c r="I18" s="189">
        <f t="shared" si="37"/>
        <v>0</v>
      </c>
      <c r="J18" s="189">
        <f t="shared" si="37"/>
        <v>0</v>
      </c>
      <c r="K18" s="189">
        <f t="shared" si="37"/>
        <v>0</v>
      </c>
      <c r="L18" s="189">
        <f t="shared" si="37"/>
        <v>0</v>
      </c>
      <c r="M18" s="189">
        <f t="shared" si="37"/>
        <v>0</v>
      </c>
      <c r="N18" s="189">
        <f t="shared" si="37"/>
        <v>0</v>
      </c>
      <c r="O18" s="189">
        <f t="shared" si="37"/>
        <v>0</v>
      </c>
      <c r="P18" s="189">
        <f t="shared" si="37"/>
        <v>0</v>
      </c>
      <c r="Q18" s="189">
        <f t="shared" si="37"/>
        <v>0</v>
      </c>
      <c r="R18" s="189">
        <f t="shared" si="37"/>
        <v>0</v>
      </c>
      <c r="S18" s="189">
        <f t="shared" si="37"/>
        <v>0</v>
      </c>
      <c r="T18" s="189">
        <f t="shared" si="37"/>
        <v>0</v>
      </c>
      <c r="U18" s="189">
        <f t="shared" si="37"/>
        <v>0</v>
      </c>
      <c r="V18" s="189">
        <f t="shared" si="37"/>
        <v>0</v>
      </c>
      <c r="W18" s="189">
        <f t="shared" si="37"/>
        <v>0</v>
      </c>
      <c r="X18" s="189">
        <f t="shared" si="37"/>
        <v>0</v>
      </c>
      <c r="Y18" s="189">
        <f t="shared" si="37"/>
        <v>0</v>
      </c>
      <c r="Z18" s="189">
        <f t="shared" si="37"/>
        <v>0</v>
      </c>
      <c r="AA18" s="189">
        <f t="shared" si="37"/>
        <v>0</v>
      </c>
      <c r="AB18" s="189">
        <f t="shared" si="37"/>
        <v>0</v>
      </c>
      <c r="AC18" s="189">
        <f t="shared" si="37"/>
        <v>0</v>
      </c>
      <c r="AD18" s="189">
        <f t="shared" si="37"/>
        <v>0</v>
      </c>
      <c r="AE18" s="189">
        <f t="shared" si="37"/>
        <v>0</v>
      </c>
      <c r="AF18" s="189">
        <f t="shared" si="37"/>
        <v>0</v>
      </c>
      <c r="AG18" s="189">
        <f t="shared" si="37"/>
        <v>0</v>
      </c>
      <c r="AH18" s="189">
        <f t="shared" si="37"/>
        <v>0</v>
      </c>
      <c r="AI18" s="189">
        <f t="shared" ref="AI18:BN18" si="38">IF(AI6=0,-Snr_Loan_Fee,0)</f>
        <v>0</v>
      </c>
      <c r="AJ18" s="189">
        <f t="shared" si="38"/>
        <v>0</v>
      </c>
      <c r="AK18" s="189">
        <f t="shared" si="38"/>
        <v>0</v>
      </c>
      <c r="AL18" s="189">
        <f t="shared" si="38"/>
        <v>0</v>
      </c>
      <c r="AM18" s="189">
        <f t="shared" si="38"/>
        <v>0</v>
      </c>
      <c r="AN18" s="189">
        <f t="shared" si="38"/>
        <v>0</v>
      </c>
      <c r="AO18" s="189">
        <f t="shared" si="38"/>
        <v>0</v>
      </c>
      <c r="AP18" s="189">
        <f t="shared" si="38"/>
        <v>0</v>
      </c>
      <c r="AQ18" s="189">
        <f t="shared" si="38"/>
        <v>0</v>
      </c>
      <c r="AR18" s="189">
        <f t="shared" si="38"/>
        <v>0</v>
      </c>
      <c r="AS18" s="189">
        <f t="shared" si="38"/>
        <v>0</v>
      </c>
      <c r="AT18" s="189">
        <f t="shared" si="38"/>
        <v>0</v>
      </c>
      <c r="AU18" s="189">
        <f t="shared" si="38"/>
        <v>0</v>
      </c>
      <c r="AV18" s="189">
        <f t="shared" si="38"/>
        <v>0</v>
      </c>
      <c r="AW18" s="189">
        <f t="shared" si="38"/>
        <v>0</v>
      </c>
      <c r="AX18" s="189">
        <f t="shared" si="38"/>
        <v>0</v>
      </c>
      <c r="AY18" s="189">
        <f t="shared" si="38"/>
        <v>0</v>
      </c>
      <c r="AZ18" s="189">
        <f t="shared" si="38"/>
        <v>0</v>
      </c>
      <c r="BA18" s="189">
        <f t="shared" si="38"/>
        <v>0</v>
      </c>
      <c r="BB18" s="189">
        <f t="shared" si="38"/>
        <v>0</v>
      </c>
      <c r="BC18" s="189">
        <f t="shared" si="38"/>
        <v>0</v>
      </c>
      <c r="BD18" s="189">
        <f t="shared" si="38"/>
        <v>0</v>
      </c>
      <c r="BE18" s="189">
        <f t="shared" si="38"/>
        <v>0</v>
      </c>
      <c r="BF18" s="189">
        <f t="shared" si="38"/>
        <v>0</v>
      </c>
      <c r="BG18" s="189">
        <f t="shared" si="38"/>
        <v>0</v>
      </c>
      <c r="BH18" s="189">
        <f t="shared" si="38"/>
        <v>0</v>
      </c>
      <c r="BI18" s="189">
        <f t="shared" si="38"/>
        <v>0</v>
      </c>
      <c r="BJ18" s="189">
        <f t="shared" si="38"/>
        <v>0</v>
      </c>
      <c r="BK18" s="189">
        <f t="shared" si="38"/>
        <v>0</v>
      </c>
      <c r="BL18" s="189">
        <f t="shared" si="38"/>
        <v>0</v>
      </c>
      <c r="BM18" s="189">
        <f t="shared" si="38"/>
        <v>0</v>
      </c>
      <c r="BN18" s="189">
        <f t="shared" si="38"/>
        <v>0</v>
      </c>
      <c r="BO18" s="189">
        <f t="shared" ref="BO18:CT18" si="39">IF(BO6=0,-Snr_Loan_Fee,0)</f>
        <v>0</v>
      </c>
      <c r="BP18" s="189">
        <f t="shared" si="39"/>
        <v>0</v>
      </c>
      <c r="BQ18" s="189">
        <f t="shared" si="39"/>
        <v>0</v>
      </c>
      <c r="BR18" s="189">
        <f t="shared" si="39"/>
        <v>0</v>
      </c>
      <c r="BS18" s="189">
        <f t="shared" si="39"/>
        <v>0</v>
      </c>
      <c r="BT18" s="189">
        <f t="shared" si="39"/>
        <v>0</v>
      </c>
      <c r="BU18" s="189">
        <f t="shared" si="39"/>
        <v>0</v>
      </c>
      <c r="BV18" s="189">
        <f t="shared" si="39"/>
        <v>0</v>
      </c>
      <c r="BW18" s="189">
        <f t="shared" si="39"/>
        <v>0</v>
      </c>
      <c r="BX18" s="189">
        <f t="shared" si="39"/>
        <v>0</v>
      </c>
      <c r="BY18" s="189">
        <f t="shared" si="39"/>
        <v>0</v>
      </c>
      <c r="BZ18" s="189">
        <f t="shared" si="39"/>
        <v>0</v>
      </c>
      <c r="CA18" s="189">
        <f t="shared" si="39"/>
        <v>0</v>
      </c>
      <c r="CB18" s="189">
        <f t="shared" si="39"/>
        <v>0</v>
      </c>
      <c r="CC18" s="189">
        <f t="shared" si="39"/>
        <v>0</v>
      </c>
      <c r="CD18" s="189">
        <f t="shared" si="39"/>
        <v>0</v>
      </c>
      <c r="CE18" s="189">
        <f t="shared" si="39"/>
        <v>0</v>
      </c>
      <c r="CF18" s="189">
        <f t="shared" si="39"/>
        <v>0</v>
      </c>
      <c r="CG18" s="189">
        <f t="shared" si="39"/>
        <v>0</v>
      </c>
      <c r="CH18" s="189">
        <f t="shared" si="39"/>
        <v>0</v>
      </c>
      <c r="CI18" s="189">
        <f t="shared" si="39"/>
        <v>0</v>
      </c>
      <c r="CJ18" s="189">
        <f t="shared" si="39"/>
        <v>0</v>
      </c>
      <c r="CK18" s="189">
        <f t="shared" si="39"/>
        <v>0</v>
      </c>
      <c r="CL18" s="189">
        <f t="shared" si="39"/>
        <v>0</v>
      </c>
      <c r="CM18" s="189">
        <f t="shared" si="39"/>
        <v>0</v>
      </c>
      <c r="CN18" s="189">
        <f t="shared" si="39"/>
        <v>0</v>
      </c>
      <c r="CO18" s="189">
        <f t="shared" si="39"/>
        <v>0</v>
      </c>
      <c r="CP18" s="189">
        <f t="shared" si="39"/>
        <v>0</v>
      </c>
      <c r="CQ18" s="189">
        <f t="shared" si="39"/>
        <v>0</v>
      </c>
      <c r="CR18" s="189">
        <f t="shared" si="39"/>
        <v>0</v>
      </c>
      <c r="CS18" s="189">
        <f t="shared" si="39"/>
        <v>0</v>
      </c>
      <c r="CT18" s="189">
        <f t="shared" si="39"/>
        <v>0</v>
      </c>
      <c r="CU18" s="189">
        <f t="shared" ref="CU18:EE18" si="40">IF(CU6=0,-Snr_Loan_Fee,0)</f>
        <v>0</v>
      </c>
      <c r="CV18" s="189">
        <f t="shared" si="40"/>
        <v>0</v>
      </c>
      <c r="CW18" s="189">
        <f t="shared" si="40"/>
        <v>0</v>
      </c>
      <c r="CX18" s="189">
        <f t="shared" si="40"/>
        <v>0</v>
      </c>
      <c r="CY18" s="189">
        <f t="shared" si="40"/>
        <v>0</v>
      </c>
      <c r="CZ18" s="189">
        <f t="shared" si="40"/>
        <v>0</v>
      </c>
      <c r="DA18" s="189">
        <f t="shared" si="40"/>
        <v>0</v>
      </c>
      <c r="DB18" s="189">
        <f t="shared" si="40"/>
        <v>0</v>
      </c>
      <c r="DC18" s="189">
        <f t="shared" si="40"/>
        <v>0</v>
      </c>
      <c r="DD18" s="189">
        <f t="shared" si="40"/>
        <v>0</v>
      </c>
      <c r="DE18" s="189">
        <f t="shared" si="40"/>
        <v>0</v>
      </c>
      <c r="DF18" s="189">
        <f t="shared" si="40"/>
        <v>0</v>
      </c>
      <c r="DG18" s="189">
        <f t="shared" si="40"/>
        <v>0</v>
      </c>
      <c r="DH18" s="189">
        <f t="shared" si="40"/>
        <v>0</v>
      </c>
      <c r="DI18" s="189">
        <f t="shared" si="40"/>
        <v>0</v>
      </c>
      <c r="DJ18" s="189">
        <f t="shared" si="40"/>
        <v>0</v>
      </c>
      <c r="DK18" s="189">
        <f t="shared" si="40"/>
        <v>0</v>
      </c>
      <c r="DL18" s="189">
        <f t="shared" si="40"/>
        <v>0</v>
      </c>
      <c r="DM18" s="189">
        <f t="shared" si="40"/>
        <v>0</v>
      </c>
      <c r="DN18" s="189">
        <f t="shared" si="40"/>
        <v>0</v>
      </c>
      <c r="DO18" s="189">
        <f t="shared" si="40"/>
        <v>0</v>
      </c>
      <c r="DP18" s="189">
        <f t="shared" si="40"/>
        <v>0</v>
      </c>
      <c r="DQ18" s="189">
        <f t="shared" si="40"/>
        <v>0</v>
      </c>
      <c r="DR18" s="189">
        <f t="shared" si="40"/>
        <v>0</v>
      </c>
      <c r="DS18" s="189">
        <f t="shared" si="40"/>
        <v>0</v>
      </c>
      <c r="DT18" s="189">
        <f t="shared" si="40"/>
        <v>0</v>
      </c>
      <c r="DU18" s="189">
        <f t="shared" si="40"/>
        <v>0</v>
      </c>
      <c r="DV18" s="189">
        <f t="shared" si="40"/>
        <v>0</v>
      </c>
      <c r="DW18" s="189">
        <f t="shared" si="40"/>
        <v>0</v>
      </c>
      <c r="DX18" s="189">
        <f t="shared" si="40"/>
        <v>0</v>
      </c>
      <c r="DY18" s="189">
        <f t="shared" si="40"/>
        <v>0</v>
      </c>
      <c r="DZ18" s="189">
        <f t="shared" si="40"/>
        <v>0</v>
      </c>
      <c r="EA18" s="189">
        <f t="shared" si="40"/>
        <v>0</v>
      </c>
      <c r="EB18" s="189">
        <f t="shared" si="40"/>
        <v>0</v>
      </c>
      <c r="EC18" s="189">
        <f t="shared" si="40"/>
        <v>0</v>
      </c>
      <c r="ED18" s="189">
        <f t="shared" si="40"/>
        <v>0</v>
      </c>
      <c r="EE18" s="189">
        <f t="shared" si="40"/>
        <v>0</v>
      </c>
    </row>
    <row r="19" spans="1:136" s="183" customFormat="1" x14ac:dyDescent="0.2">
      <c r="A19" s="181"/>
      <c r="B19" s="188" t="s">
        <v>201</v>
      </c>
      <c r="C19" s="189">
        <f t="shared" ref="C19:AH19" si="41">IF(C16=0,0,IF(SeniorPrePaySwitch="None",0,IF(SeniorPrePaySwitch="Percent",C16*PrepayPercentFirst,C16*((1-(1+PrepayPercentFirst)^(-LoanTerm1st+C6/12))/PrepayPercentFirst)*(SeniorInt-PrepayPercentFirst))))</f>
        <v>0</v>
      </c>
      <c r="D19" s="189">
        <f t="shared" si="41"/>
        <v>0</v>
      </c>
      <c r="E19" s="189">
        <f t="shared" si="41"/>
        <v>0</v>
      </c>
      <c r="F19" s="189">
        <f t="shared" si="41"/>
        <v>0</v>
      </c>
      <c r="G19" s="189">
        <f t="shared" si="41"/>
        <v>0</v>
      </c>
      <c r="H19" s="189">
        <f t="shared" si="41"/>
        <v>0</v>
      </c>
      <c r="I19" s="189">
        <f t="shared" si="41"/>
        <v>0</v>
      </c>
      <c r="J19" s="189">
        <f t="shared" si="41"/>
        <v>0</v>
      </c>
      <c r="K19" s="189">
        <f t="shared" si="41"/>
        <v>0</v>
      </c>
      <c r="L19" s="189">
        <f t="shared" si="41"/>
        <v>0</v>
      </c>
      <c r="M19" s="189">
        <f t="shared" si="41"/>
        <v>0</v>
      </c>
      <c r="N19" s="189">
        <f t="shared" si="41"/>
        <v>0</v>
      </c>
      <c r="O19" s="189">
        <f t="shared" si="41"/>
        <v>0</v>
      </c>
      <c r="P19" s="189">
        <f t="shared" si="41"/>
        <v>0</v>
      </c>
      <c r="Q19" s="189">
        <f t="shared" si="41"/>
        <v>0</v>
      </c>
      <c r="R19" s="189">
        <f t="shared" si="41"/>
        <v>0</v>
      </c>
      <c r="S19" s="189">
        <f t="shared" si="41"/>
        <v>0</v>
      </c>
      <c r="T19" s="189">
        <f t="shared" si="41"/>
        <v>0</v>
      </c>
      <c r="U19" s="189">
        <f t="shared" si="41"/>
        <v>0</v>
      </c>
      <c r="V19" s="189">
        <f t="shared" si="41"/>
        <v>0</v>
      </c>
      <c r="W19" s="189">
        <f t="shared" si="41"/>
        <v>0</v>
      </c>
      <c r="X19" s="189">
        <f t="shared" si="41"/>
        <v>0</v>
      </c>
      <c r="Y19" s="189">
        <f t="shared" si="41"/>
        <v>0</v>
      </c>
      <c r="Z19" s="189">
        <f t="shared" si="41"/>
        <v>0</v>
      </c>
      <c r="AA19" s="189">
        <f t="shared" si="41"/>
        <v>0</v>
      </c>
      <c r="AB19" s="189">
        <f t="shared" si="41"/>
        <v>0</v>
      </c>
      <c r="AC19" s="189">
        <f t="shared" si="41"/>
        <v>0</v>
      </c>
      <c r="AD19" s="189">
        <f t="shared" si="41"/>
        <v>0</v>
      </c>
      <c r="AE19" s="189">
        <f t="shared" si="41"/>
        <v>0</v>
      </c>
      <c r="AF19" s="189">
        <f t="shared" si="41"/>
        <v>0</v>
      </c>
      <c r="AG19" s="189">
        <f t="shared" si="41"/>
        <v>0</v>
      </c>
      <c r="AH19" s="189">
        <f t="shared" si="41"/>
        <v>0</v>
      </c>
      <c r="AI19" s="189">
        <f t="shared" ref="AI19:BN19" si="42">IF(AI16=0,0,IF(SeniorPrePaySwitch="None",0,IF(SeniorPrePaySwitch="Percent",AI16*PrepayPercentFirst,AI16*((1-(1+PrepayPercentFirst)^(-LoanTerm1st+AI6/12))/PrepayPercentFirst)*(SeniorInt-PrepayPercentFirst))))</f>
        <v>0</v>
      </c>
      <c r="AJ19" s="189">
        <f t="shared" si="42"/>
        <v>0</v>
      </c>
      <c r="AK19" s="189">
        <f t="shared" si="42"/>
        <v>0</v>
      </c>
      <c r="AL19" s="189">
        <f t="shared" si="42"/>
        <v>0</v>
      </c>
      <c r="AM19" s="189">
        <f t="shared" si="42"/>
        <v>-276398.00764068676</v>
      </c>
      <c r="AN19" s="189">
        <f t="shared" si="42"/>
        <v>0</v>
      </c>
      <c r="AO19" s="189">
        <f t="shared" si="42"/>
        <v>0</v>
      </c>
      <c r="AP19" s="189">
        <f t="shared" si="42"/>
        <v>0</v>
      </c>
      <c r="AQ19" s="189">
        <f t="shared" si="42"/>
        <v>0</v>
      </c>
      <c r="AR19" s="189">
        <f t="shared" si="42"/>
        <v>0</v>
      </c>
      <c r="AS19" s="189">
        <f t="shared" si="42"/>
        <v>0</v>
      </c>
      <c r="AT19" s="189">
        <f t="shared" si="42"/>
        <v>0</v>
      </c>
      <c r="AU19" s="189">
        <f t="shared" si="42"/>
        <v>0</v>
      </c>
      <c r="AV19" s="189">
        <f t="shared" si="42"/>
        <v>0</v>
      </c>
      <c r="AW19" s="189">
        <f t="shared" si="42"/>
        <v>0</v>
      </c>
      <c r="AX19" s="189">
        <f t="shared" si="42"/>
        <v>0</v>
      </c>
      <c r="AY19" s="189">
        <f t="shared" si="42"/>
        <v>0</v>
      </c>
      <c r="AZ19" s="189">
        <f t="shared" si="42"/>
        <v>0</v>
      </c>
      <c r="BA19" s="189">
        <f t="shared" si="42"/>
        <v>0</v>
      </c>
      <c r="BB19" s="189">
        <f t="shared" si="42"/>
        <v>0</v>
      </c>
      <c r="BC19" s="189">
        <f t="shared" si="42"/>
        <v>0</v>
      </c>
      <c r="BD19" s="189">
        <f t="shared" si="42"/>
        <v>0</v>
      </c>
      <c r="BE19" s="189">
        <f t="shared" si="42"/>
        <v>0</v>
      </c>
      <c r="BF19" s="189">
        <f t="shared" si="42"/>
        <v>0</v>
      </c>
      <c r="BG19" s="189">
        <f t="shared" si="42"/>
        <v>0</v>
      </c>
      <c r="BH19" s="189">
        <f t="shared" si="42"/>
        <v>0</v>
      </c>
      <c r="BI19" s="189">
        <f t="shared" si="42"/>
        <v>0</v>
      </c>
      <c r="BJ19" s="189">
        <f t="shared" si="42"/>
        <v>0</v>
      </c>
      <c r="BK19" s="189">
        <f t="shared" si="42"/>
        <v>0</v>
      </c>
      <c r="BL19" s="189">
        <f t="shared" si="42"/>
        <v>0</v>
      </c>
      <c r="BM19" s="189">
        <f t="shared" si="42"/>
        <v>0</v>
      </c>
      <c r="BN19" s="189">
        <f t="shared" si="42"/>
        <v>0</v>
      </c>
      <c r="BO19" s="189">
        <f t="shared" ref="BO19:CT19" si="43">IF(BO16=0,0,IF(SeniorPrePaySwitch="None",0,IF(SeniorPrePaySwitch="Percent",BO16*PrepayPercentFirst,BO16*((1-(1+PrepayPercentFirst)^(-LoanTerm1st+BO6/12))/PrepayPercentFirst)*(SeniorInt-PrepayPercentFirst))))</f>
        <v>0</v>
      </c>
      <c r="BP19" s="189">
        <f t="shared" si="43"/>
        <v>0</v>
      </c>
      <c r="BQ19" s="189">
        <f t="shared" si="43"/>
        <v>0</v>
      </c>
      <c r="BR19" s="189">
        <f t="shared" si="43"/>
        <v>0</v>
      </c>
      <c r="BS19" s="189">
        <f t="shared" si="43"/>
        <v>0</v>
      </c>
      <c r="BT19" s="189">
        <f t="shared" si="43"/>
        <v>0</v>
      </c>
      <c r="BU19" s="189">
        <f t="shared" si="43"/>
        <v>0</v>
      </c>
      <c r="BV19" s="189">
        <f t="shared" si="43"/>
        <v>0</v>
      </c>
      <c r="BW19" s="189">
        <f t="shared" si="43"/>
        <v>0</v>
      </c>
      <c r="BX19" s="189">
        <f t="shared" si="43"/>
        <v>0</v>
      </c>
      <c r="BY19" s="189">
        <f t="shared" si="43"/>
        <v>0</v>
      </c>
      <c r="BZ19" s="189">
        <f t="shared" si="43"/>
        <v>0</v>
      </c>
      <c r="CA19" s="189">
        <f t="shared" si="43"/>
        <v>0</v>
      </c>
      <c r="CB19" s="189">
        <f t="shared" si="43"/>
        <v>0</v>
      </c>
      <c r="CC19" s="189">
        <f t="shared" si="43"/>
        <v>0</v>
      </c>
      <c r="CD19" s="189">
        <f t="shared" si="43"/>
        <v>0</v>
      </c>
      <c r="CE19" s="189">
        <f t="shared" si="43"/>
        <v>0</v>
      </c>
      <c r="CF19" s="189">
        <f t="shared" si="43"/>
        <v>0</v>
      </c>
      <c r="CG19" s="189">
        <f t="shared" si="43"/>
        <v>0</v>
      </c>
      <c r="CH19" s="189">
        <f t="shared" si="43"/>
        <v>0</v>
      </c>
      <c r="CI19" s="189">
        <f t="shared" si="43"/>
        <v>0</v>
      </c>
      <c r="CJ19" s="189">
        <f t="shared" si="43"/>
        <v>0</v>
      </c>
      <c r="CK19" s="189">
        <f t="shared" si="43"/>
        <v>0</v>
      </c>
      <c r="CL19" s="189">
        <f t="shared" si="43"/>
        <v>0</v>
      </c>
      <c r="CM19" s="189">
        <f t="shared" si="43"/>
        <v>0</v>
      </c>
      <c r="CN19" s="189">
        <f t="shared" si="43"/>
        <v>0</v>
      </c>
      <c r="CO19" s="189">
        <f t="shared" si="43"/>
        <v>0</v>
      </c>
      <c r="CP19" s="189">
        <f t="shared" si="43"/>
        <v>0</v>
      </c>
      <c r="CQ19" s="189">
        <f t="shared" si="43"/>
        <v>0</v>
      </c>
      <c r="CR19" s="189">
        <f t="shared" si="43"/>
        <v>0</v>
      </c>
      <c r="CS19" s="189">
        <f t="shared" si="43"/>
        <v>0</v>
      </c>
      <c r="CT19" s="189">
        <f t="shared" si="43"/>
        <v>0</v>
      </c>
      <c r="CU19" s="189">
        <f t="shared" ref="CU19:EE19" si="44">IF(CU16=0,0,IF(SeniorPrePaySwitch="None",0,IF(SeniorPrePaySwitch="Percent",CU16*PrepayPercentFirst,CU16*((1-(1+PrepayPercentFirst)^(-LoanTerm1st+CU6/12))/PrepayPercentFirst)*(SeniorInt-PrepayPercentFirst))))</f>
        <v>0</v>
      </c>
      <c r="CV19" s="189">
        <f t="shared" si="44"/>
        <v>0</v>
      </c>
      <c r="CW19" s="189">
        <f t="shared" si="44"/>
        <v>0</v>
      </c>
      <c r="CX19" s="189">
        <f t="shared" si="44"/>
        <v>0</v>
      </c>
      <c r="CY19" s="189">
        <f t="shared" si="44"/>
        <v>0</v>
      </c>
      <c r="CZ19" s="189">
        <f t="shared" si="44"/>
        <v>0</v>
      </c>
      <c r="DA19" s="189">
        <f t="shared" si="44"/>
        <v>0</v>
      </c>
      <c r="DB19" s="189">
        <f t="shared" si="44"/>
        <v>0</v>
      </c>
      <c r="DC19" s="189">
        <f t="shared" si="44"/>
        <v>0</v>
      </c>
      <c r="DD19" s="189">
        <f t="shared" si="44"/>
        <v>0</v>
      </c>
      <c r="DE19" s="189">
        <f t="shared" si="44"/>
        <v>0</v>
      </c>
      <c r="DF19" s="189">
        <f t="shared" si="44"/>
        <v>0</v>
      </c>
      <c r="DG19" s="189">
        <f t="shared" si="44"/>
        <v>0</v>
      </c>
      <c r="DH19" s="189">
        <f t="shared" si="44"/>
        <v>0</v>
      </c>
      <c r="DI19" s="189">
        <f t="shared" si="44"/>
        <v>0</v>
      </c>
      <c r="DJ19" s="189">
        <f t="shared" si="44"/>
        <v>0</v>
      </c>
      <c r="DK19" s="189">
        <f t="shared" si="44"/>
        <v>0</v>
      </c>
      <c r="DL19" s="189">
        <f t="shared" si="44"/>
        <v>0</v>
      </c>
      <c r="DM19" s="189">
        <f t="shared" si="44"/>
        <v>0</v>
      </c>
      <c r="DN19" s="189">
        <f t="shared" si="44"/>
        <v>0</v>
      </c>
      <c r="DO19" s="189">
        <f t="shared" si="44"/>
        <v>0</v>
      </c>
      <c r="DP19" s="189">
        <f t="shared" si="44"/>
        <v>0</v>
      </c>
      <c r="DQ19" s="189">
        <f t="shared" si="44"/>
        <v>0</v>
      </c>
      <c r="DR19" s="189">
        <f t="shared" si="44"/>
        <v>0</v>
      </c>
      <c r="DS19" s="189">
        <f t="shared" si="44"/>
        <v>0</v>
      </c>
      <c r="DT19" s="189">
        <f t="shared" si="44"/>
        <v>0</v>
      </c>
      <c r="DU19" s="189">
        <f t="shared" si="44"/>
        <v>0</v>
      </c>
      <c r="DV19" s="189">
        <f t="shared" si="44"/>
        <v>0</v>
      </c>
      <c r="DW19" s="189">
        <f t="shared" si="44"/>
        <v>0</v>
      </c>
      <c r="DX19" s="189">
        <f t="shared" si="44"/>
        <v>0</v>
      </c>
      <c r="DY19" s="189">
        <f t="shared" si="44"/>
        <v>0</v>
      </c>
      <c r="DZ19" s="189">
        <f t="shared" si="44"/>
        <v>0</v>
      </c>
      <c r="EA19" s="189">
        <f t="shared" si="44"/>
        <v>0</v>
      </c>
      <c r="EB19" s="189">
        <f t="shared" si="44"/>
        <v>0</v>
      </c>
      <c r="EC19" s="189">
        <f t="shared" si="44"/>
        <v>0</v>
      </c>
      <c r="ED19" s="189">
        <f t="shared" si="44"/>
        <v>0</v>
      </c>
      <c r="EE19" s="189">
        <f t="shared" si="44"/>
        <v>0</v>
      </c>
      <c r="EF19" s="183" t="s">
        <v>243</v>
      </c>
    </row>
    <row r="20" spans="1:136" s="180" customFormat="1" x14ac:dyDescent="0.2">
      <c r="A20" s="190"/>
      <c r="B20" s="191" t="str">
        <f>IF(ABS(SUM(MAX(C11:EE11),C14:EE14,C16:EE16))&gt;0.001,"UNRETURNED LOAN PROCEEDS","OK")</f>
        <v>OK</v>
      </c>
      <c r="C20" s="192"/>
      <c r="D20" s="193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192"/>
      <c r="AX20" s="192"/>
      <c r="AY20" s="192"/>
      <c r="AZ20" s="192"/>
      <c r="BA20" s="192"/>
      <c r="BB20" s="192"/>
      <c r="BC20" s="192"/>
      <c r="BD20" s="192"/>
      <c r="BE20" s="192"/>
      <c r="BF20" s="192"/>
      <c r="BG20" s="192"/>
      <c r="BH20" s="192"/>
      <c r="BI20" s="192"/>
      <c r="BJ20" s="192"/>
      <c r="BK20" s="192"/>
      <c r="BL20" s="192"/>
      <c r="BM20" s="192"/>
      <c r="BN20" s="192"/>
      <c r="BO20" s="192"/>
      <c r="BP20" s="192"/>
      <c r="BQ20" s="192"/>
      <c r="BR20" s="192"/>
      <c r="BS20" s="192"/>
      <c r="BT20" s="192"/>
      <c r="BU20" s="192"/>
      <c r="BV20" s="192"/>
      <c r="BW20" s="192"/>
      <c r="BX20" s="192"/>
      <c r="BY20" s="192"/>
      <c r="BZ20" s="192"/>
      <c r="CA20" s="192"/>
      <c r="CB20" s="192"/>
      <c r="CC20" s="192"/>
      <c r="CD20" s="192"/>
      <c r="CE20" s="192"/>
      <c r="CF20" s="192"/>
      <c r="CG20" s="192"/>
      <c r="CH20" s="192"/>
      <c r="CI20" s="192"/>
      <c r="CJ20" s="192"/>
      <c r="CK20" s="192"/>
      <c r="CL20" s="192"/>
      <c r="CM20" s="192"/>
      <c r="CN20" s="192"/>
      <c r="CO20" s="192"/>
      <c r="CP20" s="192"/>
      <c r="CQ20" s="192"/>
      <c r="CR20" s="192"/>
      <c r="CS20" s="192"/>
      <c r="CT20" s="192"/>
      <c r="CU20" s="192"/>
      <c r="CV20" s="192"/>
      <c r="CW20" s="192"/>
      <c r="CX20" s="192"/>
      <c r="CY20" s="192"/>
      <c r="CZ20" s="192"/>
      <c r="DA20" s="192"/>
      <c r="DB20" s="192"/>
      <c r="DC20" s="192"/>
      <c r="DD20" s="192"/>
      <c r="DE20" s="192"/>
      <c r="DF20" s="192"/>
      <c r="DG20" s="192"/>
      <c r="DH20" s="192"/>
      <c r="DI20" s="192"/>
      <c r="DJ20" s="192"/>
      <c r="DK20" s="192"/>
      <c r="DL20" s="192"/>
      <c r="DM20" s="192"/>
      <c r="DN20" s="192"/>
      <c r="DO20" s="192"/>
      <c r="DP20" s="192"/>
      <c r="DQ20" s="192"/>
      <c r="DR20" s="192"/>
      <c r="DS20" s="192"/>
      <c r="DT20" s="192"/>
      <c r="DU20" s="192"/>
      <c r="DV20" s="192"/>
      <c r="DW20" s="192"/>
      <c r="DX20" s="192"/>
      <c r="DY20" s="192"/>
      <c r="DZ20" s="192"/>
      <c r="EA20" s="192"/>
      <c r="EB20" s="192"/>
      <c r="EC20" s="192"/>
      <c r="ED20" s="192"/>
      <c r="EE20" s="192"/>
      <c r="EF20" s="183" t="s">
        <v>243</v>
      </c>
    </row>
    <row r="21" spans="1:136" s="180" customFormat="1" x14ac:dyDescent="0.2">
      <c r="A21" s="190"/>
      <c r="B21" s="191"/>
      <c r="C21" s="192"/>
      <c r="D21" s="193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  <c r="BE21" s="192"/>
      <c r="BF21" s="192"/>
      <c r="BG21" s="192"/>
      <c r="BH21" s="192"/>
      <c r="BI21" s="192"/>
      <c r="BJ21" s="192"/>
      <c r="BK21" s="192"/>
      <c r="BL21" s="192"/>
      <c r="BM21" s="192"/>
      <c r="BN21" s="192"/>
      <c r="BO21" s="192"/>
      <c r="BP21" s="192"/>
      <c r="BQ21" s="192"/>
      <c r="BR21" s="192"/>
      <c r="BS21" s="192"/>
      <c r="BT21" s="192"/>
      <c r="BU21" s="192"/>
      <c r="BV21" s="192"/>
      <c r="BW21" s="192"/>
      <c r="BX21" s="192"/>
      <c r="BY21" s="192"/>
      <c r="BZ21" s="192"/>
      <c r="CA21" s="192"/>
      <c r="CB21" s="192"/>
      <c r="CC21" s="192"/>
      <c r="CD21" s="192"/>
      <c r="CE21" s="192"/>
      <c r="CF21" s="192"/>
      <c r="CG21" s="192"/>
      <c r="CH21" s="192"/>
      <c r="CI21" s="192"/>
      <c r="CJ21" s="192"/>
      <c r="CK21" s="192"/>
      <c r="CL21" s="192"/>
      <c r="CM21" s="192"/>
      <c r="CN21" s="192"/>
      <c r="CO21" s="192"/>
      <c r="CP21" s="192"/>
      <c r="CQ21" s="192"/>
      <c r="CR21" s="192"/>
      <c r="CS21" s="192"/>
      <c r="CT21" s="192"/>
      <c r="CU21" s="192"/>
      <c r="CV21" s="192"/>
      <c r="CW21" s="192"/>
      <c r="CX21" s="192"/>
      <c r="CY21" s="192"/>
      <c r="CZ21" s="192"/>
      <c r="DA21" s="192"/>
      <c r="DB21" s="192"/>
      <c r="DC21" s="192"/>
      <c r="DD21" s="192"/>
      <c r="DE21" s="192"/>
      <c r="DF21" s="192"/>
      <c r="DG21" s="192"/>
      <c r="DH21" s="192"/>
      <c r="DI21" s="192"/>
      <c r="DJ21" s="192"/>
      <c r="DK21" s="192"/>
      <c r="DL21" s="192"/>
      <c r="DM21" s="192"/>
      <c r="DN21" s="192"/>
      <c r="DO21" s="192"/>
      <c r="DP21" s="192"/>
      <c r="DQ21" s="192"/>
      <c r="DR21" s="192"/>
      <c r="DS21" s="192"/>
      <c r="DT21" s="192"/>
      <c r="DU21" s="192"/>
      <c r="DV21" s="192"/>
      <c r="DW21" s="192"/>
      <c r="DX21" s="192"/>
      <c r="DY21" s="192"/>
      <c r="DZ21" s="192"/>
      <c r="EA21" s="192"/>
      <c r="EB21" s="192"/>
      <c r="EC21" s="192"/>
      <c r="ED21" s="192"/>
      <c r="EE21" s="192"/>
      <c r="EF21" s="183" t="s">
        <v>243</v>
      </c>
    </row>
    <row r="22" spans="1:136" s="180" customFormat="1" ht="15" outlineLevel="1" thickBot="1" x14ac:dyDescent="0.25">
      <c r="A22" s="177"/>
      <c r="B22" s="178" t="s">
        <v>113</v>
      </c>
      <c r="C22" s="179"/>
      <c r="D22" s="194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79"/>
      <c r="AU22" s="179"/>
      <c r="AV22" s="179"/>
      <c r="AW22" s="179"/>
      <c r="AX22" s="179"/>
      <c r="AY22" s="179"/>
      <c r="AZ22" s="179"/>
      <c r="BA22" s="179"/>
      <c r="BB22" s="179"/>
      <c r="BC22" s="179"/>
      <c r="BD22" s="179"/>
      <c r="BE22" s="179"/>
      <c r="BF22" s="179"/>
      <c r="BG22" s="179"/>
      <c r="BH22" s="179"/>
      <c r="BI22" s="179"/>
      <c r="BJ22" s="179"/>
      <c r="BK22" s="179"/>
      <c r="BL22" s="179"/>
      <c r="BM22" s="179"/>
      <c r="BN22" s="179"/>
      <c r="BO22" s="179"/>
      <c r="BP22" s="179"/>
      <c r="BQ22" s="179"/>
      <c r="BR22" s="179"/>
      <c r="BS22" s="179"/>
      <c r="BT22" s="179"/>
      <c r="BU22" s="179"/>
      <c r="BV22" s="179"/>
      <c r="BW22" s="179"/>
      <c r="BX22" s="179"/>
      <c r="BY22" s="179"/>
      <c r="BZ22" s="179"/>
      <c r="CA22" s="179"/>
      <c r="CB22" s="179"/>
      <c r="CC22" s="179"/>
      <c r="CD22" s="179"/>
      <c r="CE22" s="179"/>
      <c r="CF22" s="179"/>
      <c r="CG22" s="179"/>
      <c r="CH22" s="179"/>
      <c r="CI22" s="179"/>
      <c r="CJ22" s="179"/>
      <c r="CK22" s="179"/>
      <c r="CL22" s="179"/>
      <c r="CM22" s="179"/>
      <c r="CN22" s="179"/>
      <c r="CO22" s="179"/>
      <c r="CP22" s="179"/>
      <c r="CQ22" s="179"/>
      <c r="CR22" s="179"/>
      <c r="CS22" s="179"/>
      <c r="CT22" s="179"/>
      <c r="CU22" s="179"/>
      <c r="CV22" s="179"/>
      <c r="CW22" s="179"/>
      <c r="CX22" s="179"/>
      <c r="CY22" s="179"/>
      <c r="CZ22" s="179"/>
      <c r="DA22" s="179"/>
      <c r="DB22" s="179"/>
      <c r="DC22" s="179"/>
      <c r="DD22" s="179"/>
      <c r="DE22" s="179"/>
      <c r="DF22" s="179"/>
      <c r="DG22" s="179"/>
      <c r="DH22" s="179"/>
      <c r="DI22" s="179"/>
      <c r="DJ22" s="179"/>
      <c r="DK22" s="179"/>
      <c r="DL22" s="179"/>
      <c r="DM22" s="179"/>
      <c r="DN22" s="179"/>
      <c r="DO22" s="179"/>
      <c r="DP22" s="179"/>
      <c r="DQ22" s="179"/>
      <c r="DR22" s="179"/>
      <c r="DS22" s="179"/>
      <c r="DT22" s="179"/>
      <c r="DU22" s="179"/>
      <c r="DV22" s="179"/>
      <c r="DW22" s="179"/>
      <c r="DX22" s="179"/>
      <c r="DY22" s="179"/>
      <c r="DZ22" s="179"/>
      <c r="EA22" s="179"/>
      <c r="EB22" s="179"/>
      <c r="EC22" s="179"/>
      <c r="ED22" s="179"/>
      <c r="EE22" s="179"/>
      <c r="EF22" s="183" t="s">
        <v>243</v>
      </c>
    </row>
    <row r="23" spans="1:136" s="183" customFormat="1" outlineLevel="1" x14ac:dyDescent="0.2">
      <c r="A23" s="181"/>
      <c r="B23" s="182" t="s">
        <v>32</v>
      </c>
      <c r="C23" s="184">
        <f>JuniorLoanAmount</f>
        <v>0</v>
      </c>
      <c r="D23" s="184">
        <f>C29</f>
        <v>0</v>
      </c>
      <c r="E23" s="184">
        <f t="shared" ref="E23:BP23" si="45">D29</f>
        <v>0</v>
      </c>
      <c r="F23" s="184">
        <f t="shared" si="45"/>
        <v>0</v>
      </c>
      <c r="G23" s="184">
        <f t="shared" si="45"/>
        <v>0</v>
      </c>
      <c r="H23" s="184">
        <f t="shared" si="45"/>
        <v>0</v>
      </c>
      <c r="I23" s="184">
        <f t="shared" si="45"/>
        <v>0</v>
      </c>
      <c r="J23" s="184">
        <f t="shared" si="45"/>
        <v>0</v>
      </c>
      <c r="K23" s="184">
        <f t="shared" si="45"/>
        <v>0</v>
      </c>
      <c r="L23" s="184">
        <f t="shared" si="45"/>
        <v>0</v>
      </c>
      <c r="M23" s="184">
        <f t="shared" si="45"/>
        <v>0</v>
      </c>
      <c r="N23" s="184">
        <f t="shared" si="45"/>
        <v>0</v>
      </c>
      <c r="O23" s="184">
        <f t="shared" si="45"/>
        <v>0</v>
      </c>
      <c r="P23" s="184">
        <f t="shared" si="45"/>
        <v>0</v>
      </c>
      <c r="Q23" s="184">
        <f t="shared" si="45"/>
        <v>0</v>
      </c>
      <c r="R23" s="184">
        <f t="shared" si="45"/>
        <v>0</v>
      </c>
      <c r="S23" s="184">
        <f t="shared" si="45"/>
        <v>0</v>
      </c>
      <c r="T23" s="184">
        <f t="shared" si="45"/>
        <v>0</v>
      </c>
      <c r="U23" s="184">
        <f t="shared" si="45"/>
        <v>0</v>
      </c>
      <c r="V23" s="184">
        <f t="shared" si="45"/>
        <v>0</v>
      </c>
      <c r="W23" s="184">
        <f t="shared" si="45"/>
        <v>0</v>
      </c>
      <c r="X23" s="184">
        <f t="shared" si="45"/>
        <v>0</v>
      </c>
      <c r="Y23" s="184">
        <f t="shared" si="45"/>
        <v>0</v>
      </c>
      <c r="Z23" s="184">
        <f t="shared" si="45"/>
        <v>0</v>
      </c>
      <c r="AA23" s="184">
        <f t="shared" si="45"/>
        <v>0</v>
      </c>
      <c r="AB23" s="184">
        <f t="shared" si="45"/>
        <v>0</v>
      </c>
      <c r="AC23" s="184">
        <f t="shared" si="45"/>
        <v>0</v>
      </c>
      <c r="AD23" s="184">
        <f t="shared" si="45"/>
        <v>0</v>
      </c>
      <c r="AE23" s="184">
        <f t="shared" si="45"/>
        <v>0</v>
      </c>
      <c r="AF23" s="184">
        <f t="shared" si="45"/>
        <v>0</v>
      </c>
      <c r="AG23" s="184">
        <f t="shared" si="45"/>
        <v>0</v>
      </c>
      <c r="AH23" s="184">
        <f t="shared" si="45"/>
        <v>0</v>
      </c>
      <c r="AI23" s="184">
        <f t="shared" si="45"/>
        <v>0</v>
      </c>
      <c r="AJ23" s="184">
        <f t="shared" si="45"/>
        <v>0</v>
      </c>
      <c r="AK23" s="184">
        <f t="shared" si="45"/>
        <v>0</v>
      </c>
      <c r="AL23" s="184">
        <f t="shared" si="45"/>
        <v>0</v>
      </c>
      <c r="AM23" s="184">
        <f t="shared" si="45"/>
        <v>0</v>
      </c>
      <c r="AN23" s="184">
        <f t="shared" si="45"/>
        <v>0</v>
      </c>
      <c r="AO23" s="184">
        <f t="shared" si="45"/>
        <v>0</v>
      </c>
      <c r="AP23" s="184">
        <f t="shared" si="45"/>
        <v>0</v>
      </c>
      <c r="AQ23" s="184">
        <f t="shared" si="45"/>
        <v>0</v>
      </c>
      <c r="AR23" s="184">
        <f t="shared" si="45"/>
        <v>0</v>
      </c>
      <c r="AS23" s="184">
        <f t="shared" si="45"/>
        <v>0</v>
      </c>
      <c r="AT23" s="184">
        <f t="shared" si="45"/>
        <v>0</v>
      </c>
      <c r="AU23" s="184">
        <f t="shared" si="45"/>
        <v>0</v>
      </c>
      <c r="AV23" s="184">
        <f t="shared" si="45"/>
        <v>0</v>
      </c>
      <c r="AW23" s="184">
        <f t="shared" si="45"/>
        <v>0</v>
      </c>
      <c r="AX23" s="184">
        <f t="shared" si="45"/>
        <v>0</v>
      </c>
      <c r="AY23" s="184">
        <f t="shared" si="45"/>
        <v>0</v>
      </c>
      <c r="AZ23" s="184">
        <f t="shared" si="45"/>
        <v>0</v>
      </c>
      <c r="BA23" s="184">
        <f t="shared" si="45"/>
        <v>0</v>
      </c>
      <c r="BB23" s="184">
        <f t="shared" si="45"/>
        <v>0</v>
      </c>
      <c r="BC23" s="184">
        <f t="shared" si="45"/>
        <v>0</v>
      </c>
      <c r="BD23" s="184">
        <f t="shared" si="45"/>
        <v>0</v>
      </c>
      <c r="BE23" s="184">
        <f t="shared" si="45"/>
        <v>0</v>
      </c>
      <c r="BF23" s="184">
        <f t="shared" si="45"/>
        <v>0</v>
      </c>
      <c r="BG23" s="184">
        <f t="shared" si="45"/>
        <v>0</v>
      </c>
      <c r="BH23" s="184">
        <f t="shared" si="45"/>
        <v>0</v>
      </c>
      <c r="BI23" s="184">
        <f t="shared" si="45"/>
        <v>0</v>
      </c>
      <c r="BJ23" s="184">
        <f t="shared" si="45"/>
        <v>0</v>
      </c>
      <c r="BK23" s="184">
        <f t="shared" si="45"/>
        <v>0</v>
      </c>
      <c r="BL23" s="184">
        <f t="shared" si="45"/>
        <v>0</v>
      </c>
      <c r="BM23" s="184">
        <f t="shared" si="45"/>
        <v>0</v>
      </c>
      <c r="BN23" s="184">
        <f t="shared" si="45"/>
        <v>0</v>
      </c>
      <c r="BO23" s="184">
        <f t="shared" si="45"/>
        <v>0</v>
      </c>
      <c r="BP23" s="184">
        <f t="shared" si="45"/>
        <v>0</v>
      </c>
      <c r="BQ23" s="184">
        <f t="shared" ref="BQ23:EB23" si="46">BP29</f>
        <v>0</v>
      </c>
      <c r="BR23" s="184">
        <f t="shared" si="46"/>
        <v>0</v>
      </c>
      <c r="BS23" s="184">
        <f t="shared" si="46"/>
        <v>0</v>
      </c>
      <c r="BT23" s="184">
        <f t="shared" si="46"/>
        <v>0</v>
      </c>
      <c r="BU23" s="184">
        <f t="shared" si="46"/>
        <v>0</v>
      </c>
      <c r="BV23" s="184">
        <f t="shared" si="46"/>
        <v>0</v>
      </c>
      <c r="BW23" s="184">
        <f t="shared" si="46"/>
        <v>0</v>
      </c>
      <c r="BX23" s="184">
        <f t="shared" si="46"/>
        <v>0</v>
      </c>
      <c r="BY23" s="184">
        <f t="shared" si="46"/>
        <v>0</v>
      </c>
      <c r="BZ23" s="184">
        <f t="shared" si="46"/>
        <v>0</v>
      </c>
      <c r="CA23" s="184">
        <f t="shared" si="46"/>
        <v>0</v>
      </c>
      <c r="CB23" s="184">
        <f t="shared" si="46"/>
        <v>0</v>
      </c>
      <c r="CC23" s="184">
        <f t="shared" si="46"/>
        <v>0</v>
      </c>
      <c r="CD23" s="184">
        <f t="shared" si="46"/>
        <v>0</v>
      </c>
      <c r="CE23" s="184">
        <f t="shared" si="46"/>
        <v>0</v>
      </c>
      <c r="CF23" s="184">
        <f t="shared" si="46"/>
        <v>0</v>
      </c>
      <c r="CG23" s="184">
        <f t="shared" si="46"/>
        <v>0</v>
      </c>
      <c r="CH23" s="184">
        <f t="shared" si="46"/>
        <v>0</v>
      </c>
      <c r="CI23" s="184">
        <f t="shared" si="46"/>
        <v>0</v>
      </c>
      <c r="CJ23" s="184">
        <f t="shared" si="46"/>
        <v>0</v>
      </c>
      <c r="CK23" s="184">
        <f t="shared" si="46"/>
        <v>0</v>
      </c>
      <c r="CL23" s="184">
        <f t="shared" si="46"/>
        <v>0</v>
      </c>
      <c r="CM23" s="184">
        <f t="shared" si="46"/>
        <v>0</v>
      </c>
      <c r="CN23" s="184">
        <f t="shared" si="46"/>
        <v>0</v>
      </c>
      <c r="CO23" s="184">
        <f t="shared" si="46"/>
        <v>0</v>
      </c>
      <c r="CP23" s="184">
        <f t="shared" si="46"/>
        <v>0</v>
      </c>
      <c r="CQ23" s="184">
        <f t="shared" si="46"/>
        <v>0</v>
      </c>
      <c r="CR23" s="184">
        <f t="shared" si="46"/>
        <v>0</v>
      </c>
      <c r="CS23" s="184">
        <f t="shared" si="46"/>
        <v>0</v>
      </c>
      <c r="CT23" s="184">
        <f t="shared" si="46"/>
        <v>0</v>
      </c>
      <c r="CU23" s="184">
        <f t="shared" si="46"/>
        <v>0</v>
      </c>
      <c r="CV23" s="184">
        <f t="shared" si="46"/>
        <v>0</v>
      </c>
      <c r="CW23" s="184">
        <f t="shared" si="46"/>
        <v>0</v>
      </c>
      <c r="CX23" s="184">
        <f t="shared" si="46"/>
        <v>0</v>
      </c>
      <c r="CY23" s="184">
        <f t="shared" si="46"/>
        <v>0</v>
      </c>
      <c r="CZ23" s="184">
        <f t="shared" si="46"/>
        <v>0</v>
      </c>
      <c r="DA23" s="184">
        <f t="shared" si="46"/>
        <v>0</v>
      </c>
      <c r="DB23" s="184">
        <f t="shared" si="46"/>
        <v>0</v>
      </c>
      <c r="DC23" s="184">
        <f t="shared" si="46"/>
        <v>0</v>
      </c>
      <c r="DD23" s="184">
        <f t="shared" si="46"/>
        <v>0</v>
      </c>
      <c r="DE23" s="184">
        <f t="shared" si="46"/>
        <v>0</v>
      </c>
      <c r="DF23" s="184">
        <f t="shared" si="46"/>
        <v>0</v>
      </c>
      <c r="DG23" s="184">
        <f t="shared" si="46"/>
        <v>0</v>
      </c>
      <c r="DH23" s="184">
        <f t="shared" si="46"/>
        <v>0</v>
      </c>
      <c r="DI23" s="184">
        <f t="shared" si="46"/>
        <v>0</v>
      </c>
      <c r="DJ23" s="184">
        <f t="shared" si="46"/>
        <v>0</v>
      </c>
      <c r="DK23" s="184">
        <f t="shared" si="46"/>
        <v>0</v>
      </c>
      <c r="DL23" s="184">
        <f t="shared" si="46"/>
        <v>0</v>
      </c>
      <c r="DM23" s="184">
        <f t="shared" si="46"/>
        <v>0</v>
      </c>
      <c r="DN23" s="184">
        <f t="shared" si="46"/>
        <v>0</v>
      </c>
      <c r="DO23" s="184">
        <f t="shared" si="46"/>
        <v>0</v>
      </c>
      <c r="DP23" s="184">
        <f t="shared" si="46"/>
        <v>0</v>
      </c>
      <c r="DQ23" s="184">
        <f t="shared" si="46"/>
        <v>0</v>
      </c>
      <c r="DR23" s="184">
        <f t="shared" si="46"/>
        <v>0</v>
      </c>
      <c r="DS23" s="184">
        <f t="shared" si="46"/>
        <v>0</v>
      </c>
      <c r="DT23" s="184">
        <f t="shared" si="46"/>
        <v>0</v>
      </c>
      <c r="DU23" s="184">
        <f t="shared" si="46"/>
        <v>0</v>
      </c>
      <c r="DV23" s="184">
        <f t="shared" si="46"/>
        <v>0</v>
      </c>
      <c r="DW23" s="184">
        <f t="shared" si="46"/>
        <v>0</v>
      </c>
      <c r="DX23" s="184">
        <f t="shared" si="46"/>
        <v>0</v>
      </c>
      <c r="DY23" s="184">
        <f t="shared" si="46"/>
        <v>0</v>
      </c>
      <c r="DZ23" s="184">
        <f t="shared" si="46"/>
        <v>0</v>
      </c>
      <c r="EA23" s="184">
        <f t="shared" si="46"/>
        <v>0</v>
      </c>
      <c r="EB23" s="184">
        <f t="shared" si="46"/>
        <v>0</v>
      </c>
      <c r="EC23" s="184">
        <f>EB29</f>
        <v>0</v>
      </c>
      <c r="ED23" s="184">
        <f>EC29</f>
        <v>0</v>
      </c>
      <c r="EE23" s="184">
        <f>ED29</f>
        <v>0</v>
      </c>
      <c r="EF23" s="183" t="s">
        <v>243</v>
      </c>
    </row>
    <row r="24" spans="1:136" s="183" customFormat="1" outlineLevel="1" x14ac:dyDescent="0.2">
      <c r="A24" s="181"/>
      <c r="B24" s="185" t="s">
        <v>34</v>
      </c>
      <c r="C24" s="183">
        <v>0</v>
      </c>
      <c r="D24" s="183">
        <f>-IF(OR(D6&gt;HoldPeriod,D6&gt;RefiMonth),0,IF(OR(Summary!$D$47=0,D6&lt;=JuniorIO),D23*Summary!$D$42/12,-PMT(Summary!$D$42/12,Summary!$D$47*12,Summary!$D$37,0)))</f>
        <v>0</v>
      </c>
      <c r="E24" s="183">
        <f>-IF(OR(E6&gt;HoldPeriod,E6&gt;RefiMonth),0,IF(OR(Summary!$D$47=0,E6&lt;=JuniorIO),E23*Summary!$D$42/12,-PMT(Summary!$D$42/12,Summary!$D$47*12,Summary!$D$37,0)))</f>
        <v>0</v>
      </c>
      <c r="F24" s="183">
        <f>-IF(OR(F6&gt;HoldPeriod,F6&gt;RefiMonth),0,IF(OR(Summary!$D$47=0,F6&lt;=JuniorIO),F23*Summary!$D$42/12,-PMT(Summary!$D$42/12,Summary!$D$47*12,Summary!$D$37,0)))</f>
        <v>0</v>
      </c>
      <c r="G24" s="183">
        <f>-IF(OR(G6&gt;HoldPeriod,G6&gt;RefiMonth),0,IF(OR(Summary!$D$47=0,G6&lt;=JuniorIO),G23*Summary!$D$42/12,-PMT(Summary!$D$42/12,Summary!$D$47*12,Summary!$D$37,0)))</f>
        <v>0</v>
      </c>
      <c r="H24" s="183">
        <f>-IF(OR(H6&gt;HoldPeriod,H6&gt;RefiMonth),0,IF(OR(Summary!$D$47=0,H6&lt;=JuniorIO),H23*Summary!$D$42/12,-PMT(Summary!$D$42/12,Summary!$D$47*12,Summary!$D$37,0)))</f>
        <v>0</v>
      </c>
      <c r="I24" s="183">
        <f>-IF(OR(I6&gt;HoldPeriod,I6&gt;RefiMonth),0,IF(OR(Summary!$D$47=0,I6&lt;=JuniorIO),I23*Summary!$D$42/12,-PMT(Summary!$D$42/12,Summary!$D$47*12,Summary!$D$37,0)))</f>
        <v>0</v>
      </c>
      <c r="J24" s="183">
        <f>-IF(OR(J6&gt;HoldPeriod,J6&gt;RefiMonth),0,IF(OR(Summary!$D$47=0,J6&lt;=JuniorIO),J23*Summary!$D$42/12,-PMT(Summary!$D$42/12,Summary!$D$47*12,Summary!$D$37,0)))</f>
        <v>0</v>
      </c>
      <c r="K24" s="183">
        <f>-IF(OR(K6&gt;HoldPeriod,K6&gt;RefiMonth),0,IF(OR(Summary!$D$47=0,K6&lt;=JuniorIO),K23*Summary!$D$42/12,-PMT(Summary!$D$42/12,Summary!$D$47*12,Summary!$D$37,0)))</f>
        <v>0</v>
      </c>
      <c r="L24" s="183">
        <f>-IF(OR(L6&gt;HoldPeriod,L6&gt;RefiMonth),0,IF(OR(Summary!$D$47=0,L6&lt;=JuniorIO),L23*Summary!$D$42/12,-PMT(Summary!$D$42/12,Summary!$D$47*12,Summary!$D$37,0)))</f>
        <v>0</v>
      </c>
      <c r="M24" s="183">
        <f>-IF(OR(M6&gt;HoldPeriod,M6&gt;RefiMonth),0,IF(OR(Summary!$D$47=0,M6&lt;=JuniorIO),M23*Summary!$D$42/12,-PMT(Summary!$D$42/12,Summary!$D$47*12,Summary!$D$37,0)))</f>
        <v>0</v>
      </c>
      <c r="N24" s="183">
        <f>-IF(OR(N6&gt;HoldPeriod,N6&gt;RefiMonth),0,IF(OR(Summary!$D$47=0,N6&lt;=JuniorIO),N23*Summary!$D$42/12,-PMT(Summary!$D$42/12,Summary!$D$47*12,Summary!$D$37,0)))</f>
        <v>0</v>
      </c>
      <c r="O24" s="183">
        <f>-IF(OR(O6&gt;HoldPeriod,O6&gt;RefiMonth),0,IF(OR(Summary!$D$47=0,O6&lt;=JuniorIO),O23*Summary!$D$42/12,-PMT(Summary!$D$42/12,Summary!$D$47*12,Summary!$D$37,0)))</f>
        <v>0</v>
      </c>
      <c r="P24" s="183">
        <f>-IF(OR(P6&gt;HoldPeriod,P6&gt;RefiMonth),0,IF(OR(Summary!$D$47=0,P6&lt;=JuniorIO),P23*Summary!$D$42/12,-PMT(Summary!$D$42/12,Summary!$D$47*12,Summary!$D$37,0)))</f>
        <v>0</v>
      </c>
      <c r="Q24" s="183">
        <f>-IF(OR(Q6&gt;HoldPeriod,Q6&gt;RefiMonth),0,IF(OR(Summary!$D$47=0,Q6&lt;=JuniorIO),Q23*Summary!$D$42/12,-PMT(Summary!$D$42/12,Summary!$D$47*12,Summary!$D$37,0)))</f>
        <v>0</v>
      </c>
      <c r="R24" s="183">
        <f>-IF(OR(R6&gt;HoldPeriod,R6&gt;RefiMonth),0,IF(OR(Summary!$D$47=0,R6&lt;=JuniorIO),R23*Summary!$D$42/12,-PMT(Summary!$D$42/12,Summary!$D$47*12,Summary!$D$37,0)))</f>
        <v>0</v>
      </c>
      <c r="S24" s="183">
        <f>-IF(OR(S6&gt;HoldPeriod,S6&gt;RefiMonth),0,IF(OR(Summary!$D$47=0,S6&lt;=JuniorIO),S23*Summary!$D$42/12,-PMT(Summary!$D$42/12,Summary!$D$47*12,Summary!$D$37,0)))</f>
        <v>0</v>
      </c>
      <c r="T24" s="183">
        <f>-IF(OR(T6&gt;HoldPeriod,T6&gt;RefiMonth),0,IF(OR(Summary!$D$47=0,T6&lt;=JuniorIO),T23*Summary!$D$42/12,-PMT(Summary!$D$42/12,Summary!$D$47*12,Summary!$D$37,0)))</f>
        <v>0</v>
      </c>
      <c r="U24" s="183">
        <f>-IF(OR(U6&gt;HoldPeriod,U6&gt;RefiMonth),0,IF(OR(Summary!$D$47=0,U6&lt;=JuniorIO),U23*Summary!$D$42/12,-PMT(Summary!$D$42/12,Summary!$D$47*12,Summary!$D$37,0)))</f>
        <v>0</v>
      </c>
      <c r="V24" s="183">
        <f>-IF(OR(V6&gt;HoldPeriod,V6&gt;RefiMonth),0,IF(OR(Summary!$D$47=0,V6&lt;=JuniorIO),V23*Summary!$D$42/12,-PMT(Summary!$D$42/12,Summary!$D$47*12,Summary!$D$37,0)))</f>
        <v>0</v>
      </c>
      <c r="W24" s="183">
        <f>-IF(OR(W6&gt;HoldPeriod,W6&gt;RefiMonth),0,IF(OR(Summary!$D$47=0,W6&lt;=JuniorIO),W23*Summary!$D$42/12,-PMT(Summary!$D$42/12,Summary!$D$47*12,Summary!$D$37,0)))</f>
        <v>0</v>
      </c>
      <c r="X24" s="183">
        <f>-IF(OR(X6&gt;HoldPeriod,X6&gt;RefiMonth),0,IF(OR(Summary!$D$47=0,X6&lt;=JuniorIO),X23*Summary!$D$42/12,-PMT(Summary!$D$42/12,Summary!$D$47*12,Summary!$D$37,0)))</f>
        <v>0</v>
      </c>
      <c r="Y24" s="183">
        <f>-IF(OR(Y6&gt;HoldPeriod,Y6&gt;RefiMonth),0,IF(OR(Summary!$D$47=0,Y6&lt;=JuniorIO),Y23*Summary!$D$42/12,-PMT(Summary!$D$42/12,Summary!$D$47*12,Summary!$D$37,0)))</f>
        <v>0</v>
      </c>
      <c r="Z24" s="183">
        <f>-IF(OR(Z6&gt;HoldPeriod,Z6&gt;RefiMonth),0,IF(OR(Summary!$D$47=0,Z6&lt;=JuniorIO),Z23*Summary!$D$42/12,-PMT(Summary!$D$42/12,Summary!$D$47*12,Summary!$D$37,0)))</f>
        <v>0</v>
      </c>
      <c r="AA24" s="183">
        <f>-IF(OR(AA6&gt;HoldPeriod,AA6&gt;RefiMonth),0,IF(OR(Summary!$D$47=0,AA6&lt;=JuniorIO),AA23*Summary!$D$42/12,-PMT(Summary!$D$42/12,Summary!$D$47*12,Summary!$D$37,0)))</f>
        <v>0</v>
      </c>
      <c r="AB24" s="183">
        <f>-IF(OR(AB6&gt;HoldPeriod,AB6&gt;RefiMonth),0,IF(OR(Summary!$D$47=0,AB6&lt;=JuniorIO),AB23*Summary!$D$42/12,-PMT(Summary!$D$42/12,Summary!$D$47*12,Summary!$D$37,0)))</f>
        <v>0</v>
      </c>
      <c r="AC24" s="183">
        <f>-IF(OR(AC6&gt;HoldPeriod,AC6&gt;RefiMonth),0,IF(OR(Summary!$D$47=0,AC6&lt;=JuniorIO),AC23*Summary!$D$42/12,-PMT(Summary!$D$42/12,Summary!$D$47*12,Summary!$D$37,0)))</f>
        <v>0</v>
      </c>
      <c r="AD24" s="183">
        <f>-IF(OR(AD6&gt;HoldPeriod,AD6&gt;RefiMonth),0,IF(OR(Summary!$D$47=0,AD6&lt;=JuniorIO),AD23*Summary!$D$42/12,-PMT(Summary!$D$42/12,Summary!$D$47*12,Summary!$D$37,0)))</f>
        <v>0</v>
      </c>
      <c r="AE24" s="183">
        <f>-IF(OR(AE6&gt;HoldPeriod,AE6&gt;RefiMonth),0,IF(OR(Summary!$D$47=0,AE6&lt;=JuniorIO),AE23*Summary!$D$42/12,-PMT(Summary!$D$42/12,Summary!$D$47*12,Summary!$D$37,0)))</f>
        <v>0</v>
      </c>
      <c r="AF24" s="183">
        <f>-IF(OR(AF6&gt;HoldPeriod,AF6&gt;RefiMonth),0,IF(OR(Summary!$D$47=0,AF6&lt;=JuniorIO),AF23*Summary!$D$42/12,-PMT(Summary!$D$42/12,Summary!$D$47*12,Summary!$D$37,0)))</f>
        <v>0</v>
      </c>
      <c r="AG24" s="183">
        <f>-IF(OR(AG6&gt;HoldPeriod,AG6&gt;RefiMonth),0,IF(OR(Summary!$D$47=0,AG6&lt;=JuniorIO),AG23*Summary!$D$42/12,-PMT(Summary!$D$42/12,Summary!$D$47*12,Summary!$D$37,0)))</f>
        <v>0</v>
      </c>
      <c r="AH24" s="183">
        <f>-IF(OR(AH6&gt;HoldPeriod,AH6&gt;RefiMonth),0,IF(OR(Summary!$D$47=0,AH6&lt;=JuniorIO),AH23*Summary!$D$42/12,-PMT(Summary!$D$42/12,Summary!$D$47*12,Summary!$D$37,0)))</f>
        <v>0</v>
      </c>
      <c r="AI24" s="183">
        <f>-IF(OR(AI6&gt;HoldPeriod,AI6&gt;RefiMonth),0,IF(OR(Summary!$D$47=0,AI6&lt;=JuniorIO),AI23*Summary!$D$42/12,-PMT(Summary!$D$42/12,Summary!$D$47*12,Summary!$D$37,0)))</f>
        <v>0</v>
      </c>
      <c r="AJ24" s="183">
        <f>-IF(OR(AJ6&gt;HoldPeriod,AJ6&gt;RefiMonth),0,IF(OR(Summary!$D$47=0,AJ6&lt;=JuniorIO),AJ23*Summary!$D$42/12,-PMT(Summary!$D$42/12,Summary!$D$47*12,Summary!$D$37,0)))</f>
        <v>0</v>
      </c>
      <c r="AK24" s="183">
        <f>-IF(OR(AK6&gt;HoldPeriod,AK6&gt;RefiMonth),0,IF(OR(Summary!$D$47=0,AK6&lt;=JuniorIO),AK23*Summary!$D$42/12,-PMT(Summary!$D$42/12,Summary!$D$47*12,Summary!$D$37,0)))</f>
        <v>0</v>
      </c>
      <c r="AL24" s="183">
        <f>-IF(OR(AL6&gt;HoldPeriod,AL6&gt;RefiMonth),0,IF(OR(Summary!$D$47=0,AL6&lt;=JuniorIO),AL23*Summary!$D$42/12,-PMT(Summary!$D$42/12,Summary!$D$47*12,Summary!$D$37,0)))</f>
        <v>0</v>
      </c>
      <c r="AM24" s="183">
        <f>-IF(OR(AM6&gt;HoldPeriod,AM6&gt;RefiMonth),0,IF(OR(Summary!$D$47=0,AM6&lt;=JuniorIO),AM23*Summary!$D$42/12,-PMT(Summary!$D$42/12,Summary!$D$47*12,Summary!$D$37,0)))</f>
        <v>0</v>
      </c>
      <c r="AN24" s="183">
        <f>-IF(OR(AN6&gt;HoldPeriod,AN6&gt;RefiMonth),0,IF(OR(Summary!$D$47=0,AN6&lt;=JuniorIO),AN23*Summary!$D$42/12,-PMT(Summary!$D$42/12,Summary!$D$47*12,Summary!$D$37,0)))</f>
        <v>0</v>
      </c>
      <c r="AO24" s="183">
        <f>-IF(OR(AO6&gt;HoldPeriod,AO6&gt;RefiMonth),0,IF(OR(Summary!$D$47=0,AO6&lt;=JuniorIO),AO23*Summary!$D$42/12,-PMT(Summary!$D$42/12,Summary!$D$47*12,Summary!$D$37,0)))</f>
        <v>0</v>
      </c>
      <c r="AP24" s="183">
        <f>-IF(OR(AP6&gt;HoldPeriod,AP6&gt;RefiMonth),0,IF(OR(Summary!$D$47=0,AP6&lt;=JuniorIO),AP23*Summary!$D$42/12,-PMT(Summary!$D$42/12,Summary!$D$47*12,Summary!$D$37,0)))</f>
        <v>0</v>
      </c>
      <c r="AQ24" s="183">
        <f>-IF(OR(AQ6&gt;HoldPeriod,AQ6&gt;RefiMonth),0,IF(OR(Summary!$D$47=0,AQ6&lt;=JuniorIO),AQ23*Summary!$D$42/12,-PMT(Summary!$D$42/12,Summary!$D$47*12,Summary!$D$37,0)))</f>
        <v>0</v>
      </c>
      <c r="AR24" s="183">
        <f>-IF(OR(AR6&gt;HoldPeriod,AR6&gt;RefiMonth),0,IF(OR(Summary!$D$47=0,AR6&lt;=JuniorIO),AR23*Summary!$D$42/12,-PMT(Summary!$D$42/12,Summary!$D$47*12,Summary!$D$37,0)))</f>
        <v>0</v>
      </c>
      <c r="AS24" s="183">
        <f>-IF(OR(AS6&gt;HoldPeriod,AS6&gt;RefiMonth),0,IF(OR(Summary!$D$47=0,AS6&lt;=JuniorIO),AS23*Summary!$D$42/12,-PMT(Summary!$D$42/12,Summary!$D$47*12,Summary!$D$37,0)))</f>
        <v>0</v>
      </c>
      <c r="AT24" s="183">
        <f>-IF(OR(AT6&gt;HoldPeriod,AT6&gt;RefiMonth),0,IF(OR(Summary!$D$47=0,AT6&lt;=JuniorIO),AT23*Summary!$D$42/12,-PMT(Summary!$D$42/12,Summary!$D$47*12,Summary!$D$37,0)))</f>
        <v>0</v>
      </c>
      <c r="AU24" s="183">
        <f>-IF(OR(AU6&gt;HoldPeriod,AU6&gt;RefiMonth),0,IF(OR(Summary!$D$47=0,AU6&lt;=JuniorIO),AU23*Summary!$D$42/12,-PMT(Summary!$D$42/12,Summary!$D$47*12,Summary!$D$37,0)))</f>
        <v>0</v>
      </c>
      <c r="AV24" s="183">
        <f>-IF(OR(AV6&gt;HoldPeriod,AV6&gt;RefiMonth),0,IF(OR(Summary!$D$47=0,AV6&lt;=JuniorIO),AV23*Summary!$D$42/12,-PMT(Summary!$D$42/12,Summary!$D$47*12,Summary!$D$37,0)))</f>
        <v>0</v>
      </c>
      <c r="AW24" s="183">
        <f>-IF(OR(AW6&gt;HoldPeriod,AW6&gt;RefiMonth),0,IF(OR(Summary!$D$47=0,AW6&lt;=JuniorIO),AW23*Summary!$D$42/12,-PMT(Summary!$D$42/12,Summary!$D$47*12,Summary!$D$37,0)))</f>
        <v>0</v>
      </c>
      <c r="AX24" s="183">
        <f>-IF(OR(AX6&gt;HoldPeriod,AX6&gt;RefiMonth),0,IF(OR(Summary!$D$47=0,AX6&lt;=JuniorIO),AX23*Summary!$D$42/12,-PMT(Summary!$D$42/12,Summary!$D$47*12,Summary!$D$37,0)))</f>
        <v>0</v>
      </c>
      <c r="AY24" s="183">
        <f>-IF(OR(AY6&gt;HoldPeriod,AY6&gt;RefiMonth),0,IF(OR(Summary!$D$47=0,AY6&lt;=JuniorIO),AY23*Summary!$D$42/12,-PMT(Summary!$D$42/12,Summary!$D$47*12,Summary!$D$37,0)))</f>
        <v>0</v>
      </c>
      <c r="AZ24" s="183">
        <f>-IF(OR(AZ6&gt;HoldPeriod,AZ6&gt;RefiMonth),0,IF(OR(Summary!$D$47=0,AZ6&lt;=JuniorIO),AZ23*Summary!$D$42/12,-PMT(Summary!$D$42/12,Summary!$D$47*12,Summary!$D$37,0)))</f>
        <v>0</v>
      </c>
      <c r="BA24" s="183">
        <f>-IF(OR(BA6&gt;HoldPeriod,BA6&gt;RefiMonth),0,IF(OR(Summary!$D$47=0,BA6&lt;=JuniorIO),BA23*Summary!$D$42/12,-PMT(Summary!$D$42/12,Summary!$D$47*12,Summary!$D$37,0)))</f>
        <v>0</v>
      </c>
      <c r="BB24" s="183">
        <f>-IF(OR(BB6&gt;HoldPeriod,BB6&gt;RefiMonth),0,IF(OR(Summary!$D$47=0,BB6&lt;=JuniorIO),BB23*Summary!$D$42/12,-PMT(Summary!$D$42/12,Summary!$D$47*12,Summary!$D$37,0)))</f>
        <v>0</v>
      </c>
      <c r="BC24" s="183">
        <f>-IF(OR(BC6&gt;HoldPeriod,BC6&gt;RefiMonth),0,IF(OR(Summary!$D$47=0,BC6&lt;=JuniorIO),BC23*Summary!$D$42/12,-PMT(Summary!$D$42/12,Summary!$D$47*12,Summary!$D$37,0)))</f>
        <v>0</v>
      </c>
      <c r="BD24" s="183">
        <f>-IF(OR(BD6&gt;HoldPeriod,BD6&gt;RefiMonth),0,IF(OR(Summary!$D$47=0,BD6&lt;=JuniorIO),BD23*Summary!$D$42/12,-PMT(Summary!$D$42/12,Summary!$D$47*12,Summary!$D$37,0)))</f>
        <v>0</v>
      </c>
      <c r="BE24" s="183">
        <f>-IF(OR(BE6&gt;HoldPeriod,BE6&gt;RefiMonth),0,IF(OR(Summary!$D$47=0,BE6&lt;=JuniorIO),BE23*Summary!$D$42/12,-PMT(Summary!$D$42/12,Summary!$D$47*12,Summary!$D$37,0)))</f>
        <v>0</v>
      </c>
      <c r="BF24" s="183">
        <f>-IF(OR(BF6&gt;HoldPeriod,BF6&gt;RefiMonth),0,IF(OR(Summary!$D$47=0,BF6&lt;=JuniorIO),BF23*Summary!$D$42/12,-PMT(Summary!$D$42/12,Summary!$D$47*12,Summary!$D$37,0)))</f>
        <v>0</v>
      </c>
      <c r="BG24" s="183">
        <f>-IF(OR(BG6&gt;HoldPeriod,BG6&gt;RefiMonth),0,IF(OR(Summary!$D$47=0,BG6&lt;=JuniorIO),BG23*Summary!$D$42/12,-PMT(Summary!$D$42/12,Summary!$D$47*12,Summary!$D$37,0)))</f>
        <v>0</v>
      </c>
      <c r="BH24" s="183">
        <f>-IF(OR(BH6&gt;HoldPeriod,BH6&gt;RefiMonth),0,IF(OR(Summary!$D$47=0,BH6&lt;=JuniorIO),BH23*Summary!$D$42/12,-PMT(Summary!$D$42/12,Summary!$D$47*12,Summary!$D$37,0)))</f>
        <v>0</v>
      </c>
      <c r="BI24" s="183">
        <f>-IF(OR(BI6&gt;HoldPeriod,BI6&gt;RefiMonth),0,IF(OR(Summary!$D$47=0,BI6&lt;=JuniorIO),BI23*Summary!$D$42/12,-PMT(Summary!$D$42/12,Summary!$D$47*12,Summary!$D$37,0)))</f>
        <v>0</v>
      </c>
      <c r="BJ24" s="183">
        <f>-IF(OR(BJ6&gt;HoldPeriod,BJ6&gt;RefiMonth),0,IF(OR(Summary!$D$47=0,BJ6&lt;=JuniorIO),BJ23*Summary!$D$42/12,-PMT(Summary!$D$42/12,Summary!$D$47*12,Summary!$D$37,0)))</f>
        <v>0</v>
      </c>
      <c r="BK24" s="183">
        <f>-IF(OR(BK6&gt;HoldPeriod,BK6&gt;RefiMonth),0,IF(OR(Summary!$D$47=0,BK6&lt;=JuniorIO),BK23*Summary!$D$42/12,-PMT(Summary!$D$42/12,Summary!$D$47*12,Summary!$D$37,0)))</f>
        <v>0</v>
      </c>
      <c r="BL24" s="183">
        <f>-IF(OR(BL6&gt;HoldPeriod,BL6&gt;RefiMonth),0,IF(OR(Summary!$D$47=0,BL6&lt;=JuniorIO),BL23*Summary!$D$42/12,-PMT(Summary!$D$42/12,Summary!$D$47*12,Summary!$D$37,0)))</f>
        <v>0</v>
      </c>
      <c r="BM24" s="183">
        <f>-IF(OR(BM6&gt;HoldPeriod,BM6&gt;RefiMonth),0,IF(OR(Summary!$D$47=0,BM6&lt;=JuniorIO),BM23*Summary!$D$42/12,-PMT(Summary!$D$42/12,Summary!$D$47*12,Summary!$D$37,0)))</f>
        <v>0</v>
      </c>
      <c r="BN24" s="183">
        <f>-IF(OR(BN6&gt;HoldPeriod,BN6&gt;RefiMonth),0,IF(OR(Summary!$D$47=0,BN6&lt;=JuniorIO),BN23*Summary!$D$42/12,-PMT(Summary!$D$42/12,Summary!$D$47*12,Summary!$D$37,0)))</f>
        <v>0</v>
      </c>
      <c r="BO24" s="183">
        <f>-IF(OR(BO6&gt;HoldPeriod,BO6&gt;RefiMonth),0,IF(OR(Summary!$D$47=0,BO6&lt;=JuniorIO),BO23*Summary!$D$42/12,-PMT(Summary!$D$42/12,Summary!$D$47*12,Summary!$D$37,0)))</f>
        <v>0</v>
      </c>
      <c r="BP24" s="183">
        <f>-IF(OR(BP6&gt;HoldPeriod,BP6&gt;RefiMonth),0,IF(OR(Summary!$D$47=0,BP6&lt;=JuniorIO),BP23*Summary!$D$42/12,-PMT(Summary!$D$42/12,Summary!$D$47*12,Summary!$D$37,0)))</f>
        <v>0</v>
      </c>
      <c r="BQ24" s="183">
        <f>-IF(OR(BQ6&gt;HoldPeriod,BQ6&gt;RefiMonth),0,IF(OR(Summary!$D$47=0,BQ6&lt;=JuniorIO),BQ23*Summary!$D$42/12,-PMT(Summary!$D$42/12,Summary!$D$47*12,Summary!$D$37,0)))</f>
        <v>0</v>
      </c>
      <c r="BR24" s="183">
        <f>-IF(OR(BR6&gt;HoldPeriod,BR6&gt;RefiMonth),0,IF(OR(Summary!$D$47=0,BR6&lt;=JuniorIO),BR23*Summary!$D$42/12,-PMT(Summary!$D$42/12,Summary!$D$47*12,Summary!$D$37,0)))</f>
        <v>0</v>
      </c>
      <c r="BS24" s="183">
        <f>-IF(OR(BS6&gt;HoldPeriod,BS6&gt;RefiMonth),0,IF(OR(Summary!$D$47=0,BS6&lt;=JuniorIO),BS23*Summary!$D$42/12,-PMT(Summary!$D$42/12,Summary!$D$47*12,Summary!$D$37,0)))</f>
        <v>0</v>
      </c>
      <c r="BT24" s="183">
        <f>-IF(OR(BT6&gt;HoldPeriod,BT6&gt;RefiMonth),0,IF(OR(Summary!$D$47=0,BT6&lt;=JuniorIO),BT23*Summary!$D$42/12,-PMT(Summary!$D$42/12,Summary!$D$47*12,Summary!$D$37,0)))</f>
        <v>0</v>
      </c>
      <c r="BU24" s="183">
        <f>-IF(OR(BU6&gt;HoldPeriod,BU6&gt;RefiMonth),0,IF(OR(Summary!$D$47=0,BU6&lt;=JuniorIO),BU23*Summary!$D$42/12,-PMT(Summary!$D$42/12,Summary!$D$47*12,Summary!$D$37,0)))</f>
        <v>0</v>
      </c>
      <c r="BV24" s="183">
        <f>-IF(OR(BV6&gt;HoldPeriod,BV6&gt;RefiMonth),0,IF(OR(Summary!$D$47=0,BV6&lt;=JuniorIO),BV23*Summary!$D$42/12,-PMT(Summary!$D$42/12,Summary!$D$47*12,Summary!$D$37,0)))</f>
        <v>0</v>
      </c>
      <c r="BW24" s="183">
        <f>-IF(OR(BW6&gt;HoldPeriod,BW6&gt;RefiMonth),0,IF(OR(Summary!$D$47=0,BW6&lt;=JuniorIO),BW23*Summary!$D$42/12,-PMT(Summary!$D$42/12,Summary!$D$47*12,Summary!$D$37,0)))</f>
        <v>0</v>
      </c>
      <c r="BX24" s="183">
        <f>-IF(OR(BX6&gt;HoldPeriod,BX6&gt;RefiMonth),0,IF(OR(Summary!$D$47=0,BX6&lt;=JuniorIO),BX23*Summary!$D$42/12,-PMT(Summary!$D$42/12,Summary!$D$47*12,Summary!$D$37,0)))</f>
        <v>0</v>
      </c>
      <c r="BY24" s="183">
        <f>-IF(OR(BY6&gt;HoldPeriod,BY6&gt;RefiMonth),0,IF(OR(Summary!$D$47=0,BY6&lt;=JuniorIO),BY23*Summary!$D$42/12,-PMT(Summary!$D$42/12,Summary!$D$47*12,Summary!$D$37,0)))</f>
        <v>0</v>
      </c>
      <c r="BZ24" s="183">
        <f>-IF(OR(BZ6&gt;HoldPeriod,BZ6&gt;RefiMonth),0,IF(OR(Summary!$D$47=0,BZ6&lt;=JuniorIO),BZ23*Summary!$D$42/12,-PMT(Summary!$D$42/12,Summary!$D$47*12,Summary!$D$37,0)))</f>
        <v>0</v>
      </c>
      <c r="CA24" s="183">
        <f>-IF(OR(CA6&gt;HoldPeriod,CA6&gt;RefiMonth),0,IF(OR(Summary!$D$47=0,CA6&lt;=JuniorIO),CA23*Summary!$D$42/12,-PMT(Summary!$D$42/12,Summary!$D$47*12,Summary!$D$37,0)))</f>
        <v>0</v>
      </c>
      <c r="CB24" s="183">
        <f>-IF(OR(CB6&gt;HoldPeriod,CB6&gt;RefiMonth),0,IF(OR(Summary!$D$47=0,CB6&lt;=JuniorIO),CB23*Summary!$D$42/12,-PMT(Summary!$D$42/12,Summary!$D$47*12,Summary!$D$37,0)))</f>
        <v>0</v>
      </c>
      <c r="CC24" s="183">
        <f>-IF(OR(CC6&gt;HoldPeriod,CC6&gt;RefiMonth),0,IF(OR(Summary!$D$47=0,CC6&lt;=JuniorIO),CC23*Summary!$D$42/12,-PMT(Summary!$D$42/12,Summary!$D$47*12,Summary!$D$37,0)))</f>
        <v>0</v>
      </c>
      <c r="CD24" s="183">
        <f>-IF(OR(CD6&gt;HoldPeriod,CD6&gt;RefiMonth),0,IF(OR(Summary!$D$47=0,CD6&lt;=JuniorIO),CD23*Summary!$D$42/12,-PMT(Summary!$D$42/12,Summary!$D$47*12,Summary!$D$37,0)))</f>
        <v>0</v>
      </c>
      <c r="CE24" s="183">
        <f>-IF(OR(CE6&gt;HoldPeriod,CE6&gt;RefiMonth),0,IF(OR(Summary!$D$47=0,CE6&lt;=JuniorIO),CE23*Summary!$D$42/12,-PMT(Summary!$D$42/12,Summary!$D$47*12,Summary!$D$37,0)))</f>
        <v>0</v>
      </c>
      <c r="CF24" s="183">
        <f>-IF(OR(CF6&gt;HoldPeriod,CF6&gt;RefiMonth),0,IF(OR(Summary!$D$47=0,CF6&lt;=JuniorIO),CF23*Summary!$D$42/12,-PMT(Summary!$D$42/12,Summary!$D$47*12,Summary!$D$37,0)))</f>
        <v>0</v>
      </c>
      <c r="CG24" s="183">
        <f>-IF(OR(CG6&gt;HoldPeriod,CG6&gt;RefiMonth),0,IF(OR(Summary!$D$47=0,CG6&lt;=JuniorIO),CG23*Summary!$D$42/12,-PMT(Summary!$D$42/12,Summary!$D$47*12,Summary!$D$37,0)))</f>
        <v>0</v>
      </c>
      <c r="CH24" s="183">
        <f>-IF(OR(CH6&gt;HoldPeriod,CH6&gt;RefiMonth),0,IF(OR(Summary!$D$47=0,CH6&lt;=JuniorIO),CH23*Summary!$D$42/12,-PMT(Summary!$D$42/12,Summary!$D$47*12,Summary!$D$37,0)))</f>
        <v>0</v>
      </c>
      <c r="CI24" s="183">
        <f>-IF(OR(CI6&gt;HoldPeriod,CI6&gt;RefiMonth),0,IF(OR(Summary!$D$47=0,CI6&lt;=JuniorIO),CI23*Summary!$D$42/12,-PMT(Summary!$D$42/12,Summary!$D$47*12,Summary!$D$37,0)))</f>
        <v>0</v>
      </c>
      <c r="CJ24" s="183">
        <f>-IF(OR(CJ6&gt;HoldPeriod,CJ6&gt;RefiMonth),0,IF(OR(Summary!$D$47=0,CJ6&lt;=JuniorIO),CJ23*Summary!$D$42/12,-PMT(Summary!$D$42/12,Summary!$D$47*12,Summary!$D$37,0)))</f>
        <v>0</v>
      </c>
      <c r="CK24" s="183">
        <f>-IF(OR(CK6&gt;HoldPeriod,CK6&gt;RefiMonth),0,IF(OR(Summary!$D$47=0,CK6&lt;=JuniorIO),CK23*Summary!$D$42/12,-PMT(Summary!$D$42/12,Summary!$D$47*12,Summary!$D$37,0)))</f>
        <v>0</v>
      </c>
      <c r="CL24" s="183">
        <f>-IF(OR(CL6&gt;HoldPeriod,CL6&gt;RefiMonth),0,IF(OR(Summary!$D$47=0,CL6&lt;=JuniorIO),CL23*Summary!$D$42/12,-PMT(Summary!$D$42/12,Summary!$D$47*12,Summary!$D$37,0)))</f>
        <v>0</v>
      </c>
      <c r="CM24" s="183">
        <f>-IF(OR(CM6&gt;HoldPeriod,CM6&gt;RefiMonth),0,IF(OR(Summary!$D$47=0,CM6&lt;=JuniorIO),CM23*Summary!$D$42/12,-PMT(Summary!$D$42/12,Summary!$D$47*12,Summary!$D$37,0)))</f>
        <v>0</v>
      </c>
      <c r="CN24" s="183">
        <f>-IF(OR(CN6&gt;HoldPeriod,CN6&gt;RefiMonth),0,IF(OR(Summary!$D$47=0,CN6&lt;=JuniorIO),CN23*Summary!$D$42/12,-PMT(Summary!$D$42/12,Summary!$D$47*12,Summary!$D$37,0)))</f>
        <v>0</v>
      </c>
      <c r="CO24" s="183">
        <f>-IF(OR(CO6&gt;HoldPeriod,CO6&gt;RefiMonth),0,IF(OR(Summary!$D$47=0,CO6&lt;=JuniorIO),CO23*Summary!$D$42/12,-PMT(Summary!$D$42/12,Summary!$D$47*12,Summary!$D$37,0)))</f>
        <v>0</v>
      </c>
      <c r="CP24" s="183">
        <f>-IF(OR(CP6&gt;HoldPeriod,CP6&gt;RefiMonth),0,IF(OR(Summary!$D$47=0,CP6&lt;=JuniorIO),CP23*Summary!$D$42/12,-PMT(Summary!$D$42/12,Summary!$D$47*12,Summary!$D$37,0)))</f>
        <v>0</v>
      </c>
      <c r="CQ24" s="183">
        <f>-IF(OR(CQ6&gt;HoldPeriod,CQ6&gt;RefiMonth),0,IF(OR(Summary!$D$47=0,CQ6&lt;=JuniorIO),CQ23*Summary!$D$42/12,-PMT(Summary!$D$42/12,Summary!$D$47*12,Summary!$D$37,0)))</f>
        <v>0</v>
      </c>
      <c r="CR24" s="183">
        <f>-IF(OR(CR6&gt;HoldPeriod,CR6&gt;RefiMonth),0,IF(OR(Summary!$D$47=0,CR6&lt;=JuniorIO),CR23*Summary!$D$42/12,-PMT(Summary!$D$42/12,Summary!$D$47*12,Summary!$D$37,0)))</f>
        <v>0</v>
      </c>
      <c r="CS24" s="183">
        <f>-IF(OR(CS6&gt;HoldPeriod,CS6&gt;RefiMonth),0,IF(OR(Summary!$D$47=0,CS6&lt;=JuniorIO),CS23*Summary!$D$42/12,-PMT(Summary!$D$42/12,Summary!$D$47*12,Summary!$D$37,0)))</f>
        <v>0</v>
      </c>
      <c r="CT24" s="183">
        <f>-IF(OR(CT6&gt;HoldPeriod,CT6&gt;RefiMonth),0,IF(OR(Summary!$D$47=0,CT6&lt;=JuniorIO),CT23*Summary!$D$42/12,-PMT(Summary!$D$42/12,Summary!$D$47*12,Summary!$D$37,0)))</f>
        <v>0</v>
      </c>
      <c r="CU24" s="183">
        <f>-IF(OR(CU6&gt;HoldPeriod,CU6&gt;RefiMonth),0,IF(OR(Summary!$D$47=0,CU6&lt;=JuniorIO),CU23*Summary!$D$42/12,-PMT(Summary!$D$42/12,Summary!$D$47*12,Summary!$D$37,0)))</f>
        <v>0</v>
      </c>
      <c r="CV24" s="183">
        <f>-IF(OR(CV6&gt;HoldPeriod,CV6&gt;RefiMonth),0,IF(OR(Summary!$D$47=0,CV6&lt;=JuniorIO),CV23*Summary!$D$42/12,-PMT(Summary!$D$42/12,Summary!$D$47*12,Summary!$D$37,0)))</f>
        <v>0</v>
      </c>
      <c r="CW24" s="183">
        <f>-IF(OR(CW6&gt;HoldPeriod,CW6&gt;RefiMonth),0,IF(OR(Summary!$D$47=0,CW6&lt;=JuniorIO),CW23*Summary!$D$42/12,-PMT(Summary!$D$42/12,Summary!$D$47*12,Summary!$D$37,0)))</f>
        <v>0</v>
      </c>
      <c r="CX24" s="183">
        <f>-IF(OR(CX6&gt;HoldPeriod,CX6&gt;RefiMonth),0,IF(OR(Summary!$D$47=0,CX6&lt;=JuniorIO),CX23*Summary!$D$42/12,-PMT(Summary!$D$42/12,Summary!$D$47*12,Summary!$D$37,0)))</f>
        <v>0</v>
      </c>
      <c r="CY24" s="183">
        <f>-IF(OR(CY6&gt;HoldPeriod,CY6&gt;RefiMonth),0,IF(OR(Summary!$D$47=0,CY6&lt;=JuniorIO),CY23*Summary!$D$42/12,-PMT(Summary!$D$42/12,Summary!$D$47*12,Summary!$D$37,0)))</f>
        <v>0</v>
      </c>
      <c r="CZ24" s="183">
        <f>-IF(OR(CZ6&gt;HoldPeriod,CZ6&gt;RefiMonth),0,IF(OR(Summary!$D$47=0,CZ6&lt;=JuniorIO),CZ23*Summary!$D$42/12,-PMT(Summary!$D$42/12,Summary!$D$47*12,Summary!$D$37,0)))</f>
        <v>0</v>
      </c>
      <c r="DA24" s="183">
        <f>-IF(OR(DA6&gt;HoldPeriod,DA6&gt;RefiMonth),0,IF(OR(Summary!$D$47=0,DA6&lt;=JuniorIO),DA23*Summary!$D$42/12,-PMT(Summary!$D$42/12,Summary!$D$47*12,Summary!$D$37,0)))</f>
        <v>0</v>
      </c>
      <c r="DB24" s="183">
        <f>-IF(OR(DB6&gt;HoldPeriod,DB6&gt;RefiMonth),0,IF(OR(Summary!$D$47=0,DB6&lt;=JuniorIO),DB23*Summary!$D$42/12,-PMT(Summary!$D$42/12,Summary!$D$47*12,Summary!$D$37,0)))</f>
        <v>0</v>
      </c>
      <c r="DC24" s="183">
        <f>-IF(OR(DC6&gt;HoldPeriod,DC6&gt;RefiMonth),0,IF(OR(Summary!$D$47=0,DC6&lt;=JuniorIO),DC23*Summary!$D$42/12,-PMT(Summary!$D$42/12,Summary!$D$47*12,Summary!$D$37,0)))</f>
        <v>0</v>
      </c>
      <c r="DD24" s="183">
        <f>-IF(OR(DD6&gt;HoldPeriod,DD6&gt;RefiMonth),0,IF(OR(Summary!$D$47=0,DD6&lt;=JuniorIO),DD23*Summary!$D$42/12,-PMT(Summary!$D$42/12,Summary!$D$47*12,Summary!$D$37,0)))</f>
        <v>0</v>
      </c>
      <c r="DE24" s="183">
        <f>-IF(OR(DE6&gt;HoldPeriod,DE6&gt;RefiMonth),0,IF(OR(Summary!$D$47=0,DE6&lt;=JuniorIO),DE23*Summary!$D$42/12,-PMT(Summary!$D$42/12,Summary!$D$47*12,Summary!$D$37,0)))</f>
        <v>0</v>
      </c>
      <c r="DF24" s="183">
        <f>-IF(OR(DF6&gt;HoldPeriod,DF6&gt;RefiMonth),0,IF(OR(Summary!$D$47=0,DF6&lt;=JuniorIO),DF23*Summary!$D$42/12,-PMT(Summary!$D$42/12,Summary!$D$47*12,Summary!$D$37,0)))</f>
        <v>0</v>
      </c>
      <c r="DG24" s="183">
        <f>-IF(OR(DG6&gt;HoldPeriod,DG6&gt;RefiMonth),0,IF(OR(Summary!$D$47=0,DG6&lt;=JuniorIO),DG23*Summary!$D$42/12,-PMT(Summary!$D$42/12,Summary!$D$47*12,Summary!$D$37,0)))</f>
        <v>0</v>
      </c>
      <c r="DH24" s="183">
        <f>-IF(OR(DH6&gt;HoldPeriod,DH6&gt;RefiMonth),0,IF(OR(Summary!$D$47=0,DH6&lt;=JuniorIO),DH23*Summary!$D$42/12,-PMT(Summary!$D$42/12,Summary!$D$47*12,Summary!$D$37,0)))</f>
        <v>0</v>
      </c>
      <c r="DI24" s="183">
        <f>-IF(OR(DI6&gt;HoldPeriod,DI6&gt;RefiMonth),0,IF(OR(Summary!$D$47=0,DI6&lt;=JuniorIO),DI23*Summary!$D$42/12,-PMT(Summary!$D$42/12,Summary!$D$47*12,Summary!$D$37,0)))</f>
        <v>0</v>
      </c>
      <c r="DJ24" s="183">
        <f>-IF(OR(DJ6&gt;HoldPeriod,DJ6&gt;RefiMonth),0,IF(OR(Summary!$D$47=0,DJ6&lt;=JuniorIO),DJ23*Summary!$D$42/12,-PMT(Summary!$D$42/12,Summary!$D$47*12,Summary!$D$37,0)))</f>
        <v>0</v>
      </c>
      <c r="DK24" s="183">
        <f>-IF(OR(DK6&gt;HoldPeriod,DK6&gt;RefiMonth),0,IF(OR(Summary!$D$47=0,DK6&lt;=JuniorIO),DK23*Summary!$D$42/12,-PMT(Summary!$D$42/12,Summary!$D$47*12,Summary!$D$37,0)))</f>
        <v>0</v>
      </c>
      <c r="DL24" s="183">
        <f>-IF(OR(DL6&gt;HoldPeriod,DL6&gt;RefiMonth),0,IF(OR(Summary!$D$47=0,DL6&lt;=JuniorIO),DL23*Summary!$D$42/12,-PMT(Summary!$D$42/12,Summary!$D$47*12,Summary!$D$37,0)))</f>
        <v>0</v>
      </c>
      <c r="DM24" s="183">
        <f>-IF(OR(DM6&gt;HoldPeriod,DM6&gt;RefiMonth),0,IF(OR(Summary!$D$47=0,DM6&lt;=JuniorIO),DM23*Summary!$D$42/12,-PMT(Summary!$D$42/12,Summary!$D$47*12,Summary!$D$37,0)))</f>
        <v>0</v>
      </c>
      <c r="DN24" s="183">
        <f>-IF(OR(DN6&gt;HoldPeriod,DN6&gt;RefiMonth),0,IF(OR(Summary!$D$47=0,DN6&lt;=JuniorIO),DN23*Summary!$D$42/12,-PMT(Summary!$D$42/12,Summary!$D$47*12,Summary!$D$37,0)))</f>
        <v>0</v>
      </c>
      <c r="DO24" s="183">
        <f>-IF(OR(DO6&gt;HoldPeriod,DO6&gt;RefiMonth),0,IF(OR(Summary!$D$47=0,DO6&lt;=JuniorIO),DO23*Summary!$D$42/12,-PMT(Summary!$D$42/12,Summary!$D$47*12,Summary!$D$37,0)))</f>
        <v>0</v>
      </c>
      <c r="DP24" s="183">
        <f>-IF(OR(DP6&gt;HoldPeriod,DP6&gt;RefiMonth),0,IF(OR(Summary!$D$47=0,DP6&lt;=JuniorIO),DP23*Summary!$D$42/12,-PMT(Summary!$D$42/12,Summary!$D$47*12,Summary!$D$37,0)))</f>
        <v>0</v>
      </c>
      <c r="DQ24" s="183">
        <f>-IF(OR(DQ6&gt;HoldPeriod,DQ6&gt;RefiMonth),0,IF(OR(Summary!$D$47=0,DQ6&lt;=JuniorIO),DQ23*Summary!$D$42/12,-PMT(Summary!$D$42/12,Summary!$D$47*12,Summary!$D$37,0)))</f>
        <v>0</v>
      </c>
      <c r="DR24" s="183">
        <f>-IF(OR(DR6&gt;HoldPeriod,DR6&gt;RefiMonth),0,IF(OR(Summary!$D$47=0,DR6&lt;=JuniorIO),DR23*Summary!$D$42/12,-PMT(Summary!$D$42/12,Summary!$D$47*12,Summary!$D$37,0)))</f>
        <v>0</v>
      </c>
      <c r="DS24" s="183">
        <f>-IF(OR(DS6&gt;HoldPeriod,DS6&gt;RefiMonth),0,IF(OR(Summary!$D$47=0,DS6&lt;=JuniorIO),DS23*Summary!$D$42/12,-PMT(Summary!$D$42/12,Summary!$D$47*12,Summary!$D$37,0)))</f>
        <v>0</v>
      </c>
      <c r="DT24" s="183">
        <f>-IF(OR(DT6&gt;HoldPeriod,DT6&gt;RefiMonth),0,IF(OR(Summary!$D$47=0,DT6&lt;=JuniorIO),DT23*Summary!$D$42/12,-PMT(Summary!$D$42/12,Summary!$D$47*12,Summary!$D$37,0)))</f>
        <v>0</v>
      </c>
      <c r="DU24" s="183">
        <f>-IF(OR(DU6&gt;HoldPeriod,DU6&gt;RefiMonth),0,IF(OR(Summary!$D$47=0,DU6&lt;=JuniorIO),DU23*Summary!$D$42/12,-PMT(Summary!$D$42/12,Summary!$D$47*12,Summary!$D$37,0)))</f>
        <v>0</v>
      </c>
      <c r="DV24" s="183">
        <f>-IF(OR(DV6&gt;HoldPeriod,DV6&gt;RefiMonth),0,IF(OR(Summary!$D$47=0,DV6&lt;=JuniorIO),DV23*Summary!$D$42/12,-PMT(Summary!$D$42/12,Summary!$D$47*12,Summary!$D$37,0)))</f>
        <v>0</v>
      </c>
      <c r="DW24" s="183">
        <f>-IF(OR(DW6&gt;HoldPeriod,DW6&gt;RefiMonth),0,IF(OR(Summary!$D$47=0,DW6&lt;=JuniorIO),DW23*Summary!$D$42/12,-PMT(Summary!$D$42/12,Summary!$D$47*12,Summary!$D$37,0)))</f>
        <v>0</v>
      </c>
      <c r="DX24" s="183">
        <f>-IF(OR(DX6&gt;HoldPeriod,DX6&gt;RefiMonth),0,IF(OR(Summary!$D$47=0,DX6&lt;=JuniorIO),DX23*Summary!$D$42/12,-PMT(Summary!$D$42/12,Summary!$D$47*12,Summary!$D$37,0)))</f>
        <v>0</v>
      </c>
      <c r="DY24" s="183">
        <f>-IF(OR(DY6&gt;HoldPeriod,DY6&gt;RefiMonth),0,IF(OR(Summary!$D$47=0,DY6&lt;=JuniorIO),DY23*Summary!$D$42/12,-PMT(Summary!$D$42/12,Summary!$D$47*12,Summary!$D$37,0)))</f>
        <v>0</v>
      </c>
      <c r="DZ24" s="183">
        <f>-IF(OR(DZ6&gt;HoldPeriod,DZ6&gt;RefiMonth),0,IF(OR(Summary!$D$47=0,DZ6&lt;=JuniorIO),DZ23*Summary!$D$42/12,-PMT(Summary!$D$42/12,Summary!$D$47*12,Summary!$D$37,0)))</f>
        <v>0</v>
      </c>
      <c r="EA24" s="183">
        <f>-IF(OR(EA6&gt;HoldPeriod,EA6&gt;RefiMonth),0,IF(OR(Summary!$D$47=0,EA6&lt;=JuniorIO),EA23*Summary!$D$42/12,-PMT(Summary!$D$42/12,Summary!$D$47*12,Summary!$D$37,0)))</f>
        <v>0</v>
      </c>
      <c r="EB24" s="183">
        <f>-IF(OR(EB6&gt;HoldPeriod,EB6&gt;RefiMonth),0,IF(OR(Summary!$D$47=0,EB6&lt;=JuniorIO),EB23*Summary!$D$42/12,-PMT(Summary!$D$42/12,Summary!$D$47*12,Summary!$D$37,0)))</f>
        <v>0</v>
      </c>
      <c r="EC24" s="183">
        <f>-IF(OR(EC6&gt;HoldPeriod,EC6&gt;RefiMonth),0,IF(OR(Summary!$D$47=0,EC6&lt;=JuniorIO),EC23*Summary!$D$42/12,-PMT(Summary!$D$42/12,Summary!$D$47*12,Summary!$D$37,0)))</f>
        <v>0</v>
      </c>
      <c r="ED24" s="183">
        <f>-IF(OR(ED6&gt;HoldPeriod,ED6&gt;RefiMonth),0,IF(OR(Summary!$D$47=0,ED6&lt;=JuniorIO),ED23*Summary!$D$42/12,-PMT(Summary!$D$42/12,Summary!$D$47*12,Summary!$D$37,0)))</f>
        <v>0</v>
      </c>
      <c r="EE24" s="183">
        <f>-IF(OR(EE6&gt;HoldPeriod,EE6&gt;RefiMonth),0,IF(OR(Summary!$D$47=0,EE6&lt;=JuniorIO),EE23*Summary!$D$42/12,-PMT(Summary!$D$42/12,Summary!$D$47*12,Summary!$D$37,0)))</f>
        <v>0</v>
      </c>
      <c r="EF24" s="183" t="s">
        <v>243</v>
      </c>
    </row>
    <row r="25" spans="1:136" s="183" customFormat="1" outlineLevel="1" x14ac:dyDescent="0.2">
      <c r="A25" s="181"/>
      <c r="B25" s="185" t="s">
        <v>35</v>
      </c>
      <c r="C25" s="183">
        <v>0</v>
      </c>
      <c r="D25" s="183">
        <f>-IF(OR(D6&gt;HoldPeriod,D6&gt;RefiMonth),0,IF(OR(Summary!$D$47=0,D6&lt;=JuniorIO),0,-PPMT(Summary!$D$42/12,D6-JuniorIO,Summary!$D$47*12,Summary!$D$37,0)))</f>
        <v>0</v>
      </c>
      <c r="E25" s="183">
        <f>-IF(OR(E6&gt;HoldPeriod,E6&gt;RefiMonth),0,IF(OR(Summary!$D$47=0,E6&lt;=JuniorIO),0,-PPMT(Summary!$D$42/12,E6-JuniorIO,Summary!$D$47*12,Summary!$D$37,0)))</f>
        <v>0</v>
      </c>
      <c r="F25" s="183">
        <f>-IF(OR(F6&gt;HoldPeriod,F6&gt;RefiMonth),0,IF(OR(Summary!$D$47=0,F6&lt;=JuniorIO),0,-PPMT(Summary!$D$42/12,F6-JuniorIO,Summary!$D$47*12,Summary!$D$37,0)))</f>
        <v>0</v>
      </c>
      <c r="G25" s="183">
        <f>-IF(OR(G6&gt;HoldPeriod,G6&gt;RefiMonth),0,IF(OR(Summary!$D$47=0,G6&lt;=JuniorIO),0,-PPMT(Summary!$D$42/12,G6-JuniorIO,Summary!$D$47*12,Summary!$D$37,0)))</f>
        <v>0</v>
      </c>
      <c r="H25" s="183">
        <f>-IF(OR(H6&gt;HoldPeriod,H6&gt;RefiMonth),0,IF(OR(Summary!$D$47=0,H6&lt;=JuniorIO),0,-PPMT(Summary!$D$42/12,H6-JuniorIO,Summary!$D$47*12,Summary!$D$37,0)))</f>
        <v>0</v>
      </c>
      <c r="I25" s="183">
        <f>-IF(OR(I6&gt;HoldPeriod,I6&gt;RefiMonth),0,IF(OR(Summary!$D$47=0,I6&lt;=JuniorIO),0,-PPMT(Summary!$D$42/12,I6-JuniorIO,Summary!$D$47*12,Summary!$D$37,0)))</f>
        <v>0</v>
      </c>
      <c r="J25" s="183">
        <f>-IF(OR(J6&gt;HoldPeriod,J6&gt;RefiMonth),0,IF(OR(Summary!$D$47=0,J6&lt;=JuniorIO),0,-PPMT(Summary!$D$42/12,J6-JuniorIO,Summary!$D$47*12,Summary!$D$37,0)))</f>
        <v>0</v>
      </c>
      <c r="K25" s="183">
        <f>-IF(OR(K6&gt;HoldPeriod,K6&gt;RefiMonth),0,IF(OR(Summary!$D$47=0,K6&lt;=JuniorIO),0,-PPMT(Summary!$D$42/12,K6-JuniorIO,Summary!$D$47*12,Summary!$D$37,0)))</f>
        <v>0</v>
      </c>
      <c r="L25" s="183">
        <f>-IF(OR(L6&gt;HoldPeriod,L6&gt;RefiMonth),0,IF(OR(Summary!$D$47=0,L6&lt;=JuniorIO),0,-PPMT(Summary!$D$42/12,L6-JuniorIO,Summary!$D$47*12,Summary!$D$37,0)))</f>
        <v>0</v>
      </c>
      <c r="M25" s="183">
        <f>-IF(OR(M6&gt;HoldPeriod,M6&gt;RefiMonth),0,IF(OR(Summary!$D$47=0,M6&lt;=JuniorIO),0,-PPMT(Summary!$D$42/12,M6-JuniorIO,Summary!$D$47*12,Summary!$D$37,0)))</f>
        <v>0</v>
      </c>
      <c r="N25" s="183">
        <f>-IF(OR(N6&gt;HoldPeriod,N6&gt;RefiMonth),0,IF(OR(Summary!$D$47=0,N6&lt;=JuniorIO),0,-PPMT(Summary!$D$42/12,N6-JuniorIO,Summary!$D$47*12,Summary!$D$37,0)))</f>
        <v>0</v>
      </c>
      <c r="O25" s="183">
        <f>-IF(OR(O6&gt;HoldPeriod,O6&gt;RefiMonth),0,IF(OR(Summary!$D$47=0,O6&lt;=JuniorIO),0,-PPMT(Summary!$D$42/12,O6-JuniorIO,Summary!$D$47*12,Summary!$D$37,0)))</f>
        <v>0</v>
      </c>
      <c r="P25" s="183">
        <f>-IF(OR(P6&gt;HoldPeriod,P6&gt;RefiMonth),0,IF(OR(Summary!$D$47=0,P6&lt;=JuniorIO),0,-PPMT(Summary!$D$42/12,P6-JuniorIO,Summary!$D$47*12,Summary!$D$37,0)))</f>
        <v>0</v>
      </c>
      <c r="Q25" s="183">
        <f>-IF(OR(Q6&gt;HoldPeriod,Q6&gt;RefiMonth),0,IF(OR(Summary!$D$47=0,Q6&lt;=JuniorIO),0,-PPMT(Summary!$D$42/12,Q6-JuniorIO,Summary!$D$47*12,Summary!$D$37,0)))</f>
        <v>0</v>
      </c>
      <c r="R25" s="183">
        <f>-IF(OR(R6&gt;HoldPeriod,R6&gt;RefiMonth),0,IF(OR(Summary!$D$47=0,R6&lt;=JuniorIO),0,-PPMT(Summary!$D$42/12,R6-JuniorIO,Summary!$D$47*12,Summary!$D$37,0)))</f>
        <v>0</v>
      </c>
      <c r="S25" s="183">
        <f>-IF(OR(S6&gt;HoldPeriod,S6&gt;RefiMonth),0,IF(OR(Summary!$D$47=0,S6&lt;=JuniorIO),0,-PPMT(Summary!$D$42/12,S6-JuniorIO,Summary!$D$47*12,Summary!$D$37,0)))</f>
        <v>0</v>
      </c>
      <c r="T25" s="183">
        <f>-IF(OR(T6&gt;HoldPeriod,T6&gt;RefiMonth),0,IF(OR(Summary!$D$47=0,T6&lt;=JuniorIO),0,-PPMT(Summary!$D$42/12,T6-JuniorIO,Summary!$D$47*12,Summary!$D$37,0)))</f>
        <v>0</v>
      </c>
      <c r="U25" s="183">
        <f>-IF(OR(U6&gt;HoldPeriod,U6&gt;RefiMonth),0,IF(OR(Summary!$D$47=0,U6&lt;=JuniorIO),0,-PPMT(Summary!$D$42/12,U6-JuniorIO,Summary!$D$47*12,Summary!$D$37,0)))</f>
        <v>0</v>
      </c>
      <c r="V25" s="183">
        <f>-IF(OR(V6&gt;HoldPeriod,V6&gt;RefiMonth),0,IF(OR(Summary!$D$47=0,V6&lt;=JuniorIO),0,-PPMT(Summary!$D$42/12,V6-JuniorIO,Summary!$D$47*12,Summary!$D$37,0)))</f>
        <v>0</v>
      </c>
      <c r="W25" s="183">
        <f>-IF(OR(W6&gt;HoldPeriod,W6&gt;RefiMonth),0,IF(OR(Summary!$D$47=0,W6&lt;=JuniorIO),0,-PPMT(Summary!$D$42/12,W6-JuniorIO,Summary!$D$47*12,Summary!$D$37,0)))</f>
        <v>0</v>
      </c>
      <c r="X25" s="183">
        <f>-IF(OR(X6&gt;HoldPeriod,X6&gt;RefiMonth),0,IF(OR(Summary!$D$47=0,X6&lt;=JuniorIO),0,-PPMT(Summary!$D$42/12,X6-JuniorIO,Summary!$D$47*12,Summary!$D$37,0)))</f>
        <v>0</v>
      </c>
      <c r="Y25" s="183">
        <f>-IF(OR(Y6&gt;HoldPeriod,Y6&gt;RefiMonth),0,IF(OR(Summary!$D$47=0,Y6&lt;=JuniorIO),0,-PPMT(Summary!$D$42/12,Y6-JuniorIO,Summary!$D$47*12,Summary!$D$37,0)))</f>
        <v>0</v>
      </c>
      <c r="Z25" s="183">
        <f>-IF(OR(Z6&gt;HoldPeriod,Z6&gt;RefiMonth),0,IF(OR(Summary!$D$47=0,Z6&lt;=JuniorIO),0,-PPMT(Summary!$D$42/12,Z6-JuniorIO,Summary!$D$47*12,Summary!$D$37,0)))</f>
        <v>0</v>
      </c>
      <c r="AA25" s="183">
        <f>-IF(OR(AA6&gt;HoldPeriod,AA6&gt;RefiMonth),0,IF(OR(Summary!$D$47=0,AA6&lt;=JuniorIO),0,-PPMT(Summary!$D$42/12,AA6-JuniorIO,Summary!$D$47*12,Summary!$D$37,0)))</f>
        <v>0</v>
      </c>
      <c r="AB25" s="183">
        <f>-IF(OR(AB6&gt;HoldPeriod,AB6&gt;RefiMonth),0,IF(OR(Summary!$D$47=0,AB6&lt;=JuniorIO),0,-PPMT(Summary!$D$42/12,AB6-JuniorIO,Summary!$D$47*12,Summary!$D$37,0)))</f>
        <v>0</v>
      </c>
      <c r="AC25" s="183">
        <f>-IF(OR(AC6&gt;HoldPeriod,AC6&gt;RefiMonth),0,IF(OR(Summary!$D$47=0,AC6&lt;=JuniorIO),0,-PPMT(Summary!$D$42/12,AC6-JuniorIO,Summary!$D$47*12,Summary!$D$37,0)))</f>
        <v>0</v>
      </c>
      <c r="AD25" s="183">
        <f>-IF(OR(AD6&gt;HoldPeriod,AD6&gt;RefiMonth),0,IF(OR(Summary!$D$47=0,AD6&lt;=JuniorIO),0,-PPMT(Summary!$D$42/12,AD6-JuniorIO,Summary!$D$47*12,Summary!$D$37,0)))</f>
        <v>0</v>
      </c>
      <c r="AE25" s="183">
        <f>-IF(OR(AE6&gt;HoldPeriod,AE6&gt;RefiMonth),0,IF(OR(Summary!$D$47=0,AE6&lt;=JuniorIO),0,-PPMT(Summary!$D$42/12,AE6-JuniorIO,Summary!$D$47*12,Summary!$D$37,0)))</f>
        <v>0</v>
      </c>
      <c r="AF25" s="183">
        <f>-IF(OR(AF6&gt;HoldPeriod,AF6&gt;RefiMonth),0,IF(OR(Summary!$D$47=0,AF6&lt;=JuniorIO),0,-PPMT(Summary!$D$42/12,AF6-JuniorIO,Summary!$D$47*12,Summary!$D$37,0)))</f>
        <v>0</v>
      </c>
      <c r="AG25" s="183">
        <f>-IF(OR(AG6&gt;HoldPeriod,AG6&gt;RefiMonth),0,IF(OR(Summary!$D$47=0,AG6&lt;=JuniorIO),0,-PPMT(Summary!$D$42/12,AG6-JuniorIO,Summary!$D$47*12,Summary!$D$37,0)))</f>
        <v>0</v>
      </c>
      <c r="AH25" s="183">
        <f>-IF(OR(AH6&gt;HoldPeriod,AH6&gt;RefiMonth),0,IF(OR(Summary!$D$47=0,AH6&lt;=JuniorIO),0,-PPMT(Summary!$D$42/12,AH6-JuniorIO,Summary!$D$47*12,Summary!$D$37,0)))</f>
        <v>0</v>
      </c>
      <c r="AI25" s="183">
        <f>-IF(OR(AI6&gt;HoldPeriod,AI6&gt;RefiMonth),0,IF(OR(Summary!$D$47=0,AI6&lt;=JuniorIO),0,-PPMT(Summary!$D$42/12,AI6-JuniorIO,Summary!$D$47*12,Summary!$D$37,0)))</f>
        <v>0</v>
      </c>
      <c r="AJ25" s="183">
        <f>-IF(OR(AJ6&gt;HoldPeriod,AJ6&gt;RefiMonth),0,IF(OR(Summary!$D$47=0,AJ6&lt;=JuniorIO),0,-PPMT(Summary!$D$42/12,AJ6-JuniorIO,Summary!$D$47*12,Summary!$D$37,0)))</f>
        <v>0</v>
      </c>
      <c r="AK25" s="183">
        <f>-IF(OR(AK6&gt;HoldPeriod,AK6&gt;RefiMonth),0,IF(OR(Summary!$D$47=0,AK6&lt;=JuniorIO),0,-PPMT(Summary!$D$42/12,AK6-JuniorIO,Summary!$D$47*12,Summary!$D$37,0)))</f>
        <v>0</v>
      </c>
      <c r="AL25" s="183">
        <f>-IF(OR(AL6&gt;HoldPeriod,AL6&gt;RefiMonth),0,IF(OR(Summary!$D$47=0,AL6&lt;=JuniorIO),0,-PPMT(Summary!$D$42/12,AL6-JuniorIO,Summary!$D$47*12,Summary!$D$37,0)))</f>
        <v>0</v>
      </c>
      <c r="AM25" s="183">
        <f>-IF(OR(AM6&gt;HoldPeriod,AM6&gt;RefiMonth),0,IF(OR(Summary!$D$47=0,AM6&lt;=JuniorIO),0,-PPMT(Summary!$D$42/12,AM6-JuniorIO,Summary!$D$47*12,Summary!$D$37,0)))</f>
        <v>0</v>
      </c>
      <c r="AN25" s="183">
        <f>-IF(OR(AN6&gt;HoldPeriod,AN6&gt;RefiMonth),0,IF(OR(Summary!$D$47=0,AN6&lt;=JuniorIO),0,-PPMT(Summary!$D$42/12,AN6-JuniorIO,Summary!$D$47*12,Summary!$D$37,0)))</f>
        <v>0</v>
      </c>
      <c r="AO25" s="183">
        <f>-IF(OR(AO6&gt;HoldPeriod,AO6&gt;RefiMonth),0,IF(OR(Summary!$D$47=0,AO6&lt;=JuniorIO),0,-PPMT(Summary!$D$42/12,AO6-JuniorIO,Summary!$D$47*12,Summary!$D$37,0)))</f>
        <v>0</v>
      </c>
      <c r="AP25" s="183">
        <f>-IF(OR(AP6&gt;HoldPeriod,AP6&gt;RefiMonth),0,IF(OR(Summary!$D$47=0,AP6&lt;=JuniorIO),0,-PPMT(Summary!$D$42/12,AP6-JuniorIO,Summary!$D$47*12,Summary!$D$37,0)))</f>
        <v>0</v>
      </c>
      <c r="AQ25" s="183">
        <f>-IF(OR(AQ6&gt;HoldPeriod,AQ6&gt;RefiMonth),0,IF(OR(Summary!$D$47=0,AQ6&lt;=JuniorIO),0,-PPMT(Summary!$D$42/12,AQ6-JuniorIO,Summary!$D$47*12,Summary!$D$37,0)))</f>
        <v>0</v>
      </c>
      <c r="AR25" s="183">
        <f>-IF(OR(AR6&gt;HoldPeriod,AR6&gt;RefiMonth),0,IF(OR(Summary!$D$47=0,AR6&lt;=JuniorIO),0,-PPMT(Summary!$D$42/12,AR6-JuniorIO,Summary!$D$47*12,Summary!$D$37,0)))</f>
        <v>0</v>
      </c>
      <c r="AS25" s="183">
        <f>-IF(OR(AS6&gt;HoldPeriod,AS6&gt;RefiMonth),0,IF(OR(Summary!$D$47=0,AS6&lt;=JuniorIO),0,-PPMT(Summary!$D$42/12,AS6-JuniorIO,Summary!$D$47*12,Summary!$D$37,0)))</f>
        <v>0</v>
      </c>
      <c r="AT25" s="183">
        <f>-IF(OR(AT6&gt;HoldPeriod,AT6&gt;RefiMonth),0,IF(OR(Summary!$D$47=0,AT6&lt;=JuniorIO),0,-PPMT(Summary!$D$42/12,AT6-JuniorIO,Summary!$D$47*12,Summary!$D$37,0)))</f>
        <v>0</v>
      </c>
      <c r="AU25" s="183">
        <f>-IF(OR(AU6&gt;HoldPeriod,AU6&gt;RefiMonth),0,IF(OR(Summary!$D$47=0,AU6&lt;=JuniorIO),0,-PPMT(Summary!$D$42/12,AU6-JuniorIO,Summary!$D$47*12,Summary!$D$37,0)))</f>
        <v>0</v>
      </c>
      <c r="AV25" s="183">
        <f>-IF(OR(AV6&gt;HoldPeriod,AV6&gt;RefiMonth),0,IF(OR(Summary!$D$47=0,AV6&lt;=JuniorIO),0,-PPMT(Summary!$D$42/12,AV6-JuniorIO,Summary!$D$47*12,Summary!$D$37,0)))</f>
        <v>0</v>
      </c>
      <c r="AW25" s="183">
        <f>-IF(OR(AW6&gt;HoldPeriod,AW6&gt;RefiMonth),0,IF(OR(Summary!$D$47=0,AW6&lt;=JuniorIO),0,-PPMT(Summary!$D$42/12,AW6-JuniorIO,Summary!$D$47*12,Summary!$D$37,0)))</f>
        <v>0</v>
      </c>
      <c r="AX25" s="183">
        <f>-IF(OR(AX6&gt;HoldPeriod,AX6&gt;RefiMonth),0,IF(OR(Summary!$D$47=0,AX6&lt;=JuniorIO),0,-PPMT(Summary!$D$42/12,AX6-JuniorIO,Summary!$D$47*12,Summary!$D$37,0)))</f>
        <v>0</v>
      </c>
      <c r="AY25" s="183">
        <f>-IF(OR(AY6&gt;HoldPeriod,AY6&gt;RefiMonth),0,IF(OR(Summary!$D$47=0,AY6&lt;=JuniorIO),0,-PPMT(Summary!$D$42/12,AY6-JuniorIO,Summary!$D$47*12,Summary!$D$37,0)))</f>
        <v>0</v>
      </c>
      <c r="AZ25" s="183">
        <f>-IF(OR(AZ6&gt;HoldPeriod,AZ6&gt;RefiMonth),0,IF(OR(Summary!$D$47=0,AZ6&lt;=JuniorIO),0,-PPMT(Summary!$D$42/12,AZ6-JuniorIO,Summary!$D$47*12,Summary!$D$37,0)))</f>
        <v>0</v>
      </c>
      <c r="BA25" s="183">
        <f>-IF(OR(BA6&gt;HoldPeriod,BA6&gt;RefiMonth),0,IF(OR(Summary!$D$47=0,BA6&lt;=JuniorIO),0,-PPMT(Summary!$D$42/12,BA6-JuniorIO,Summary!$D$47*12,Summary!$D$37,0)))</f>
        <v>0</v>
      </c>
      <c r="BB25" s="183">
        <f>-IF(OR(BB6&gt;HoldPeriod,BB6&gt;RefiMonth),0,IF(OR(Summary!$D$47=0,BB6&lt;=JuniorIO),0,-PPMT(Summary!$D$42/12,BB6-JuniorIO,Summary!$D$47*12,Summary!$D$37,0)))</f>
        <v>0</v>
      </c>
      <c r="BC25" s="183">
        <f>-IF(OR(BC6&gt;HoldPeriod,BC6&gt;RefiMonth),0,IF(OR(Summary!$D$47=0,BC6&lt;=JuniorIO),0,-PPMT(Summary!$D$42/12,BC6-JuniorIO,Summary!$D$47*12,Summary!$D$37,0)))</f>
        <v>0</v>
      </c>
      <c r="BD25" s="183">
        <f>-IF(OR(BD6&gt;HoldPeriod,BD6&gt;RefiMonth),0,IF(OR(Summary!$D$47=0,BD6&lt;=JuniorIO),0,-PPMT(Summary!$D$42/12,BD6-JuniorIO,Summary!$D$47*12,Summary!$D$37,0)))</f>
        <v>0</v>
      </c>
      <c r="BE25" s="183">
        <f>-IF(OR(BE6&gt;HoldPeriod,BE6&gt;RefiMonth),0,IF(OR(Summary!$D$47=0,BE6&lt;=JuniorIO),0,-PPMT(Summary!$D$42/12,BE6-JuniorIO,Summary!$D$47*12,Summary!$D$37,0)))</f>
        <v>0</v>
      </c>
      <c r="BF25" s="183">
        <f>-IF(OR(BF6&gt;HoldPeriod,BF6&gt;RefiMonth),0,IF(OR(Summary!$D$47=0,BF6&lt;=JuniorIO),0,-PPMT(Summary!$D$42/12,BF6-JuniorIO,Summary!$D$47*12,Summary!$D$37,0)))</f>
        <v>0</v>
      </c>
      <c r="BG25" s="183">
        <f>-IF(OR(BG6&gt;HoldPeriod,BG6&gt;RefiMonth),0,IF(OR(Summary!$D$47=0,BG6&lt;=JuniorIO),0,-PPMT(Summary!$D$42/12,BG6-JuniorIO,Summary!$D$47*12,Summary!$D$37,0)))</f>
        <v>0</v>
      </c>
      <c r="BH25" s="183">
        <f>-IF(OR(BH6&gt;HoldPeriod,BH6&gt;RefiMonth),0,IF(OR(Summary!$D$47=0,BH6&lt;=JuniorIO),0,-PPMT(Summary!$D$42/12,BH6-JuniorIO,Summary!$D$47*12,Summary!$D$37,0)))</f>
        <v>0</v>
      </c>
      <c r="BI25" s="183">
        <f>-IF(OR(BI6&gt;HoldPeriod,BI6&gt;RefiMonth),0,IF(OR(Summary!$D$47=0,BI6&lt;=JuniorIO),0,-PPMT(Summary!$D$42/12,BI6-JuniorIO,Summary!$D$47*12,Summary!$D$37,0)))</f>
        <v>0</v>
      </c>
      <c r="BJ25" s="183">
        <f>-IF(OR(BJ6&gt;HoldPeriod,BJ6&gt;RefiMonth),0,IF(OR(Summary!$D$47=0,BJ6&lt;=JuniorIO),0,-PPMT(Summary!$D$42/12,BJ6-JuniorIO,Summary!$D$47*12,Summary!$D$37,0)))</f>
        <v>0</v>
      </c>
      <c r="BK25" s="183">
        <f>-IF(OR(BK6&gt;HoldPeriod,BK6&gt;RefiMonth),0,IF(OR(Summary!$D$47=0,BK6&lt;=JuniorIO),0,-PPMT(Summary!$D$42/12,BK6-JuniorIO,Summary!$D$47*12,Summary!$D$37,0)))</f>
        <v>0</v>
      </c>
      <c r="BL25" s="183">
        <f>-IF(OR(BL6&gt;HoldPeriod,BL6&gt;RefiMonth),0,IF(OR(Summary!$D$47=0,BL6&lt;=JuniorIO),0,-PPMT(Summary!$D$42/12,BL6-JuniorIO,Summary!$D$47*12,Summary!$D$37,0)))</f>
        <v>0</v>
      </c>
      <c r="BM25" s="183">
        <f>-IF(OR(BM6&gt;HoldPeriod,BM6&gt;RefiMonth),0,IF(OR(Summary!$D$47=0,BM6&lt;=JuniorIO),0,-PPMT(Summary!$D$42/12,BM6-JuniorIO,Summary!$D$47*12,Summary!$D$37,0)))</f>
        <v>0</v>
      </c>
      <c r="BN25" s="183">
        <f>-IF(OR(BN6&gt;HoldPeriod,BN6&gt;RefiMonth),0,IF(OR(Summary!$D$47=0,BN6&lt;=JuniorIO),0,-PPMT(Summary!$D$42/12,BN6-JuniorIO,Summary!$D$47*12,Summary!$D$37,0)))</f>
        <v>0</v>
      </c>
      <c r="BO25" s="183">
        <f>-IF(OR(BO6&gt;HoldPeriod,BO6&gt;RefiMonth),0,IF(OR(Summary!$D$47=0,BO6&lt;=JuniorIO),0,-PPMT(Summary!$D$42/12,BO6-JuniorIO,Summary!$D$47*12,Summary!$D$37,0)))</f>
        <v>0</v>
      </c>
      <c r="BP25" s="183">
        <f>-IF(OR(BP6&gt;HoldPeriod,BP6&gt;RefiMonth),0,IF(OR(Summary!$D$47=0,BP6&lt;=JuniorIO),0,-PPMT(Summary!$D$42/12,BP6-JuniorIO,Summary!$D$47*12,Summary!$D$37,0)))</f>
        <v>0</v>
      </c>
      <c r="BQ25" s="183">
        <f>-IF(OR(BQ6&gt;HoldPeriod,BQ6&gt;RefiMonth),0,IF(OR(Summary!$D$47=0,BQ6&lt;=JuniorIO),0,-PPMT(Summary!$D$42/12,BQ6-JuniorIO,Summary!$D$47*12,Summary!$D$37,0)))</f>
        <v>0</v>
      </c>
      <c r="BR25" s="183">
        <f>-IF(OR(BR6&gt;HoldPeriod,BR6&gt;RefiMonth),0,IF(OR(Summary!$D$47=0,BR6&lt;=JuniorIO),0,-PPMT(Summary!$D$42/12,BR6-JuniorIO,Summary!$D$47*12,Summary!$D$37,0)))</f>
        <v>0</v>
      </c>
      <c r="BS25" s="183">
        <f>-IF(OR(BS6&gt;HoldPeriod,BS6&gt;RefiMonth),0,IF(OR(Summary!$D$47=0,BS6&lt;=JuniorIO),0,-PPMT(Summary!$D$42/12,BS6-JuniorIO,Summary!$D$47*12,Summary!$D$37,0)))</f>
        <v>0</v>
      </c>
      <c r="BT25" s="183">
        <f>-IF(OR(BT6&gt;HoldPeriod,BT6&gt;RefiMonth),0,IF(OR(Summary!$D$47=0,BT6&lt;=JuniorIO),0,-PPMT(Summary!$D$42/12,BT6-JuniorIO,Summary!$D$47*12,Summary!$D$37,0)))</f>
        <v>0</v>
      </c>
      <c r="BU25" s="183">
        <f>-IF(OR(BU6&gt;HoldPeriod,BU6&gt;RefiMonth),0,IF(OR(Summary!$D$47=0,BU6&lt;=JuniorIO),0,-PPMT(Summary!$D$42/12,BU6-JuniorIO,Summary!$D$47*12,Summary!$D$37,0)))</f>
        <v>0</v>
      </c>
      <c r="BV25" s="183">
        <f>-IF(OR(BV6&gt;HoldPeriod,BV6&gt;RefiMonth),0,IF(OR(Summary!$D$47=0,BV6&lt;=JuniorIO),0,-PPMT(Summary!$D$42/12,BV6-JuniorIO,Summary!$D$47*12,Summary!$D$37,0)))</f>
        <v>0</v>
      </c>
      <c r="BW25" s="183">
        <f>-IF(OR(BW6&gt;HoldPeriod,BW6&gt;RefiMonth),0,IF(OR(Summary!$D$47=0,BW6&lt;=JuniorIO),0,-PPMT(Summary!$D$42/12,BW6-JuniorIO,Summary!$D$47*12,Summary!$D$37,0)))</f>
        <v>0</v>
      </c>
      <c r="BX25" s="183">
        <f>-IF(OR(BX6&gt;HoldPeriod,BX6&gt;RefiMonth),0,IF(OR(Summary!$D$47=0,BX6&lt;=JuniorIO),0,-PPMT(Summary!$D$42/12,BX6-JuniorIO,Summary!$D$47*12,Summary!$D$37,0)))</f>
        <v>0</v>
      </c>
      <c r="BY25" s="183">
        <f>-IF(OR(BY6&gt;HoldPeriod,BY6&gt;RefiMonth),0,IF(OR(Summary!$D$47=0,BY6&lt;=JuniorIO),0,-PPMT(Summary!$D$42/12,BY6-JuniorIO,Summary!$D$47*12,Summary!$D$37,0)))</f>
        <v>0</v>
      </c>
      <c r="BZ25" s="183">
        <f>-IF(OR(BZ6&gt;HoldPeriod,BZ6&gt;RefiMonth),0,IF(OR(Summary!$D$47=0,BZ6&lt;=JuniorIO),0,-PPMT(Summary!$D$42/12,BZ6-JuniorIO,Summary!$D$47*12,Summary!$D$37,0)))</f>
        <v>0</v>
      </c>
      <c r="CA25" s="183">
        <f>-IF(OR(CA6&gt;HoldPeriod,CA6&gt;RefiMonth),0,IF(OR(Summary!$D$47=0,CA6&lt;=JuniorIO),0,-PPMT(Summary!$D$42/12,CA6-JuniorIO,Summary!$D$47*12,Summary!$D$37,0)))</f>
        <v>0</v>
      </c>
      <c r="CB25" s="183">
        <f>-IF(OR(CB6&gt;HoldPeriod,CB6&gt;RefiMonth),0,IF(OR(Summary!$D$47=0,CB6&lt;=JuniorIO),0,-PPMT(Summary!$D$42/12,CB6-JuniorIO,Summary!$D$47*12,Summary!$D$37,0)))</f>
        <v>0</v>
      </c>
      <c r="CC25" s="183">
        <f>-IF(OR(CC6&gt;HoldPeriod,CC6&gt;RefiMonth),0,IF(OR(Summary!$D$47=0,CC6&lt;=JuniorIO),0,-PPMT(Summary!$D$42/12,CC6-JuniorIO,Summary!$D$47*12,Summary!$D$37,0)))</f>
        <v>0</v>
      </c>
      <c r="CD25" s="183">
        <f>-IF(OR(CD6&gt;HoldPeriod,CD6&gt;RefiMonth),0,IF(OR(Summary!$D$47=0,CD6&lt;=JuniorIO),0,-PPMT(Summary!$D$42/12,CD6-JuniorIO,Summary!$D$47*12,Summary!$D$37,0)))</f>
        <v>0</v>
      </c>
      <c r="CE25" s="183">
        <f>-IF(OR(CE6&gt;HoldPeriod,CE6&gt;RefiMonth),0,IF(OR(Summary!$D$47=0,CE6&lt;=JuniorIO),0,-PPMT(Summary!$D$42/12,CE6-JuniorIO,Summary!$D$47*12,Summary!$D$37,0)))</f>
        <v>0</v>
      </c>
      <c r="CF25" s="183">
        <f>-IF(OR(CF6&gt;HoldPeriod,CF6&gt;RefiMonth),0,IF(OR(Summary!$D$47=0,CF6&lt;=JuniorIO),0,-PPMT(Summary!$D$42/12,CF6-JuniorIO,Summary!$D$47*12,Summary!$D$37,0)))</f>
        <v>0</v>
      </c>
      <c r="CG25" s="183">
        <f>-IF(OR(CG6&gt;HoldPeriod,CG6&gt;RefiMonth),0,IF(OR(Summary!$D$47=0,CG6&lt;=JuniorIO),0,-PPMT(Summary!$D$42/12,CG6-JuniorIO,Summary!$D$47*12,Summary!$D$37,0)))</f>
        <v>0</v>
      </c>
      <c r="CH25" s="183">
        <f>-IF(OR(CH6&gt;HoldPeriod,CH6&gt;RefiMonth),0,IF(OR(Summary!$D$47=0,CH6&lt;=JuniorIO),0,-PPMT(Summary!$D$42/12,CH6-JuniorIO,Summary!$D$47*12,Summary!$D$37,0)))</f>
        <v>0</v>
      </c>
      <c r="CI25" s="183">
        <f>-IF(OR(CI6&gt;HoldPeriod,CI6&gt;RefiMonth),0,IF(OR(Summary!$D$47=0,CI6&lt;=JuniorIO),0,-PPMT(Summary!$D$42/12,CI6-JuniorIO,Summary!$D$47*12,Summary!$D$37,0)))</f>
        <v>0</v>
      </c>
      <c r="CJ25" s="183">
        <f>-IF(OR(CJ6&gt;HoldPeriod,CJ6&gt;RefiMonth),0,IF(OR(Summary!$D$47=0,CJ6&lt;=JuniorIO),0,-PPMT(Summary!$D$42/12,CJ6-JuniorIO,Summary!$D$47*12,Summary!$D$37,0)))</f>
        <v>0</v>
      </c>
      <c r="CK25" s="183">
        <f>-IF(OR(CK6&gt;HoldPeriod,CK6&gt;RefiMonth),0,IF(OR(Summary!$D$47=0,CK6&lt;=JuniorIO),0,-PPMT(Summary!$D$42/12,CK6-JuniorIO,Summary!$D$47*12,Summary!$D$37,0)))</f>
        <v>0</v>
      </c>
      <c r="CL25" s="183">
        <f>-IF(OR(CL6&gt;HoldPeriod,CL6&gt;RefiMonth),0,IF(OR(Summary!$D$47=0,CL6&lt;=JuniorIO),0,-PPMT(Summary!$D$42/12,CL6-JuniorIO,Summary!$D$47*12,Summary!$D$37,0)))</f>
        <v>0</v>
      </c>
      <c r="CM25" s="183">
        <f>-IF(OR(CM6&gt;HoldPeriod,CM6&gt;RefiMonth),0,IF(OR(Summary!$D$47=0,CM6&lt;=JuniorIO),0,-PPMT(Summary!$D$42/12,CM6-JuniorIO,Summary!$D$47*12,Summary!$D$37,0)))</f>
        <v>0</v>
      </c>
      <c r="CN25" s="183">
        <f>-IF(OR(CN6&gt;HoldPeriod,CN6&gt;RefiMonth),0,IF(OR(Summary!$D$47=0,CN6&lt;=JuniorIO),0,-PPMT(Summary!$D$42/12,CN6-JuniorIO,Summary!$D$47*12,Summary!$D$37,0)))</f>
        <v>0</v>
      </c>
      <c r="CO25" s="183">
        <f>-IF(OR(CO6&gt;HoldPeriod,CO6&gt;RefiMonth),0,IF(OR(Summary!$D$47=0,CO6&lt;=JuniorIO),0,-PPMT(Summary!$D$42/12,CO6-JuniorIO,Summary!$D$47*12,Summary!$D$37,0)))</f>
        <v>0</v>
      </c>
      <c r="CP25" s="183">
        <f>-IF(OR(CP6&gt;HoldPeriod,CP6&gt;RefiMonth),0,IF(OR(Summary!$D$47=0,CP6&lt;=JuniorIO),0,-PPMT(Summary!$D$42/12,CP6-JuniorIO,Summary!$D$47*12,Summary!$D$37,0)))</f>
        <v>0</v>
      </c>
      <c r="CQ25" s="183">
        <f>-IF(OR(CQ6&gt;HoldPeriod,CQ6&gt;RefiMonth),0,IF(OR(Summary!$D$47=0,CQ6&lt;=JuniorIO),0,-PPMT(Summary!$D$42/12,CQ6-JuniorIO,Summary!$D$47*12,Summary!$D$37,0)))</f>
        <v>0</v>
      </c>
      <c r="CR25" s="183">
        <f>-IF(OR(CR6&gt;HoldPeriod,CR6&gt;RefiMonth),0,IF(OR(Summary!$D$47=0,CR6&lt;=JuniorIO),0,-PPMT(Summary!$D$42/12,CR6-JuniorIO,Summary!$D$47*12,Summary!$D$37,0)))</f>
        <v>0</v>
      </c>
      <c r="CS25" s="183">
        <f>-IF(OR(CS6&gt;HoldPeriod,CS6&gt;RefiMonth),0,IF(OR(Summary!$D$47=0,CS6&lt;=JuniorIO),0,-PPMT(Summary!$D$42/12,CS6-JuniorIO,Summary!$D$47*12,Summary!$D$37,0)))</f>
        <v>0</v>
      </c>
      <c r="CT25" s="183">
        <f>-IF(OR(CT6&gt;HoldPeriod,CT6&gt;RefiMonth),0,IF(OR(Summary!$D$47=0,CT6&lt;=JuniorIO),0,-PPMT(Summary!$D$42/12,CT6-JuniorIO,Summary!$D$47*12,Summary!$D$37,0)))</f>
        <v>0</v>
      </c>
      <c r="CU25" s="183">
        <f>-IF(OR(CU6&gt;HoldPeriod,CU6&gt;RefiMonth),0,IF(OR(Summary!$D$47=0,CU6&lt;=JuniorIO),0,-PPMT(Summary!$D$42/12,CU6-JuniorIO,Summary!$D$47*12,Summary!$D$37,0)))</f>
        <v>0</v>
      </c>
      <c r="CV25" s="183">
        <f>-IF(OR(CV6&gt;HoldPeriod,CV6&gt;RefiMonth),0,IF(OR(Summary!$D$47=0,CV6&lt;=JuniorIO),0,-PPMT(Summary!$D$42/12,CV6-JuniorIO,Summary!$D$47*12,Summary!$D$37,0)))</f>
        <v>0</v>
      </c>
      <c r="CW25" s="183">
        <f>-IF(OR(CW6&gt;HoldPeriod,CW6&gt;RefiMonth),0,IF(OR(Summary!$D$47=0,CW6&lt;=JuniorIO),0,-PPMT(Summary!$D$42/12,CW6-JuniorIO,Summary!$D$47*12,Summary!$D$37,0)))</f>
        <v>0</v>
      </c>
      <c r="CX25" s="183">
        <f>-IF(OR(CX6&gt;HoldPeriod,CX6&gt;RefiMonth),0,IF(OR(Summary!$D$47=0,CX6&lt;=JuniorIO),0,-PPMT(Summary!$D$42/12,CX6-JuniorIO,Summary!$D$47*12,Summary!$D$37,0)))</f>
        <v>0</v>
      </c>
      <c r="CY25" s="183">
        <f>-IF(OR(CY6&gt;HoldPeriod,CY6&gt;RefiMonth),0,IF(OR(Summary!$D$47=0,CY6&lt;=JuniorIO),0,-PPMT(Summary!$D$42/12,CY6-JuniorIO,Summary!$D$47*12,Summary!$D$37,0)))</f>
        <v>0</v>
      </c>
      <c r="CZ25" s="183">
        <f>-IF(OR(CZ6&gt;HoldPeriod,CZ6&gt;RefiMonth),0,IF(OR(Summary!$D$47=0,CZ6&lt;=JuniorIO),0,-PPMT(Summary!$D$42/12,CZ6-JuniorIO,Summary!$D$47*12,Summary!$D$37,0)))</f>
        <v>0</v>
      </c>
      <c r="DA25" s="183">
        <f>-IF(OR(DA6&gt;HoldPeriod,DA6&gt;RefiMonth),0,IF(OR(Summary!$D$47=0,DA6&lt;=JuniorIO),0,-PPMT(Summary!$D$42/12,DA6-JuniorIO,Summary!$D$47*12,Summary!$D$37,0)))</f>
        <v>0</v>
      </c>
      <c r="DB25" s="183">
        <f>-IF(OR(DB6&gt;HoldPeriod,DB6&gt;RefiMonth),0,IF(OR(Summary!$D$47=0,DB6&lt;=JuniorIO),0,-PPMT(Summary!$D$42/12,DB6-JuniorIO,Summary!$D$47*12,Summary!$D$37,0)))</f>
        <v>0</v>
      </c>
      <c r="DC25" s="183">
        <f>-IF(OR(DC6&gt;HoldPeriod,DC6&gt;RefiMonth),0,IF(OR(Summary!$D$47=0,DC6&lt;=JuniorIO),0,-PPMT(Summary!$D$42/12,DC6-JuniorIO,Summary!$D$47*12,Summary!$D$37,0)))</f>
        <v>0</v>
      </c>
      <c r="DD25" s="183">
        <f>-IF(OR(DD6&gt;HoldPeriod,DD6&gt;RefiMonth),0,IF(OR(Summary!$D$47=0,DD6&lt;=JuniorIO),0,-PPMT(Summary!$D$42/12,DD6-JuniorIO,Summary!$D$47*12,Summary!$D$37,0)))</f>
        <v>0</v>
      </c>
      <c r="DE25" s="183">
        <f>-IF(OR(DE6&gt;HoldPeriod,DE6&gt;RefiMonth),0,IF(OR(Summary!$D$47=0,DE6&lt;=JuniorIO),0,-PPMT(Summary!$D$42/12,DE6-JuniorIO,Summary!$D$47*12,Summary!$D$37,0)))</f>
        <v>0</v>
      </c>
      <c r="DF25" s="183">
        <f>-IF(OR(DF6&gt;HoldPeriod,DF6&gt;RefiMonth),0,IF(OR(Summary!$D$47=0,DF6&lt;=JuniorIO),0,-PPMT(Summary!$D$42/12,DF6-JuniorIO,Summary!$D$47*12,Summary!$D$37,0)))</f>
        <v>0</v>
      </c>
      <c r="DG25" s="183">
        <f>-IF(OR(DG6&gt;HoldPeriod,DG6&gt;RefiMonth),0,IF(OR(Summary!$D$47=0,DG6&lt;=JuniorIO),0,-PPMT(Summary!$D$42/12,DG6-JuniorIO,Summary!$D$47*12,Summary!$D$37,0)))</f>
        <v>0</v>
      </c>
      <c r="DH25" s="183">
        <f>-IF(OR(DH6&gt;HoldPeriod,DH6&gt;RefiMonth),0,IF(OR(Summary!$D$47=0,DH6&lt;=JuniorIO),0,-PPMT(Summary!$D$42/12,DH6-JuniorIO,Summary!$D$47*12,Summary!$D$37,0)))</f>
        <v>0</v>
      </c>
      <c r="DI25" s="183">
        <f>-IF(OR(DI6&gt;HoldPeriod,DI6&gt;RefiMonth),0,IF(OR(Summary!$D$47=0,DI6&lt;=JuniorIO),0,-PPMT(Summary!$D$42/12,DI6-JuniorIO,Summary!$D$47*12,Summary!$D$37,0)))</f>
        <v>0</v>
      </c>
      <c r="DJ25" s="183">
        <f>-IF(OR(DJ6&gt;HoldPeriod,DJ6&gt;RefiMonth),0,IF(OR(Summary!$D$47=0,DJ6&lt;=JuniorIO),0,-PPMT(Summary!$D$42/12,DJ6-JuniorIO,Summary!$D$47*12,Summary!$D$37,0)))</f>
        <v>0</v>
      </c>
      <c r="DK25" s="183">
        <f>-IF(OR(DK6&gt;HoldPeriod,DK6&gt;RefiMonth),0,IF(OR(Summary!$D$47=0,DK6&lt;=JuniorIO),0,-PPMT(Summary!$D$42/12,DK6-JuniorIO,Summary!$D$47*12,Summary!$D$37,0)))</f>
        <v>0</v>
      </c>
      <c r="DL25" s="183">
        <f>-IF(OR(DL6&gt;HoldPeriod,DL6&gt;RefiMonth),0,IF(OR(Summary!$D$47=0,DL6&lt;=JuniorIO),0,-PPMT(Summary!$D$42/12,DL6-JuniorIO,Summary!$D$47*12,Summary!$D$37,0)))</f>
        <v>0</v>
      </c>
      <c r="DM25" s="183">
        <f>-IF(OR(DM6&gt;HoldPeriod,DM6&gt;RefiMonth),0,IF(OR(Summary!$D$47=0,DM6&lt;=JuniorIO),0,-PPMT(Summary!$D$42/12,DM6-JuniorIO,Summary!$D$47*12,Summary!$D$37,0)))</f>
        <v>0</v>
      </c>
      <c r="DN25" s="183">
        <f>-IF(OR(DN6&gt;HoldPeriod,DN6&gt;RefiMonth),0,IF(OR(Summary!$D$47=0,DN6&lt;=JuniorIO),0,-PPMT(Summary!$D$42/12,DN6-JuniorIO,Summary!$D$47*12,Summary!$D$37,0)))</f>
        <v>0</v>
      </c>
      <c r="DO25" s="183">
        <f>-IF(OR(DO6&gt;HoldPeriod,DO6&gt;RefiMonth),0,IF(OR(Summary!$D$47=0,DO6&lt;=JuniorIO),0,-PPMT(Summary!$D$42/12,DO6-JuniorIO,Summary!$D$47*12,Summary!$D$37,0)))</f>
        <v>0</v>
      </c>
      <c r="DP25" s="183">
        <f>-IF(OR(DP6&gt;HoldPeriod,DP6&gt;RefiMonth),0,IF(OR(Summary!$D$47=0,DP6&lt;=JuniorIO),0,-PPMT(Summary!$D$42/12,DP6-JuniorIO,Summary!$D$47*12,Summary!$D$37,0)))</f>
        <v>0</v>
      </c>
      <c r="DQ25" s="183">
        <f>-IF(OR(DQ6&gt;HoldPeriod,DQ6&gt;RefiMonth),0,IF(OR(Summary!$D$47=0,DQ6&lt;=JuniorIO),0,-PPMT(Summary!$D$42/12,DQ6-JuniorIO,Summary!$D$47*12,Summary!$D$37,0)))</f>
        <v>0</v>
      </c>
      <c r="DR25" s="183">
        <f>-IF(OR(DR6&gt;HoldPeriod,DR6&gt;RefiMonth),0,IF(OR(Summary!$D$47=0,DR6&lt;=JuniorIO),0,-PPMT(Summary!$D$42/12,DR6-JuniorIO,Summary!$D$47*12,Summary!$D$37,0)))</f>
        <v>0</v>
      </c>
      <c r="DS25" s="183">
        <f>-IF(OR(DS6&gt;HoldPeriod,DS6&gt;RefiMonth),0,IF(OR(Summary!$D$47=0,DS6&lt;=JuniorIO),0,-PPMT(Summary!$D$42/12,DS6-JuniorIO,Summary!$D$47*12,Summary!$D$37,0)))</f>
        <v>0</v>
      </c>
      <c r="DT25" s="183">
        <f>-IF(OR(DT6&gt;HoldPeriod,DT6&gt;RefiMonth),0,IF(OR(Summary!$D$47=0,DT6&lt;=JuniorIO),0,-PPMT(Summary!$D$42/12,DT6-JuniorIO,Summary!$D$47*12,Summary!$D$37,0)))</f>
        <v>0</v>
      </c>
      <c r="DU25" s="183">
        <f>-IF(OR(DU6&gt;HoldPeriod,DU6&gt;RefiMonth),0,IF(OR(Summary!$D$47=0,DU6&lt;=JuniorIO),0,-PPMT(Summary!$D$42/12,DU6-JuniorIO,Summary!$D$47*12,Summary!$D$37,0)))</f>
        <v>0</v>
      </c>
      <c r="DV25" s="183">
        <f>-IF(OR(DV6&gt;HoldPeriod,DV6&gt;RefiMonth),0,IF(OR(Summary!$D$47=0,DV6&lt;=JuniorIO),0,-PPMT(Summary!$D$42/12,DV6-JuniorIO,Summary!$D$47*12,Summary!$D$37,0)))</f>
        <v>0</v>
      </c>
      <c r="DW25" s="183">
        <f>-IF(OR(DW6&gt;HoldPeriod,DW6&gt;RefiMonth),0,IF(OR(Summary!$D$47=0,DW6&lt;=JuniorIO),0,-PPMT(Summary!$D$42/12,DW6-JuniorIO,Summary!$D$47*12,Summary!$D$37,0)))</f>
        <v>0</v>
      </c>
      <c r="DX25" s="183">
        <f>-IF(OR(DX6&gt;HoldPeriod,DX6&gt;RefiMonth),0,IF(OR(Summary!$D$47=0,DX6&lt;=JuniorIO),0,-PPMT(Summary!$D$42/12,DX6-JuniorIO,Summary!$D$47*12,Summary!$D$37,0)))</f>
        <v>0</v>
      </c>
      <c r="DY25" s="183">
        <f>-IF(OR(DY6&gt;HoldPeriod,DY6&gt;RefiMonth),0,IF(OR(Summary!$D$47=0,DY6&lt;=JuniorIO),0,-PPMT(Summary!$D$42/12,DY6-JuniorIO,Summary!$D$47*12,Summary!$D$37,0)))</f>
        <v>0</v>
      </c>
      <c r="DZ25" s="183">
        <f>-IF(OR(DZ6&gt;HoldPeriod,DZ6&gt;RefiMonth),0,IF(OR(Summary!$D$47=0,DZ6&lt;=JuniorIO),0,-PPMT(Summary!$D$42/12,DZ6-JuniorIO,Summary!$D$47*12,Summary!$D$37,0)))</f>
        <v>0</v>
      </c>
      <c r="EA25" s="183">
        <f>-IF(OR(EA6&gt;HoldPeriod,EA6&gt;RefiMonth),0,IF(OR(Summary!$D$47=0,EA6&lt;=JuniorIO),0,-PPMT(Summary!$D$42/12,EA6-JuniorIO,Summary!$D$47*12,Summary!$D$37,0)))</f>
        <v>0</v>
      </c>
      <c r="EB25" s="183">
        <f>-IF(OR(EB6&gt;HoldPeriod,EB6&gt;RefiMonth),0,IF(OR(Summary!$D$47=0,EB6&lt;=JuniorIO),0,-PPMT(Summary!$D$42/12,EB6-JuniorIO,Summary!$D$47*12,Summary!$D$37,0)))</f>
        <v>0</v>
      </c>
      <c r="EC25" s="183">
        <f>-IF(OR(EC6&gt;HoldPeriod,EC6&gt;RefiMonth),0,IF(OR(Summary!$D$47=0,EC6&lt;=JuniorIO),0,-PPMT(Summary!$D$42/12,EC6-JuniorIO,Summary!$D$47*12,Summary!$D$37,0)))</f>
        <v>0</v>
      </c>
      <c r="ED25" s="183">
        <f>-IF(OR(ED6&gt;HoldPeriod,ED6&gt;RefiMonth),0,IF(OR(Summary!$D$47=0,ED6&lt;=JuniorIO),0,-PPMT(Summary!$D$42/12,ED6-JuniorIO,Summary!$D$47*12,Summary!$D$37,0)))</f>
        <v>0</v>
      </c>
      <c r="EE25" s="183">
        <f>-IF(OR(EE6&gt;HoldPeriod,EE6&gt;RefiMonth),0,IF(OR(Summary!$D$47=0,EE6&lt;=JuniorIO),0,-PPMT(Summary!$D$42/12,EE6-JuniorIO,Summary!$D$47*12,Summary!$D$37,0)))</f>
        <v>0</v>
      </c>
      <c r="EF25" s="183" t="s">
        <v>243</v>
      </c>
    </row>
    <row r="26" spans="1:136" s="183" customFormat="1" outlineLevel="1" x14ac:dyDescent="0.2">
      <c r="A26" s="181"/>
      <c r="B26" s="185" t="s">
        <v>36</v>
      </c>
      <c r="C26" s="183">
        <v>0</v>
      </c>
      <c r="D26" s="183">
        <f>-IF(OR(D6&gt;HoldPeriod,D6&gt;RefiMonth),0,IF(OR(Summary!$D$47=0,D6&lt;=JuniorIO),D23*Summary!$D$42/12,-IPMT(Summary!$D$42/12,D6-JuniorIO,Summary!$D$47*12,Summary!$D$37,0)))</f>
        <v>0</v>
      </c>
      <c r="E26" s="183">
        <f>-IF(OR(E6&gt;HoldPeriod,E6&gt;RefiMonth),0,IF(OR(Summary!$D$47=0,E6&lt;=JuniorIO),E23*Summary!$D$42/12,-IPMT(Summary!$D$42/12,E6-JuniorIO,Summary!$D$47*12,Summary!$D$37,0)))</f>
        <v>0</v>
      </c>
      <c r="F26" s="183">
        <f>-IF(OR(F6&gt;HoldPeriod,F6&gt;RefiMonth),0,IF(OR(Summary!$D$47=0,F6&lt;=JuniorIO),F23*Summary!$D$42/12,-IPMT(Summary!$D$42/12,F6-JuniorIO,Summary!$D$47*12,Summary!$D$37,0)))</f>
        <v>0</v>
      </c>
      <c r="G26" s="183">
        <f>-IF(OR(G6&gt;HoldPeriod,G6&gt;RefiMonth),0,IF(OR(Summary!$D$47=0,G6&lt;=JuniorIO),G23*Summary!$D$42/12,-IPMT(Summary!$D$42/12,G6-JuniorIO,Summary!$D$47*12,Summary!$D$37,0)))</f>
        <v>0</v>
      </c>
      <c r="H26" s="183">
        <f>-IF(OR(H6&gt;HoldPeriod,H6&gt;RefiMonth),0,IF(OR(Summary!$D$47=0,H6&lt;=JuniorIO),H23*Summary!$D$42/12,-IPMT(Summary!$D$42/12,H6-JuniorIO,Summary!$D$47*12,Summary!$D$37,0)))</f>
        <v>0</v>
      </c>
      <c r="I26" s="183">
        <f>-IF(OR(I6&gt;HoldPeriod,I6&gt;RefiMonth),0,IF(OR(Summary!$D$47=0,I6&lt;=JuniorIO),I23*Summary!$D$42/12,-IPMT(Summary!$D$42/12,I6-JuniorIO,Summary!$D$47*12,Summary!$D$37,0)))</f>
        <v>0</v>
      </c>
      <c r="J26" s="183">
        <f>-IF(OR(J6&gt;HoldPeriod,J6&gt;RefiMonth),0,IF(OR(Summary!$D$47=0,J6&lt;=JuniorIO),J23*Summary!$D$42/12,-IPMT(Summary!$D$42/12,J6-JuniorIO,Summary!$D$47*12,Summary!$D$37,0)))</f>
        <v>0</v>
      </c>
      <c r="K26" s="183">
        <f>-IF(OR(K6&gt;HoldPeriod,K6&gt;RefiMonth),0,IF(OR(Summary!$D$47=0,K6&lt;=JuniorIO),K23*Summary!$D$42/12,-IPMT(Summary!$D$42/12,K6-JuniorIO,Summary!$D$47*12,Summary!$D$37,0)))</f>
        <v>0</v>
      </c>
      <c r="L26" s="183">
        <f>-IF(OR(L6&gt;HoldPeriod,L6&gt;RefiMonth),0,IF(OR(Summary!$D$47=0,L6&lt;=JuniorIO),L23*Summary!$D$42/12,-IPMT(Summary!$D$42/12,L6-JuniorIO,Summary!$D$47*12,Summary!$D$37,0)))</f>
        <v>0</v>
      </c>
      <c r="M26" s="183">
        <f>-IF(OR(M6&gt;HoldPeriod,M6&gt;RefiMonth),0,IF(OR(Summary!$D$47=0,M6&lt;=JuniorIO),M23*Summary!$D$42/12,-IPMT(Summary!$D$42/12,M6-JuniorIO,Summary!$D$47*12,Summary!$D$37,0)))</f>
        <v>0</v>
      </c>
      <c r="N26" s="183">
        <f>-IF(OR(N6&gt;HoldPeriod,N6&gt;RefiMonth),0,IF(OR(Summary!$D$47=0,N6&lt;=JuniorIO),N23*Summary!$D$42/12,-IPMT(Summary!$D$42/12,N6-JuniorIO,Summary!$D$47*12,Summary!$D$37,0)))</f>
        <v>0</v>
      </c>
      <c r="O26" s="183">
        <f>-IF(OR(O6&gt;HoldPeriod,O6&gt;RefiMonth),0,IF(OR(Summary!$D$47=0,O6&lt;=JuniorIO),O23*Summary!$D$42/12,-IPMT(Summary!$D$42/12,O6-JuniorIO,Summary!$D$47*12,Summary!$D$37,0)))</f>
        <v>0</v>
      </c>
      <c r="P26" s="183">
        <f>-IF(OR(P6&gt;HoldPeriod,P6&gt;RefiMonth),0,IF(OR(Summary!$D$47=0,P6&lt;=JuniorIO),P23*Summary!$D$42/12,-IPMT(Summary!$D$42/12,P6-JuniorIO,Summary!$D$47*12,Summary!$D$37,0)))</f>
        <v>0</v>
      </c>
      <c r="Q26" s="183">
        <f>-IF(OR(Q6&gt;HoldPeriod,Q6&gt;RefiMonth),0,IF(OR(Summary!$D$47=0,Q6&lt;=JuniorIO),Q23*Summary!$D$42/12,-IPMT(Summary!$D$42/12,Q6-JuniorIO,Summary!$D$47*12,Summary!$D$37,0)))</f>
        <v>0</v>
      </c>
      <c r="R26" s="183">
        <f>-IF(OR(R6&gt;HoldPeriod,R6&gt;RefiMonth),0,IF(OR(Summary!$D$47=0,R6&lt;=JuniorIO),R23*Summary!$D$42/12,-IPMT(Summary!$D$42/12,R6-JuniorIO,Summary!$D$47*12,Summary!$D$37,0)))</f>
        <v>0</v>
      </c>
      <c r="S26" s="183">
        <f>-IF(OR(S6&gt;HoldPeriod,S6&gt;RefiMonth),0,IF(OR(Summary!$D$47=0,S6&lt;=JuniorIO),S23*Summary!$D$42/12,-IPMT(Summary!$D$42/12,S6-JuniorIO,Summary!$D$47*12,Summary!$D$37,0)))</f>
        <v>0</v>
      </c>
      <c r="T26" s="183">
        <f>-IF(OR(T6&gt;HoldPeriod,T6&gt;RefiMonth),0,IF(OR(Summary!$D$47=0,T6&lt;=JuniorIO),T23*Summary!$D$42/12,-IPMT(Summary!$D$42/12,T6-JuniorIO,Summary!$D$47*12,Summary!$D$37,0)))</f>
        <v>0</v>
      </c>
      <c r="U26" s="183">
        <f>-IF(OR(U6&gt;HoldPeriod,U6&gt;RefiMonth),0,IF(OR(Summary!$D$47=0,U6&lt;=JuniorIO),U23*Summary!$D$42/12,-IPMT(Summary!$D$42/12,U6-JuniorIO,Summary!$D$47*12,Summary!$D$37,0)))</f>
        <v>0</v>
      </c>
      <c r="V26" s="183">
        <f>-IF(OR(V6&gt;HoldPeriod,V6&gt;RefiMonth),0,IF(OR(Summary!$D$47=0,V6&lt;=JuniorIO),V23*Summary!$D$42/12,-IPMT(Summary!$D$42/12,V6-JuniorIO,Summary!$D$47*12,Summary!$D$37,0)))</f>
        <v>0</v>
      </c>
      <c r="W26" s="183">
        <f>-IF(OR(W6&gt;HoldPeriod,W6&gt;RefiMonth),0,IF(OR(Summary!$D$47=0,W6&lt;=JuniorIO),W23*Summary!$D$42/12,-IPMT(Summary!$D$42/12,W6-JuniorIO,Summary!$D$47*12,Summary!$D$37,0)))</f>
        <v>0</v>
      </c>
      <c r="X26" s="183">
        <f>-IF(OR(X6&gt;HoldPeriod,X6&gt;RefiMonth),0,IF(OR(Summary!$D$47=0,X6&lt;=JuniorIO),X23*Summary!$D$42/12,-IPMT(Summary!$D$42/12,X6-JuniorIO,Summary!$D$47*12,Summary!$D$37,0)))</f>
        <v>0</v>
      </c>
      <c r="Y26" s="183">
        <f>-IF(OR(Y6&gt;HoldPeriod,Y6&gt;RefiMonth),0,IF(OR(Summary!$D$47=0,Y6&lt;=JuniorIO),Y23*Summary!$D$42/12,-IPMT(Summary!$D$42/12,Y6-JuniorIO,Summary!$D$47*12,Summary!$D$37,0)))</f>
        <v>0</v>
      </c>
      <c r="Z26" s="183">
        <f>-IF(OR(Z6&gt;HoldPeriod,Z6&gt;RefiMonth),0,IF(OR(Summary!$D$47=0,Z6&lt;=JuniorIO),Z23*Summary!$D$42/12,-IPMT(Summary!$D$42/12,Z6-JuniorIO,Summary!$D$47*12,Summary!$D$37,0)))</f>
        <v>0</v>
      </c>
      <c r="AA26" s="183">
        <f>-IF(OR(AA6&gt;HoldPeriod,AA6&gt;RefiMonth),0,IF(OR(Summary!$D$47=0,AA6&lt;=JuniorIO),AA23*Summary!$D$42/12,-IPMT(Summary!$D$42/12,AA6-JuniorIO,Summary!$D$47*12,Summary!$D$37,0)))</f>
        <v>0</v>
      </c>
      <c r="AB26" s="183">
        <f>-IF(OR(AB6&gt;HoldPeriod,AB6&gt;RefiMonth),0,IF(OR(Summary!$D$47=0,AB6&lt;=JuniorIO),AB23*Summary!$D$42/12,-IPMT(Summary!$D$42/12,AB6-JuniorIO,Summary!$D$47*12,Summary!$D$37,0)))</f>
        <v>0</v>
      </c>
      <c r="AC26" s="183">
        <f>-IF(OR(AC6&gt;HoldPeriod,AC6&gt;RefiMonth),0,IF(OR(Summary!$D$47=0,AC6&lt;=JuniorIO),AC23*Summary!$D$42/12,-IPMT(Summary!$D$42/12,AC6-JuniorIO,Summary!$D$47*12,Summary!$D$37,0)))</f>
        <v>0</v>
      </c>
      <c r="AD26" s="183">
        <f>-IF(OR(AD6&gt;HoldPeriod,AD6&gt;RefiMonth),0,IF(OR(Summary!$D$47=0,AD6&lt;=JuniorIO),AD23*Summary!$D$42/12,-IPMT(Summary!$D$42/12,AD6-JuniorIO,Summary!$D$47*12,Summary!$D$37,0)))</f>
        <v>0</v>
      </c>
      <c r="AE26" s="183">
        <f>-IF(OR(AE6&gt;HoldPeriod,AE6&gt;RefiMonth),0,IF(OR(Summary!$D$47=0,AE6&lt;=JuniorIO),AE23*Summary!$D$42/12,-IPMT(Summary!$D$42/12,AE6-JuniorIO,Summary!$D$47*12,Summary!$D$37,0)))</f>
        <v>0</v>
      </c>
      <c r="AF26" s="183">
        <f>-IF(OR(AF6&gt;HoldPeriod,AF6&gt;RefiMonth),0,IF(OR(Summary!$D$47=0,AF6&lt;=JuniorIO),AF23*Summary!$D$42/12,-IPMT(Summary!$D$42/12,AF6-JuniorIO,Summary!$D$47*12,Summary!$D$37,0)))</f>
        <v>0</v>
      </c>
      <c r="AG26" s="183">
        <f>-IF(OR(AG6&gt;HoldPeriod,AG6&gt;RefiMonth),0,IF(OR(Summary!$D$47=0,AG6&lt;=JuniorIO),AG23*Summary!$D$42/12,-IPMT(Summary!$D$42/12,AG6-JuniorIO,Summary!$D$47*12,Summary!$D$37,0)))</f>
        <v>0</v>
      </c>
      <c r="AH26" s="183">
        <f>-IF(OR(AH6&gt;HoldPeriod,AH6&gt;RefiMonth),0,IF(OR(Summary!$D$47=0,AH6&lt;=JuniorIO),AH23*Summary!$D$42/12,-IPMT(Summary!$D$42/12,AH6-JuniorIO,Summary!$D$47*12,Summary!$D$37,0)))</f>
        <v>0</v>
      </c>
      <c r="AI26" s="183">
        <f>-IF(OR(AI6&gt;HoldPeriod,AI6&gt;RefiMonth),0,IF(OR(Summary!$D$47=0,AI6&lt;=JuniorIO),AI23*Summary!$D$42/12,-IPMT(Summary!$D$42/12,AI6-JuniorIO,Summary!$D$47*12,Summary!$D$37,0)))</f>
        <v>0</v>
      </c>
      <c r="AJ26" s="183">
        <f>-IF(OR(AJ6&gt;HoldPeriod,AJ6&gt;RefiMonth),0,IF(OR(Summary!$D$47=0,AJ6&lt;=JuniorIO),AJ23*Summary!$D$42/12,-IPMT(Summary!$D$42/12,AJ6-JuniorIO,Summary!$D$47*12,Summary!$D$37,0)))</f>
        <v>0</v>
      </c>
      <c r="AK26" s="183">
        <f>-IF(OR(AK6&gt;HoldPeriod,AK6&gt;RefiMonth),0,IF(OR(Summary!$D$47=0,AK6&lt;=JuniorIO),AK23*Summary!$D$42/12,-IPMT(Summary!$D$42/12,AK6-JuniorIO,Summary!$D$47*12,Summary!$D$37,0)))</f>
        <v>0</v>
      </c>
      <c r="AL26" s="183">
        <f>-IF(OR(AL6&gt;HoldPeriod,AL6&gt;RefiMonth),0,IF(OR(Summary!$D$47=0,AL6&lt;=JuniorIO),AL23*Summary!$D$42/12,-IPMT(Summary!$D$42/12,AL6-JuniorIO,Summary!$D$47*12,Summary!$D$37,0)))</f>
        <v>0</v>
      </c>
      <c r="AM26" s="183">
        <f>-IF(OR(AM6&gt;HoldPeriod,AM6&gt;RefiMonth),0,IF(OR(Summary!$D$47=0,AM6&lt;=JuniorIO),AM23*Summary!$D$42/12,-IPMT(Summary!$D$42/12,AM6-JuniorIO,Summary!$D$47*12,Summary!$D$37,0)))</f>
        <v>0</v>
      </c>
      <c r="AN26" s="183">
        <f>-IF(OR(AN6&gt;HoldPeriod,AN6&gt;RefiMonth),0,IF(OR(Summary!$D$47=0,AN6&lt;=JuniorIO),AN23*Summary!$D$42/12,-IPMT(Summary!$D$42/12,AN6-JuniorIO,Summary!$D$47*12,Summary!$D$37,0)))</f>
        <v>0</v>
      </c>
      <c r="AO26" s="183">
        <f>-IF(OR(AO6&gt;HoldPeriod,AO6&gt;RefiMonth),0,IF(OR(Summary!$D$47=0,AO6&lt;=JuniorIO),AO23*Summary!$D$42/12,-IPMT(Summary!$D$42/12,AO6-JuniorIO,Summary!$D$47*12,Summary!$D$37,0)))</f>
        <v>0</v>
      </c>
      <c r="AP26" s="183">
        <f>-IF(OR(AP6&gt;HoldPeriod,AP6&gt;RefiMonth),0,IF(OR(Summary!$D$47=0,AP6&lt;=JuniorIO),AP23*Summary!$D$42/12,-IPMT(Summary!$D$42/12,AP6-JuniorIO,Summary!$D$47*12,Summary!$D$37,0)))</f>
        <v>0</v>
      </c>
      <c r="AQ26" s="183">
        <f>-IF(OR(AQ6&gt;HoldPeriod,AQ6&gt;RefiMonth),0,IF(OR(Summary!$D$47=0,AQ6&lt;=JuniorIO),AQ23*Summary!$D$42/12,-IPMT(Summary!$D$42/12,AQ6-JuniorIO,Summary!$D$47*12,Summary!$D$37,0)))</f>
        <v>0</v>
      </c>
      <c r="AR26" s="183">
        <f>-IF(OR(AR6&gt;HoldPeriod,AR6&gt;RefiMonth),0,IF(OR(Summary!$D$47=0,AR6&lt;=JuniorIO),AR23*Summary!$D$42/12,-IPMT(Summary!$D$42/12,AR6-JuniorIO,Summary!$D$47*12,Summary!$D$37,0)))</f>
        <v>0</v>
      </c>
      <c r="AS26" s="183">
        <f>-IF(OR(AS6&gt;HoldPeriod,AS6&gt;RefiMonth),0,IF(OR(Summary!$D$47=0,AS6&lt;=JuniorIO),AS23*Summary!$D$42/12,-IPMT(Summary!$D$42/12,AS6-JuniorIO,Summary!$D$47*12,Summary!$D$37,0)))</f>
        <v>0</v>
      </c>
      <c r="AT26" s="183">
        <f>-IF(OR(AT6&gt;HoldPeriod,AT6&gt;RefiMonth),0,IF(OR(Summary!$D$47=0,AT6&lt;=JuniorIO),AT23*Summary!$D$42/12,-IPMT(Summary!$D$42/12,AT6-JuniorIO,Summary!$D$47*12,Summary!$D$37,0)))</f>
        <v>0</v>
      </c>
      <c r="AU26" s="183">
        <f>-IF(OR(AU6&gt;HoldPeriod,AU6&gt;RefiMonth),0,IF(OR(Summary!$D$47=0,AU6&lt;=JuniorIO),AU23*Summary!$D$42/12,-IPMT(Summary!$D$42/12,AU6-JuniorIO,Summary!$D$47*12,Summary!$D$37,0)))</f>
        <v>0</v>
      </c>
      <c r="AV26" s="183">
        <f>-IF(OR(AV6&gt;HoldPeriod,AV6&gt;RefiMonth),0,IF(OR(Summary!$D$47=0,AV6&lt;=JuniorIO),AV23*Summary!$D$42/12,-IPMT(Summary!$D$42/12,AV6-JuniorIO,Summary!$D$47*12,Summary!$D$37,0)))</f>
        <v>0</v>
      </c>
      <c r="AW26" s="183">
        <f>-IF(OR(AW6&gt;HoldPeriod,AW6&gt;RefiMonth),0,IF(OR(Summary!$D$47=0,AW6&lt;=JuniorIO),AW23*Summary!$D$42/12,-IPMT(Summary!$D$42/12,AW6-JuniorIO,Summary!$D$47*12,Summary!$D$37,0)))</f>
        <v>0</v>
      </c>
      <c r="AX26" s="183">
        <f>-IF(OR(AX6&gt;HoldPeriod,AX6&gt;RefiMonth),0,IF(OR(Summary!$D$47=0,AX6&lt;=JuniorIO),AX23*Summary!$D$42/12,-IPMT(Summary!$D$42/12,AX6-JuniorIO,Summary!$D$47*12,Summary!$D$37,0)))</f>
        <v>0</v>
      </c>
      <c r="AY26" s="183">
        <f>-IF(OR(AY6&gt;HoldPeriod,AY6&gt;RefiMonth),0,IF(OR(Summary!$D$47=0,AY6&lt;=JuniorIO),AY23*Summary!$D$42/12,-IPMT(Summary!$D$42/12,AY6-JuniorIO,Summary!$D$47*12,Summary!$D$37,0)))</f>
        <v>0</v>
      </c>
      <c r="AZ26" s="183">
        <f>-IF(OR(AZ6&gt;HoldPeriod,AZ6&gt;RefiMonth),0,IF(OR(Summary!$D$47=0,AZ6&lt;=JuniorIO),AZ23*Summary!$D$42/12,-IPMT(Summary!$D$42/12,AZ6-JuniorIO,Summary!$D$47*12,Summary!$D$37,0)))</f>
        <v>0</v>
      </c>
      <c r="BA26" s="183">
        <f>-IF(OR(BA6&gt;HoldPeriod,BA6&gt;RefiMonth),0,IF(OR(Summary!$D$47=0,BA6&lt;=JuniorIO),BA23*Summary!$D$42/12,-IPMT(Summary!$D$42/12,BA6-JuniorIO,Summary!$D$47*12,Summary!$D$37,0)))</f>
        <v>0</v>
      </c>
      <c r="BB26" s="183">
        <f>-IF(OR(BB6&gt;HoldPeriod,BB6&gt;RefiMonth),0,IF(OR(Summary!$D$47=0,BB6&lt;=JuniorIO),BB23*Summary!$D$42/12,-IPMT(Summary!$D$42/12,BB6-JuniorIO,Summary!$D$47*12,Summary!$D$37,0)))</f>
        <v>0</v>
      </c>
      <c r="BC26" s="183">
        <f>-IF(OR(BC6&gt;HoldPeriod,BC6&gt;RefiMonth),0,IF(OR(Summary!$D$47=0,BC6&lt;=JuniorIO),BC23*Summary!$D$42/12,-IPMT(Summary!$D$42/12,BC6-JuniorIO,Summary!$D$47*12,Summary!$D$37,0)))</f>
        <v>0</v>
      </c>
      <c r="BD26" s="183">
        <f>-IF(OR(BD6&gt;HoldPeriod,BD6&gt;RefiMonth),0,IF(OR(Summary!$D$47=0,BD6&lt;=JuniorIO),BD23*Summary!$D$42/12,-IPMT(Summary!$D$42/12,BD6-JuniorIO,Summary!$D$47*12,Summary!$D$37,0)))</f>
        <v>0</v>
      </c>
      <c r="BE26" s="183">
        <f>-IF(OR(BE6&gt;HoldPeriod,BE6&gt;RefiMonth),0,IF(OR(Summary!$D$47=0,BE6&lt;=JuniorIO),BE23*Summary!$D$42/12,-IPMT(Summary!$D$42/12,BE6-JuniorIO,Summary!$D$47*12,Summary!$D$37,0)))</f>
        <v>0</v>
      </c>
      <c r="BF26" s="183">
        <f>-IF(OR(BF6&gt;HoldPeriod,BF6&gt;RefiMonth),0,IF(OR(Summary!$D$47=0,BF6&lt;=JuniorIO),BF23*Summary!$D$42/12,-IPMT(Summary!$D$42/12,BF6-JuniorIO,Summary!$D$47*12,Summary!$D$37,0)))</f>
        <v>0</v>
      </c>
      <c r="BG26" s="183">
        <f>-IF(OR(BG6&gt;HoldPeriod,BG6&gt;RefiMonth),0,IF(OR(Summary!$D$47=0,BG6&lt;=JuniorIO),BG23*Summary!$D$42/12,-IPMT(Summary!$D$42/12,BG6-JuniorIO,Summary!$D$47*12,Summary!$D$37,0)))</f>
        <v>0</v>
      </c>
      <c r="BH26" s="183">
        <f>-IF(OR(BH6&gt;HoldPeriod,BH6&gt;RefiMonth),0,IF(OR(Summary!$D$47=0,BH6&lt;=JuniorIO),BH23*Summary!$D$42/12,-IPMT(Summary!$D$42/12,BH6-JuniorIO,Summary!$D$47*12,Summary!$D$37,0)))</f>
        <v>0</v>
      </c>
      <c r="BI26" s="183">
        <f>-IF(OR(BI6&gt;HoldPeriod,BI6&gt;RefiMonth),0,IF(OR(Summary!$D$47=0,BI6&lt;=JuniorIO),BI23*Summary!$D$42/12,-IPMT(Summary!$D$42/12,BI6-JuniorIO,Summary!$D$47*12,Summary!$D$37,0)))</f>
        <v>0</v>
      </c>
      <c r="BJ26" s="183">
        <f>-IF(OR(BJ6&gt;HoldPeriod,BJ6&gt;RefiMonth),0,IF(OR(Summary!$D$47=0,BJ6&lt;=JuniorIO),BJ23*Summary!$D$42/12,-IPMT(Summary!$D$42/12,BJ6-JuniorIO,Summary!$D$47*12,Summary!$D$37,0)))</f>
        <v>0</v>
      </c>
      <c r="BK26" s="183">
        <f>-IF(OR(BK6&gt;HoldPeriod,BK6&gt;RefiMonth),0,IF(OR(Summary!$D$47=0,BK6&lt;=JuniorIO),BK23*Summary!$D$42/12,-IPMT(Summary!$D$42/12,BK6-JuniorIO,Summary!$D$47*12,Summary!$D$37,0)))</f>
        <v>0</v>
      </c>
      <c r="BL26" s="183">
        <f>-IF(OR(BL6&gt;HoldPeriod,BL6&gt;RefiMonth),0,IF(OR(Summary!$D$47=0,BL6&lt;=JuniorIO),BL23*Summary!$D$42/12,-IPMT(Summary!$D$42/12,BL6-JuniorIO,Summary!$D$47*12,Summary!$D$37,0)))</f>
        <v>0</v>
      </c>
      <c r="BM26" s="183">
        <f>-IF(OR(BM6&gt;HoldPeriod,BM6&gt;RefiMonth),0,IF(OR(Summary!$D$47=0,BM6&lt;=JuniorIO),BM23*Summary!$D$42/12,-IPMT(Summary!$D$42/12,BM6-JuniorIO,Summary!$D$47*12,Summary!$D$37,0)))</f>
        <v>0</v>
      </c>
      <c r="BN26" s="183">
        <f>-IF(OR(BN6&gt;HoldPeriod,BN6&gt;RefiMonth),0,IF(OR(Summary!$D$47=0,BN6&lt;=JuniorIO),BN23*Summary!$D$42/12,-IPMT(Summary!$D$42/12,BN6-JuniorIO,Summary!$D$47*12,Summary!$D$37,0)))</f>
        <v>0</v>
      </c>
      <c r="BO26" s="183">
        <f>-IF(OR(BO6&gt;HoldPeriod,BO6&gt;RefiMonth),0,IF(OR(Summary!$D$47=0,BO6&lt;=JuniorIO),BO23*Summary!$D$42/12,-IPMT(Summary!$D$42/12,BO6-JuniorIO,Summary!$D$47*12,Summary!$D$37,0)))</f>
        <v>0</v>
      </c>
      <c r="BP26" s="183">
        <f>-IF(OR(BP6&gt;HoldPeriod,BP6&gt;RefiMonth),0,IF(OR(Summary!$D$47=0,BP6&lt;=JuniorIO),BP23*Summary!$D$42/12,-IPMT(Summary!$D$42/12,BP6-JuniorIO,Summary!$D$47*12,Summary!$D$37,0)))</f>
        <v>0</v>
      </c>
      <c r="BQ26" s="183">
        <f>-IF(OR(BQ6&gt;HoldPeriod,BQ6&gt;RefiMonth),0,IF(OR(Summary!$D$47=0,BQ6&lt;=JuniorIO),BQ23*Summary!$D$42/12,-IPMT(Summary!$D$42/12,BQ6-JuniorIO,Summary!$D$47*12,Summary!$D$37,0)))</f>
        <v>0</v>
      </c>
      <c r="BR26" s="183">
        <f>-IF(OR(BR6&gt;HoldPeriod,BR6&gt;RefiMonth),0,IF(OR(Summary!$D$47=0,BR6&lt;=JuniorIO),BR23*Summary!$D$42/12,-IPMT(Summary!$D$42/12,BR6-JuniorIO,Summary!$D$47*12,Summary!$D$37,0)))</f>
        <v>0</v>
      </c>
      <c r="BS26" s="183">
        <f>-IF(OR(BS6&gt;HoldPeriod,BS6&gt;RefiMonth),0,IF(OR(Summary!$D$47=0,BS6&lt;=JuniorIO),BS23*Summary!$D$42/12,-IPMT(Summary!$D$42/12,BS6-JuniorIO,Summary!$D$47*12,Summary!$D$37,0)))</f>
        <v>0</v>
      </c>
      <c r="BT26" s="183">
        <f>-IF(OR(BT6&gt;HoldPeriod,BT6&gt;RefiMonth),0,IF(OR(Summary!$D$47=0,BT6&lt;=JuniorIO),BT23*Summary!$D$42/12,-IPMT(Summary!$D$42/12,BT6-JuniorIO,Summary!$D$47*12,Summary!$D$37,0)))</f>
        <v>0</v>
      </c>
      <c r="BU26" s="183">
        <f>-IF(OR(BU6&gt;HoldPeriod,BU6&gt;RefiMonth),0,IF(OR(Summary!$D$47=0,BU6&lt;=JuniorIO),BU23*Summary!$D$42/12,-IPMT(Summary!$D$42/12,BU6-JuniorIO,Summary!$D$47*12,Summary!$D$37,0)))</f>
        <v>0</v>
      </c>
      <c r="BV26" s="183">
        <f>-IF(OR(BV6&gt;HoldPeriod,BV6&gt;RefiMonth),0,IF(OR(Summary!$D$47=0,BV6&lt;=JuniorIO),BV23*Summary!$D$42/12,-IPMT(Summary!$D$42/12,BV6-JuniorIO,Summary!$D$47*12,Summary!$D$37,0)))</f>
        <v>0</v>
      </c>
      <c r="BW26" s="183">
        <f>-IF(OR(BW6&gt;HoldPeriod,BW6&gt;RefiMonth),0,IF(OR(Summary!$D$47=0,BW6&lt;=JuniorIO),BW23*Summary!$D$42/12,-IPMT(Summary!$D$42/12,BW6-JuniorIO,Summary!$D$47*12,Summary!$D$37,0)))</f>
        <v>0</v>
      </c>
      <c r="BX26" s="183">
        <f>-IF(OR(BX6&gt;HoldPeriod,BX6&gt;RefiMonth),0,IF(OR(Summary!$D$47=0,BX6&lt;=JuniorIO),BX23*Summary!$D$42/12,-IPMT(Summary!$D$42/12,BX6-JuniorIO,Summary!$D$47*12,Summary!$D$37,0)))</f>
        <v>0</v>
      </c>
      <c r="BY26" s="183">
        <f>-IF(OR(BY6&gt;HoldPeriod,BY6&gt;RefiMonth),0,IF(OR(Summary!$D$47=0,BY6&lt;=JuniorIO),BY23*Summary!$D$42/12,-IPMT(Summary!$D$42/12,BY6-JuniorIO,Summary!$D$47*12,Summary!$D$37,0)))</f>
        <v>0</v>
      </c>
      <c r="BZ26" s="183">
        <f>-IF(OR(BZ6&gt;HoldPeriod,BZ6&gt;RefiMonth),0,IF(OR(Summary!$D$47=0,BZ6&lt;=JuniorIO),BZ23*Summary!$D$42/12,-IPMT(Summary!$D$42/12,BZ6-JuniorIO,Summary!$D$47*12,Summary!$D$37,0)))</f>
        <v>0</v>
      </c>
      <c r="CA26" s="183">
        <f>-IF(OR(CA6&gt;HoldPeriod,CA6&gt;RefiMonth),0,IF(OR(Summary!$D$47=0,CA6&lt;=JuniorIO),CA23*Summary!$D$42/12,-IPMT(Summary!$D$42/12,CA6-JuniorIO,Summary!$D$47*12,Summary!$D$37,0)))</f>
        <v>0</v>
      </c>
      <c r="CB26" s="183">
        <f>-IF(OR(CB6&gt;HoldPeriod,CB6&gt;RefiMonth),0,IF(OR(Summary!$D$47=0,CB6&lt;=JuniorIO),CB23*Summary!$D$42/12,-IPMT(Summary!$D$42/12,CB6-JuniorIO,Summary!$D$47*12,Summary!$D$37,0)))</f>
        <v>0</v>
      </c>
      <c r="CC26" s="183">
        <f>-IF(OR(CC6&gt;HoldPeriod,CC6&gt;RefiMonth),0,IF(OR(Summary!$D$47=0,CC6&lt;=JuniorIO),CC23*Summary!$D$42/12,-IPMT(Summary!$D$42/12,CC6-JuniorIO,Summary!$D$47*12,Summary!$D$37,0)))</f>
        <v>0</v>
      </c>
      <c r="CD26" s="183">
        <f>-IF(OR(CD6&gt;HoldPeriod,CD6&gt;RefiMonth),0,IF(OR(Summary!$D$47=0,CD6&lt;=JuniorIO),CD23*Summary!$D$42/12,-IPMT(Summary!$D$42/12,CD6-JuniorIO,Summary!$D$47*12,Summary!$D$37,0)))</f>
        <v>0</v>
      </c>
      <c r="CE26" s="183">
        <f>-IF(OR(CE6&gt;HoldPeriod,CE6&gt;RefiMonth),0,IF(OR(Summary!$D$47=0,CE6&lt;=JuniorIO),CE23*Summary!$D$42/12,-IPMT(Summary!$D$42/12,CE6-JuniorIO,Summary!$D$47*12,Summary!$D$37,0)))</f>
        <v>0</v>
      </c>
      <c r="CF26" s="183">
        <f>-IF(OR(CF6&gt;HoldPeriod,CF6&gt;RefiMonth),0,IF(OR(Summary!$D$47=0,CF6&lt;=JuniorIO),CF23*Summary!$D$42/12,-IPMT(Summary!$D$42/12,CF6-JuniorIO,Summary!$D$47*12,Summary!$D$37,0)))</f>
        <v>0</v>
      </c>
      <c r="CG26" s="183">
        <f>-IF(OR(CG6&gt;HoldPeriod,CG6&gt;RefiMonth),0,IF(OR(Summary!$D$47=0,CG6&lt;=JuniorIO),CG23*Summary!$D$42/12,-IPMT(Summary!$D$42/12,CG6-JuniorIO,Summary!$D$47*12,Summary!$D$37,0)))</f>
        <v>0</v>
      </c>
      <c r="CH26" s="183">
        <f>-IF(OR(CH6&gt;HoldPeriod,CH6&gt;RefiMonth),0,IF(OR(Summary!$D$47=0,CH6&lt;=JuniorIO),CH23*Summary!$D$42/12,-IPMT(Summary!$D$42/12,CH6-JuniorIO,Summary!$D$47*12,Summary!$D$37,0)))</f>
        <v>0</v>
      </c>
      <c r="CI26" s="183">
        <f>-IF(OR(CI6&gt;HoldPeriod,CI6&gt;RefiMonth),0,IF(OR(Summary!$D$47=0,CI6&lt;=JuniorIO),CI23*Summary!$D$42/12,-IPMT(Summary!$D$42/12,CI6-JuniorIO,Summary!$D$47*12,Summary!$D$37,0)))</f>
        <v>0</v>
      </c>
      <c r="CJ26" s="183">
        <f>-IF(OR(CJ6&gt;HoldPeriod,CJ6&gt;RefiMonth),0,IF(OR(Summary!$D$47=0,CJ6&lt;=JuniorIO),CJ23*Summary!$D$42/12,-IPMT(Summary!$D$42/12,CJ6-JuniorIO,Summary!$D$47*12,Summary!$D$37,0)))</f>
        <v>0</v>
      </c>
      <c r="CK26" s="183">
        <f>-IF(OR(CK6&gt;HoldPeriod,CK6&gt;RefiMonth),0,IF(OR(Summary!$D$47=0,CK6&lt;=JuniorIO),CK23*Summary!$D$42/12,-IPMT(Summary!$D$42/12,CK6-JuniorIO,Summary!$D$47*12,Summary!$D$37,0)))</f>
        <v>0</v>
      </c>
      <c r="CL26" s="183">
        <f>-IF(OR(CL6&gt;HoldPeriod,CL6&gt;RefiMonth),0,IF(OR(Summary!$D$47=0,CL6&lt;=JuniorIO),CL23*Summary!$D$42/12,-IPMT(Summary!$D$42/12,CL6-JuniorIO,Summary!$D$47*12,Summary!$D$37,0)))</f>
        <v>0</v>
      </c>
      <c r="CM26" s="183">
        <f>-IF(OR(CM6&gt;HoldPeriod,CM6&gt;RefiMonth),0,IF(OR(Summary!$D$47=0,CM6&lt;=JuniorIO),CM23*Summary!$D$42/12,-IPMT(Summary!$D$42/12,CM6-JuniorIO,Summary!$D$47*12,Summary!$D$37,0)))</f>
        <v>0</v>
      </c>
      <c r="CN26" s="183">
        <f>-IF(OR(CN6&gt;HoldPeriod,CN6&gt;RefiMonth),0,IF(OR(Summary!$D$47=0,CN6&lt;=JuniorIO),CN23*Summary!$D$42/12,-IPMT(Summary!$D$42/12,CN6-JuniorIO,Summary!$D$47*12,Summary!$D$37,0)))</f>
        <v>0</v>
      </c>
      <c r="CO26" s="183">
        <f>-IF(OR(CO6&gt;HoldPeriod,CO6&gt;RefiMonth),0,IF(OR(Summary!$D$47=0,CO6&lt;=JuniorIO),CO23*Summary!$D$42/12,-IPMT(Summary!$D$42/12,CO6-JuniorIO,Summary!$D$47*12,Summary!$D$37,0)))</f>
        <v>0</v>
      </c>
      <c r="CP26" s="183">
        <f>-IF(OR(CP6&gt;HoldPeriod,CP6&gt;RefiMonth),0,IF(OR(Summary!$D$47=0,CP6&lt;=JuniorIO),CP23*Summary!$D$42/12,-IPMT(Summary!$D$42/12,CP6-JuniorIO,Summary!$D$47*12,Summary!$D$37,0)))</f>
        <v>0</v>
      </c>
      <c r="CQ26" s="183">
        <f>-IF(OR(CQ6&gt;HoldPeriod,CQ6&gt;RefiMonth),0,IF(OR(Summary!$D$47=0,CQ6&lt;=JuniorIO),CQ23*Summary!$D$42/12,-IPMT(Summary!$D$42/12,CQ6-JuniorIO,Summary!$D$47*12,Summary!$D$37,0)))</f>
        <v>0</v>
      </c>
      <c r="CR26" s="183">
        <f>-IF(OR(CR6&gt;HoldPeriod,CR6&gt;RefiMonth),0,IF(OR(Summary!$D$47=0,CR6&lt;=JuniorIO),CR23*Summary!$D$42/12,-IPMT(Summary!$D$42/12,CR6-JuniorIO,Summary!$D$47*12,Summary!$D$37,0)))</f>
        <v>0</v>
      </c>
      <c r="CS26" s="183">
        <f>-IF(OR(CS6&gt;HoldPeriod,CS6&gt;RefiMonth),0,IF(OR(Summary!$D$47=0,CS6&lt;=JuniorIO),CS23*Summary!$D$42/12,-IPMT(Summary!$D$42/12,CS6-JuniorIO,Summary!$D$47*12,Summary!$D$37,0)))</f>
        <v>0</v>
      </c>
      <c r="CT26" s="183">
        <f>-IF(OR(CT6&gt;HoldPeriod,CT6&gt;RefiMonth),0,IF(OR(Summary!$D$47=0,CT6&lt;=JuniorIO),CT23*Summary!$D$42/12,-IPMT(Summary!$D$42/12,CT6-JuniorIO,Summary!$D$47*12,Summary!$D$37,0)))</f>
        <v>0</v>
      </c>
      <c r="CU26" s="183">
        <f>-IF(OR(CU6&gt;HoldPeriod,CU6&gt;RefiMonth),0,IF(OR(Summary!$D$47=0,CU6&lt;=JuniorIO),CU23*Summary!$D$42/12,-IPMT(Summary!$D$42/12,CU6-JuniorIO,Summary!$D$47*12,Summary!$D$37,0)))</f>
        <v>0</v>
      </c>
      <c r="CV26" s="183">
        <f>-IF(OR(CV6&gt;HoldPeriod,CV6&gt;RefiMonth),0,IF(OR(Summary!$D$47=0,CV6&lt;=JuniorIO),CV23*Summary!$D$42/12,-IPMT(Summary!$D$42/12,CV6-JuniorIO,Summary!$D$47*12,Summary!$D$37,0)))</f>
        <v>0</v>
      </c>
      <c r="CW26" s="183">
        <f>-IF(OR(CW6&gt;HoldPeriod,CW6&gt;RefiMonth),0,IF(OR(Summary!$D$47=0,CW6&lt;=JuniorIO),CW23*Summary!$D$42/12,-IPMT(Summary!$D$42/12,CW6-JuniorIO,Summary!$D$47*12,Summary!$D$37,0)))</f>
        <v>0</v>
      </c>
      <c r="CX26" s="183">
        <f>-IF(OR(CX6&gt;HoldPeriod,CX6&gt;RefiMonth),0,IF(OR(Summary!$D$47=0,CX6&lt;=JuniorIO),CX23*Summary!$D$42/12,-IPMT(Summary!$D$42/12,CX6-JuniorIO,Summary!$D$47*12,Summary!$D$37,0)))</f>
        <v>0</v>
      </c>
      <c r="CY26" s="183">
        <f>-IF(OR(CY6&gt;HoldPeriod,CY6&gt;RefiMonth),0,IF(OR(Summary!$D$47=0,CY6&lt;=JuniorIO),CY23*Summary!$D$42/12,-IPMT(Summary!$D$42/12,CY6-JuniorIO,Summary!$D$47*12,Summary!$D$37,0)))</f>
        <v>0</v>
      </c>
      <c r="CZ26" s="183">
        <f>-IF(OR(CZ6&gt;HoldPeriod,CZ6&gt;RefiMonth),0,IF(OR(Summary!$D$47=0,CZ6&lt;=JuniorIO),CZ23*Summary!$D$42/12,-IPMT(Summary!$D$42/12,CZ6-JuniorIO,Summary!$D$47*12,Summary!$D$37,0)))</f>
        <v>0</v>
      </c>
      <c r="DA26" s="183">
        <f>-IF(OR(DA6&gt;HoldPeriod,DA6&gt;RefiMonth),0,IF(OR(Summary!$D$47=0,DA6&lt;=JuniorIO),DA23*Summary!$D$42/12,-IPMT(Summary!$D$42/12,DA6-JuniorIO,Summary!$D$47*12,Summary!$D$37,0)))</f>
        <v>0</v>
      </c>
      <c r="DB26" s="183">
        <f>-IF(OR(DB6&gt;HoldPeriod,DB6&gt;RefiMonth),0,IF(OR(Summary!$D$47=0,DB6&lt;=JuniorIO),DB23*Summary!$D$42/12,-IPMT(Summary!$D$42/12,DB6-JuniorIO,Summary!$D$47*12,Summary!$D$37,0)))</f>
        <v>0</v>
      </c>
      <c r="DC26" s="183">
        <f>-IF(OR(DC6&gt;HoldPeriod,DC6&gt;RefiMonth),0,IF(OR(Summary!$D$47=0,DC6&lt;=JuniorIO),DC23*Summary!$D$42/12,-IPMT(Summary!$D$42/12,DC6-JuniorIO,Summary!$D$47*12,Summary!$D$37,0)))</f>
        <v>0</v>
      </c>
      <c r="DD26" s="183">
        <f>-IF(OR(DD6&gt;HoldPeriod,DD6&gt;RefiMonth),0,IF(OR(Summary!$D$47=0,DD6&lt;=JuniorIO),DD23*Summary!$D$42/12,-IPMT(Summary!$D$42/12,DD6-JuniorIO,Summary!$D$47*12,Summary!$D$37,0)))</f>
        <v>0</v>
      </c>
      <c r="DE26" s="183">
        <f>-IF(OR(DE6&gt;HoldPeriod,DE6&gt;RefiMonth),0,IF(OR(Summary!$D$47=0,DE6&lt;=JuniorIO),DE23*Summary!$D$42/12,-IPMT(Summary!$D$42/12,DE6-JuniorIO,Summary!$D$47*12,Summary!$D$37,0)))</f>
        <v>0</v>
      </c>
      <c r="DF26" s="183">
        <f>-IF(OR(DF6&gt;HoldPeriod,DF6&gt;RefiMonth),0,IF(OR(Summary!$D$47=0,DF6&lt;=JuniorIO),DF23*Summary!$D$42/12,-IPMT(Summary!$D$42/12,DF6-JuniorIO,Summary!$D$47*12,Summary!$D$37,0)))</f>
        <v>0</v>
      </c>
      <c r="DG26" s="183">
        <f>-IF(OR(DG6&gt;HoldPeriod,DG6&gt;RefiMonth),0,IF(OR(Summary!$D$47=0,DG6&lt;=JuniorIO),DG23*Summary!$D$42/12,-IPMT(Summary!$D$42/12,DG6-JuniorIO,Summary!$D$47*12,Summary!$D$37,0)))</f>
        <v>0</v>
      </c>
      <c r="DH26" s="183">
        <f>-IF(OR(DH6&gt;HoldPeriod,DH6&gt;RefiMonth),0,IF(OR(Summary!$D$47=0,DH6&lt;=JuniorIO),DH23*Summary!$D$42/12,-IPMT(Summary!$D$42/12,DH6-JuniorIO,Summary!$D$47*12,Summary!$D$37,0)))</f>
        <v>0</v>
      </c>
      <c r="DI26" s="183">
        <f>-IF(OR(DI6&gt;HoldPeriod,DI6&gt;RefiMonth),0,IF(OR(Summary!$D$47=0,DI6&lt;=JuniorIO),DI23*Summary!$D$42/12,-IPMT(Summary!$D$42/12,DI6-JuniorIO,Summary!$D$47*12,Summary!$D$37,0)))</f>
        <v>0</v>
      </c>
      <c r="DJ26" s="183">
        <f>-IF(OR(DJ6&gt;HoldPeriod,DJ6&gt;RefiMonth),0,IF(OR(Summary!$D$47=0,DJ6&lt;=JuniorIO),DJ23*Summary!$D$42/12,-IPMT(Summary!$D$42/12,DJ6-JuniorIO,Summary!$D$47*12,Summary!$D$37,0)))</f>
        <v>0</v>
      </c>
      <c r="DK26" s="183">
        <f>-IF(OR(DK6&gt;HoldPeriod,DK6&gt;RefiMonth),0,IF(OR(Summary!$D$47=0,DK6&lt;=JuniorIO),DK23*Summary!$D$42/12,-IPMT(Summary!$D$42/12,DK6-JuniorIO,Summary!$D$47*12,Summary!$D$37,0)))</f>
        <v>0</v>
      </c>
      <c r="DL26" s="183">
        <f>-IF(OR(DL6&gt;HoldPeriod,DL6&gt;RefiMonth),0,IF(OR(Summary!$D$47=0,DL6&lt;=JuniorIO),DL23*Summary!$D$42/12,-IPMT(Summary!$D$42/12,DL6-JuniorIO,Summary!$D$47*12,Summary!$D$37,0)))</f>
        <v>0</v>
      </c>
      <c r="DM26" s="183">
        <f>-IF(OR(DM6&gt;HoldPeriod,DM6&gt;RefiMonth),0,IF(OR(Summary!$D$47=0,DM6&lt;=JuniorIO),DM23*Summary!$D$42/12,-IPMT(Summary!$D$42/12,DM6-JuniorIO,Summary!$D$47*12,Summary!$D$37,0)))</f>
        <v>0</v>
      </c>
      <c r="DN26" s="183">
        <f>-IF(OR(DN6&gt;HoldPeriod,DN6&gt;RefiMonth),0,IF(OR(Summary!$D$47=0,DN6&lt;=JuniorIO),DN23*Summary!$D$42/12,-IPMT(Summary!$D$42/12,DN6-JuniorIO,Summary!$D$47*12,Summary!$D$37,0)))</f>
        <v>0</v>
      </c>
      <c r="DO26" s="183">
        <f>-IF(OR(DO6&gt;HoldPeriod,DO6&gt;RefiMonth),0,IF(OR(Summary!$D$47=0,DO6&lt;=JuniorIO),DO23*Summary!$D$42/12,-IPMT(Summary!$D$42/12,DO6-JuniorIO,Summary!$D$47*12,Summary!$D$37,0)))</f>
        <v>0</v>
      </c>
      <c r="DP26" s="183">
        <f>-IF(OR(DP6&gt;HoldPeriod,DP6&gt;RefiMonth),0,IF(OR(Summary!$D$47=0,DP6&lt;=JuniorIO),DP23*Summary!$D$42/12,-IPMT(Summary!$D$42/12,DP6-JuniorIO,Summary!$D$47*12,Summary!$D$37,0)))</f>
        <v>0</v>
      </c>
      <c r="DQ26" s="183">
        <f>-IF(OR(DQ6&gt;HoldPeriod,DQ6&gt;RefiMonth),0,IF(OR(Summary!$D$47=0,DQ6&lt;=JuniorIO),DQ23*Summary!$D$42/12,-IPMT(Summary!$D$42/12,DQ6-JuniorIO,Summary!$D$47*12,Summary!$D$37,0)))</f>
        <v>0</v>
      </c>
      <c r="DR26" s="183">
        <f>-IF(OR(DR6&gt;HoldPeriod,DR6&gt;RefiMonth),0,IF(OR(Summary!$D$47=0,DR6&lt;=JuniorIO),DR23*Summary!$D$42/12,-IPMT(Summary!$D$42/12,DR6-JuniorIO,Summary!$D$47*12,Summary!$D$37,0)))</f>
        <v>0</v>
      </c>
      <c r="DS26" s="183">
        <f>-IF(OR(DS6&gt;HoldPeriod,DS6&gt;RefiMonth),0,IF(OR(Summary!$D$47=0,DS6&lt;=JuniorIO),DS23*Summary!$D$42/12,-IPMT(Summary!$D$42/12,DS6-JuniorIO,Summary!$D$47*12,Summary!$D$37,0)))</f>
        <v>0</v>
      </c>
      <c r="DT26" s="183">
        <f>-IF(OR(DT6&gt;HoldPeriod,DT6&gt;RefiMonth),0,IF(OR(Summary!$D$47=0,DT6&lt;=JuniorIO),DT23*Summary!$D$42/12,-IPMT(Summary!$D$42/12,DT6-JuniorIO,Summary!$D$47*12,Summary!$D$37,0)))</f>
        <v>0</v>
      </c>
      <c r="DU26" s="183">
        <f>-IF(OR(DU6&gt;HoldPeriod,DU6&gt;RefiMonth),0,IF(OR(Summary!$D$47=0,DU6&lt;=JuniorIO),DU23*Summary!$D$42/12,-IPMT(Summary!$D$42/12,DU6-JuniorIO,Summary!$D$47*12,Summary!$D$37,0)))</f>
        <v>0</v>
      </c>
      <c r="DV26" s="183">
        <f>-IF(OR(DV6&gt;HoldPeriod,DV6&gt;RefiMonth),0,IF(OR(Summary!$D$47=0,DV6&lt;=JuniorIO),DV23*Summary!$D$42/12,-IPMT(Summary!$D$42/12,DV6-JuniorIO,Summary!$D$47*12,Summary!$D$37,0)))</f>
        <v>0</v>
      </c>
      <c r="DW26" s="183">
        <f>-IF(OR(DW6&gt;HoldPeriod,DW6&gt;RefiMonth),0,IF(OR(Summary!$D$47=0,DW6&lt;=JuniorIO),DW23*Summary!$D$42/12,-IPMT(Summary!$D$42/12,DW6-JuniorIO,Summary!$D$47*12,Summary!$D$37,0)))</f>
        <v>0</v>
      </c>
      <c r="DX26" s="183">
        <f>-IF(OR(DX6&gt;HoldPeriod,DX6&gt;RefiMonth),0,IF(OR(Summary!$D$47=0,DX6&lt;=JuniorIO),DX23*Summary!$D$42/12,-IPMT(Summary!$D$42/12,DX6-JuniorIO,Summary!$D$47*12,Summary!$D$37,0)))</f>
        <v>0</v>
      </c>
      <c r="DY26" s="183">
        <f>-IF(OR(DY6&gt;HoldPeriod,DY6&gt;RefiMonth),0,IF(OR(Summary!$D$47=0,DY6&lt;=JuniorIO),DY23*Summary!$D$42/12,-IPMT(Summary!$D$42/12,DY6-JuniorIO,Summary!$D$47*12,Summary!$D$37,0)))</f>
        <v>0</v>
      </c>
      <c r="DZ26" s="183">
        <f>-IF(OR(DZ6&gt;HoldPeriod,DZ6&gt;RefiMonth),0,IF(OR(Summary!$D$47=0,DZ6&lt;=JuniorIO),DZ23*Summary!$D$42/12,-IPMT(Summary!$D$42/12,DZ6-JuniorIO,Summary!$D$47*12,Summary!$D$37,0)))</f>
        <v>0</v>
      </c>
      <c r="EA26" s="183">
        <f>-IF(OR(EA6&gt;HoldPeriod,EA6&gt;RefiMonth),0,IF(OR(Summary!$D$47=0,EA6&lt;=JuniorIO),EA23*Summary!$D$42/12,-IPMT(Summary!$D$42/12,EA6-JuniorIO,Summary!$D$47*12,Summary!$D$37,0)))</f>
        <v>0</v>
      </c>
      <c r="EB26" s="183">
        <f>-IF(OR(EB6&gt;HoldPeriod,EB6&gt;RefiMonth),0,IF(OR(Summary!$D$47=0,EB6&lt;=JuniorIO),EB23*Summary!$D$42/12,-IPMT(Summary!$D$42/12,EB6-JuniorIO,Summary!$D$47*12,Summary!$D$37,0)))</f>
        <v>0</v>
      </c>
      <c r="EC26" s="183">
        <f>-IF(OR(EC6&gt;HoldPeriod,EC6&gt;RefiMonth),0,IF(OR(Summary!$D$47=0,EC6&lt;=JuniorIO),EC23*Summary!$D$42/12,-IPMT(Summary!$D$42/12,EC6-JuniorIO,Summary!$D$47*12,Summary!$D$37,0)))</f>
        <v>0</v>
      </c>
      <c r="ED26" s="183">
        <f>-IF(OR(ED6&gt;HoldPeriod,ED6&gt;RefiMonth),0,IF(OR(Summary!$D$47=0,ED6&lt;=JuniorIO),ED23*Summary!$D$42/12,-IPMT(Summary!$D$42/12,ED6-JuniorIO,Summary!$D$47*12,Summary!$D$37,0)))</f>
        <v>0</v>
      </c>
      <c r="EE26" s="183">
        <f>-IF(OR(EE6&gt;HoldPeriod,EE6&gt;RefiMonth),0,IF(OR(Summary!$D$47=0,EE6&lt;=JuniorIO),EE23*Summary!$D$42/12,-IPMT(Summary!$D$42/12,EE6-JuniorIO,Summary!$D$47*12,Summary!$D$37,0)))</f>
        <v>0</v>
      </c>
      <c r="EF26" s="183" t="s">
        <v>243</v>
      </c>
    </row>
    <row r="27" spans="1:136" s="183" customFormat="1" outlineLevel="1" x14ac:dyDescent="0.2">
      <c r="A27" s="181"/>
      <c r="B27" s="185" t="s">
        <v>28</v>
      </c>
      <c r="C27" s="183">
        <v>0</v>
      </c>
      <c r="D27" s="183">
        <f t="shared" ref="D27:AI27" si="47">IF(OR(D6=HoldPeriod,D6=RefiMonth),-(D23+D25),0)</f>
        <v>0</v>
      </c>
      <c r="E27" s="183">
        <f t="shared" si="47"/>
        <v>0</v>
      </c>
      <c r="F27" s="183">
        <f t="shared" si="47"/>
        <v>0</v>
      </c>
      <c r="G27" s="183">
        <f t="shared" si="47"/>
        <v>0</v>
      </c>
      <c r="H27" s="183">
        <f t="shared" si="47"/>
        <v>0</v>
      </c>
      <c r="I27" s="183">
        <f t="shared" si="47"/>
        <v>0</v>
      </c>
      <c r="J27" s="183">
        <f t="shared" si="47"/>
        <v>0</v>
      </c>
      <c r="K27" s="183">
        <f t="shared" si="47"/>
        <v>0</v>
      </c>
      <c r="L27" s="183">
        <f t="shared" si="47"/>
        <v>0</v>
      </c>
      <c r="M27" s="183">
        <f t="shared" si="47"/>
        <v>0</v>
      </c>
      <c r="N27" s="183">
        <f t="shared" si="47"/>
        <v>0</v>
      </c>
      <c r="O27" s="183">
        <f t="shared" si="47"/>
        <v>0</v>
      </c>
      <c r="P27" s="183">
        <f t="shared" si="47"/>
        <v>0</v>
      </c>
      <c r="Q27" s="183">
        <f t="shared" si="47"/>
        <v>0</v>
      </c>
      <c r="R27" s="183">
        <f t="shared" si="47"/>
        <v>0</v>
      </c>
      <c r="S27" s="183">
        <f t="shared" si="47"/>
        <v>0</v>
      </c>
      <c r="T27" s="183">
        <f t="shared" si="47"/>
        <v>0</v>
      </c>
      <c r="U27" s="183">
        <f t="shared" si="47"/>
        <v>0</v>
      </c>
      <c r="V27" s="183">
        <f t="shared" si="47"/>
        <v>0</v>
      </c>
      <c r="W27" s="183">
        <f t="shared" si="47"/>
        <v>0</v>
      </c>
      <c r="X27" s="183">
        <f t="shared" si="47"/>
        <v>0</v>
      </c>
      <c r="Y27" s="183">
        <f t="shared" si="47"/>
        <v>0</v>
      </c>
      <c r="Z27" s="183">
        <f t="shared" si="47"/>
        <v>0</v>
      </c>
      <c r="AA27" s="183">
        <f t="shared" si="47"/>
        <v>0</v>
      </c>
      <c r="AB27" s="183">
        <f t="shared" si="47"/>
        <v>0</v>
      </c>
      <c r="AC27" s="183">
        <f t="shared" si="47"/>
        <v>0</v>
      </c>
      <c r="AD27" s="183">
        <f t="shared" si="47"/>
        <v>0</v>
      </c>
      <c r="AE27" s="183">
        <f t="shared" si="47"/>
        <v>0</v>
      </c>
      <c r="AF27" s="183">
        <f t="shared" si="47"/>
        <v>0</v>
      </c>
      <c r="AG27" s="183">
        <f t="shared" si="47"/>
        <v>0</v>
      </c>
      <c r="AH27" s="183">
        <f t="shared" si="47"/>
        <v>0</v>
      </c>
      <c r="AI27" s="183">
        <f t="shared" si="47"/>
        <v>0</v>
      </c>
      <c r="AJ27" s="183">
        <f t="shared" ref="AJ27:BO27" si="48">IF(OR(AJ6=HoldPeriod,AJ6=RefiMonth),-(AJ23+AJ25),0)</f>
        <v>0</v>
      </c>
      <c r="AK27" s="183">
        <f t="shared" si="48"/>
        <v>0</v>
      </c>
      <c r="AL27" s="183">
        <f t="shared" si="48"/>
        <v>0</v>
      </c>
      <c r="AM27" s="183">
        <f t="shared" si="48"/>
        <v>0</v>
      </c>
      <c r="AN27" s="183">
        <f t="shared" si="48"/>
        <v>0</v>
      </c>
      <c r="AO27" s="183">
        <f t="shared" si="48"/>
        <v>0</v>
      </c>
      <c r="AP27" s="183">
        <f t="shared" si="48"/>
        <v>0</v>
      </c>
      <c r="AQ27" s="183">
        <f t="shared" si="48"/>
        <v>0</v>
      </c>
      <c r="AR27" s="183">
        <f t="shared" si="48"/>
        <v>0</v>
      </c>
      <c r="AS27" s="183">
        <f t="shared" si="48"/>
        <v>0</v>
      </c>
      <c r="AT27" s="183">
        <f t="shared" si="48"/>
        <v>0</v>
      </c>
      <c r="AU27" s="183">
        <f t="shared" si="48"/>
        <v>0</v>
      </c>
      <c r="AV27" s="183">
        <f t="shared" si="48"/>
        <v>0</v>
      </c>
      <c r="AW27" s="183">
        <f t="shared" si="48"/>
        <v>0</v>
      </c>
      <c r="AX27" s="183">
        <f t="shared" si="48"/>
        <v>0</v>
      </c>
      <c r="AY27" s="183">
        <f t="shared" si="48"/>
        <v>0</v>
      </c>
      <c r="AZ27" s="183">
        <f t="shared" si="48"/>
        <v>0</v>
      </c>
      <c r="BA27" s="183">
        <f t="shared" si="48"/>
        <v>0</v>
      </c>
      <c r="BB27" s="183">
        <f t="shared" si="48"/>
        <v>0</v>
      </c>
      <c r="BC27" s="183">
        <f t="shared" si="48"/>
        <v>0</v>
      </c>
      <c r="BD27" s="183">
        <f t="shared" si="48"/>
        <v>0</v>
      </c>
      <c r="BE27" s="183">
        <f t="shared" si="48"/>
        <v>0</v>
      </c>
      <c r="BF27" s="183">
        <f t="shared" si="48"/>
        <v>0</v>
      </c>
      <c r="BG27" s="183">
        <f t="shared" si="48"/>
        <v>0</v>
      </c>
      <c r="BH27" s="183">
        <f t="shared" si="48"/>
        <v>0</v>
      </c>
      <c r="BI27" s="183">
        <f t="shared" si="48"/>
        <v>0</v>
      </c>
      <c r="BJ27" s="183">
        <f t="shared" si="48"/>
        <v>0</v>
      </c>
      <c r="BK27" s="183">
        <f t="shared" si="48"/>
        <v>0</v>
      </c>
      <c r="BL27" s="183">
        <f t="shared" si="48"/>
        <v>0</v>
      </c>
      <c r="BM27" s="183">
        <f t="shared" si="48"/>
        <v>0</v>
      </c>
      <c r="BN27" s="183">
        <f t="shared" si="48"/>
        <v>0</v>
      </c>
      <c r="BO27" s="183">
        <f t="shared" si="48"/>
        <v>0</v>
      </c>
      <c r="BP27" s="183">
        <f t="shared" ref="BP27:CU27" si="49">IF(OR(BP6=HoldPeriod,BP6=RefiMonth),-(BP23+BP25),0)</f>
        <v>0</v>
      </c>
      <c r="BQ27" s="183">
        <f t="shared" si="49"/>
        <v>0</v>
      </c>
      <c r="BR27" s="183">
        <f t="shared" si="49"/>
        <v>0</v>
      </c>
      <c r="BS27" s="183">
        <f t="shared" si="49"/>
        <v>0</v>
      </c>
      <c r="BT27" s="183">
        <f t="shared" si="49"/>
        <v>0</v>
      </c>
      <c r="BU27" s="183">
        <f t="shared" si="49"/>
        <v>0</v>
      </c>
      <c r="BV27" s="183">
        <f t="shared" si="49"/>
        <v>0</v>
      </c>
      <c r="BW27" s="183">
        <f t="shared" si="49"/>
        <v>0</v>
      </c>
      <c r="BX27" s="183">
        <f t="shared" si="49"/>
        <v>0</v>
      </c>
      <c r="BY27" s="183">
        <f t="shared" si="49"/>
        <v>0</v>
      </c>
      <c r="BZ27" s="183">
        <f t="shared" si="49"/>
        <v>0</v>
      </c>
      <c r="CA27" s="183">
        <f t="shared" si="49"/>
        <v>0</v>
      </c>
      <c r="CB27" s="183">
        <f t="shared" si="49"/>
        <v>0</v>
      </c>
      <c r="CC27" s="183">
        <f t="shared" si="49"/>
        <v>0</v>
      </c>
      <c r="CD27" s="183">
        <f t="shared" si="49"/>
        <v>0</v>
      </c>
      <c r="CE27" s="183">
        <f t="shared" si="49"/>
        <v>0</v>
      </c>
      <c r="CF27" s="183">
        <f t="shared" si="49"/>
        <v>0</v>
      </c>
      <c r="CG27" s="183">
        <f t="shared" si="49"/>
        <v>0</v>
      </c>
      <c r="CH27" s="183">
        <f t="shared" si="49"/>
        <v>0</v>
      </c>
      <c r="CI27" s="183">
        <f t="shared" si="49"/>
        <v>0</v>
      </c>
      <c r="CJ27" s="183">
        <f t="shared" si="49"/>
        <v>0</v>
      </c>
      <c r="CK27" s="183">
        <f t="shared" si="49"/>
        <v>0</v>
      </c>
      <c r="CL27" s="183">
        <f t="shared" si="49"/>
        <v>0</v>
      </c>
      <c r="CM27" s="183">
        <f t="shared" si="49"/>
        <v>0</v>
      </c>
      <c r="CN27" s="183">
        <f t="shared" si="49"/>
        <v>0</v>
      </c>
      <c r="CO27" s="183">
        <f t="shared" si="49"/>
        <v>0</v>
      </c>
      <c r="CP27" s="183">
        <f t="shared" si="49"/>
        <v>0</v>
      </c>
      <c r="CQ27" s="183">
        <f t="shared" si="49"/>
        <v>0</v>
      </c>
      <c r="CR27" s="183">
        <f t="shared" si="49"/>
        <v>0</v>
      </c>
      <c r="CS27" s="183">
        <f t="shared" si="49"/>
        <v>0</v>
      </c>
      <c r="CT27" s="183">
        <f t="shared" si="49"/>
        <v>0</v>
      </c>
      <c r="CU27" s="183">
        <f t="shared" si="49"/>
        <v>0</v>
      </c>
      <c r="CV27" s="183">
        <f t="shared" ref="CV27:EE27" si="50">IF(OR(CV6=HoldPeriod,CV6=RefiMonth),-(CV23+CV25),0)</f>
        <v>0</v>
      </c>
      <c r="CW27" s="183">
        <f t="shared" si="50"/>
        <v>0</v>
      </c>
      <c r="CX27" s="183">
        <f t="shared" si="50"/>
        <v>0</v>
      </c>
      <c r="CY27" s="183">
        <f t="shared" si="50"/>
        <v>0</v>
      </c>
      <c r="CZ27" s="183">
        <f t="shared" si="50"/>
        <v>0</v>
      </c>
      <c r="DA27" s="183">
        <f t="shared" si="50"/>
        <v>0</v>
      </c>
      <c r="DB27" s="183">
        <f t="shared" si="50"/>
        <v>0</v>
      </c>
      <c r="DC27" s="183">
        <f t="shared" si="50"/>
        <v>0</v>
      </c>
      <c r="DD27" s="183">
        <f t="shared" si="50"/>
        <v>0</v>
      </c>
      <c r="DE27" s="183">
        <f t="shared" si="50"/>
        <v>0</v>
      </c>
      <c r="DF27" s="183">
        <f t="shared" si="50"/>
        <v>0</v>
      </c>
      <c r="DG27" s="183">
        <f t="shared" si="50"/>
        <v>0</v>
      </c>
      <c r="DH27" s="183">
        <f t="shared" si="50"/>
        <v>0</v>
      </c>
      <c r="DI27" s="183">
        <f t="shared" si="50"/>
        <v>0</v>
      </c>
      <c r="DJ27" s="183">
        <f t="shared" si="50"/>
        <v>0</v>
      </c>
      <c r="DK27" s="183">
        <f t="shared" si="50"/>
        <v>0</v>
      </c>
      <c r="DL27" s="183">
        <f t="shared" si="50"/>
        <v>0</v>
      </c>
      <c r="DM27" s="183">
        <f t="shared" si="50"/>
        <v>0</v>
      </c>
      <c r="DN27" s="183">
        <f t="shared" si="50"/>
        <v>0</v>
      </c>
      <c r="DO27" s="183">
        <f t="shared" si="50"/>
        <v>0</v>
      </c>
      <c r="DP27" s="183">
        <f t="shared" si="50"/>
        <v>0</v>
      </c>
      <c r="DQ27" s="183">
        <f t="shared" si="50"/>
        <v>0</v>
      </c>
      <c r="DR27" s="183">
        <f t="shared" si="50"/>
        <v>0</v>
      </c>
      <c r="DS27" s="183">
        <f t="shared" si="50"/>
        <v>0</v>
      </c>
      <c r="DT27" s="183">
        <f t="shared" si="50"/>
        <v>0</v>
      </c>
      <c r="DU27" s="183">
        <f t="shared" si="50"/>
        <v>0</v>
      </c>
      <c r="DV27" s="183">
        <f t="shared" si="50"/>
        <v>0</v>
      </c>
      <c r="DW27" s="183">
        <f t="shared" si="50"/>
        <v>0</v>
      </c>
      <c r="DX27" s="183">
        <f t="shared" si="50"/>
        <v>0</v>
      </c>
      <c r="DY27" s="183">
        <f t="shared" si="50"/>
        <v>0</v>
      </c>
      <c r="DZ27" s="183">
        <f t="shared" si="50"/>
        <v>0</v>
      </c>
      <c r="EA27" s="183">
        <f t="shared" si="50"/>
        <v>0</v>
      </c>
      <c r="EB27" s="183">
        <f t="shared" si="50"/>
        <v>0</v>
      </c>
      <c r="EC27" s="183">
        <f t="shared" si="50"/>
        <v>0</v>
      </c>
      <c r="ED27" s="183">
        <f t="shared" si="50"/>
        <v>0</v>
      </c>
      <c r="EE27" s="183">
        <f t="shared" si="50"/>
        <v>0</v>
      </c>
      <c r="EF27" s="183" t="s">
        <v>243</v>
      </c>
    </row>
    <row r="28" spans="1:136" s="183" customFormat="1" outlineLevel="1" x14ac:dyDescent="0.2">
      <c r="A28" s="181"/>
      <c r="B28" s="185" t="s">
        <v>201</v>
      </c>
      <c r="C28" s="183">
        <f t="shared" ref="C28:AH28" si="51">IF(C27=0,0,IF(JuniorPrePaySwitch="None",0,IF(JuniorPrePaySwitch="Percent",C27*PrePayPercent2nd,C27*((1-(1+PrePayPercent2nd)^(-LoanTerm2nd+C6/12))/PrePayPercent2nd)*(JuniorInterest-PrePayPercent2nd))))</f>
        <v>0</v>
      </c>
      <c r="D28" s="183">
        <f t="shared" si="51"/>
        <v>0</v>
      </c>
      <c r="E28" s="183">
        <f t="shared" si="51"/>
        <v>0</v>
      </c>
      <c r="F28" s="183">
        <f t="shared" si="51"/>
        <v>0</v>
      </c>
      <c r="G28" s="183">
        <f t="shared" si="51"/>
        <v>0</v>
      </c>
      <c r="H28" s="183">
        <f t="shared" si="51"/>
        <v>0</v>
      </c>
      <c r="I28" s="183">
        <f t="shared" si="51"/>
        <v>0</v>
      </c>
      <c r="J28" s="183">
        <f t="shared" si="51"/>
        <v>0</v>
      </c>
      <c r="K28" s="183">
        <f t="shared" si="51"/>
        <v>0</v>
      </c>
      <c r="L28" s="183">
        <f t="shared" si="51"/>
        <v>0</v>
      </c>
      <c r="M28" s="183">
        <f t="shared" si="51"/>
        <v>0</v>
      </c>
      <c r="N28" s="183">
        <f t="shared" si="51"/>
        <v>0</v>
      </c>
      <c r="O28" s="183">
        <f t="shared" si="51"/>
        <v>0</v>
      </c>
      <c r="P28" s="183">
        <f t="shared" si="51"/>
        <v>0</v>
      </c>
      <c r="Q28" s="183">
        <f t="shared" si="51"/>
        <v>0</v>
      </c>
      <c r="R28" s="183">
        <f t="shared" si="51"/>
        <v>0</v>
      </c>
      <c r="S28" s="183">
        <f t="shared" si="51"/>
        <v>0</v>
      </c>
      <c r="T28" s="183">
        <f t="shared" si="51"/>
        <v>0</v>
      </c>
      <c r="U28" s="183">
        <f t="shared" si="51"/>
        <v>0</v>
      </c>
      <c r="V28" s="183">
        <f t="shared" si="51"/>
        <v>0</v>
      </c>
      <c r="W28" s="183">
        <f t="shared" si="51"/>
        <v>0</v>
      </c>
      <c r="X28" s="183">
        <f t="shared" si="51"/>
        <v>0</v>
      </c>
      <c r="Y28" s="183">
        <f t="shared" si="51"/>
        <v>0</v>
      </c>
      <c r="Z28" s="183">
        <f t="shared" si="51"/>
        <v>0</v>
      </c>
      <c r="AA28" s="183">
        <f t="shared" si="51"/>
        <v>0</v>
      </c>
      <c r="AB28" s="183">
        <f t="shared" si="51"/>
        <v>0</v>
      </c>
      <c r="AC28" s="183">
        <f t="shared" si="51"/>
        <v>0</v>
      </c>
      <c r="AD28" s="183">
        <f t="shared" si="51"/>
        <v>0</v>
      </c>
      <c r="AE28" s="183">
        <f t="shared" si="51"/>
        <v>0</v>
      </c>
      <c r="AF28" s="183">
        <f t="shared" si="51"/>
        <v>0</v>
      </c>
      <c r="AG28" s="183">
        <f t="shared" si="51"/>
        <v>0</v>
      </c>
      <c r="AH28" s="183">
        <f t="shared" si="51"/>
        <v>0</v>
      </c>
      <c r="AI28" s="183">
        <f t="shared" ref="AI28:BN28" si="52">IF(AI27=0,0,IF(JuniorPrePaySwitch="None",0,IF(JuniorPrePaySwitch="Percent",AI27*PrePayPercent2nd,AI27*((1-(1+PrePayPercent2nd)^(-LoanTerm2nd+AI6/12))/PrePayPercent2nd)*(JuniorInterest-PrePayPercent2nd))))</f>
        <v>0</v>
      </c>
      <c r="AJ28" s="183">
        <f t="shared" si="52"/>
        <v>0</v>
      </c>
      <c r="AK28" s="183">
        <f t="shared" si="52"/>
        <v>0</v>
      </c>
      <c r="AL28" s="183">
        <f t="shared" si="52"/>
        <v>0</v>
      </c>
      <c r="AM28" s="183">
        <f t="shared" si="52"/>
        <v>0</v>
      </c>
      <c r="AN28" s="183">
        <f t="shared" si="52"/>
        <v>0</v>
      </c>
      <c r="AO28" s="183">
        <f t="shared" si="52"/>
        <v>0</v>
      </c>
      <c r="AP28" s="183">
        <f t="shared" si="52"/>
        <v>0</v>
      </c>
      <c r="AQ28" s="183">
        <f t="shared" si="52"/>
        <v>0</v>
      </c>
      <c r="AR28" s="183">
        <f t="shared" si="52"/>
        <v>0</v>
      </c>
      <c r="AS28" s="183">
        <f t="shared" si="52"/>
        <v>0</v>
      </c>
      <c r="AT28" s="183">
        <f t="shared" si="52"/>
        <v>0</v>
      </c>
      <c r="AU28" s="183">
        <f t="shared" si="52"/>
        <v>0</v>
      </c>
      <c r="AV28" s="183">
        <f t="shared" si="52"/>
        <v>0</v>
      </c>
      <c r="AW28" s="183">
        <f t="shared" si="52"/>
        <v>0</v>
      </c>
      <c r="AX28" s="183">
        <f t="shared" si="52"/>
        <v>0</v>
      </c>
      <c r="AY28" s="183">
        <f t="shared" si="52"/>
        <v>0</v>
      </c>
      <c r="AZ28" s="183">
        <f t="shared" si="52"/>
        <v>0</v>
      </c>
      <c r="BA28" s="183">
        <f t="shared" si="52"/>
        <v>0</v>
      </c>
      <c r="BB28" s="183">
        <f t="shared" si="52"/>
        <v>0</v>
      </c>
      <c r="BC28" s="183">
        <f t="shared" si="52"/>
        <v>0</v>
      </c>
      <c r="BD28" s="183">
        <f t="shared" si="52"/>
        <v>0</v>
      </c>
      <c r="BE28" s="183">
        <f t="shared" si="52"/>
        <v>0</v>
      </c>
      <c r="BF28" s="183">
        <f t="shared" si="52"/>
        <v>0</v>
      </c>
      <c r="BG28" s="183">
        <f t="shared" si="52"/>
        <v>0</v>
      </c>
      <c r="BH28" s="183">
        <f t="shared" si="52"/>
        <v>0</v>
      </c>
      <c r="BI28" s="183">
        <f t="shared" si="52"/>
        <v>0</v>
      </c>
      <c r="BJ28" s="183">
        <f t="shared" si="52"/>
        <v>0</v>
      </c>
      <c r="BK28" s="183">
        <f t="shared" si="52"/>
        <v>0</v>
      </c>
      <c r="BL28" s="183">
        <f t="shared" si="52"/>
        <v>0</v>
      </c>
      <c r="BM28" s="183">
        <f t="shared" si="52"/>
        <v>0</v>
      </c>
      <c r="BN28" s="183">
        <f t="shared" si="52"/>
        <v>0</v>
      </c>
      <c r="BO28" s="183">
        <f t="shared" ref="BO28:CT28" si="53">IF(BO27=0,0,IF(JuniorPrePaySwitch="None",0,IF(JuniorPrePaySwitch="Percent",BO27*PrePayPercent2nd,BO27*((1-(1+PrePayPercent2nd)^(-LoanTerm2nd+BO6/12))/PrePayPercent2nd)*(JuniorInterest-PrePayPercent2nd))))</f>
        <v>0</v>
      </c>
      <c r="BP28" s="183">
        <f t="shared" si="53"/>
        <v>0</v>
      </c>
      <c r="BQ28" s="183">
        <f t="shared" si="53"/>
        <v>0</v>
      </c>
      <c r="BR28" s="183">
        <f t="shared" si="53"/>
        <v>0</v>
      </c>
      <c r="BS28" s="183">
        <f t="shared" si="53"/>
        <v>0</v>
      </c>
      <c r="BT28" s="183">
        <f t="shared" si="53"/>
        <v>0</v>
      </c>
      <c r="BU28" s="183">
        <f t="shared" si="53"/>
        <v>0</v>
      </c>
      <c r="BV28" s="183">
        <f t="shared" si="53"/>
        <v>0</v>
      </c>
      <c r="BW28" s="183">
        <f t="shared" si="53"/>
        <v>0</v>
      </c>
      <c r="BX28" s="183">
        <f t="shared" si="53"/>
        <v>0</v>
      </c>
      <c r="BY28" s="183">
        <f t="shared" si="53"/>
        <v>0</v>
      </c>
      <c r="BZ28" s="183">
        <f t="shared" si="53"/>
        <v>0</v>
      </c>
      <c r="CA28" s="183">
        <f t="shared" si="53"/>
        <v>0</v>
      </c>
      <c r="CB28" s="183">
        <f t="shared" si="53"/>
        <v>0</v>
      </c>
      <c r="CC28" s="183">
        <f t="shared" si="53"/>
        <v>0</v>
      </c>
      <c r="CD28" s="183">
        <f t="shared" si="53"/>
        <v>0</v>
      </c>
      <c r="CE28" s="183">
        <f t="shared" si="53"/>
        <v>0</v>
      </c>
      <c r="CF28" s="183">
        <f t="shared" si="53"/>
        <v>0</v>
      </c>
      <c r="CG28" s="183">
        <f t="shared" si="53"/>
        <v>0</v>
      </c>
      <c r="CH28" s="183">
        <f t="shared" si="53"/>
        <v>0</v>
      </c>
      <c r="CI28" s="183">
        <f t="shared" si="53"/>
        <v>0</v>
      </c>
      <c r="CJ28" s="183">
        <f t="shared" si="53"/>
        <v>0</v>
      </c>
      <c r="CK28" s="183">
        <f t="shared" si="53"/>
        <v>0</v>
      </c>
      <c r="CL28" s="183">
        <f t="shared" si="53"/>
        <v>0</v>
      </c>
      <c r="CM28" s="183">
        <f t="shared" si="53"/>
        <v>0</v>
      </c>
      <c r="CN28" s="183">
        <f t="shared" si="53"/>
        <v>0</v>
      </c>
      <c r="CO28" s="183">
        <f t="shared" si="53"/>
        <v>0</v>
      </c>
      <c r="CP28" s="183">
        <f t="shared" si="53"/>
        <v>0</v>
      </c>
      <c r="CQ28" s="183">
        <f t="shared" si="53"/>
        <v>0</v>
      </c>
      <c r="CR28" s="183">
        <f t="shared" si="53"/>
        <v>0</v>
      </c>
      <c r="CS28" s="183">
        <f t="shared" si="53"/>
        <v>0</v>
      </c>
      <c r="CT28" s="183">
        <f t="shared" si="53"/>
        <v>0</v>
      </c>
      <c r="CU28" s="183">
        <f t="shared" ref="CU28:DZ28" si="54">IF(CU27=0,0,IF(JuniorPrePaySwitch="None",0,IF(JuniorPrePaySwitch="Percent",CU27*PrePayPercent2nd,CU27*((1-(1+PrePayPercent2nd)^(-LoanTerm2nd+CU6/12))/PrePayPercent2nd)*(JuniorInterest-PrePayPercent2nd))))</f>
        <v>0</v>
      </c>
      <c r="CV28" s="183">
        <f t="shared" si="54"/>
        <v>0</v>
      </c>
      <c r="CW28" s="183">
        <f t="shared" si="54"/>
        <v>0</v>
      </c>
      <c r="CX28" s="183">
        <f t="shared" si="54"/>
        <v>0</v>
      </c>
      <c r="CY28" s="183">
        <f t="shared" si="54"/>
        <v>0</v>
      </c>
      <c r="CZ28" s="183">
        <f t="shared" si="54"/>
        <v>0</v>
      </c>
      <c r="DA28" s="183">
        <f t="shared" si="54"/>
        <v>0</v>
      </c>
      <c r="DB28" s="183">
        <f t="shared" si="54"/>
        <v>0</v>
      </c>
      <c r="DC28" s="183">
        <f t="shared" si="54"/>
        <v>0</v>
      </c>
      <c r="DD28" s="183">
        <f t="shared" si="54"/>
        <v>0</v>
      </c>
      <c r="DE28" s="183">
        <f t="shared" si="54"/>
        <v>0</v>
      </c>
      <c r="DF28" s="183">
        <f t="shared" si="54"/>
        <v>0</v>
      </c>
      <c r="DG28" s="183">
        <f t="shared" si="54"/>
        <v>0</v>
      </c>
      <c r="DH28" s="183">
        <f t="shared" si="54"/>
        <v>0</v>
      </c>
      <c r="DI28" s="183">
        <f t="shared" si="54"/>
        <v>0</v>
      </c>
      <c r="DJ28" s="183">
        <f t="shared" si="54"/>
        <v>0</v>
      </c>
      <c r="DK28" s="183">
        <f t="shared" si="54"/>
        <v>0</v>
      </c>
      <c r="DL28" s="183">
        <f t="shared" si="54"/>
        <v>0</v>
      </c>
      <c r="DM28" s="183">
        <f t="shared" si="54"/>
        <v>0</v>
      </c>
      <c r="DN28" s="183">
        <f t="shared" si="54"/>
        <v>0</v>
      </c>
      <c r="DO28" s="183">
        <f t="shared" si="54"/>
        <v>0</v>
      </c>
      <c r="DP28" s="183">
        <f t="shared" si="54"/>
        <v>0</v>
      </c>
      <c r="DQ28" s="183">
        <f t="shared" si="54"/>
        <v>0</v>
      </c>
      <c r="DR28" s="183">
        <f t="shared" si="54"/>
        <v>0</v>
      </c>
      <c r="DS28" s="183">
        <f t="shared" si="54"/>
        <v>0</v>
      </c>
      <c r="DT28" s="183">
        <f t="shared" si="54"/>
        <v>0</v>
      </c>
      <c r="DU28" s="183">
        <f t="shared" si="54"/>
        <v>0</v>
      </c>
      <c r="DV28" s="183">
        <f t="shared" si="54"/>
        <v>0</v>
      </c>
      <c r="DW28" s="183">
        <f t="shared" si="54"/>
        <v>0</v>
      </c>
      <c r="DX28" s="183">
        <f t="shared" si="54"/>
        <v>0</v>
      </c>
      <c r="DY28" s="183">
        <f t="shared" si="54"/>
        <v>0</v>
      </c>
      <c r="DZ28" s="183">
        <f t="shared" si="54"/>
        <v>0</v>
      </c>
      <c r="EA28" s="183">
        <f t="shared" ref="EA28:EE28" si="55">IF(EA27=0,0,IF(JuniorPrePaySwitch="None",0,IF(JuniorPrePaySwitch="Percent",EA27*PrePayPercent2nd,EA27*((1-(1+PrePayPercent2nd)^(-LoanTerm2nd+EA6/12))/PrePayPercent2nd)*(JuniorInterest-PrePayPercent2nd))))</f>
        <v>0</v>
      </c>
      <c r="EB28" s="183">
        <f t="shared" si="55"/>
        <v>0</v>
      </c>
      <c r="EC28" s="183">
        <f t="shared" si="55"/>
        <v>0</v>
      </c>
      <c r="ED28" s="183">
        <f t="shared" si="55"/>
        <v>0</v>
      </c>
      <c r="EE28" s="183">
        <f t="shared" si="55"/>
        <v>0</v>
      </c>
      <c r="EF28" s="183" t="s">
        <v>243</v>
      </c>
    </row>
    <row r="29" spans="1:136" s="183" customFormat="1" outlineLevel="1" x14ac:dyDescent="0.2">
      <c r="A29" s="181"/>
      <c r="B29" s="186" t="s">
        <v>33</v>
      </c>
      <c r="C29" s="187">
        <f>C23+C25+C27</f>
        <v>0</v>
      </c>
      <c r="D29" s="187">
        <f t="shared" ref="D29:BO29" si="56">D23+D25+D27</f>
        <v>0</v>
      </c>
      <c r="E29" s="187">
        <f t="shared" si="56"/>
        <v>0</v>
      </c>
      <c r="F29" s="187">
        <f t="shared" si="56"/>
        <v>0</v>
      </c>
      <c r="G29" s="187">
        <f t="shared" si="56"/>
        <v>0</v>
      </c>
      <c r="H29" s="187">
        <f t="shared" si="56"/>
        <v>0</v>
      </c>
      <c r="I29" s="187">
        <f t="shared" si="56"/>
        <v>0</v>
      </c>
      <c r="J29" s="187">
        <f t="shared" si="56"/>
        <v>0</v>
      </c>
      <c r="K29" s="187">
        <f t="shared" si="56"/>
        <v>0</v>
      </c>
      <c r="L29" s="187">
        <f t="shared" si="56"/>
        <v>0</v>
      </c>
      <c r="M29" s="187">
        <f t="shared" si="56"/>
        <v>0</v>
      </c>
      <c r="N29" s="187">
        <f t="shared" si="56"/>
        <v>0</v>
      </c>
      <c r="O29" s="187">
        <f t="shared" si="56"/>
        <v>0</v>
      </c>
      <c r="P29" s="187">
        <f t="shared" si="56"/>
        <v>0</v>
      </c>
      <c r="Q29" s="187">
        <f t="shared" si="56"/>
        <v>0</v>
      </c>
      <c r="R29" s="187">
        <f t="shared" si="56"/>
        <v>0</v>
      </c>
      <c r="S29" s="187">
        <f t="shared" si="56"/>
        <v>0</v>
      </c>
      <c r="T29" s="187">
        <f t="shared" si="56"/>
        <v>0</v>
      </c>
      <c r="U29" s="187">
        <f t="shared" si="56"/>
        <v>0</v>
      </c>
      <c r="V29" s="187">
        <f t="shared" si="56"/>
        <v>0</v>
      </c>
      <c r="W29" s="187">
        <f t="shared" si="56"/>
        <v>0</v>
      </c>
      <c r="X29" s="187">
        <f t="shared" si="56"/>
        <v>0</v>
      </c>
      <c r="Y29" s="187">
        <f t="shared" si="56"/>
        <v>0</v>
      </c>
      <c r="Z29" s="187">
        <f t="shared" si="56"/>
        <v>0</v>
      </c>
      <c r="AA29" s="187">
        <f t="shared" si="56"/>
        <v>0</v>
      </c>
      <c r="AB29" s="187">
        <f t="shared" si="56"/>
        <v>0</v>
      </c>
      <c r="AC29" s="187">
        <f t="shared" si="56"/>
        <v>0</v>
      </c>
      <c r="AD29" s="187">
        <f t="shared" si="56"/>
        <v>0</v>
      </c>
      <c r="AE29" s="187">
        <f t="shared" si="56"/>
        <v>0</v>
      </c>
      <c r="AF29" s="187">
        <f t="shared" si="56"/>
        <v>0</v>
      </c>
      <c r="AG29" s="187">
        <f t="shared" si="56"/>
        <v>0</v>
      </c>
      <c r="AH29" s="187">
        <f t="shared" si="56"/>
        <v>0</v>
      </c>
      <c r="AI29" s="187">
        <f t="shared" si="56"/>
        <v>0</v>
      </c>
      <c r="AJ29" s="187">
        <f t="shared" si="56"/>
        <v>0</v>
      </c>
      <c r="AK29" s="187">
        <f t="shared" si="56"/>
        <v>0</v>
      </c>
      <c r="AL29" s="187">
        <f t="shared" si="56"/>
        <v>0</v>
      </c>
      <c r="AM29" s="187">
        <f t="shared" si="56"/>
        <v>0</v>
      </c>
      <c r="AN29" s="187">
        <f t="shared" si="56"/>
        <v>0</v>
      </c>
      <c r="AO29" s="187">
        <f t="shared" si="56"/>
        <v>0</v>
      </c>
      <c r="AP29" s="187">
        <f t="shared" si="56"/>
        <v>0</v>
      </c>
      <c r="AQ29" s="187">
        <f t="shared" si="56"/>
        <v>0</v>
      </c>
      <c r="AR29" s="187">
        <f t="shared" si="56"/>
        <v>0</v>
      </c>
      <c r="AS29" s="187">
        <f t="shared" si="56"/>
        <v>0</v>
      </c>
      <c r="AT29" s="187">
        <f t="shared" si="56"/>
        <v>0</v>
      </c>
      <c r="AU29" s="187">
        <f t="shared" si="56"/>
        <v>0</v>
      </c>
      <c r="AV29" s="187">
        <f t="shared" si="56"/>
        <v>0</v>
      </c>
      <c r="AW29" s="187">
        <f t="shared" si="56"/>
        <v>0</v>
      </c>
      <c r="AX29" s="187">
        <f t="shared" si="56"/>
        <v>0</v>
      </c>
      <c r="AY29" s="187">
        <f t="shared" si="56"/>
        <v>0</v>
      </c>
      <c r="AZ29" s="187">
        <f t="shared" si="56"/>
        <v>0</v>
      </c>
      <c r="BA29" s="187">
        <f t="shared" si="56"/>
        <v>0</v>
      </c>
      <c r="BB29" s="187">
        <f t="shared" si="56"/>
        <v>0</v>
      </c>
      <c r="BC29" s="187">
        <f t="shared" si="56"/>
        <v>0</v>
      </c>
      <c r="BD29" s="187">
        <f t="shared" si="56"/>
        <v>0</v>
      </c>
      <c r="BE29" s="187">
        <f t="shared" si="56"/>
        <v>0</v>
      </c>
      <c r="BF29" s="187">
        <f t="shared" si="56"/>
        <v>0</v>
      </c>
      <c r="BG29" s="187">
        <f t="shared" si="56"/>
        <v>0</v>
      </c>
      <c r="BH29" s="187">
        <f t="shared" si="56"/>
        <v>0</v>
      </c>
      <c r="BI29" s="187">
        <f t="shared" si="56"/>
        <v>0</v>
      </c>
      <c r="BJ29" s="187">
        <f t="shared" si="56"/>
        <v>0</v>
      </c>
      <c r="BK29" s="187">
        <f t="shared" si="56"/>
        <v>0</v>
      </c>
      <c r="BL29" s="187">
        <f t="shared" si="56"/>
        <v>0</v>
      </c>
      <c r="BM29" s="187">
        <f t="shared" si="56"/>
        <v>0</v>
      </c>
      <c r="BN29" s="187">
        <f t="shared" si="56"/>
        <v>0</v>
      </c>
      <c r="BO29" s="187">
        <f t="shared" si="56"/>
        <v>0</v>
      </c>
      <c r="BP29" s="187">
        <f t="shared" ref="BP29:EA29" si="57">BP23+BP25+BP27</f>
        <v>0</v>
      </c>
      <c r="BQ29" s="187">
        <f t="shared" si="57"/>
        <v>0</v>
      </c>
      <c r="BR29" s="187">
        <f t="shared" si="57"/>
        <v>0</v>
      </c>
      <c r="BS29" s="187">
        <f t="shared" si="57"/>
        <v>0</v>
      </c>
      <c r="BT29" s="187">
        <f t="shared" si="57"/>
        <v>0</v>
      </c>
      <c r="BU29" s="187">
        <f t="shared" si="57"/>
        <v>0</v>
      </c>
      <c r="BV29" s="187">
        <f t="shared" si="57"/>
        <v>0</v>
      </c>
      <c r="BW29" s="187">
        <f t="shared" si="57"/>
        <v>0</v>
      </c>
      <c r="BX29" s="187">
        <f t="shared" si="57"/>
        <v>0</v>
      </c>
      <c r="BY29" s="187">
        <f t="shared" si="57"/>
        <v>0</v>
      </c>
      <c r="BZ29" s="187">
        <f t="shared" si="57"/>
        <v>0</v>
      </c>
      <c r="CA29" s="187">
        <f t="shared" si="57"/>
        <v>0</v>
      </c>
      <c r="CB29" s="187">
        <f t="shared" si="57"/>
        <v>0</v>
      </c>
      <c r="CC29" s="187">
        <f t="shared" si="57"/>
        <v>0</v>
      </c>
      <c r="CD29" s="187">
        <f t="shared" si="57"/>
        <v>0</v>
      </c>
      <c r="CE29" s="187">
        <f t="shared" si="57"/>
        <v>0</v>
      </c>
      <c r="CF29" s="187">
        <f t="shared" si="57"/>
        <v>0</v>
      </c>
      <c r="CG29" s="187">
        <f t="shared" si="57"/>
        <v>0</v>
      </c>
      <c r="CH29" s="187">
        <f t="shared" si="57"/>
        <v>0</v>
      </c>
      <c r="CI29" s="187">
        <f t="shared" si="57"/>
        <v>0</v>
      </c>
      <c r="CJ29" s="187">
        <f t="shared" si="57"/>
        <v>0</v>
      </c>
      <c r="CK29" s="187">
        <f t="shared" si="57"/>
        <v>0</v>
      </c>
      <c r="CL29" s="187">
        <f t="shared" si="57"/>
        <v>0</v>
      </c>
      <c r="CM29" s="187">
        <f t="shared" si="57"/>
        <v>0</v>
      </c>
      <c r="CN29" s="187">
        <f t="shared" si="57"/>
        <v>0</v>
      </c>
      <c r="CO29" s="187">
        <f t="shared" si="57"/>
        <v>0</v>
      </c>
      <c r="CP29" s="187">
        <f t="shared" si="57"/>
        <v>0</v>
      </c>
      <c r="CQ29" s="187">
        <f t="shared" si="57"/>
        <v>0</v>
      </c>
      <c r="CR29" s="187">
        <f t="shared" si="57"/>
        <v>0</v>
      </c>
      <c r="CS29" s="187">
        <f t="shared" si="57"/>
        <v>0</v>
      </c>
      <c r="CT29" s="187">
        <f t="shared" si="57"/>
        <v>0</v>
      </c>
      <c r="CU29" s="187">
        <f t="shared" si="57"/>
        <v>0</v>
      </c>
      <c r="CV29" s="187">
        <f t="shared" si="57"/>
        <v>0</v>
      </c>
      <c r="CW29" s="187">
        <f t="shared" si="57"/>
        <v>0</v>
      </c>
      <c r="CX29" s="187">
        <f t="shared" si="57"/>
        <v>0</v>
      </c>
      <c r="CY29" s="187">
        <f t="shared" si="57"/>
        <v>0</v>
      </c>
      <c r="CZ29" s="187">
        <f t="shared" si="57"/>
        <v>0</v>
      </c>
      <c r="DA29" s="187">
        <f t="shared" si="57"/>
        <v>0</v>
      </c>
      <c r="DB29" s="187">
        <f t="shared" si="57"/>
        <v>0</v>
      </c>
      <c r="DC29" s="187">
        <f t="shared" si="57"/>
        <v>0</v>
      </c>
      <c r="DD29" s="187">
        <f t="shared" si="57"/>
        <v>0</v>
      </c>
      <c r="DE29" s="187">
        <f t="shared" si="57"/>
        <v>0</v>
      </c>
      <c r="DF29" s="187">
        <f t="shared" si="57"/>
        <v>0</v>
      </c>
      <c r="DG29" s="187">
        <f t="shared" si="57"/>
        <v>0</v>
      </c>
      <c r="DH29" s="187">
        <f t="shared" si="57"/>
        <v>0</v>
      </c>
      <c r="DI29" s="187">
        <f t="shared" si="57"/>
        <v>0</v>
      </c>
      <c r="DJ29" s="187">
        <f t="shared" si="57"/>
        <v>0</v>
      </c>
      <c r="DK29" s="187">
        <f t="shared" si="57"/>
        <v>0</v>
      </c>
      <c r="DL29" s="187">
        <f t="shared" si="57"/>
        <v>0</v>
      </c>
      <c r="DM29" s="187">
        <f t="shared" si="57"/>
        <v>0</v>
      </c>
      <c r="DN29" s="187">
        <f t="shared" si="57"/>
        <v>0</v>
      </c>
      <c r="DO29" s="187">
        <f t="shared" si="57"/>
        <v>0</v>
      </c>
      <c r="DP29" s="187">
        <f t="shared" si="57"/>
        <v>0</v>
      </c>
      <c r="DQ29" s="187">
        <f t="shared" si="57"/>
        <v>0</v>
      </c>
      <c r="DR29" s="187">
        <f t="shared" si="57"/>
        <v>0</v>
      </c>
      <c r="DS29" s="187">
        <f t="shared" si="57"/>
        <v>0</v>
      </c>
      <c r="DT29" s="187">
        <f t="shared" si="57"/>
        <v>0</v>
      </c>
      <c r="DU29" s="187">
        <f t="shared" si="57"/>
        <v>0</v>
      </c>
      <c r="DV29" s="187">
        <f t="shared" si="57"/>
        <v>0</v>
      </c>
      <c r="DW29" s="187">
        <f t="shared" si="57"/>
        <v>0</v>
      </c>
      <c r="DX29" s="187">
        <f t="shared" si="57"/>
        <v>0</v>
      </c>
      <c r="DY29" s="187">
        <f t="shared" si="57"/>
        <v>0</v>
      </c>
      <c r="DZ29" s="187">
        <f t="shared" si="57"/>
        <v>0</v>
      </c>
      <c r="EA29" s="187">
        <f t="shared" si="57"/>
        <v>0</v>
      </c>
      <c r="EB29" s="187">
        <f>EB23+EB25+EB27</f>
        <v>0</v>
      </c>
      <c r="EC29" s="187">
        <f>EC23+EC25+EC27</f>
        <v>0</v>
      </c>
      <c r="ED29" s="187">
        <f>ED23+ED25+ED27</f>
        <v>0</v>
      </c>
      <c r="EE29" s="187">
        <f>EE23+EE25+EE27</f>
        <v>0</v>
      </c>
      <c r="EF29" s="183" t="s">
        <v>243</v>
      </c>
    </row>
    <row r="30" spans="1:136" s="180" customFormat="1" outlineLevel="1" x14ac:dyDescent="0.2">
      <c r="A30" s="190"/>
      <c r="B30" s="191" t="str">
        <f>IF(ABS(SUM(MAX(C23:EE23),C25:EE25,C27:EE27))&gt;0.001,"UNRETURNED LOAN PROCEEDS","OK")</f>
        <v>OK</v>
      </c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2"/>
      <c r="AA30" s="192"/>
      <c r="AB30" s="192"/>
      <c r="AC30" s="192"/>
      <c r="AD30" s="192"/>
      <c r="AE30" s="192"/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  <c r="BB30" s="192"/>
      <c r="BC30" s="192"/>
      <c r="BD30" s="192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  <c r="BP30" s="192"/>
      <c r="BQ30" s="192"/>
      <c r="BR30" s="192"/>
      <c r="BS30" s="192"/>
      <c r="BT30" s="192"/>
      <c r="BU30" s="192"/>
      <c r="BV30" s="192"/>
      <c r="BW30" s="192"/>
      <c r="BX30" s="192"/>
      <c r="BY30" s="192"/>
      <c r="BZ30" s="192"/>
      <c r="CA30" s="192"/>
      <c r="CB30" s="192"/>
      <c r="CC30" s="192"/>
      <c r="CD30" s="192"/>
      <c r="CE30" s="192"/>
      <c r="CF30" s="192"/>
      <c r="CG30" s="192"/>
      <c r="CH30" s="192"/>
      <c r="CI30" s="192"/>
      <c r="CJ30" s="192"/>
      <c r="CK30" s="192"/>
      <c r="CL30" s="192"/>
      <c r="CM30" s="192"/>
      <c r="CN30" s="192"/>
      <c r="CO30" s="192"/>
      <c r="CP30" s="192"/>
      <c r="CQ30" s="192"/>
      <c r="CR30" s="192"/>
      <c r="CS30" s="192"/>
      <c r="CT30" s="192"/>
      <c r="CU30" s="192"/>
      <c r="CV30" s="192"/>
      <c r="CW30" s="192"/>
      <c r="CX30" s="192"/>
      <c r="CY30" s="192"/>
      <c r="CZ30" s="192"/>
      <c r="DA30" s="192"/>
      <c r="DB30" s="192"/>
      <c r="DC30" s="192"/>
      <c r="DD30" s="192"/>
      <c r="DE30" s="192"/>
      <c r="DF30" s="192"/>
      <c r="DG30" s="192"/>
      <c r="DH30" s="192"/>
      <c r="DI30" s="192"/>
      <c r="DJ30" s="192"/>
      <c r="DK30" s="192"/>
      <c r="DL30" s="192"/>
      <c r="DM30" s="192"/>
      <c r="DN30" s="192"/>
      <c r="DO30" s="192"/>
      <c r="DP30" s="192"/>
      <c r="DQ30" s="192"/>
      <c r="DR30" s="192"/>
      <c r="DS30" s="192"/>
      <c r="DT30" s="192"/>
      <c r="DU30" s="192"/>
      <c r="DV30" s="192"/>
      <c r="DW30" s="192"/>
      <c r="DX30" s="192"/>
      <c r="DY30" s="192"/>
      <c r="DZ30" s="192"/>
      <c r="EA30" s="192"/>
      <c r="EB30" s="192"/>
      <c r="EC30" s="192"/>
      <c r="ED30" s="192"/>
      <c r="EE30" s="192"/>
      <c r="EF30" s="183" t="s">
        <v>243</v>
      </c>
    </row>
    <row r="31" spans="1:136" s="180" customFormat="1" x14ac:dyDescent="0.2">
      <c r="A31" s="190"/>
      <c r="B31" s="191"/>
      <c r="C31" s="192"/>
      <c r="D31" s="192"/>
      <c r="E31" s="192"/>
      <c r="F31" s="192"/>
      <c r="G31" s="192"/>
      <c r="H31" s="192"/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2"/>
      <c r="AA31" s="192"/>
      <c r="AB31" s="192"/>
      <c r="AC31" s="192"/>
      <c r="AD31" s="192"/>
      <c r="AE31" s="192"/>
      <c r="AF31" s="192"/>
      <c r="AG31" s="192"/>
      <c r="AH31" s="192"/>
      <c r="AI31" s="192"/>
      <c r="AJ31" s="192"/>
      <c r="AK31" s="192"/>
      <c r="AL31" s="192"/>
      <c r="AM31" s="192"/>
      <c r="AN31" s="192"/>
      <c r="AO31" s="192"/>
      <c r="AP31" s="192"/>
      <c r="AQ31" s="192"/>
      <c r="AR31" s="192"/>
      <c r="AS31" s="192"/>
      <c r="AT31" s="192"/>
      <c r="AU31" s="192"/>
      <c r="AV31" s="192"/>
      <c r="AW31" s="192"/>
      <c r="AX31" s="192"/>
      <c r="AY31" s="192"/>
      <c r="AZ31" s="192"/>
      <c r="BA31" s="192"/>
      <c r="BB31" s="192"/>
      <c r="BC31" s="192"/>
      <c r="BD31" s="192"/>
      <c r="BE31" s="192"/>
      <c r="BF31" s="192"/>
      <c r="BG31" s="192"/>
      <c r="BH31" s="192"/>
      <c r="BI31" s="192"/>
      <c r="BJ31" s="192"/>
      <c r="BK31" s="192"/>
      <c r="BL31" s="192"/>
      <c r="BM31" s="192"/>
      <c r="BN31" s="192"/>
      <c r="BO31" s="192"/>
      <c r="BP31" s="192"/>
      <c r="BQ31" s="192"/>
      <c r="BR31" s="192"/>
      <c r="BS31" s="192"/>
      <c r="BT31" s="192"/>
      <c r="BU31" s="192"/>
      <c r="BV31" s="192"/>
      <c r="BW31" s="192"/>
      <c r="BX31" s="192"/>
      <c r="BY31" s="192"/>
      <c r="BZ31" s="192"/>
      <c r="CA31" s="192"/>
      <c r="CB31" s="192"/>
      <c r="CC31" s="192"/>
      <c r="CD31" s="192"/>
      <c r="CE31" s="192"/>
      <c r="CF31" s="192"/>
      <c r="CG31" s="192"/>
      <c r="CH31" s="192"/>
      <c r="CI31" s="192"/>
      <c r="CJ31" s="192"/>
      <c r="CK31" s="192"/>
      <c r="CL31" s="192"/>
      <c r="CM31" s="192"/>
      <c r="CN31" s="192"/>
      <c r="CO31" s="192"/>
      <c r="CP31" s="192"/>
      <c r="CQ31" s="192"/>
      <c r="CR31" s="192"/>
      <c r="CS31" s="192"/>
      <c r="CT31" s="192"/>
      <c r="CU31" s="192"/>
      <c r="CV31" s="192"/>
      <c r="CW31" s="192"/>
      <c r="CX31" s="192"/>
      <c r="CY31" s="192"/>
      <c r="CZ31" s="192"/>
      <c r="DA31" s="192"/>
      <c r="DB31" s="192"/>
      <c r="DC31" s="192"/>
      <c r="DD31" s="192"/>
      <c r="DE31" s="192"/>
      <c r="DF31" s="192"/>
      <c r="DG31" s="192"/>
      <c r="DH31" s="192"/>
      <c r="DI31" s="192"/>
      <c r="DJ31" s="192"/>
      <c r="DK31" s="192"/>
      <c r="DL31" s="192"/>
      <c r="DM31" s="192"/>
      <c r="DN31" s="192"/>
      <c r="DO31" s="192"/>
      <c r="DP31" s="192"/>
      <c r="DQ31" s="192"/>
      <c r="DR31" s="192"/>
      <c r="DS31" s="192"/>
      <c r="DT31" s="192"/>
      <c r="DU31" s="192"/>
      <c r="DV31" s="192"/>
      <c r="DW31" s="192"/>
      <c r="DX31" s="192"/>
      <c r="DY31" s="192"/>
      <c r="DZ31" s="192"/>
      <c r="EA31" s="192"/>
      <c r="EB31" s="192"/>
      <c r="EC31" s="192"/>
      <c r="ED31" s="192"/>
      <c r="EE31" s="192"/>
      <c r="EF31" s="183" t="s">
        <v>243</v>
      </c>
    </row>
    <row r="32" spans="1:136" s="180" customFormat="1" ht="15" thickBot="1" x14ac:dyDescent="0.25">
      <c r="A32" s="190"/>
      <c r="B32" s="178" t="s">
        <v>40</v>
      </c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  <c r="AU32" s="179"/>
      <c r="AV32" s="179"/>
      <c r="AW32" s="179"/>
      <c r="AX32" s="179"/>
      <c r="AY32" s="179"/>
      <c r="AZ32" s="179"/>
      <c r="BA32" s="179"/>
      <c r="BB32" s="179"/>
      <c r="BC32" s="179"/>
      <c r="BD32" s="179"/>
      <c r="BE32" s="179"/>
      <c r="BF32" s="179"/>
      <c r="BG32" s="179"/>
      <c r="BH32" s="179"/>
      <c r="BI32" s="179"/>
      <c r="BJ32" s="179"/>
      <c r="BK32" s="179"/>
      <c r="BL32" s="179"/>
      <c r="BM32" s="179"/>
      <c r="BN32" s="179"/>
      <c r="BO32" s="179"/>
      <c r="BP32" s="179"/>
      <c r="BQ32" s="179"/>
      <c r="BR32" s="179"/>
      <c r="BS32" s="179"/>
      <c r="BT32" s="179"/>
      <c r="BU32" s="179"/>
      <c r="BV32" s="179"/>
      <c r="BW32" s="179"/>
      <c r="BX32" s="179"/>
      <c r="BY32" s="179"/>
      <c r="BZ32" s="179"/>
      <c r="CA32" s="179"/>
      <c r="CB32" s="179"/>
      <c r="CC32" s="179"/>
      <c r="CD32" s="179"/>
      <c r="CE32" s="179"/>
      <c r="CF32" s="179"/>
      <c r="CG32" s="179"/>
      <c r="CH32" s="179"/>
      <c r="CI32" s="179"/>
      <c r="CJ32" s="179"/>
      <c r="CK32" s="179"/>
      <c r="CL32" s="179"/>
      <c r="CM32" s="179"/>
      <c r="CN32" s="179"/>
      <c r="CO32" s="179"/>
      <c r="CP32" s="179"/>
      <c r="CQ32" s="179"/>
      <c r="CR32" s="179"/>
      <c r="CS32" s="179"/>
      <c r="CT32" s="179"/>
      <c r="CU32" s="179"/>
      <c r="CV32" s="179"/>
      <c r="CW32" s="179"/>
      <c r="CX32" s="179"/>
      <c r="CY32" s="179"/>
      <c r="CZ32" s="179"/>
      <c r="DA32" s="179"/>
      <c r="DB32" s="179"/>
      <c r="DC32" s="179"/>
      <c r="DD32" s="179"/>
      <c r="DE32" s="179"/>
      <c r="DF32" s="179"/>
      <c r="DG32" s="179"/>
      <c r="DH32" s="179"/>
      <c r="DI32" s="179"/>
      <c r="DJ32" s="179"/>
      <c r="DK32" s="179"/>
      <c r="DL32" s="179"/>
      <c r="DM32" s="179"/>
      <c r="DN32" s="179"/>
      <c r="DO32" s="179"/>
      <c r="DP32" s="179"/>
      <c r="DQ32" s="179"/>
      <c r="DR32" s="179"/>
      <c r="DS32" s="179"/>
      <c r="DT32" s="179"/>
      <c r="DU32" s="179"/>
      <c r="DV32" s="179"/>
      <c r="DW32" s="179"/>
      <c r="DX32" s="179"/>
      <c r="DY32" s="179"/>
      <c r="DZ32" s="179"/>
      <c r="EA32" s="179"/>
      <c r="EB32" s="179"/>
      <c r="EC32" s="179"/>
      <c r="ED32" s="179"/>
      <c r="EE32" s="179"/>
      <c r="EF32" s="183" t="s">
        <v>243</v>
      </c>
    </row>
    <row r="33" spans="1:136" s="180" customFormat="1" x14ac:dyDescent="0.2">
      <c r="A33" s="190"/>
      <c r="B33" s="182" t="s">
        <v>705</v>
      </c>
      <c r="C33" s="183"/>
      <c r="D33" s="184">
        <f t="shared" ref="D33:AI33" si="58">C39</f>
        <v>0</v>
      </c>
      <c r="E33" s="184">
        <f t="shared" si="58"/>
        <v>0</v>
      </c>
      <c r="F33" s="184">
        <f t="shared" si="58"/>
        <v>0</v>
      </c>
      <c r="G33" s="184">
        <f t="shared" si="58"/>
        <v>0</v>
      </c>
      <c r="H33" s="184">
        <f t="shared" si="58"/>
        <v>0</v>
      </c>
      <c r="I33" s="184">
        <f t="shared" si="58"/>
        <v>0</v>
      </c>
      <c r="J33" s="184">
        <f t="shared" si="58"/>
        <v>0</v>
      </c>
      <c r="K33" s="184">
        <f t="shared" si="58"/>
        <v>0</v>
      </c>
      <c r="L33" s="184">
        <f t="shared" si="58"/>
        <v>0</v>
      </c>
      <c r="M33" s="184">
        <f t="shared" si="58"/>
        <v>0</v>
      </c>
      <c r="N33" s="184">
        <f t="shared" si="58"/>
        <v>0</v>
      </c>
      <c r="O33" s="184">
        <f t="shared" si="58"/>
        <v>0</v>
      </c>
      <c r="P33" s="184">
        <f t="shared" si="58"/>
        <v>0</v>
      </c>
      <c r="Q33" s="184">
        <f t="shared" si="58"/>
        <v>0</v>
      </c>
      <c r="R33" s="184">
        <f t="shared" si="58"/>
        <v>0</v>
      </c>
      <c r="S33" s="184">
        <f t="shared" si="58"/>
        <v>0</v>
      </c>
      <c r="T33" s="184">
        <f t="shared" si="58"/>
        <v>0</v>
      </c>
      <c r="U33" s="184">
        <f t="shared" si="58"/>
        <v>0</v>
      </c>
      <c r="V33" s="184">
        <f t="shared" si="58"/>
        <v>0</v>
      </c>
      <c r="W33" s="184">
        <f t="shared" si="58"/>
        <v>0</v>
      </c>
      <c r="X33" s="184">
        <f t="shared" si="58"/>
        <v>0</v>
      </c>
      <c r="Y33" s="184">
        <f t="shared" si="58"/>
        <v>0</v>
      </c>
      <c r="Z33" s="184">
        <f t="shared" si="58"/>
        <v>0</v>
      </c>
      <c r="AA33" s="184">
        <f t="shared" si="58"/>
        <v>0</v>
      </c>
      <c r="AB33" s="184">
        <f t="shared" si="58"/>
        <v>0</v>
      </c>
      <c r="AC33" s="184">
        <f t="shared" si="58"/>
        <v>0</v>
      </c>
      <c r="AD33" s="184">
        <f t="shared" si="58"/>
        <v>0</v>
      </c>
      <c r="AE33" s="184">
        <f t="shared" si="58"/>
        <v>0</v>
      </c>
      <c r="AF33" s="184">
        <f t="shared" si="58"/>
        <v>0</v>
      </c>
      <c r="AG33" s="184">
        <f t="shared" si="58"/>
        <v>0</v>
      </c>
      <c r="AH33" s="184">
        <f t="shared" si="58"/>
        <v>0</v>
      </c>
      <c r="AI33" s="184">
        <f t="shared" si="58"/>
        <v>0</v>
      </c>
      <c r="AJ33" s="184">
        <f t="shared" ref="AJ33:BO33" si="59">AI39</f>
        <v>0</v>
      </c>
      <c r="AK33" s="184">
        <f t="shared" si="59"/>
        <v>0</v>
      </c>
      <c r="AL33" s="184">
        <f t="shared" si="59"/>
        <v>0</v>
      </c>
      <c r="AM33" s="184">
        <f t="shared" si="59"/>
        <v>0</v>
      </c>
      <c r="AN33" s="184">
        <f t="shared" ca="1" si="59"/>
        <v>49291943.027310237</v>
      </c>
      <c r="AO33" s="184">
        <f t="shared" ca="1" si="59"/>
        <v>49291943.027310237</v>
      </c>
      <c r="AP33" s="184">
        <f t="shared" ca="1" si="59"/>
        <v>49291943.027310237</v>
      </c>
      <c r="AQ33" s="184">
        <f t="shared" ca="1" si="59"/>
        <v>49291943.027310237</v>
      </c>
      <c r="AR33" s="184">
        <f t="shared" ca="1" si="59"/>
        <v>49291943.027310237</v>
      </c>
      <c r="AS33" s="184">
        <f t="shared" ca="1" si="59"/>
        <v>49291943.027310237</v>
      </c>
      <c r="AT33" s="184">
        <f t="shared" ca="1" si="59"/>
        <v>49291943.027310237</v>
      </c>
      <c r="AU33" s="184">
        <f t="shared" ca="1" si="59"/>
        <v>49291943.027310237</v>
      </c>
      <c r="AV33" s="184">
        <f t="shared" ca="1" si="59"/>
        <v>49291943.027310237</v>
      </c>
      <c r="AW33" s="184">
        <f t="shared" ca="1" si="59"/>
        <v>49291943.027310237</v>
      </c>
      <c r="AX33" s="184">
        <f t="shared" ca="1" si="59"/>
        <v>49291943.027310237</v>
      </c>
      <c r="AY33" s="184">
        <f t="shared" ca="1" si="59"/>
        <v>49291943.027310237</v>
      </c>
      <c r="AZ33" s="184">
        <f t="shared" ca="1" si="59"/>
        <v>49291943.027310237</v>
      </c>
      <c r="BA33" s="184">
        <f t="shared" ca="1" si="59"/>
        <v>49291943.027310237</v>
      </c>
      <c r="BB33" s="184">
        <f t="shared" ca="1" si="59"/>
        <v>49291943.027310237</v>
      </c>
      <c r="BC33" s="184">
        <f t="shared" ca="1" si="59"/>
        <v>49291943.027310237</v>
      </c>
      <c r="BD33" s="184">
        <f t="shared" ca="1" si="59"/>
        <v>49291943.027310237</v>
      </c>
      <c r="BE33" s="184">
        <f t="shared" ca="1" si="59"/>
        <v>49291943.027310237</v>
      </c>
      <c r="BF33" s="184">
        <f t="shared" ca="1" si="59"/>
        <v>49291943.027310237</v>
      </c>
      <c r="BG33" s="184">
        <f t="shared" ca="1" si="59"/>
        <v>49291943.027310237</v>
      </c>
      <c r="BH33" s="184">
        <f t="shared" ca="1" si="59"/>
        <v>49291943.027310237</v>
      </c>
      <c r="BI33" s="184">
        <f t="shared" ca="1" si="59"/>
        <v>49291943.027310237</v>
      </c>
      <c r="BJ33" s="184">
        <f t="shared" ca="1" si="59"/>
        <v>49291943.027310237</v>
      </c>
      <c r="BK33" s="184">
        <f t="shared" ca="1" si="59"/>
        <v>49291943.027310237</v>
      </c>
      <c r="BL33" s="184">
        <f t="shared" ca="1" si="59"/>
        <v>0</v>
      </c>
      <c r="BM33" s="184">
        <f t="shared" ca="1" si="59"/>
        <v>0</v>
      </c>
      <c r="BN33" s="184">
        <f t="shared" ca="1" si="59"/>
        <v>0</v>
      </c>
      <c r="BO33" s="184">
        <f t="shared" ca="1" si="59"/>
        <v>0</v>
      </c>
      <c r="BP33" s="184">
        <f t="shared" ref="BP33:CU33" ca="1" si="60">BO39</f>
        <v>0</v>
      </c>
      <c r="BQ33" s="184">
        <f t="shared" ca="1" si="60"/>
        <v>0</v>
      </c>
      <c r="BR33" s="184">
        <f t="shared" ca="1" si="60"/>
        <v>0</v>
      </c>
      <c r="BS33" s="184">
        <f t="shared" ca="1" si="60"/>
        <v>0</v>
      </c>
      <c r="BT33" s="184">
        <f t="shared" ca="1" si="60"/>
        <v>0</v>
      </c>
      <c r="BU33" s="184">
        <f t="shared" ca="1" si="60"/>
        <v>0</v>
      </c>
      <c r="BV33" s="184">
        <f t="shared" ca="1" si="60"/>
        <v>0</v>
      </c>
      <c r="BW33" s="184">
        <f t="shared" ca="1" si="60"/>
        <v>0</v>
      </c>
      <c r="BX33" s="184">
        <f t="shared" ca="1" si="60"/>
        <v>0</v>
      </c>
      <c r="BY33" s="184">
        <f t="shared" ca="1" si="60"/>
        <v>0</v>
      </c>
      <c r="BZ33" s="184">
        <f t="shared" ca="1" si="60"/>
        <v>0</v>
      </c>
      <c r="CA33" s="184">
        <f t="shared" ca="1" si="60"/>
        <v>0</v>
      </c>
      <c r="CB33" s="184">
        <f t="shared" ca="1" si="60"/>
        <v>0</v>
      </c>
      <c r="CC33" s="184">
        <f t="shared" ca="1" si="60"/>
        <v>0</v>
      </c>
      <c r="CD33" s="184">
        <f t="shared" ca="1" si="60"/>
        <v>0</v>
      </c>
      <c r="CE33" s="184">
        <f t="shared" ca="1" si="60"/>
        <v>0</v>
      </c>
      <c r="CF33" s="184">
        <f t="shared" ca="1" si="60"/>
        <v>0</v>
      </c>
      <c r="CG33" s="184">
        <f t="shared" ca="1" si="60"/>
        <v>0</v>
      </c>
      <c r="CH33" s="184">
        <f t="shared" ca="1" si="60"/>
        <v>0</v>
      </c>
      <c r="CI33" s="184">
        <f t="shared" ca="1" si="60"/>
        <v>0</v>
      </c>
      <c r="CJ33" s="184">
        <f t="shared" ca="1" si="60"/>
        <v>0</v>
      </c>
      <c r="CK33" s="184">
        <f t="shared" ca="1" si="60"/>
        <v>0</v>
      </c>
      <c r="CL33" s="184">
        <f t="shared" ca="1" si="60"/>
        <v>0</v>
      </c>
      <c r="CM33" s="184">
        <f t="shared" ca="1" si="60"/>
        <v>0</v>
      </c>
      <c r="CN33" s="184">
        <f t="shared" ca="1" si="60"/>
        <v>0</v>
      </c>
      <c r="CO33" s="184">
        <f t="shared" ca="1" si="60"/>
        <v>0</v>
      </c>
      <c r="CP33" s="184">
        <f t="shared" ca="1" si="60"/>
        <v>0</v>
      </c>
      <c r="CQ33" s="184">
        <f t="shared" ca="1" si="60"/>
        <v>0</v>
      </c>
      <c r="CR33" s="184">
        <f t="shared" ca="1" si="60"/>
        <v>0</v>
      </c>
      <c r="CS33" s="184">
        <f t="shared" ca="1" si="60"/>
        <v>0</v>
      </c>
      <c r="CT33" s="184">
        <f t="shared" ca="1" si="60"/>
        <v>0</v>
      </c>
      <c r="CU33" s="184">
        <f t="shared" ca="1" si="60"/>
        <v>0</v>
      </c>
      <c r="CV33" s="184">
        <f t="shared" ref="CV33:EE33" ca="1" si="61">CU39</f>
        <v>0</v>
      </c>
      <c r="CW33" s="184">
        <f t="shared" ca="1" si="61"/>
        <v>0</v>
      </c>
      <c r="CX33" s="184">
        <f t="shared" ca="1" si="61"/>
        <v>0</v>
      </c>
      <c r="CY33" s="184">
        <f t="shared" ca="1" si="61"/>
        <v>0</v>
      </c>
      <c r="CZ33" s="184">
        <f t="shared" ca="1" si="61"/>
        <v>0</v>
      </c>
      <c r="DA33" s="184">
        <f t="shared" ca="1" si="61"/>
        <v>0</v>
      </c>
      <c r="DB33" s="184">
        <f t="shared" ca="1" si="61"/>
        <v>0</v>
      </c>
      <c r="DC33" s="184">
        <f t="shared" ca="1" si="61"/>
        <v>0</v>
      </c>
      <c r="DD33" s="184">
        <f t="shared" ca="1" si="61"/>
        <v>0</v>
      </c>
      <c r="DE33" s="184">
        <f t="shared" ca="1" si="61"/>
        <v>0</v>
      </c>
      <c r="DF33" s="184">
        <f t="shared" ca="1" si="61"/>
        <v>0</v>
      </c>
      <c r="DG33" s="184">
        <f t="shared" ca="1" si="61"/>
        <v>0</v>
      </c>
      <c r="DH33" s="184">
        <f t="shared" ca="1" si="61"/>
        <v>0</v>
      </c>
      <c r="DI33" s="184">
        <f t="shared" ca="1" si="61"/>
        <v>0</v>
      </c>
      <c r="DJ33" s="184">
        <f t="shared" ca="1" si="61"/>
        <v>0</v>
      </c>
      <c r="DK33" s="184">
        <f t="shared" ca="1" si="61"/>
        <v>0</v>
      </c>
      <c r="DL33" s="184">
        <f t="shared" ca="1" si="61"/>
        <v>0</v>
      </c>
      <c r="DM33" s="184">
        <f t="shared" ca="1" si="61"/>
        <v>0</v>
      </c>
      <c r="DN33" s="184">
        <f t="shared" ca="1" si="61"/>
        <v>0</v>
      </c>
      <c r="DO33" s="184">
        <f t="shared" ca="1" si="61"/>
        <v>0</v>
      </c>
      <c r="DP33" s="184">
        <f t="shared" ca="1" si="61"/>
        <v>0</v>
      </c>
      <c r="DQ33" s="184">
        <f t="shared" ca="1" si="61"/>
        <v>0</v>
      </c>
      <c r="DR33" s="184">
        <f t="shared" ca="1" si="61"/>
        <v>0</v>
      </c>
      <c r="DS33" s="184">
        <f t="shared" ca="1" si="61"/>
        <v>0</v>
      </c>
      <c r="DT33" s="184">
        <f t="shared" ca="1" si="61"/>
        <v>0</v>
      </c>
      <c r="DU33" s="184">
        <f t="shared" ca="1" si="61"/>
        <v>0</v>
      </c>
      <c r="DV33" s="184">
        <f t="shared" ca="1" si="61"/>
        <v>0</v>
      </c>
      <c r="DW33" s="184">
        <f t="shared" ca="1" si="61"/>
        <v>0</v>
      </c>
      <c r="DX33" s="184">
        <f t="shared" ca="1" si="61"/>
        <v>0</v>
      </c>
      <c r="DY33" s="184">
        <f t="shared" ca="1" si="61"/>
        <v>0</v>
      </c>
      <c r="DZ33" s="184">
        <f t="shared" ca="1" si="61"/>
        <v>0</v>
      </c>
      <c r="EA33" s="184">
        <f t="shared" ca="1" si="61"/>
        <v>0</v>
      </c>
      <c r="EB33" s="184">
        <f t="shared" ca="1" si="61"/>
        <v>0</v>
      </c>
      <c r="EC33" s="184">
        <f t="shared" ca="1" si="61"/>
        <v>0</v>
      </c>
      <c r="ED33" s="184">
        <f t="shared" ca="1" si="61"/>
        <v>0</v>
      </c>
      <c r="EE33" s="184">
        <f t="shared" ca="1" si="61"/>
        <v>0</v>
      </c>
      <c r="EF33" s="183" t="s">
        <v>243</v>
      </c>
    </row>
    <row r="34" spans="1:136" s="180" customFormat="1" x14ac:dyDescent="0.2">
      <c r="A34" s="190"/>
      <c r="B34" s="185" t="s">
        <v>780</v>
      </c>
      <c r="C34" s="183">
        <f t="shared" ref="C34:AH34" si="62">IF(OR(C6&gt;HoldPeriod,C6&lt;RefiMonth),0,IF(C6=RefiMonth,RefiLoanAmount,0))</f>
        <v>0</v>
      </c>
      <c r="D34" s="183">
        <f t="shared" si="62"/>
        <v>0</v>
      </c>
      <c r="E34" s="183">
        <f t="shared" si="62"/>
        <v>0</v>
      </c>
      <c r="F34" s="183">
        <f t="shared" si="62"/>
        <v>0</v>
      </c>
      <c r="G34" s="183">
        <f t="shared" si="62"/>
        <v>0</v>
      </c>
      <c r="H34" s="183">
        <f t="shared" si="62"/>
        <v>0</v>
      </c>
      <c r="I34" s="183">
        <f t="shared" si="62"/>
        <v>0</v>
      </c>
      <c r="J34" s="183">
        <f t="shared" si="62"/>
        <v>0</v>
      </c>
      <c r="K34" s="183">
        <f t="shared" si="62"/>
        <v>0</v>
      </c>
      <c r="L34" s="183">
        <f t="shared" si="62"/>
        <v>0</v>
      </c>
      <c r="M34" s="183">
        <f t="shared" si="62"/>
        <v>0</v>
      </c>
      <c r="N34" s="183">
        <f t="shared" si="62"/>
        <v>0</v>
      </c>
      <c r="O34" s="183">
        <f t="shared" si="62"/>
        <v>0</v>
      </c>
      <c r="P34" s="183">
        <f t="shared" si="62"/>
        <v>0</v>
      </c>
      <c r="Q34" s="183">
        <f t="shared" si="62"/>
        <v>0</v>
      </c>
      <c r="R34" s="183">
        <f t="shared" si="62"/>
        <v>0</v>
      </c>
      <c r="S34" s="183">
        <f t="shared" si="62"/>
        <v>0</v>
      </c>
      <c r="T34" s="183">
        <f t="shared" si="62"/>
        <v>0</v>
      </c>
      <c r="U34" s="183">
        <f t="shared" si="62"/>
        <v>0</v>
      </c>
      <c r="V34" s="183">
        <f t="shared" si="62"/>
        <v>0</v>
      </c>
      <c r="W34" s="183">
        <f t="shared" si="62"/>
        <v>0</v>
      </c>
      <c r="X34" s="183">
        <f t="shared" si="62"/>
        <v>0</v>
      </c>
      <c r="Y34" s="183">
        <f t="shared" si="62"/>
        <v>0</v>
      </c>
      <c r="Z34" s="183">
        <f t="shared" si="62"/>
        <v>0</v>
      </c>
      <c r="AA34" s="183">
        <f t="shared" si="62"/>
        <v>0</v>
      </c>
      <c r="AB34" s="183">
        <f t="shared" si="62"/>
        <v>0</v>
      </c>
      <c r="AC34" s="183">
        <f t="shared" si="62"/>
        <v>0</v>
      </c>
      <c r="AD34" s="183">
        <f t="shared" si="62"/>
        <v>0</v>
      </c>
      <c r="AE34" s="183">
        <f t="shared" si="62"/>
        <v>0</v>
      </c>
      <c r="AF34" s="183">
        <f t="shared" si="62"/>
        <v>0</v>
      </c>
      <c r="AG34" s="183">
        <f t="shared" si="62"/>
        <v>0</v>
      </c>
      <c r="AH34" s="183">
        <f t="shared" si="62"/>
        <v>0</v>
      </c>
      <c r="AI34" s="183">
        <f t="shared" ref="AI34:BN34" si="63">IF(OR(AI6&gt;HoldPeriod,AI6&lt;RefiMonth),0,IF(AI6=RefiMonth,RefiLoanAmount,0))</f>
        <v>0</v>
      </c>
      <c r="AJ34" s="183">
        <f t="shared" si="63"/>
        <v>0</v>
      </c>
      <c r="AK34" s="183">
        <f t="shared" si="63"/>
        <v>0</v>
      </c>
      <c r="AL34" s="183">
        <f t="shared" si="63"/>
        <v>0</v>
      </c>
      <c r="AM34" s="183">
        <f t="shared" ca="1" si="63"/>
        <v>49291943.027310237</v>
      </c>
      <c r="AN34" s="183">
        <f t="shared" si="63"/>
        <v>0</v>
      </c>
      <c r="AO34" s="183">
        <f t="shared" si="63"/>
        <v>0</v>
      </c>
      <c r="AP34" s="183">
        <f t="shared" si="63"/>
        <v>0</v>
      </c>
      <c r="AQ34" s="183">
        <f t="shared" si="63"/>
        <v>0</v>
      </c>
      <c r="AR34" s="183">
        <f t="shared" si="63"/>
        <v>0</v>
      </c>
      <c r="AS34" s="183">
        <f t="shared" si="63"/>
        <v>0</v>
      </c>
      <c r="AT34" s="183">
        <f t="shared" si="63"/>
        <v>0</v>
      </c>
      <c r="AU34" s="183">
        <f t="shared" si="63"/>
        <v>0</v>
      </c>
      <c r="AV34" s="183">
        <f t="shared" si="63"/>
        <v>0</v>
      </c>
      <c r="AW34" s="183">
        <f t="shared" si="63"/>
        <v>0</v>
      </c>
      <c r="AX34" s="183">
        <f t="shared" si="63"/>
        <v>0</v>
      </c>
      <c r="AY34" s="183">
        <f t="shared" si="63"/>
        <v>0</v>
      </c>
      <c r="AZ34" s="183">
        <f t="shared" si="63"/>
        <v>0</v>
      </c>
      <c r="BA34" s="183">
        <f t="shared" si="63"/>
        <v>0</v>
      </c>
      <c r="BB34" s="183">
        <f t="shared" si="63"/>
        <v>0</v>
      </c>
      <c r="BC34" s="183">
        <f t="shared" si="63"/>
        <v>0</v>
      </c>
      <c r="BD34" s="183">
        <f t="shared" si="63"/>
        <v>0</v>
      </c>
      <c r="BE34" s="183">
        <f t="shared" si="63"/>
        <v>0</v>
      </c>
      <c r="BF34" s="183">
        <f t="shared" si="63"/>
        <v>0</v>
      </c>
      <c r="BG34" s="183">
        <f t="shared" si="63"/>
        <v>0</v>
      </c>
      <c r="BH34" s="183">
        <f t="shared" si="63"/>
        <v>0</v>
      </c>
      <c r="BI34" s="183">
        <f t="shared" si="63"/>
        <v>0</v>
      </c>
      <c r="BJ34" s="183">
        <f t="shared" si="63"/>
        <v>0</v>
      </c>
      <c r="BK34" s="183">
        <f t="shared" si="63"/>
        <v>0</v>
      </c>
      <c r="BL34" s="183">
        <f t="shared" si="63"/>
        <v>0</v>
      </c>
      <c r="BM34" s="183">
        <f t="shared" si="63"/>
        <v>0</v>
      </c>
      <c r="BN34" s="183">
        <f t="shared" si="63"/>
        <v>0</v>
      </c>
      <c r="BO34" s="183">
        <f t="shared" ref="BO34:CT34" si="64">IF(OR(BO6&gt;HoldPeriod,BO6&lt;RefiMonth),0,IF(BO6=RefiMonth,RefiLoanAmount,0))</f>
        <v>0</v>
      </c>
      <c r="BP34" s="183">
        <f t="shared" si="64"/>
        <v>0</v>
      </c>
      <c r="BQ34" s="183">
        <f t="shared" si="64"/>
        <v>0</v>
      </c>
      <c r="BR34" s="183">
        <f t="shared" si="64"/>
        <v>0</v>
      </c>
      <c r="BS34" s="183">
        <f t="shared" si="64"/>
        <v>0</v>
      </c>
      <c r="BT34" s="183">
        <f t="shared" si="64"/>
        <v>0</v>
      </c>
      <c r="BU34" s="183">
        <f t="shared" si="64"/>
        <v>0</v>
      </c>
      <c r="BV34" s="183">
        <f t="shared" si="64"/>
        <v>0</v>
      </c>
      <c r="BW34" s="183">
        <f t="shared" si="64"/>
        <v>0</v>
      </c>
      <c r="BX34" s="183">
        <f t="shared" si="64"/>
        <v>0</v>
      </c>
      <c r="BY34" s="183">
        <f t="shared" si="64"/>
        <v>0</v>
      </c>
      <c r="BZ34" s="183">
        <f t="shared" si="64"/>
        <v>0</v>
      </c>
      <c r="CA34" s="183">
        <f t="shared" si="64"/>
        <v>0</v>
      </c>
      <c r="CB34" s="183">
        <f t="shared" si="64"/>
        <v>0</v>
      </c>
      <c r="CC34" s="183">
        <f t="shared" si="64"/>
        <v>0</v>
      </c>
      <c r="CD34" s="183">
        <f t="shared" si="64"/>
        <v>0</v>
      </c>
      <c r="CE34" s="183">
        <f t="shared" si="64"/>
        <v>0</v>
      </c>
      <c r="CF34" s="183">
        <f t="shared" si="64"/>
        <v>0</v>
      </c>
      <c r="CG34" s="183">
        <f t="shared" si="64"/>
        <v>0</v>
      </c>
      <c r="CH34" s="183">
        <f t="shared" si="64"/>
        <v>0</v>
      </c>
      <c r="CI34" s="183">
        <f t="shared" si="64"/>
        <v>0</v>
      </c>
      <c r="CJ34" s="183">
        <f t="shared" si="64"/>
        <v>0</v>
      </c>
      <c r="CK34" s="183">
        <f t="shared" si="64"/>
        <v>0</v>
      </c>
      <c r="CL34" s="183">
        <f t="shared" si="64"/>
        <v>0</v>
      </c>
      <c r="CM34" s="183">
        <f t="shared" si="64"/>
        <v>0</v>
      </c>
      <c r="CN34" s="183">
        <f t="shared" si="64"/>
        <v>0</v>
      </c>
      <c r="CO34" s="183">
        <f t="shared" si="64"/>
        <v>0</v>
      </c>
      <c r="CP34" s="183">
        <f t="shared" si="64"/>
        <v>0</v>
      </c>
      <c r="CQ34" s="183">
        <f t="shared" si="64"/>
        <v>0</v>
      </c>
      <c r="CR34" s="183">
        <f t="shared" si="64"/>
        <v>0</v>
      </c>
      <c r="CS34" s="183">
        <f t="shared" si="64"/>
        <v>0</v>
      </c>
      <c r="CT34" s="183">
        <f t="shared" si="64"/>
        <v>0</v>
      </c>
      <c r="CU34" s="183">
        <f t="shared" ref="CU34:EE34" si="65">IF(OR(CU6&gt;HoldPeriod,CU6&lt;RefiMonth),0,IF(CU6=RefiMonth,RefiLoanAmount,0))</f>
        <v>0</v>
      </c>
      <c r="CV34" s="183">
        <f t="shared" si="65"/>
        <v>0</v>
      </c>
      <c r="CW34" s="183">
        <f t="shared" si="65"/>
        <v>0</v>
      </c>
      <c r="CX34" s="183">
        <f t="shared" si="65"/>
        <v>0</v>
      </c>
      <c r="CY34" s="183">
        <f t="shared" si="65"/>
        <v>0</v>
      </c>
      <c r="CZ34" s="183">
        <f t="shared" si="65"/>
        <v>0</v>
      </c>
      <c r="DA34" s="183">
        <f t="shared" si="65"/>
        <v>0</v>
      </c>
      <c r="DB34" s="183">
        <f t="shared" si="65"/>
        <v>0</v>
      </c>
      <c r="DC34" s="183">
        <f t="shared" si="65"/>
        <v>0</v>
      </c>
      <c r="DD34" s="183">
        <f t="shared" si="65"/>
        <v>0</v>
      </c>
      <c r="DE34" s="183">
        <f t="shared" si="65"/>
        <v>0</v>
      </c>
      <c r="DF34" s="183">
        <f t="shared" si="65"/>
        <v>0</v>
      </c>
      <c r="DG34" s="183">
        <f t="shared" si="65"/>
        <v>0</v>
      </c>
      <c r="DH34" s="183">
        <f t="shared" si="65"/>
        <v>0</v>
      </c>
      <c r="DI34" s="183">
        <f t="shared" si="65"/>
        <v>0</v>
      </c>
      <c r="DJ34" s="183">
        <f t="shared" si="65"/>
        <v>0</v>
      </c>
      <c r="DK34" s="183">
        <f t="shared" si="65"/>
        <v>0</v>
      </c>
      <c r="DL34" s="183">
        <f t="shared" si="65"/>
        <v>0</v>
      </c>
      <c r="DM34" s="183">
        <f t="shared" si="65"/>
        <v>0</v>
      </c>
      <c r="DN34" s="183">
        <f t="shared" si="65"/>
        <v>0</v>
      </c>
      <c r="DO34" s="183">
        <f t="shared" si="65"/>
        <v>0</v>
      </c>
      <c r="DP34" s="183">
        <f t="shared" si="65"/>
        <v>0</v>
      </c>
      <c r="DQ34" s="183">
        <f t="shared" si="65"/>
        <v>0</v>
      </c>
      <c r="DR34" s="183">
        <f t="shared" si="65"/>
        <v>0</v>
      </c>
      <c r="DS34" s="183">
        <f t="shared" si="65"/>
        <v>0</v>
      </c>
      <c r="DT34" s="183">
        <f t="shared" si="65"/>
        <v>0</v>
      </c>
      <c r="DU34" s="183">
        <f t="shared" si="65"/>
        <v>0</v>
      </c>
      <c r="DV34" s="183">
        <f t="shared" si="65"/>
        <v>0</v>
      </c>
      <c r="DW34" s="183">
        <f t="shared" si="65"/>
        <v>0</v>
      </c>
      <c r="DX34" s="183">
        <f t="shared" si="65"/>
        <v>0</v>
      </c>
      <c r="DY34" s="183">
        <f t="shared" si="65"/>
        <v>0</v>
      </c>
      <c r="DZ34" s="183">
        <f t="shared" si="65"/>
        <v>0</v>
      </c>
      <c r="EA34" s="183">
        <f t="shared" si="65"/>
        <v>0</v>
      </c>
      <c r="EB34" s="183">
        <f t="shared" si="65"/>
        <v>0</v>
      </c>
      <c r="EC34" s="183">
        <f t="shared" si="65"/>
        <v>0</v>
      </c>
      <c r="ED34" s="183">
        <f t="shared" si="65"/>
        <v>0</v>
      </c>
      <c r="EE34" s="183">
        <f t="shared" si="65"/>
        <v>0</v>
      </c>
      <c r="EF34" s="183" t="s">
        <v>243</v>
      </c>
    </row>
    <row r="35" spans="1:136" s="180" customFormat="1" x14ac:dyDescent="0.2">
      <c r="A35" s="190"/>
      <c r="B35" s="185" t="s">
        <v>36</v>
      </c>
      <c r="C35" s="183">
        <v>0</v>
      </c>
      <c r="D35" s="183">
        <f t="shared" ref="D35:AI35" si="66">IF(OR(D6&gt;HoldPeriod,D6&lt;=RefiMonth),0,-(D33+D34)*RefiInterestRate/12)</f>
        <v>0</v>
      </c>
      <c r="E35" s="183">
        <f t="shared" si="66"/>
        <v>0</v>
      </c>
      <c r="F35" s="183">
        <f t="shared" si="66"/>
        <v>0</v>
      </c>
      <c r="G35" s="183">
        <f t="shared" si="66"/>
        <v>0</v>
      </c>
      <c r="H35" s="183">
        <f t="shared" si="66"/>
        <v>0</v>
      </c>
      <c r="I35" s="183">
        <f t="shared" si="66"/>
        <v>0</v>
      </c>
      <c r="J35" s="183">
        <f t="shared" si="66"/>
        <v>0</v>
      </c>
      <c r="K35" s="183">
        <f t="shared" si="66"/>
        <v>0</v>
      </c>
      <c r="L35" s="183">
        <f t="shared" si="66"/>
        <v>0</v>
      </c>
      <c r="M35" s="183">
        <f t="shared" si="66"/>
        <v>0</v>
      </c>
      <c r="N35" s="183">
        <f t="shared" si="66"/>
        <v>0</v>
      </c>
      <c r="O35" s="183">
        <f t="shared" si="66"/>
        <v>0</v>
      </c>
      <c r="P35" s="183">
        <f t="shared" si="66"/>
        <v>0</v>
      </c>
      <c r="Q35" s="183">
        <f t="shared" si="66"/>
        <v>0</v>
      </c>
      <c r="R35" s="183">
        <f t="shared" si="66"/>
        <v>0</v>
      </c>
      <c r="S35" s="183">
        <f t="shared" si="66"/>
        <v>0</v>
      </c>
      <c r="T35" s="183">
        <f t="shared" si="66"/>
        <v>0</v>
      </c>
      <c r="U35" s="183">
        <f t="shared" si="66"/>
        <v>0</v>
      </c>
      <c r="V35" s="183">
        <f t="shared" si="66"/>
        <v>0</v>
      </c>
      <c r="W35" s="183">
        <f t="shared" si="66"/>
        <v>0</v>
      </c>
      <c r="X35" s="183">
        <f t="shared" si="66"/>
        <v>0</v>
      </c>
      <c r="Y35" s="183">
        <f t="shared" si="66"/>
        <v>0</v>
      </c>
      <c r="Z35" s="183">
        <f t="shared" si="66"/>
        <v>0</v>
      </c>
      <c r="AA35" s="183">
        <f t="shared" si="66"/>
        <v>0</v>
      </c>
      <c r="AB35" s="183">
        <f t="shared" si="66"/>
        <v>0</v>
      </c>
      <c r="AC35" s="183">
        <f t="shared" si="66"/>
        <v>0</v>
      </c>
      <c r="AD35" s="183">
        <f t="shared" si="66"/>
        <v>0</v>
      </c>
      <c r="AE35" s="183">
        <f t="shared" si="66"/>
        <v>0</v>
      </c>
      <c r="AF35" s="183">
        <f t="shared" si="66"/>
        <v>0</v>
      </c>
      <c r="AG35" s="183">
        <f t="shared" si="66"/>
        <v>0</v>
      </c>
      <c r="AH35" s="183">
        <f t="shared" si="66"/>
        <v>0</v>
      </c>
      <c r="AI35" s="183">
        <f t="shared" si="66"/>
        <v>0</v>
      </c>
      <c r="AJ35" s="183">
        <f t="shared" ref="AJ35:BO35" si="67">IF(OR(AJ6&gt;HoldPeriod,AJ6&lt;=RefiMonth),0,-(AJ33+AJ34)*RefiInterestRate/12)</f>
        <v>0</v>
      </c>
      <c r="AK35" s="183">
        <f t="shared" si="67"/>
        <v>0</v>
      </c>
      <c r="AL35" s="183">
        <f t="shared" si="67"/>
        <v>0</v>
      </c>
      <c r="AM35" s="183">
        <f t="shared" si="67"/>
        <v>0</v>
      </c>
      <c r="AN35" s="183">
        <f t="shared" ca="1" si="67"/>
        <v>-225921.40554183858</v>
      </c>
      <c r="AO35" s="183">
        <f t="shared" ca="1" si="67"/>
        <v>-225921.40554183858</v>
      </c>
      <c r="AP35" s="183">
        <f t="shared" ca="1" si="67"/>
        <v>-225921.40554183858</v>
      </c>
      <c r="AQ35" s="183">
        <f t="shared" ca="1" si="67"/>
        <v>-225921.40554183858</v>
      </c>
      <c r="AR35" s="183">
        <f t="shared" ca="1" si="67"/>
        <v>-225921.40554183858</v>
      </c>
      <c r="AS35" s="183">
        <f t="shared" ca="1" si="67"/>
        <v>-225921.40554183858</v>
      </c>
      <c r="AT35" s="183">
        <f t="shared" ca="1" si="67"/>
        <v>-225921.40554183858</v>
      </c>
      <c r="AU35" s="183">
        <f t="shared" ca="1" si="67"/>
        <v>-225921.40554183858</v>
      </c>
      <c r="AV35" s="183">
        <f t="shared" ca="1" si="67"/>
        <v>-225921.40554183858</v>
      </c>
      <c r="AW35" s="183">
        <f t="shared" ca="1" si="67"/>
        <v>-225921.40554183858</v>
      </c>
      <c r="AX35" s="183">
        <f t="shared" ca="1" si="67"/>
        <v>-225921.40554183858</v>
      </c>
      <c r="AY35" s="183">
        <f t="shared" ca="1" si="67"/>
        <v>-225921.40554183858</v>
      </c>
      <c r="AZ35" s="183">
        <f t="shared" ca="1" si="67"/>
        <v>-225921.40554183858</v>
      </c>
      <c r="BA35" s="183">
        <f t="shared" ca="1" si="67"/>
        <v>-225921.40554183858</v>
      </c>
      <c r="BB35" s="183">
        <f t="shared" ca="1" si="67"/>
        <v>-225921.40554183858</v>
      </c>
      <c r="BC35" s="183">
        <f t="shared" ca="1" si="67"/>
        <v>-225921.40554183858</v>
      </c>
      <c r="BD35" s="183">
        <f t="shared" ca="1" si="67"/>
        <v>-225921.40554183858</v>
      </c>
      <c r="BE35" s="183">
        <f t="shared" ca="1" si="67"/>
        <v>-225921.40554183858</v>
      </c>
      <c r="BF35" s="183">
        <f t="shared" ca="1" si="67"/>
        <v>-225921.40554183858</v>
      </c>
      <c r="BG35" s="183">
        <f t="shared" ca="1" si="67"/>
        <v>-225921.40554183858</v>
      </c>
      <c r="BH35" s="183">
        <f t="shared" ca="1" si="67"/>
        <v>-225921.40554183858</v>
      </c>
      <c r="BI35" s="183">
        <f t="shared" ca="1" si="67"/>
        <v>-225921.40554183858</v>
      </c>
      <c r="BJ35" s="183">
        <f t="shared" ca="1" si="67"/>
        <v>-225921.40554183858</v>
      </c>
      <c r="BK35" s="183">
        <f t="shared" ca="1" si="67"/>
        <v>-225921.40554183858</v>
      </c>
      <c r="BL35" s="183">
        <f t="shared" si="67"/>
        <v>0</v>
      </c>
      <c r="BM35" s="183">
        <f t="shared" si="67"/>
        <v>0</v>
      </c>
      <c r="BN35" s="183">
        <f t="shared" si="67"/>
        <v>0</v>
      </c>
      <c r="BO35" s="183">
        <f t="shared" si="67"/>
        <v>0</v>
      </c>
      <c r="BP35" s="183">
        <f t="shared" ref="BP35:CU35" si="68">IF(OR(BP6&gt;HoldPeriod,BP6&lt;=RefiMonth),0,-(BP33+BP34)*RefiInterestRate/12)</f>
        <v>0</v>
      </c>
      <c r="BQ35" s="183">
        <f t="shared" si="68"/>
        <v>0</v>
      </c>
      <c r="BR35" s="183">
        <f t="shared" si="68"/>
        <v>0</v>
      </c>
      <c r="BS35" s="183">
        <f t="shared" si="68"/>
        <v>0</v>
      </c>
      <c r="BT35" s="183">
        <f t="shared" si="68"/>
        <v>0</v>
      </c>
      <c r="BU35" s="183">
        <f t="shared" si="68"/>
        <v>0</v>
      </c>
      <c r="BV35" s="183">
        <f t="shared" si="68"/>
        <v>0</v>
      </c>
      <c r="BW35" s="183">
        <f t="shared" si="68"/>
        <v>0</v>
      </c>
      <c r="BX35" s="183">
        <f t="shared" si="68"/>
        <v>0</v>
      </c>
      <c r="BY35" s="183">
        <f t="shared" si="68"/>
        <v>0</v>
      </c>
      <c r="BZ35" s="183">
        <f t="shared" si="68"/>
        <v>0</v>
      </c>
      <c r="CA35" s="183">
        <f t="shared" si="68"/>
        <v>0</v>
      </c>
      <c r="CB35" s="183">
        <f t="shared" si="68"/>
        <v>0</v>
      </c>
      <c r="CC35" s="183">
        <f t="shared" si="68"/>
        <v>0</v>
      </c>
      <c r="CD35" s="183">
        <f t="shared" si="68"/>
        <v>0</v>
      </c>
      <c r="CE35" s="183">
        <f t="shared" si="68"/>
        <v>0</v>
      </c>
      <c r="CF35" s="183">
        <f t="shared" si="68"/>
        <v>0</v>
      </c>
      <c r="CG35" s="183">
        <f t="shared" si="68"/>
        <v>0</v>
      </c>
      <c r="CH35" s="183">
        <f t="shared" si="68"/>
        <v>0</v>
      </c>
      <c r="CI35" s="183">
        <f t="shared" si="68"/>
        <v>0</v>
      </c>
      <c r="CJ35" s="183">
        <f t="shared" si="68"/>
        <v>0</v>
      </c>
      <c r="CK35" s="183">
        <f t="shared" si="68"/>
        <v>0</v>
      </c>
      <c r="CL35" s="183">
        <f t="shared" si="68"/>
        <v>0</v>
      </c>
      <c r="CM35" s="183">
        <f t="shared" si="68"/>
        <v>0</v>
      </c>
      <c r="CN35" s="183">
        <f t="shared" si="68"/>
        <v>0</v>
      </c>
      <c r="CO35" s="183">
        <f t="shared" si="68"/>
        <v>0</v>
      </c>
      <c r="CP35" s="183">
        <f t="shared" si="68"/>
        <v>0</v>
      </c>
      <c r="CQ35" s="183">
        <f t="shared" si="68"/>
        <v>0</v>
      </c>
      <c r="CR35" s="183">
        <f t="shared" si="68"/>
        <v>0</v>
      </c>
      <c r="CS35" s="183">
        <f t="shared" si="68"/>
        <v>0</v>
      </c>
      <c r="CT35" s="183">
        <f t="shared" si="68"/>
        <v>0</v>
      </c>
      <c r="CU35" s="183">
        <f t="shared" si="68"/>
        <v>0</v>
      </c>
      <c r="CV35" s="183">
        <f t="shared" ref="CV35:EA35" si="69">IF(OR(CV6&gt;HoldPeriod,CV6&lt;=RefiMonth),0,-(CV33+CV34)*RefiInterestRate/12)</f>
        <v>0</v>
      </c>
      <c r="CW35" s="183">
        <f t="shared" si="69"/>
        <v>0</v>
      </c>
      <c r="CX35" s="183">
        <f t="shared" si="69"/>
        <v>0</v>
      </c>
      <c r="CY35" s="183">
        <f t="shared" si="69"/>
        <v>0</v>
      </c>
      <c r="CZ35" s="183">
        <f t="shared" si="69"/>
        <v>0</v>
      </c>
      <c r="DA35" s="183">
        <f t="shared" si="69"/>
        <v>0</v>
      </c>
      <c r="DB35" s="183">
        <f t="shared" si="69"/>
        <v>0</v>
      </c>
      <c r="DC35" s="183">
        <f t="shared" si="69"/>
        <v>0</v>
      </c>
      <c r="DD35" s="183">
        <f t="shared" si="69"/>
        <v>0</v>
      </c>
      <c r="DE35" s="183">
        <f t="shared" si="69"/>
        <v>0</v>
      </c>
      <c r="DF35" s="183">
        <f t="shared" si="69"/>
        <v>0</v>
      </c>
      <c r="DG35" s="183">
        <f t="shared" si="69"/>
        <v>0</v>
      </c>
      <c r="DH35" s="183">
        <f t="shared" si="69"/>
        <v>0</v>
      </c>
      <c r="DI35" s="183">
        <f t="shared" si="69"/>
        <v>0</v>
      </c>
      <c r="DJ35" s="183">
        <f t="shared" si="69"/>
        <v>0</v>
      </c>
      <c r="DK35" s="183">
        <f t="shared" si="69"/>
        <v>0</v>
      </c>
      <c r="DL35" s="183">
        <f t="shared" si="69"/>
        <v>0</v>
      </c>
      <c r="DM35" s="183">
        <f t="shared" si="69"/>
        <v>0</v>
      </c>
      <c r="DN35" s="183">
        <f t="shared" si="69"/>
        <v>0</v>
      </c>
      <c r="DO35" s="183">
        <f t="shared" si="69"/>
        <v>0</v>
      </c>
      <c r="DP35" s="183">
        <f t="shared" si="69"/>
        <v>0</v>
      </c>
      <c r="DQ35" s="183">
        <f t="shared" si="69"/>
        <v>0</v>
      </c>
      <c r="DR35" s="183">
        <f t="shared" si="69"/>
        <v>0</v>
      </c>
      <c r="DS35" s="183">
        <f t="shared" si="69"/>
        <v>0</v>
      </c>
      <c r="DT35" s="183">
        <f t="shared" si="69"/>
        <v>0</v>
      </c>
      <c r="DU35" s="183">
        <f t="shared" si="69"/>
        <v>0</v>
      </c>
      <c r="DV35" s="183">
        <f t="shared" si="69"/>
        <v>0</v>
      </c>
      <c r="DW35" s="183">
        <f t="shared" si="69"/>
        <v>0</v>
      </c>
      <c r="DX35" s="183">
        <f t="shared" si="69"/>
        <v>0</v>
      </c>
      <c r="DY35" s="183">
        <f t="shared" si="69"/>
        <v>0</v>
      </c>
      <c r="DZ35" s="183">
        <f t="shared" si="69"/>
        <v>0</v>
      </c>
      <c r="EA35" s="183">
        <f t="shared" si="69"/>
        <v>0</v>
      </c>
      <c r="EB35" s="183">
        <f t="shared" ref="EB35:EE35" si="70">IF(OR(EB6&gt;HoldPeriod,EB6&lt;=RefiMonth),0,-(EB33+EB34)*RefiInterestRate/12)</f>
        <v>0</v>
      </c>
      <c r="EC35" s="183">
        <f t="shared" si="70"/>
        <v>0</v>
      </c>
      <c r="ED35" s="183">
        <f t="shared" si="70"/>
        <v>0</v>
      </c>
      <c r="EE35" s="183">
        <f t="shared" si="70"/>
        <v>0</v>
      </c>
      <c r="EF35" s="183" t="s">
        <v>243</v>
      </c>
    </row>
    <row r="36" spans="1:136" s="180" customFormat="1" x14ac:dyDescent="0.2">
      <c r="A36" s="190"/>
      <c r="B36" s="185" t="s">
        <v>35</v>
      </c>
      <c r="C36" s="183">
        <v>0</v>
      </c>
      <c r="D36" s="183">
        <f t="shared" ref="D36:AI36" si="71">IF(OR(D6&gt;HoldPeriod,D6&lt;=RefiMonth,D6&lt;=RefiIO+RefiMonth),0,D37-D35)</f>
        <v>0</v>
      </c>
      <c r="E36" s="183">
        <f t="shared" si="71"/>
        <v>0</v>
      </c>
      <c r="F36" s="183">
        <f t="shared" si="71"/>
        <v>0</v>
      </c>
      <c r="G36" s="183">
        <f t="shared" si="71"/>
        <v>0</v>
      </c>
      <c r="H36" s="183">
        <f t="shared" si="71"/>
        <v>0</v>
      </c>
      <c r="I36" s="183">
        <f t="shared" si="71"/>
        <v>0</v>
      </c>
      <c r="J36" s="183">
        <f t="shared" si="71"/>
        <v>0</v>
      </c>
      <c r="K36" s="183">
        <f t="shared" si="71"/>
        <v>0</v>
      </c>
      <c r="L36" s="183">
        <f t="shared" si="71"/>
        <v>0</v>
      </c>
      <c r="M36" s="183">
        <f t="shared" si="71"/>
        <v>0</v>
      </c>
      <c r="N36" s="183">
        <f t="shared" si="71"/>
        <v>0</v>
      </c>
      <c r="O36" s="183">
        <f t="shared" si="71"/>
        <v>0</v>
      </c>
      <c r="P36" s="183">
        <f t="shared" si="71"/>
        <v>0</v>
      </c>
      <c r="Q36" s="183">
        <f t="shared" si="71"/>
        <v>0</v>
      </c>
      <c r="R36" s="183">
        <f t="shared" si="71"/>
        <v>0</v>
      </c>
      <c r="S36" s="183">
        <f t="shared" si="71"/>
        <v>0</v>
      </c>
      <c r="T36" s="183">
        <f t="shared" si="71"/>
        <v>0</v>
      </c>
      <c r="U36" s="183">
        <f t="shared" si="71"/>
        <v>0</v>
      </c>
      <c r="V36" s="183">
        <f t="shared" si="71"/>
        <v>0</v>
      </c>
      <c r="W36" s="183">
        <f t="shared" si="71"/>
        <v>0</v>
      </c>
      <c r="X36" s="183">
        <f t="shared" si="71"/>
        <v>0</v>
      </c>
      <c r="Y36" s="183">
        <f t="shared" si="71"/>
        <v>0</v>
      </c>
      <c r="Z36" s="183">
        <f t="shared" si="71"/>
        <v>0</v>
      </c>
      <c r="AA36" s="183">
        <f t="shared" si="71"/>
        <v>0</v>
      </c>
      <c r="AB36" s="183">
        <f t="shared" si="71"/>
        <v>0</v>
      </c>
      <c r="AC36" s="183">
        <f t="shared" si="71"/>
        <v>0</v>
      </c>
      <c r="AD36" s="183">
        <f t="shared" si="71"/>
        <v>0</v>
      </c>
      <c r="AE36" s="183">
        <f t="shared" si="71"/>
        <v>0</v>
      </c>
      <c r="AF36" s="183">
        <f t="shared" si="71"/>
        <v>0</v>
      </c>
      <c r="AG36" s="183">
        <f t="shared" si="71"/>
        <v>0</v>
      </c>
      <c r="AH36" s="183">
        <f t="shared" si="71"/>
        <v>0</v>
      </c>
      <c r="AI36" s="183">
        <f t="shared" si="71"/>
        <v>0</v>
      </c>
      <c r="AJ36" s="183">
        <f t="shared" ref="AJ36:BO36" si="72">IF(OR(AJ6&gt;HoldPeriod,AJ6&lt;=RefiMonth,AJ6&lt;=RefiIO+RefiMonth),0,AJ37-AJ35)</f>
        <v>0</v>
      </c>
      <c r="AK36" s="183">
        <f t="shared" si="72"/>
        <v>0</v>
      </c>
      <c r="AL36" s="183">
        <f t="shared" si="72"/>
        <v>0</v>
      </c>
      <c r="AM36" s="183">
        <f t="shared" si="72"/>
        <v>0</v>
      </c>
      <c r="AN36" s="183">
        <f t="shared" si="72"/>
        <v>0</v>
      </c>
      <c r="AO36" s="183">
        <f t="shared" si="72"/>
        <v>0</v>
      </c>
      <c r="AP36" s="183">
        <f t="shared" si="72"/>
        <v>0</v>
      </c>
      <c r="AQ36" s="183">
        <f t="shared" si="72"/>
        <v>0</v>
      </c>
      <c r="AR36" s="183">
        <f t="shared" si="72"/>
        <v>0</v>
      </c>
      <c r="AS36" s="183">
        <f t="shared" si="72"/>
        <v>0</v>
      </c>
      <c r="AT36" s="183">
        <f t="shared" si="72"/>
        <v>0</v>
      </c>
      <c r="AU36" s="183">
        <f t="shared" si="72"/>
        <v>0</v>
      </c>
      <c r="AV36" s="183">
        <f t="shared" si="72"/>
        <v>0</v>
      </c>
      <c r="AW36" s="183">
        <f t="shared" si="72"/>
        <v>0</v>
      </c>
      <c r="AX36" s="183">
        <f t="shared" si="72"/>
        <v>0</v>
      </c>
      <c r="AY36" s="183">
        <f t="shared" si="72"/>
        <v>0</v>
      </c>
      <c r="AZ36" s="183">
        <f t="shared" si="72"/>
        <v>0</v>
      </c>
      <c r="BA36" s="183">
        <f t="shared" si="72"/>
        <v>0</v>
      </c>
      <c r="BB36" s="183">
        <f t="shared" si="72"/>
        <v>0</v>
      </c>
      <c r="BC36" s="183">
        <f t="shared" si="72"/>
        <v>0</v>
      </c>
      <c r="BD36" s="183">
        <f t="shared" si="72"/>
        <v>0</v>
      </c>
      <c r="BE36" s="183">
        <f t="shared" si="72"/>
        <v>0</v>
      </c>
      <c r="BF36" s="183">
        <f t="shared" si="72"/>
        <v>0</v>
      </c>
      <c r="BG36" s="183">
        <f t="shared" si="72"/>
        <v>0</v>
      </c>
      <c r="BH36" s="183">
        <f t="shared" si="72"/>
        <v>0</v>
      </c>
      <c r="BI36" s="183">
        <f t="shared" si="72"/>
        <v>0</v>
      </c>
      <c r="BJ36" s="183">
        <f t="shared" si="72"/>
        <v>0</v>
      </c>
      <c r="BK36" s="183">
        <f t="shared" si="72"/>
        <v>0</v>
      </c>
      <c r="BL36" s="183">
        <f t="shared" si="72"/>
        <v>0</v>
      </c>
      <c r="BM36" s="183">
        <f t="shared" si="72"/>
        <v>0</v>
      </c>
      <c r="BN36" s="183">
        <f t="shared" si="72"/>
        <v>0</v>
      </c>
      <c r="BO36" s="183">
        <f t="shared" si="72"/>
        <v>0</v>
      </c>
      <c r="BP36" s="183">
        <f t="shared" ref="BP36:CU36" si="73">IF(OR(BP6&gt;HoldPeriod,BP6&lt;=RefiMonth,BP6&lt;=RefiIO+RefiMonth),0,BP37-BP35)</f>
        <v>0</v>
      </c>
      <c r="BQ36" s="183">
        <f t="shared" si="73"/>
        <v>0</v>
      </c>
      <c r="BR36" s="183">
        <f t="shared" si="73"/>
        <v>0</v>
      </c>
      <c r="BS36" s="183">
        <f t="shared" si="73"/>
        <v>0</v>
      </c>
      <c r="BT36" s="183">
        <f t="shared" si="73"/>
        <v>0</v>
      </c>
      <c r="BU36" s="183">
        <f t="shared" si="73"/>
        <v>0</v>
      </c>
      <c r="BV36" s="183">
        <f t="shared" si="73"/>
        <v>0</v>
      </c>
      <c r="BW36" s="183">
        <f t="shared" si="73"/>
        <v>0</v>
      </c>
      <c r="BX36" s="183">
        <f t="shared" si="73"/>
        <v>0</v>
      </c>
      <c r="BY36" s="183">
        <f t="shared" si="73"/>
        <v>0</v>
      </c>
      <c r="BZ36" s="183">
        <f t="shared" si="73"/>
        <v>0</v>
      </c>
      <c r="CA36" s="183">
        <f t="shared" si="73"/>
        <v>0</v>
      </c>
      <c r="CB36" s="183">
        <f t="shared" si="73"/>
        <v>0</v>
      </c>
      <c r="CC36" s="183">
        <f t="shared" si="73"/>
        <v>0</v>
      </c>
      <c r="CD36" s="183">
        <f t="shared" si="73"/>
        <v>0</v>
      </c>
      <c r="CE36" s="183">
        <f t="shared" si="73"/>
        <v>0</v>
      </c>
      <c r="CF36" s="183">
        <f t="shared" si="73"/>
        <v>0</v>
      </c>
      <c r="CG36" s="183">
        <f t="shared" si="73"/>
        <v>0</v>
      </c>
      <c r="CH36" s="183">
        <f t="shared" si="73"/>
        <v>0</v>
      </c>
      <c r="CI36" s="183">
        <f t="shared" si="73"/>
        <v>0</v>
      </c>
      <c r="CJ36" s="183">
        <f t="shared" si="73"/>
        <v>0</v>
      </c>
      <c r="CK36" s="183">
        <f t="shared" si="73"/>
        <v>0</v>
      </c>
      <c r="CL36" s="183">
        <f t="shared" si="73"/>
        <v>0</v>
      </c>
      <c r="CM36" s="183">
        <f t="shared" si="73"/>
        <v>0</v>
      </c>
      <c r="CN36" s="183">
        <f t="shared" si="73"/>
        <v>0</v>
      </c>
      <c r="CO36" s="183">
        <f t="shared" si="73"/>
        <v>0</v>
      </c>
      <c r="CP36" s="183">
        <f t="shared" si="73"/>
        <v>0</v>
      </c>
      <c r="CQ36" s="183">
        <f t="shared" si="73"/>
        <v>0</v>
      </c>
      <c r="CR36" s="183">
        <f t="shared" si="73"/>
        <v>0</v>
      </c>
      <c r="CS36" s="183">
        <f t="shared" si="73"/>
        <v>0</v>
      </c>
      <c r="CT36" s="183">
        <f t="shared" si="73"/>
        <v>0</v>
      </c>
      <c r="CU36" s="183">
        <f t="shared" si="73"/>
        <v>0</v>
      </c>
      <c r="CV36" s="183">
        <f t="shared" ref="CV36:EA36" si="74">IF(OR(CV6&gt;HoldPeriod,CV6&lt;=RefiMonth,CV6&lt;=RefiIO+RefiMonth),0,CV37-CV35)</f>
        <v>0</v>
      </c>
      <c r="CW36" s="183">
        <f t="shared" si="74"/>
        <v>0</v>
      </c>
      <c r="CX36" s="183">
        <f t="shared" si="74"/>
        <v>0</v>
      </c>
      <c r="CY36" s="183">
        <f t="shared" si="74"/>
        <v>0</v>
      </c>
      <c r="CZ36" s="183">
        <f t="shared" si="74"/>
        <v>0</v>
      </c>
      <c r="DA36" s="183">
        <f t="shared" si="74"/>
        <v>0</v>
      </c>
      <c r="DB36" s="183">
        <f t="shared" si="74"/>
        <v>0</v>
      </c>
      <c r="DC36" s="183">
        <f t="shared" si="74"/>
        <v>0</v>
      </c>
      <c r="DD36" s="183">
        <f t="shared" si="74"/>
        <v>0</v>
      </c>
      <c r="DE36" s="183">
        <f t="shared" si="74"/>
        <v>0</v>
      </c>
      <c r="DF36" s="183">
        <f t="shared" si="74"/>
        <v>0</v>
      </c>
      <c r="DG36" s="183">
        <f t="shared" si="74"/>
        <v>0</v>
      </c>
      <c r="DH36" s="183">
        <f t="shared" si="74"/>
        <v>0</v>
      </c>
      <c r="DI36" s="183">
        <f t="shared" si="74"/>
        <v>0</v>
      </c>
      <c r="DJ36" s="183">
        <f t="shared" si="74"/>
        <v>0</v>
      </c>
      <c r="DK36" s="183">
        <f t="shared" si="74"/>
        <v>0</v>
      </c>
      <c r="DL36" s="183">
        <f t="shared" si="74"/>
        <v>0</v>
      </c>
      <c r="DM36" s="183">
        <f t="shared" si="74"/>
        <v>0</v>
      </c>
      <c r="DN36" s="183">
        <f t="shared" si="74"/>
        <v>0</v>
      </c>
      <c r="DO36" s="183">
        <f t="shared" si="74"/>
        <v>0</v>
      </c>
      <c r="DP36" s="183">
        <f t="shared" si="74"/>
        <v>0</v>
      </c>
      <c r="DQ36" s="183">
        <f t="shared" si="74"/>
        <v>0</v>
      </c>
      <c r="DR36" s="183">
        <f t="shared" si="74"/>
        <v>0</v>
      </c>
      <c r="DS36" s="183">
        <f t="shared" si="74"/>
        <v>0</v>
      </c>
      <c r="DT36" s="183">
        <f t="shared" si="74"/>
        <v>0</v>
      </c>
      <c r="DU36" s="183">
        <f t="shared" si="74"/>
        <v>0</v>
      </c>
      <c r="DV36" s="183">
        <f t="shared" si="74"/>
        <v>0</v>
      </c>
      <c r="DW36" s="183">
        <f t="shared" si="74"/>
        <v>0</v>
      </c>
      <c r="DX36" s="183">
        <f t="shared" si="74"/>
        <v>0</v>
      </c>
      <c r="DY36" s="183">
        <f t="shared" si="74"/>
        <v>0</v>
      </c>
      <c r="DZ36" s="183">
        <f t="shared" si="74"/>
        <v>0</v>
      </c>
      <c r="EA36" s="183">
        <f t="shared" si="74"/>
        <v>0</v>
      </c>
      <c r="EB36" s="183">
        <f t="shared" ref="EB36:EE36" si="75">IF(OR(EB6&gt;HoldPeriod,EB6&lt;=RefiMonth,EB6&lt;=RefiIO+RefiMonth),0,EB37-EB35)</f>
        <v>0</v>
      </c>
      <c r="EC36" s="183">
        <f t="shared" si="75"/>
        <v>0</v>
      </c>
      <c r="ED36" s="183">
        <f t="shared" si="75"/>
        <v>0</v>
      </c>
      <c r="EE36" s="183">
        <f t="shared" si="75"/>
        <v>0</v>
      </c>
      <c r="EF36" s="183" t="s">
        <v>243</v>
      </c>
    </row>
    <row r="37" spans="1:136" s="180" customFormat="1" x14ac:dyDescent="0.2">
      <c r="A37" s="190"/>
      <c r="B37" s="185" t="s">
        <v>34</v>
      </c>
      <c r="C37" s="183">
        <f>IF(OR(C6&gt;HoldPeriod,C6&lt;=RefiMonth),0,IF(C6&lt;=RefiIO+RefiMonth,C35,PMT(RefiInterestRate/12,RefiAmor,Summary!$E$37,0)))</f>
        <v>0</v>
      </c>
      <c r="D37" s="183">
        <f>IF(OR(D6&gt;HoldPeriod,D6&lt;=RefiMonth),0,IF(D6&lt;=RefiIO+RefiMonth,D35,PMT(RefiInterestRate/12,RefiAmor,Summary!$E$37,0)))</f>
        <v>0</v>
      </c>
      <c r="E37" s="183">
        <f>IF(OR(E6&gt;HoldPeriod,E6&lt;=RefiMonth),0,IF(E6&lt;=RefiIO+RefiMonth,E35,PMT(RefiInterestRate/12,RefiAmor,Summary!$E$37,0)))</f>
        <v>0</v>
      </c>
      <c r="F37" s="183">
        <f>IF(OR(F6&gt;HoldPeriod,F6&lt;=RefiMonth),0,IF(F6&lt;=RefiIO+RefiMonth,F35,PMT(RefiInterestRate/12,RefiAmor,Summary!$E$37,0)))</f>
        <v>0</v>
      </c>
      <c r="G37" s="183">
        <f>IF(OR(G6&gt;HoldPeriod,G6&lt;=RefiMonth),0,IF(G6&lt;=RefiIO+RefiMonth,G35,PMT(RefiInterestRate/12,RefiAmor,Summary!$E$37,0)))</f>
        <v>0</v>
      </c>
      <c r="H37" s="183">
        <f>IF(OR(H6&gt;HoldPeriod,H6&lt;=RefiMonth),0,IF(H6&lt;=RefiIO+RefiMonth,H35,PMT(RefiInterestRate/12,RefiAmor,Summary!$E$37,0)))</f>
        <v>0</v>
      </c>
      <c r="I37" s="183">
        <f>IF(OR(I6&gt;HoldPeriod,I6&lt;=RefiMonth),0,IF(I6&lt;=RefiIO+RefiMonth,I35,PMT(RefiInterestRate/12,RefiAmor,Summary!$E$37,0)))</f>
        <v>0</v>
      </c>
      <c r="J37" s="183">
        <f>IF(OR(J6&gt;HoldPeriod,J6&lt;=RefiMonth),0,IF(J6&lt;=RefiIO+RefiMonth,J35,PMT(RefiInterestRate/12,RefiAmor,Summary!$E$37,0)))</f>
        <v>0</v>
      </c>
      <c r="K37" s="183">
        <f>IF(OR(K6&gt;HoldPeriod,K6&lt;=RefiMonth),0,IF(K6&lt;=RefiIO+RefiMonth,K35,PMT(RefiInterestRate/12,RefiAmor,Summary!$E$37,0)))</f>
        <v>0</v>
      </c>
      <c r="L37" s="183">
        <f>IF(OR(L6&gt;HoldPeriod,L6&lt;=RefiMonth),0,IF(L6&lt;=RefiIO+RefiMonth,L35,PMT(RefiInterestRate/12,RefiAmor,Summary!$E$37,0)))</f>
        <v>0</v>
      </c>
      <c r="M37" s="183">
        <f>IF(OR(M6&gt;HoldPeriod,M6&lt;=RefiMonth),0,IF(M6&lt;=RefiIO+RefiMonth,M35,PMT(RefiInterestRate/12,RefiAmor,Summary!$E$37,0)))</f>
        <v>0</v>
      </c>
      <c r="N37" s="183">
        <f>IF(OR(N6&gt;HoldPeriod,N6&lt;=RefiMonth),0,IF(N6&lt;=RefiIO+RefiMonth,N35,PMT(RefiInterestRate/12,RefiAmor,Summary!$E$37,0)))</f>
        <v>0</v>
      </c>
      <c r="O37" s="183">
        <f>IF(OR(O6&gt;HoldPeriod,O6&lt;=RefiMonth),0,IF(O6&lt;=RefiIO+RefiMonth,O35,PMT(RefiInterestRate/12,RefiAmor,Summary!$E$37,0)))</f>
        <v>0</v>
      </c>
      <c r="P37" s="183">
        <f>IF(OR(P6&gt;HoldPeriod,P6&lt;=RefiMonth),0,IF(P6&lt;=RefiIO+RefiMonth,P35,PMT(RefiInterestRate/12,RefiAmor,Summary!$E$37,0)))</f>
        <v>0</v>
      </c>
      <c r="Q37" s="183">
        <f>IF(OR(Q6&gt;HoldPeriod,Q6&lt;=RefiMonth),0,IF(Q6&lt;=RefiIO+RefiMonth,Q35,PMT(RefiInterestRate/12,RefiAmor,Summary!$E$37,0)))</f>
        <v>0</v>
      </c>
      <c r="R37" s="183">
        <f>IF(OR(R6&gt;HoldPeriod,R6&lt;=RefiMonth),0,IF(R6&lt;=RefiIO+RefiMonth,R35,PMT(RefiInterestRate/12,RefiAmor,Summary!$E$37,0)))</f>
        <v>0</v>
      </c>
      <c r="S37" s="183">
        <f>IF(OR(S6&gt;HoldPeriod,S6&lt;=RefiMonth),0,IF(S6&lt;=RefiIO+RefiMonth,S35,PMT(RefiInterestRate/12,RefiAmor,Summary!$E$37,0)))</f>
        <v>0</v>
      </c>
      <c r="T37" s="183">
        <f>IF(OR(T6&gt;HoldPeriod,T6&lt;=RefiMonth),0,IF(T6&lt;=RefiIO+RefiMonth,T35,PMT(RefiInterestRate/12,RefiAmor,Summary!$E$37,0)))</f>
        <v>0</v>
      </c>
      <c r="U37" s="183">
        <f>IF(OR(U6&gt;HoldPeriod,U6&lt;=RefiMonth),0,IF(U6&lt;=RefiIO+RefiMonth,U35,PMT(RefiInterestRate/12,RefiAmor,Summary!$E$37,0)))</f>
        <v>0</v>
      </c>
      <c r="V37" s="183">
        <f>IF(OR(V6&gt;HoldPeriod,V6&lt;=RefiMonth),0,IF(V6&lt;=RefiIO+RefiMonth,V35,PMT(RefiInterestRate/12,RefiAmor,Summary!$E$37,0)))</f>
        <v>0</v>
      </c>
      <c r="W37" s="183">
        <f>IF(OR(W6&gt;HoldPeriod,W6&lt;=RefiMonth),0,IF(W6&lt;=RefiIO+RefiMonth,W35,PMT(RefiInterestRate/12,RefiAmor,Summary!$E$37,0)))</f>
        <v>0</v>
      </c>
      <c r="X37" s="183">
        <f>IF(OR(X6&gt;HoldPeriod,X6&lt;=RefiMonth),0,IF(X6&lt;=RefiIO+RefiMonth,X35,PMT(RefiInterestRate/12,RefiAmor,Summary!$E$37,0)))</f>
        <v>0</v>
      </c>
      <c r="Y37" s="183">
        <f>IF(OR(Y6&gt;HoldPeriod,Y6&lt;=RefiMonth),0,IF(Y6&lt;=RefiIO+RefiMonth,Y35,PMT(RefiInterestRate/12,RefiAmor,Summary!$E$37,0)))</f>
        <v>0</v>
      </c>
      <c r="Z37" s="183">
        <f>IF(OR(Z6&gt;HoldPeriod,Z6&lt;=RefiMonth),0,IF(Z6&lt;=RefiIO+RefiMonth,Z35,PMT(RefiInterestRate/12,RefiAmor,Summary!$E$37,0)))</f>
        <v>0</v>
      </c>
      <c r="AA37" s="183">
        <f>IF(OR(AA6&gt;HoldPeriod,AA6&lt;=RefiMonth),0,IF(AA6&lt;=RefiIO+RefiMonth,AA35,PMT(RefiInterestRate/12,RefiAmor,Summary!$E$37,0)))</f>
        <v>0</v>
      </c>
      <c r="AB37" s="183">
        <f>IF(OR(AB6&gt;HoldPeriod,AB6&lt;=RefiMonth),0,IF(AB6&lt;=RefiIO+RefiMonth,AB35,PMT(RefiInterestRate/12,RefiAmor,Summary!$E$37,0)))</f>
        <v>0</v>
      </c>
      <c r="AC37" s="183">
        <f>IF(OR(AC6&gt;HoldPeriod,AC6&lt;=RefiMonth),0,IF(AC6&lt;=RefiIO+RefiMonth,AC35,PMT(RefiInterestRate/12,RefiAmor,Summary!$E$37,0)))</f>
        <v>0</v>
      </c>
      <c r="AD37" s="183">
        <f>IF(OR(AD6&gt;HoldPeriod,AD6&lt;=RefiMonth),0,IF(AD6&lt;=RefiIO+RefiMonth,AD35,PMT(RefiInterestRate/12,RefiAmor,Summary!$E$37,0)))</f>
        <v>0</v>
      </c>
      <c r="AE37" s="183">
        <f>IF(OR(AE6&gt;HoldPeriod,AE6&lt;=RefiMonth),0,IF(AE6&lt;=RefiIO+RefiMonth,AE35,PMT(RefiInterestRate/12,RefiAmor,Summary!$E$37,0)))</f>
        <v>0</v>
      </c>
      <c r="AF37" s="183">
        <f>IF(OR(AF6&gt;HoldPeriod,AF6&lt;=RefiMonth),0,IF(AF6&lt;=RefiIO+RefiMonth,AF35,PMT(RefiInterestRate/12,RefiAmor,Summary!$E$37,0)))</f>
        <v>0</v>
      </c>
      <c r="AG37" s="183">
        <f>IF(OR(AG6&gt;HoldPeriod,AG6&lt;=RefiMonth),0,IF(AG6&lt;=RefiIO+RefiMonth,AG35,PMT(RefiInterestRate/12,RefiAmor,Summary!$E$37,0)))</f>
        <v>0</v>
      </c>
      <c r="AH37" s="183">
        <f>IF(OR(AH6&gt;HoldPeriod,AH6&lt;=RefiMonth),0,IF(AH6&lt;=RefiIO+RefiMonth,AH35,PMT(RefiInterestRate/12,RefiAmor,Summary!$E$37,0)))</f>
        <v>0</v>
      </c>
      <c r="AI37" s="183">
        <f>IF(OR(AI6&gt;HoldPeriod,AI6&lt;=RefiMonth),0,IF(AI6&lt;=RefiIO+RefiMonth,AI35,PMT(RefiInterestRate/12,RefiAmor,Summary!$E$37,0)))</f>
        <v>0</v>
      </c>
      <c r="AJ37" s="183">
        <f>IF(OR(AJ6&gt;HoldPeriod,AJ6&lt;=RefiMonth),0,IF(AJ6&lt;=RefiIO+RefiMonth,AJ35,PMT(RefiInterestRate/12,RefiAmor,Summary!$E$37,0)))</f>
        <v>0</v>
      </c>
      <c r="AK37" s="183">
        <f>IF(OR(AK6&gt;HoldPeriod,AK6&lt;=RefiMonth),0,IF(AK6&lt;=RefiIO+RefiMonth,AK35,PMT(RefiInterestRate/12,RefiAmor,Summary!$E$37,0)))</f>
        <v>0</v>
      </c>
      <c r="AL37" s="183">
        <f>IF(OR(AL6&gt;HoldPeriod,AL6&lt;=RefiMonth),0,IF(AL6&lt;=RefiIO+RefiMonth,AL35,PMT(RefiInterestRate/12,RefiAmor,Summary!$E$37,0)))</f>
        <v>0</v>
      </c>
      <c r="AM37" s="183">
        <f>IF(OR(AM6&gt;HoldPeriod,AM6&lt;=RefiMonth),0,IF(AM6&lt;=RefiIO+RefiMonth,AM35,PMT(RefiInterestRate/12,RefiAmor,Summary!$E$37,0)))</f>
        <v>0</v>
      </c>
      <c r="AN37" s="183">
        <f ca="1">IF(OR(AN6&gt;HoldPeriod,AN6&lt;=RefiMonth),0,IF(AN6&lt;=RefiIO+RefiMonth,AN35,PMT(RefiInterestRate/12,RefiAmor,Summary!$E$37,0)))</f>
        <v>-225921.40554183858</v>
      </c>
      <c r="AO37" s="183">
        <f ca="1">IF(OR(AO6&gt;HoldPeriod,AO6&lt;=RefiMonth),0,IF(AO6&lt;=RefiIO+RefiMonth,AO35,PMT(RefiInterestRate/12,RefiAmor,Summary!$E$37,0)))</f>
        <v>-225921.40554183858</v>
      </c>
      <c r="AP37" s="183">
        <f ca="1">IF(OR(AP6&gt;HoldPeriod,AP6&lt;=RefiMonth),0,IF(AP6&lt;=RefiIO+RefiMonth,AP35,PMT(RefiInterestRate/12,RefiAmor,Summary!$E$37,0)))</f>
        <v>-225921.40554183858</v>
      </c>
      <c r="AQ37" s="183">
        <f ca="1">IF(OR(AQ6&gt;HoldPeriod,AQ6&lt;=RefiMonth),0,IF(AQ6&lt;=RefiIO+RefiMonth,AQ35,PMT(RefiInterestRate/12,RefiAmor,Summary!$E$37,0)))</f>
        <v>-225921.40554183858</v>
      </c>
      <c r="AR37" s="183">
        <f ca="1">IF(OR(AR6&gt;HoldPeriod,AR6&lt;=RefiMonth),0,IF(AR6&lt;=RefiIO+RefiMonth,AR35,PMT(RefiInterestRate/12,RefiAmor,Summary!$E$37,0)))</f>
        <v>-225921.40554183858</v>
      </c>
      <c r="AS37" s="183">
        <f ca="1">IF(OR(AS6&gt;HoldPeriod,AS6&lt;=RefiMonth),0,IF(AS6&lt;=RefiIO+RefiMonth,AS35,PMT(RefiInterestRate/12,RefiAmor,Summary!$E$37,0)))</f>
        <v>-225921.40554183858</v>
      </c>
      <c r="AT37" s="183">
        <f ca="1">IF(OR(AT6&gt;HoldPeriod,AT6&lt;=RefiMonth),0,IF(AT6&lt;=RefiIO+RefiMonth,AT35,PMT(RefiInterestRate/12,RefiAmor,Summary!$E$37,0)))</f>
        <v>-225921.40554183858</v>
      </c>
      <c r="AU37" s="183">
        <f ca="1">IF(OR(AU6&gt;HoldPeriod,AU6&lt;=RefiMonth),0,IF(AU6&lt;=RefiIO+RefiMonth,AU35,PMT(RefiInterestRate/12,RefiAmor,Summary!$E$37,0)))</f>
        <v>-225921.40554183858</v>
      </c>
      <c r="AV37" s="183">
        <f ca="1">IF(OR(AV6&gt;HoldPeriod,AV6&lt;=RefiMonth),0,IF(AV6&lt;=RefiIO+RefiMonth,AV35,PMT(RefiInterestRate/12,RefiAmor,Summary!$E$37,0)))</f>
        <v>-225921.40554183858</v>
      </c>
      <c r="AW37" s="183">
        <f ca="1">IF(OR(AW6&gt;HoldPeriod,AW6&lt;=RefiMonth),0,IF(AW6&lt;=RefiIO+RefiMonth,AW35,PMT(RefiInterestRate/12,RefiAmor,Summary!$E$37,0)))</f>
        <v>-225921.40554183858</v>
      </c>
      <c r="AX37" s="183">
        <f ca="1">IF(OR(AX6&gt;HoldPeriod,AX6&lt;=RefiMonth),0,IF(AX6&lt;=RefiIO+RefiMonth,AX35,PMT(RefiInterestRate/12,RefiAmor,Summary!$E$37,0)))</f>
        <v>-225921.40554183858</v>
      </c>
      <c r="AY37" s="183">
        <f ca="1">IF(OR(AY6&gt;HoldPeriod,AY6&lt;=RefiMonth),0,IF(AY6&lt;=RefiIO+RefiMonth,AY35,PMT(RefiInterestRate/12,RefiAmor,Summary!$E$37,0)))</f>
        <v>-225921.40554183858</v>
      </c>
      <c r="AZ37" s="183">
        <f ca="1">IF(OR(AZ6&gt;HoldPeriod,AZ6&lt;=RefiMonth),0,IF(AZ6&lt;=RefiIO+RefiMonth,AZ35,PMT(RefiInterestRate/12,RefiAmor,Summary!$E$37,0)))</f>
        <v>-225921.40554183858</v>
      </c>
      <c r="BA37" s="183">
        <f ca="1">IF(OR(BA6&gt;HoldPeriod,BA6&lt;=RefiMonth),0,IF(BA6&lt;=RefiIO+RefiMonth,BA35,PMT(RefiInterestRate/12,RefiAmor,Summary!$E$37,0)))</f>
        <v>-225921.40554183858</v>
      </c>
      <c r="BB37" s="183">
        <f ca="1">IF(OR(BB6&gt;HoldPeriod,BB6&lt;=RefiMonth),0,IF(BB6&lt;=RefiIO+RefiMonth,BB35,PMT(RefiInterestRate/12,RefiAmor,Summary!$E$37,0)))</f>
        <v>-225921.40554183858</v>
      </c>
      <c r="BC37" s="183">
        <f ca="1">IF(OR(BC6&gt;HoldPeriod,BC6&lt;=RefiMonth),0,IF(BC6&lt;=RefiIO+RefiMonth,BC35,PMT(RefiInterestRate/12,RefiAmor,Summary!$E$37,0)))</f>
        <v>-225921.40554183858</v>
      </c>
      <c r="BD37" s="183">
        <f ca="1">IF(OR(BD6&gt;HoldPeriod,BD6&lt;=RefiMonth),0,IF(BD6&lt;=RefiIO+RefiMonth,BD35,PMT(RefiInterestRate/12,RefiAmor,Summary!$E$37,0)))</f>
        <v>-225921.40554183858</v>
      </c>
      <c r="BE37" s="183">
        <f ca="1">IF(OR(BE6&gt;HoldPeriod,BE6&lt;=RefiMonth),0,IF(BE6&lt;=RefiIO+RefiMonth,BE35,PMT(RefiInterestRate/12,RefiAmor,Summary!$E$37,0)))</f>
        <v>-225921.40554183858</v>
      </c>
      <c r="BF37" s="183">
        <f ca="1">IF(OR(BF6&gt;HoldPeriod,BF6&lt;=RefiMonth),0,IF(BF6&lt;=RefiIO+RefiMonth,BF35,PMT(RefiInterestRate/12,RefiAmor,Summary!$E$37,0)))</f>
        <v>-225921.40554183858</v>
      </c>
      <c r="BG37" s="183">
        <f ca="1">IF(OR(BG6&gt;HoldPeriod,BG6&lt;=RefiMonth),0,IF(BG6&lt;=RefiIO+RefiMonth,BG35,PMT(RefiInterestRate/12,RefiAmor,Summary!$E$37,0)))</f>
        <v>-225921.40554183858</v>
      </c>
      <c r="BH37" s="183">
        <f ca="1">IF(OR(BH6&gt;HoldPeriod,BH6&lt;=RefiMonth),0,IF(BH6&lt;=RefiIO+RefiMonth,BH35,PMT(RefiInterestRate/12,RefiAmor,Summary!$E$37,0)))</f>
        <v>-225921.40554183858</v>
      </c>
      <c r="BI37" s="183">
        <f ca="1">IF(OR(BI6&gt;HoldPeriod,BI6&lt;=RefiMonth),0,IF(BI6&lt;=RefiIO+RefiMonth,BI35,PMT(RefiInterestRate/12,RefiAmor,Summary!$E$37,0)))</f>
        <v>-225921.40554183858</v>
      </c>
      <c r="BJ37" s="183">
        <f ca="1">IF(OR(BJ6&gt;HoldPeriod,BJ6&lt;=RefiMonth),0,IF(BJ6&lt;=RefiIO+RefiMonth,BJ35,PMT(RefiInterestRate/12,RefiAmor,Summary!$E$37,0)))</f>
        <v>-225921.40554183858</v>
      </c>
      <c r="BK37" s="183">
        <f ca="1">IF(OR(BK6&gt;HoldPeriod,BK6&lt;=RefiMonth),0,IF(BK6&lt;=RefiIO+RefiMonth,BK35,PMT(RefiInterestRate/12,RefiAmor,Summary!$E$37,0)))</f>
        <v>-225921.40554183858</v>
      </c>
      <c r="BL37" s="183">
        <f>IF(OR(BL6&gt;HoldPeriod,BL6&lt;=RefiMonth),0,IF(BL6&lt;=RefiIO+RefiMonth,BL35,PMT(RefiInterestRate/12,RefiAmor,Summary!$E$37,0)))</f>
        <v>0</v>
      </c>
      <c r="BM37" s="183">
        <f>IF(OR(BM6&gt;HoldPeriod,BM6&lt;=RefiMonth),0,IF(BM6&lt;=RefiIO+RefiMonth,BM35,PMT(RefiInterestRate/12,RefiAmor,Summary!$E$37,0)))</f>
        <v>0</v>
      </c>
      <c r="BN37" s="183">
        <f>IF(OR(BN6&gt;HoldPeriod,BN6&lt;=RefiMonth),0,IF(BN6&lt;=RefiIO+RefiMonth,BN35,PMT(RefiInterestRate/12,RefiAmor,Summary!$E$37,0)))</f>
        <v>0</v>
      </c>
      <c r="BO37" s="183">
        <f>IF(OR(BO6&gt;HoldPeriod,BO6&lt;=RefiMonth),0,IF(BO6&lt;=RefiIO+RefiMonth,BO35,PMT(RefiInterestRate/12,RefiAmor,Summary!$E$37,0)))</f>
        <v>0</v>
      </c>
      <c r="BP37" s="183">
        <f>IF(OR(BP6&gt;HoldPeriod,BP6&lt;=RefiMonth),0,IF(BP6&lt;=RefiIO+RefiMonth,BP35,PMT(RefiInterestRate/12,RefiAmor,Summary!$E$37,0)))</f>
        <v>0</v>
      </c>
      <c r="BQ37" s="183">
        <f>IF(OR(BQ6&gt;HoldPeriod,BQ6&lt;=RefiMonth),0,IF(BQ6&lt;=RefiIO+RefiMonth,BQ35,PMT(RefiInterestRate/12,RefiAmor,Summary!$E$37,0)))</f>
        <v>0</v>
      </c>
      <c r="BR37" s="183">
        <f>IF(OR(BR6&gt;HoldPeriod,BR6&lt;=RefiMonth),0,IF(BR6&lt;=RefiIO+RefiMonth,BR35,PMT(RefiInterestRate/12,RefiAmor,Summary!$E$37,0)))</f>
        <v>0</v>
      </c>
      <c r="BS37" s="183">
        <f>IF(OR(BS6&gt;HoldPeriod,BS6&lt;=RefiMonth),0,IF(BS6&lt;=RefiIO+RefiMonth,BS35,PMT(RefiInterestRate/12,RefiAmor,Summary!$E$37,0)))</f>
        <v>0</v>
      </c>
      <c r="BT37" s="183">
        <f>IF(OR(BT6&gt;HoldPeriod,BT6&lt;=RefiMonth),0,IF(BT6&lt;=RefiIO+RefiMonth,BT35,PMT(RefiInterestRate/12,RefiAmor,Summary!$E$37,0)))</f>
        <v>0</v>
      </c>
      <c r="BU37" s="183">
        <f>IF(OR(BU6&gt;HoldPeriod,BU6&lt;=RefiMonth),0,IF(BU6&lt;=RefiIO+RefiMonth,BU35,PMT(RefiInterestRate/12,RefiAmor,Summary!$E$37,0)))</f>
        <v>0</v>
      </c>
      <c r="BV37" s="183">
        <f>IF(OR(BV6&gt;HoldPeriod,BV6&lt;=RefiMonth),0,IF(BV6&lt;=RefiIO+RefiMonth,BV35,PMT(RefiInterestRate/12,RefiAmor,Summary!$E$37,0)))</f>
        <v>0</v>
      </c>
      <c r="BW37" s="183">
        <f>IF(OR(BW6&gt;HoldPeriod,BW6&lt;=RefiMonth),0,IF(BW6&lt;=RefiIO+RefiMonth,BW35,PMT(RefiInterestRate/12,RefiAmor,Summary!$E$37,0)))</f>
        <v>0</v>
      </c>
      <c r="BX37" s="183">
        <f>IF(OR(BX6&gt;HoldPeriod,BX6&lt;=RefiMonth),0,IF(BX6&lt;=RefiIO+RefiMonth,BX35,PMT(RefiInterestRate/12,RefiAmor,Summary!$E$37,0)))</f>
        <v>0</v>
      </c>
      <c r="BY37" s="183">
        <f>IF(OR(BY6&gt;HoldPeriod,BY6&lt;=RefiMonth),0,IF(BY6&lt;=RefiIO+RefiMonth,BY35,PMT(RefiInterestRate/12,RefiAmor,Summary!$E$37,0)))</f>
        <v>0</v>
      </c>
      <c r="BZ37" s="183">
        <f>IF(OR(BZ6&gt;HoldPeriod,BZ6&lt;=RefiMonth),0,IF(BZ6&lt;=RefiIO+RefiMonth,BZ35,PMT(RefiInterestRate/12,RefiAmor,Summary!$E$37,0)))</f>
        <v>0</v>
      </c>
      <c r="CA37" s="183">
        <f>IF(OR(CA6&gt;HoldPeriod,CA6&lt;=RefiMonth),0,IF(CA6&lt;=RefiIO+RefiMonth,CA35,PMT(RefiInterestRate/12,RefiAmor,Summary!$E$37,0)))</f>
        <v>0</v>
      </c>
      <c r="CB37" s="183">
        <f>IF(OR(CB6&gt;HoldPeriod,CB6&lt;=RefiMonth),0,IF(CB6&lt;=RefiIO+RefiMonth,CB35,PMT(RefiInterestRate/12,RefiAmor,Summary!$E$37,0)))</f>
        <v>0</v>
      </c>
      <c r="CC37" s="183">
        <f>IF(OR(CC6&gt;HoldPeriod,CC6&lt;=RefiMonth),0,IF(CC6&lt;=RefiIO+RefiMonth,CC35,PMT(RefiInterestRate/12,RefiAmor,Summary!$E$37,0)))</f>
        <v>0</v>
      </c>
      <c r="CD37" s="183">
        <f>IF(OR(CD6&gt;HoldPeriod,CD6&lt;=RefiMonth),0,IF(CD6&lt;=RefiIO+RefiMonth,CD35,PMT(RefiInterestRate/12,RefiAmor,Summary!$E$37,0)))</f>
        <v>0</v>
      </c>
      <c r="CE37" s="183">
        <f>IF(OR(CE6&gt;HoldPeriod,CE6&lt;=RefiMonth),0,IF(CE6&lt;=RefiIO+RefiMonth,CE35,PMT(RefiInterestRate/12,RefiAmor,Summary!$E$37,0)))</f>
        <v>0</v>
      </c>
      <c r="CF37" s="183">
        <f>IF(OR(CF6&gt;HoldPeriod,CF6&lt;=RefiMonth),0,IF(CF6&lt;=RefiIO+RefiMonth,CF35,PMT(RefiInterestRate/12,RefiAmor,Summary!$E$37,0)))</f>
        <v>0</v>
      </c>
      <c r="CG37" s="183">
        <f>IF(OR(CG6&gt;HoldPeriod,CG6&lt;=RefiMonth),0,IF(CG6&lt;=RefiIO+RefiMonth,CG35,PMT(RefiInterestRate/12,RefiAmor,Summary!$E$37,0)))</f>
        <v>0</v>
      </c>
      <c r="CH37" s="183">
        <f>IF(OR(CH6&gt;HoldPeriod,CH6&lt;=RefiMonth),0,IF(CH6&lt;=RefiIO+RefiMonth,CH35,PMT(RefiInterestRate/12,RefiAmor,Summary!$E$37,0)))</f>
        <v>0</v>
      </c>
      <c r="CI37" s="183">
        <f>IF(OR(CI6&gt;HoldPeriod,CI6&lt;=RefiMonth),0,IF(CI6&lt;=RefiIO+RefiMonth,CI35,PMT(RefiInterestRate/12,RefiAmor,Summary!$E$37,0)))</f>
        <v>0</v>
      </c>
      <c r="CJ37" s="183">
        <f>IF(OR(CJ6&gt;HoldPeriod,CJ6&lt;=RefiMonth),0,IF(CJ6&lt;=RefiIO+RefiMonth,CJ35,PMT(RefiInterestRate/12,RefiAmor,Summary!$E$37,0)))</f>
        <v>0</v>
      </c>
      <c r="CK37" s="183">
        <f>IF(OR(CK6&gt;HoldPeriod,CK6&lt;=RefiMonth),0,IF(CK6&lt;=RefiIO+RefiMonth,CK35,PMT(RefiInterestRate/12,RefiAmor,Summary!$E$37,0)))</f>
        <v>0</v>
      </c>
      <c r="CL37" s="183">
        <f>IF(OR(CL6&gt;HoldPeriod,CL6&lt;=RefiMonth),0,IF(CL6&lt;=RefiIO+RefiMonth,CL35,PMT(RefiInterestRate/12,RefiAmor,Summary!$E$37,0)))</f>
        <v>0</v>
      </c>
      <c r="CM37" s="183">
        <f>IF(OR(CM6&gt;HoldPeriod,CM6&lt;=RefiMonth),0,IF(CM6&lt;=RefiIO+RefiMonth,CM35,PMT(RefiInterestRate/12,RefiAmor,Summary!$E$37,0)))</f>
        <v>0</v>
      </c>
      <c r="CN37" s="183">
        <f>IF(OR(CN6&gt;HoldPeriod,CN6&lt;=RefiMonth),0,IF(CN6&lt;=RefiIO+RefiMonth,CN35,PMT(RefiInterestRate/12,RefiAmor,Summary!$E$37,0)))</f>
        <v>0</v>
      </c>
      <c r="CO37" s="183">
        <f>IF(OR(CO6&gt;HoldPeriod,CO6&lt;=RefiMonth),0,IF(CO6&lt;=RefiIO+RefiMonth,CO35,PMT(RefiInterestRate/12,RefiAmor,Summary!$E$37,0)))</f>
        <v>0</v>
      </c>
      <c r="CP37" s="183">
        <f>IF(OR(CP6&gt;HoldPeriod,CP6&lt;=RefiMonth),0,IF(CP6&lt;=RefiIO+RefiMonth,CP35,PMT(RefiInterestRate/12,RefiAmor,Summary!$E$37,0)))</f>
        <v>0</v>
      </c>
      <c r="CQ37" s="183">
        <f>IF(OR(CQ6&gt;HoldPeriod,CQ6&lt;=RefiMonth),0,IF(CQ6&lt;=RefiIO+RefiMonth,CQ35,PMT(RefiInterestRate/12,RefiAmor,Summary!$E$37,0)))</f>
        <v>0</v>
      </c>
      <c r="CR37" s="183">
        <f>IF(OR(CR6&gt;HoldPeriod,CR6&lt;=RefiMonth),0,IF(CR6&lt;=RefiIO+RefiMonth,CR35,PMT(RefiInterestRate/12,RefiAmor,Summary!$E$37,0)))</f>
        <v>0</v>
      </c>
      <c r="CS37" s="183">
        <f>IF(OR(CS6&gt;HoldPeriod,CS6&lt;=RefiMonth),0,IF(CS6&lt;=RefiIO+RefiMonth,CS35,PMT(RefiInterestRate/12,RefiAmor,Summary!$E$37,0)))</f>
        <v>0</v>
      </c>
      <c r="CT37" s="183">
        <f>IF(OR(CT6&gt;HoldPeriod,CT6&lt;=RefiMonth),0,IF(CT6&lt;=RefiIO+RefiMonth,CT35,PMT(RefiInterestRate/12,RefiAmor,Summary!$E$37,0)))</f>
        <v>0</v>
      </c>
      <c r="CU37" s="183">
        <f>IF(OR(CU6&gt;HoldPeriod,CU6&lt;=RefiMonth),0,IF(CU6&lt;=RefiIO+RefiMonth,CU35,PMT(RefiInterestRate/12,RefiAmor,Summary!$E$37,0)))</f>
        <v>0</v>
      </c>
      <c r="CV37" s="183">
        <f>IF(OR(CV6&gt;HoldPeriod,CV6&lt;=RefiMonth),0,IF(CV6&lt;=RefiIO+RefiMonth,CV35,PMT(RefiInterestRate/12,RefiAmor,Summary!$E$37,0)))</f>
        <v>0</v>
      </c>
      <c r="CW37" s="183">
        <f>IF(OR(CW6&gt;HoldPeriod,CW6&lt;=RefiMonth),0,IF(CW6&lt;=RefiIO+RefiMonth,CW35,PMT(RefiInterestRate/12,RefiAmor,Summary!$E$37,0)))</f>
        <v>0</v>
      </c>
      <c r="CX37" s="183">
        <f>IF(OR(CX6&gt;HoldPeriod,CX6&lt;=RefiMonth),0,IF(CX6&lt;=RefiIO+RefiMonth,CX35,PMT(RefiInterestRate/12,RefiAmor,Summary!$E$37,0)))</f>
        <v>0</v>
      </c>
      <c r="CY37" s="183">
        <f>IF(OR(CY6&gt;HoldPeriod,CY6&lt;=RefiMonth),0,IF(CY6&lt;=RefiIO+RefiMonth,CY35,PMT(RefiInterestRate/12,RefiAmor,Summary!$E$37,0)))</f>
        <v>0</v>
      </c>
      <c r="CZ37" s="183">
        <f>IF(OR(CZ6&gt;HoldPeriod,CZ6&lt;=RefiMonth),0,IF(CZ6&lt;=RefiIO+RefiMonth,CZ35,PMT(RefiInterestRate/12,RefiAmor,Summary!$E$37,0)))</f>
        <v>0</v>
      </c>
      <c r="DA37" s="183">
        <f>IF(OR(DA6&gt;HoldPeriod,DA6&lt;=RefiMonth),0,IF(DA6&lt;=RefiIO+RefiMonth,DA35,PMT(RefiInterestRate/12,RefiAmor,Summary!$E$37,0)))</f>
        <v>0</v>
      </c>
      <c r="DB37" s="183">
        <f>IF(OR(DB6&gt;HoldPeriod,DB6&lt;=RefiMonth),0,IF(DB6&lt;=RefiIO+RefiMonth,DB35,PMT(RefiInterestRate/12,RefiAmor,Summary!$E$37,0)))</f>
        <v>0</v>
      </c>
      <c r="DC37" s="183">
        <f>IF(OR(DC6&gt;HoldPeriod,DC6&lt;=RefiMonth),0,IF(DC6&lt;=RefiIO+RefiMonth,DC35,PMT(RefiInterestRate/12,RefiAmor,Summary!$E$37,0)))</f>
        <v>0</v>
      </c>
      <c r="DD37" s="183">
        <f>IF(OR(DD6&gt;HoldPeriod,DD6&lt;=RefiMonth),0,IF(DD6&lt;=RefiIO+RefiMonth,DD35,PMT(RefiInterestRate/12,RefiAmor,Summary!$E$37,0)))</f>
        <v>0</v>
      </c>
      <c r="DE37" s="183">
        <f>IF(OR(DE6&gt;HoldPeriod,DE6&lt;=RefiMonth),0,IF(DE6&lt;=RefiIO+RefiMonth,DE35,PMT(RefiInterestRate/12,RefiAmor,Summary!$E$37,0)))</f>
        <v>0</v>
      </c>
      <c r="DF37" s="183">
        <f>IF(OR(DF6&gt;HoldPeriod,DF6&lt;=RefiMonth),0,IF(DF6&lt;=RefiIO+RefiMonth,DF35,PMT(RefiInterestRate/12,RefiAmor,Summary!$E$37,0)))</f>
        <v>0</v>
      </c>
      <c r="DG37" s="183">
        <f>IF(OR(DG6&gt;HoldPeriod,DG6&lt;=RefiMonth),0,IF(DG6&lt;=RefiIO+RefiMonth,DG35,PMT(RefiInterestRate/12,RefiAmor,Summary!$E$37,0)))</f>
        <v>0</v>
      </c>
      <c r="DH37" s="183">
        <f>IF(OR(DH6&gt;HoldPeriod,DH6&lt;=RefiMonth),0,IF(DH6&lt;=RefiIO+RefiMonth,DH35,PMT(RefiInterestRate/12,RefiAmor,Summary!$E$37,0)))</f>
        <v>0</v>
      </c>
      <c r="DI37" s="183">
        <f>IF(OR(DI6&gt;HoldPeriod,DI6&lt;=RefiMonth),0,IF(DI6&lt;=RefiIO+RefiMonth,DI35,PMT(RefiInterestRate/12,RefiAmor,Summary!$E$37,0)))</f>
        <v>0</v>
      </c>
      <c r="DJ37" s="183">
        <f>IF(OR(DJ6&gt;HoldPeriod,DJ6&lt;=RefiMonth),0,IF(DJ6&lt;=RefiIO+RefiMonth,DJ35,PMT(RefiInterestRate/12,RefiAmor,Summary!$E$37,0)))</f>
        <v>0</v>
      </c>
      <c r="DK37" s="183">
        <f>IF(OR(DK6&gt;HoldPeriod,DK6&lt;=RefiMonth),0,IF(DK6&lt;=RefiIO+RefiMonth,DK35,PMT(RefiInterestRate/12,RefiAmor,Summary!$E$37,0)))</f>
        <v>0</v>
      </c>
      <c r="DL37" s="183">
        <f>IF(OR(DL6&gt;HoldPeriod,DL6&lt;=RefiMonth),0,IF(DL6&lt;=RefiIO+RefiMonth,DL35,PMT(RefiInterestRate/12,RefiAmor,Summary!$E$37,0)))</f>
        <v>0</v>
      </c>
      <c r="DM37" s="183">
        <f>IF(OR(DM6&gt;HoldPeriod,DM6&lt;=RefiMonth),0,IF(DM6&lt;=RefiIO+RefiMonth,DM35,PMT(RefiInterestRate/12,RefiAmor,Summary!$E$37,0)))</f>
        <v>0</v>
      </c>
      <c r="DN37" s="183">
        <f>IF(OR(DN6&gt;HoldPeriod,DN6&lt;=RefiMonth),0,IF(DN6&lt;=RefiIO+RefiMonth,DN35,PMT(RefiInterestRate/12,RefiAmor,Summary!$E$37,0)))</f>
        <v>0</v>
      </c>
      <c r="DO37" s="183">
        <f>IF(OR(DO6&gt;HoldPeriod,DO6&lt;=RefiMonth),0,IF(DO6&lt;=RefiIO+RefiMonth,DO35,PMT(RefiInterestRate/12,RefiAmor,Summary!$E$37,0)))</f>
        <v>0</v>
      </c>
      <c r="DP37" s="183">
        <f>IF(OR(DP6&gt;HoldPeriod,DP6&lt;=RefiMonth),0,IF(DP6&lt;=RefiIO+RefiMonth,DP35,PMT(RefiInterestRate/12,RefiAmor,Summary!$E$37,0)))</f>
        <v>0</v>
      </c>
      <c r="DQ37" s="183">
        <f>IF(OR(DQ6&gt;HoldPeriod,DQ6&lt;=RefiMonth),0,IF(DQ6&lt;=RefiIO+RefiMonth,DQ35,PMT(RefiInterestRate/12,RefiAmor,Summary!$E$37,0)))</f>
        <v>0</v>
      </c>
      <c r="DR37" s="183">
        <f>IF(OR(DR6&gt;HoldPeriod,DR6&lt;=RefiMonth),0,IF(DR6&lt;=RefiIO+RefiMonth,DR35,PMT(RefiInterestRate/12,RefiAmor,Summary!$E$37,0)))</f>
        <v>0</v>
      </c>
      <c r="DS37" s="183">
        <f>IF(OR(DS6&gt;HoldPeriod,DS6&lt;=RefiMonth),0,IF(DS6&lt;=RefiIO+RefiMonth,DS35,PMT(RefiInterestRate/12,RefiAmor,Summary!$E$37,0)))</f>
        <v>0</v>
      </c>
      <c r="DT37" s="183">
        <f>IF(OR(DT6&gt;HoldPeriod,DT6&lt;=RefiMonth),0,IF(DT6&lt;=RefiIO+RefiMonth,DT35,PMT(RefiInterestRate/12,RefiAmor,Summary!$E$37,0)))</f>
        <v>0</v>
      </c>
      <c r="DU37" s="183">
        <f>IF(OR(DU6&gt;HoldPeriod,DU6&lt;=RefiMonth),0,IF(DU6&lt;=RefiIO+RefiMonth,DU35,PMT(RefiInterestRate/12,RefiAmor,Summary!$E$37,0)))</f>
        <v>0</v>
      </c>
      <c r="DV37" s="183">
        <f>IF(OR(DV6&gt;HoldPeriod,DV6&lt;=RefiMonth),0,IF(DV6&lt;=RefiIO+RefiMonth,DV35,PMT(RefiInterestRate/12,RefiAmor,Summary!$E$37,0)))</f>
        <v>0</v>
      </c>
      <c r="DW37" s="183">
        <f>IF(OR(DW6&gt;HoldPeriod,DW6&lt;=RefiMonth),0,IF(DW6&lt;=RefiIO+RefiMonth,DW35,PMT(RefiInterestRate/12,RefiAmor,Summary!$E$37,0)))</f>
        <v>0</v>
      </c>
      <c r="DX37" s="183">
        <f>IF(OR(DX6&gt;HoldPeriod,DX6&lt;=RefiMonth),0,IF(DX6&lt;=RefiIO+RefiMonth,DX35,PMT(RefiInterestRate/12,RefiAmor,Summary!$E$37,0)))</f>
        <v>0</v>
      </c>
      <c r="DY37" s="183">
        <f>IF(OR(DY6&gt;HoldPeriod,DY6&lt;=RefiMonth),0,IF(DY6&lt;=RefiIO+RefiMonth,DY35,PMT(RefiInterestRate/12,RefiAmor,Summary!$E$37,0)))</f>
        <v>0</v>
      </c>
      <c r="DZ37" s="183">
        <f>IF(OR(DZ6&gt;HoldPeriod,DZ6&lt;=RefiMonth),0,IF(DZ6&lt;=RefiIO+RefiMonth,DZ35,PMT(RefiInterestRate/12,RefiAmor,Summary!$E$37,0)))</f>
        <v>0</v>
      </c>
      <c r="EA37" s="183">
        <f>IF(OR(EA6&gt;HoldPeriod,EA6&lt;=RefiMonth),0,IF(EA6&lt;=RefiIO+RefiMonth,EA35,PMT(RefiInterestRate/12,RefiAmor,Summary!$E$37,0)))</f>
        <v>0</v>
      </c>
      <c r="EB37" s="183">
        <f>IF(OR(EB6&gt;HoldPeriod,EB6&lt;=RefiMonth),0,IF(EB6&lt;=RefiIO+RefiMonth,EB35,PMT(RefiInterestRate/12,RefiAmor,Summary!$E$37,0)))</f>
        <v>0</v>
      </c>
      <c r="EC37" s="183">
        <f>IF(OR(EC6&gt;HoldPeriod,EC6&lt;=RefiMonth),0,IF(EC6&lt;=RefiIO+RefiMonth,EC35,PMT(RefiInterestRate/12,RefiAmor,Summary!$E$37,0)))</f>
        <v>0</v>
      </c>
      <c r="ED37" s="183">
        <f>IF(OR(ED6&gt;HoldPeriod,ED6&lt;=RefiMonth),0,IF(ED6&lt;=RefiIO+RefiMonth,ED35,PMT(RefiInterestRate/12,RefiAmor,Summary!$E$37,0)))</f>
        <v>0</v>
      </c>
      <c r="EE37" s="183">
        <f>IF(OR(EE6&gt;HoldPeriod,EE6&lt;=RefiMonth),0,IF(EE6&lt;=RefiIO+RefiMonth,EE35,PMT(RefiInterestRate/12,RefiAmor,Summary!$E$37,0)))</f>
        <v>0</v>
      </c>
      <c r="EF37" s="183" t="s">
        <v>243</v>
      </c>
    </row>
    <row r="38" spans="1:136" s="180" customFormat="1" x14ac:dyDescent="0.2">
      <c r="A38" s="190"/>
      <c r="B38" s="185" t="s">
        <v>28</v>
      </c>
      <c r="C38" s="183">
        <v>0</v>
      </c>
      <c r="D38" s="183">
        <f>IF(D6=HoldPeriod,-(D33+D34+D36),0)</f>
        <v>0</v>
      </c>
      <c r="E38" s="183">
        <f t="shared" ref="E38:AJ38" si="76">IF(E6=HoldPeriod,-(E33+E36),0)</f>
        <v>0</v>
      </c>
      <c r="F38" s="183">
        <f t="shared" si="76"/>
        <v>0</v>
      </c>
      <c r="G38" s="183">
        <f t="shared" si="76"/>
        <v>0</v>
      </c>
      <c r="H38" s="183">
        <f t="shared" si="76"/>
        <v>0</v>
      </c>
      <c r="I38" s="183">
        <f t="shared" si="76"/>
        <v>0</v>
      </c>
      <c r="J38" s="183">
        <f t="shared" si="76"/>
        <v>0</v>
      </c>
      <c r="K38" s="183">
        <f t="shared" si="76"/>
        <v>0</v>
      </c>
      <c r="L38" s="183">
        <f t="shared" si="76"/>
        <v>0</v>
      </c>
      <c r="M38" s="183">
        <f t="shared" si="76"/>
        <v>0</v>
      </c>
      <c r="N38" s="183">
        <f t="shared" si="76"/>
        <v>0</v>
      </c>
      <c r="O38" s="183">
        <f t="shared" si="76"/>
        <v>0</v>
      </c>
      <c r="P38" s="183">
        <f t="shared" si="76"/>
        <v>0</v>
      </c>
      <c r="Q38" s="183">
        <f t="shared" si="76"/>
        <v>0</v>
      </c>
      <c r="R38" s="183">
        <f t="shared" si="76"/>
        <v>0</v>
      </c>
      <c r="S38" s="183">
        <f t="shared" si="76"/>
        <v>0</v>
      </c>
      <c r="T38" s="183">
        <f t="shared" si="76"/>
        <v>0</v>
      </c>
      <c r="U38" s="183">
        <f t="shared" si="76"/>
        <v>0</v>
      </c>
      <c r="V38" s="183">
        <f t="shared" si="76"/>
        <v>0</v>
      </c>
      <c r="W38" s="183">
        <f t="shared" si="76"/>
        <v>0</v>
      </c>
      <c r="X38" s="183">
        <f t="shared" si="76"/>
        <v>0</v>
      </c>
      <c r="Y38" s="183">
        <f t="shared" si="76"/>
        <v>0</v>
      </c>
      <c r="Z38" s="183">
        <f t="shared" si="76"/>
        <v>0</v>
      </c>
      <c r="AA38" s="183">
        <f t="shared" si="76"/>
        <v>0</v>
      </c>
      <c r="AB38" s="183">
        <f t="shared" si="76"/>
        <v>0</v>
      </c>
      <c r="AC38" s="183">
        <f t="shared" si="76"/>
        <v>0</v>
      </c>
      <c r="AD38" s="183">
        <f t="shared" si="76"/>
        <v>0</v>
      </c>
      <c r="AE38" s="183">
        <f t="shared" si="76"/>
        <v>0</v>
      </c>
      <c r="AF38" s="183">
        <f t="shared" si="76"/>
        <v>0</v>
      </c>
      <c r="AG38" s="183">
        <f t="shared" si="76"/>
        <v>0</v>
      </c>
      <c r="AH38" s="183">
        <f t="shared" si="76"/>
        <v>0</v>
      </c>
      <c r="AI38" s="183">
        <f t="shared" si="76"/>
        <v>0</v>
      </c>
      <c r="AJ38" s="183">
        <f t="shared" si="76"/>
        <v>0</v>
      </c>
      <c r="AK38" s="183">
        <f t="shared" ref="AK38:BP38" si="77">IF(AK6=HoldPeriod,-(AK33+AK36),0)</f>
        <v>0</v>
      </c>
      <c r="AL38" s="183">
        <f t="shared" si="77"/>
        <v>0</v>
      </c>
      <c r="AM38" s="183">
        <f t="shared" si="77"/>
        <v>0</v>
      </c>
      <c r="AN38" s="183">
        <f t="shared" si="77"/>
        <v>0</v>
      </c>
      <c r="AO38" s="183">
        <f t="shared" si="77"/>
        <v>0</v>
      </c>
      <c r="AP38" s="183">
        <f t="shared" si="77"/>
        <v>0</v>
      </c>
      <c r="AQ38" s="183">
        <f t="shared" si="77"/>
        <v>0</v>
      </c>
      <c r="AR38" s="183">
        <f t="shared" si="77"/>
        <v>0</v>
      </c>
      <c r="AS38" s="183">
        <f t="shared" si="77"/>
        <v>0</v>
      </c>
      <c r="AT38" s="183">
        <f t="shared" si="77"/>
        <v>0</v>
      </c>
      <c r="AU38" s="183">
        <f t="shared" si="77"/>
        <v>0</v>
      </c>
      <c r="AV38" s="183">
        <f t="shared" si="77"/>
        <v>0</v>
      </c>
      <c r="AW38" s="183">
        <f t="shared" si="77"/>
        <v>0</v>
      </c>
      <c r="AX38" s="183">
        <f t="shared" si="77"/>
        <v>0</v>
      </c>
      <c r="AY38" s="183">
        <f t="shared" si="77"/>
        <v>0</v>
      </c>
      <c r="AZ38" s="183">
        <f t="shared" si="77"/>
        <v>0</v>
      </c>
      <c r="BA38" s="183">
        <f t="shared" si="77"/>
        <v>0</v>
      </c>
      <c r="BB38" s="183">
        <f t="shared" si="77"/>
        <v>0</v>
      </c>
      <c r="BC38" s="183">
        <f t="shared" si="77"/>
        <v>0</v>
      </c>
      <c r="BD38" s="183">
        <f t="shared" si="77"/>
        <v>0</v>
      </c>
      <c r="BE38" s="183">
        <f t="shared" si="77"/>
        <v>0</v>
      </c>
      <c r="BF38" s="183">
        <f t="shared" si="77"/>
        <v>0</v>
      </c>
      <c r="BG38" s="183">
        <f t="shared" si="77"/>
        <v>0</v>
      </c>
      <c r="BH38" s="183">
        <f t="shared" si="77"/>
        <v>0</v>
      </c>
      <c r="BI38" s="183">
        <f t="shared" si="77"/>
        <v>0</v>
      </c>
      <c r="BJ38" s="183">
        <f t="shared" si="77"/>
        <v>0</v>
      </c>
      <c r="BK38" s="183">
        <f t="shared" ca="1" si="77"/>
        <v>-49291943.027310237</v>
      </c>
      <c r="BL38" s="183">
        <f t="shared" si="77"/>
        <v>0</v>
      </c>
      <c r="BM38" s="183">
        <f t="shared" si="77"/>
        <v>0</v>
      </c>
      <c r="BN38" s="183">
        <f t="shared" si="77"/>
        <v>0</v>
      </c>
      <c r="BO38" s="183">
        <f t="shared" si="77"/>
        <v>0</v>
      </c>
      <c r="BP38" s="183">
        <f t="shared" si="77"/>
        <v>0</v>
      </c>
      <c r="BQ38" s="183">
        <f t="shared" ref="BQ38:CV38" si="78">IF(BQ6=HoldPeriod,-(BQ33+BQ36),0)</f>
        <v>0</v>
      </c>
      <c r="BR38" s="183">
        <f t="shared" si="78"/>
        <v>0</v>
      </c>
      <c r="BS38" s="183">
        <f t="shared" si="78"/>
        <v>0</v>
      </c>
      <c r="BT38" s="183">
        <f t="shared" si="78"/>
        <v>0</v>
      </c>
      <c r="BU38" s="183">
        <f t="shared" si="78"/>
        <v>0</v>
      </c>
      <c r="BV38" s="183">
        <f t="shared" si="78"/>
        <v>0</v>
      </c>
      <c r="BW38" s="183">
        <f t="shared" si="78"/>
        <v>0</v>
      </c>
      <c r="BX38" s="183">
        <f t="shared" si="78"/>
        <v>0</v>
      </c>
      <c r="BY38" s="183">
        <f t="shared" si="78"/>
        <v>0</v>
      </c>
      <c r="BZ38" s="183">
        <f t="shared" si="78"/>
        <v>0</v>
      </c>
      <c r="CA38" s="183">
        <f t="shared" si="78"/>
        <v>0</v>
      </c>
      <c r="CB38" s="183">
        <f t="shared" si="78"/>
        <v>0</v>
      </c>
      <c r="CC38" s="183">
        <f t="shared" si="78"/>
        <v>0</v>
      </c>
      <c r="CD38" s="183">
        <f t="shared" si="78"/>
        <v>0</v>
      </c>
      <c r="CE38" s="183">
        <f t="shared" si="78"/>
        <v>0</v>
      </c>
      <c r="CF38" s="183">
        <f t="shared" si="78"/>
        <v>0</v>
      </c>
      <c r="CG38" s="183">
        <f t="shared" si="78"/>
        <v>0</v>
      </c>
      <c r="CH38" s="183">
        <f t="shared" si="78"/>
        <v>0</v>
      </c>
      <c r="CI38" s="183">
        <f t="shared" si="78"/>
        <v>0</v>
      </c>
      <c r="CJ38" s="183">
        <f t="shared" si="78"/>
        <v>0</v>
      </c>
      <c r="CK38" s="183">
        <f t="shared" si="78"/>
        <v>0</v>
      </c>
      <c r="CL38" s="183">
        <f t="shared" si="78"/>
        <v>0</v>
      </c>
      <c r="CM38" s="183">
        <f t="shared" si="78"/>
        <v>0</v>
      </c>
      <c r="CN38" s="183">
        <f t="shared" si="78"/>
        <v>0</v>
      </c>
      <c r="CO38" s="183">
        <f t="shared" si="78"/>
        <v>0</v>
      </c>
      <c r="CP38" s="183">
        <f t="shared" si="78"/>
        <v>0</v>
      </c>
      <c r="CQ38" s="183">
        <f t="shared" si="78"/>
        <v>0</v>
      </c>
      <c r="CR38" s="183">
        <f t="shared" si="78"/>
        <v>0</v>
      </c>
      <c r="CS38" s="183">
        <f t="shared" si="78"/>
        <v>0</v>
      </c>
      <c r="CT38" s="183">
        <f t="shared" si="78"/>
        <v>0</v>
      </c>
      <c r="CU38" s="183">
        <f t="shared" si="78"/>
        <v>0</v>
      </c>
      <c r="CV38" s="183">
        <f t="shared" si="78"/>
        <v>0</v>
      </c>
      <c r="CW38" s="183">
        <f t="shared" ref="CW38:EE38" si="79">IF(CW6=HoldPeriod,-(CW33+CW36),0)</f>
        <v>0</v>
      </c>
      <c r="CX38" s="183">
        <f t="shared" si="79"/>
        <v>0</v>
      </c>
      <c r="CY38" s="183">
        <f t="shared" si="79"/>
        <v>0</v>
      </c>
      <c r="CZ38" s="183">
        <f t="shared" si="79"/>
        <v>0</v>
      </c>
      <c r="DA38" s="183">
        <f t="shared" si="79"/>
        <v>0</v>
      </c>
      <c r="DB38" s="183">
        <f t="shared" si="79"/>
        <v>0</v>
      </c>
      <c r="DC38" s="183">
        <f t="shared" si="79"/>
        <v>0</v>
      </c>
      <c r="DD38" s="183">
        <f t="shared" si="79"/>
        <v>0</v>
      </c>
      <c r="DE38" s="183">
        <f t="shared" si="79"/>
        <v>0</v>
      </c>
      <c r="DF38" s="183">
        <f t="shared" si="79"/>
        <v>0</v>
      </c>
      <c r="DG38" s="183">
        <f t="shared" si="79"/>
        <v>0</v>
      </c>
      <c r="DH38" s="183">
        <f t="shared" si="79"/>
        <v>0</v>
      </c>
      <c r="DI38" s="183">
        <f t="shared" si="79"/>
        <v>0</v>
      </c>
      <c r="DJ38" s="183">
        <f t="shared" si="79"/>
        <v>0</v>
      </c>
      <c r="DK38" s="183">
        <f t="shared" si="79"/>
        <v>0</v>
      </c>
      <c r="DL38" s="183">
        <f t="shared" si="79"/>
        <v>0</v>
      </c>
      <c r="DM38" s="183">
        <f t="shared" si="79"/>
        <v>0</v>
      </c>
      <c r="DN38" s="183">
        <f t="shared" si="79"/>
        <v>0</v>
      </c>
      <c r="DO38" s="183">
        <f t="shared" si="79"/>
        <v>0</v>
      </c>
      <c r="DP38" s="183">
        <f t="shared" si="79"/>
        <v>0</v>
      </c>
      <c r="DQ38" s="183">
        <f t="shared" si="79"/>
        <v>0</v>
      </c>
      <c r="DR38" s="183">
        <f t="shared" si="79"/>
        <v>0</v>
      </c>
      <c r="DS38" s="183">
        <f t="shared" si="79"/>
        <v>0</v>
      </c>
      <c r="DT38" s="183">
        <f t="shared" si="79"/>
        <v>0</v>
      </c>
      <c r="DU38" s="183">
        <f t="shared" si="79"/>
        <v>0</v>
      </c>
      <c r="DV38" s="183">
        <f t="shared" si="79"/>
        <v>0</v>
      </c>
      <c r="DW38" s="183">
        <f t="shared" si="79"/>
        <v>0</v>
      </c>
      <c r="DX38" s="183">
        <f t="shared" si="79"/>
        <v>0</v>
      </c>
      <c r="DY38" s="183">
        <f t="shared" si="79"/>
        <v>0</v>
      </c>
      <c r="DZ38" s="183">
        <f t="shared" si="79"/>
        <v>0</v>
      </c>
      <c r="EA38" s="183">
        <f t="shared" si="79"/>
        <v>0</v>
      </c>
      <c r="EB38" s="183">
        <f t="shared" si="79"/>
        <v>0</v>
      </c>
      <c r="EC38" s="183">
        <f t="shared" si="79"/>
        <v>0</v>
      </c>
      <c r="ED38" s="183">
        <f t="shared" si="79"/>
        <v>0</v>
      </c>
      <c r="EE38" s="183">
        <f t="shared" si="79"/>
        <v>0</v>
      </c>
      <c r="EF38" s="183" t="s">
        <v>243</v>
      </c>
    </row>
    <row r="39" spans="1:136" s="180" customFormat="1" x14ac:dyDescent="0.2">
      <c r="A39" s="190"/>
      <c r="B39" s="186" t="s">
        <v>706</v>
      </c>
      <c r="C39" s="187">
        <f t="shared" ref="C39:AH39" si="80">C33+C34+C36+C38</f>
        <v>0</v>
      </c>
      <c r="D39" s="187">
        <f t="shared" si="80"/>
        <v>0</v>
      </c>
      <c r="E39" s="187">
        <f t="shared" si="80"/>
        <v>0</v>
      </c>
      <c r="F39" s="187">
        <f t="shared" si="80"/>
        <v>0</v>
      </c>
      <c r="G39" s="187">
        <f t="shared" si="80"/>
        <v>0</v>
      </c>
      <c r="H39" s="187">
        <f t="shared" si="80"/>
        <v>0</v>
      </c>
      <c r="I39" s="187">
        <f t="shared" si="80"/>
        <v>0</v>
      </c>
      <c r="J39" s="187">
        <f t="shared" si="80"/>
        <v>0</v>
      </c>
      <c r="K39" s="187">
        <f t="shared" si="80"/>
        <v>0</v>
      </c>
      <c r="L39" s="187">
        <f t="shared" si="80"/>
        <v>0</v>
      </c>
      <c r="M39" s="187">
        <f t="shared" si="80"/>
        <v>0</v>
      </c>
      <c r="N39" s="187">
        <f t="shared" si="80"/>
        <v>0</v>
      </c>
      <c r="O39" s="187">
        <f t="shared" si="80"/>
        <v>0</v>
      </c>
      <c r="P39" s="187">
        <f t="shared" si="80"/>
        <v>0</v>
      </c>
      <c r="Q39" s="187">
        <f t="shared" si="80"/>
        <v>0</v>
      </c>
      <c r="R39" s="187">
        <f t="shared" si="80"/>
        <v>0</v>
      </c>
      <c r="S39" s="187">
        <f t="shared" si="80"/>
        <v>0</v>
      </c>
      <c r="T39" s="187">
        <f t="shared" si="80"/>
        <v>0</v>
      </c>
      <c r="U39" s="187">
        <f t="shared" si="80"/>
        <v>0</v>
      </c>
      <c r="V39" s="187">
        <f t="shared" si="80"/>
        <v>0</v>
      </c>
      <c r="W39" s="187">
        <f t="shared" si="80"/>
        <v>0</v>
      </c>
      <c r="X39" s="187">
        <f t="shared" si="80"/>
        <v>0</v>
      </c>
      <c r="Y39" s="187">
        <f t="shared" si="80"/>
        <v>0</v>
      </c>
      <c r="Z39" s="187">
        <f t="shared" si="80"/>
        <v>0</v>
      </c>
      <c r="AA39" s="187">
        <f t="shared" si="80"/>
        <v>0</v>
      </c>
      <c r="AB39" s="187">
        <f t="shared" si="80"/>
        <v>0</v>
      </c>
      <c r="AC39" s="187">
        <f t="shared" si="80"/>
        <v>0</v>
      </c>
      <c r="AD39" s="187">
        <f t="shared" si="80"/>
        <v>0</v>
      </c>
      <c r="AE39" s="187">
        <f t="shared" si="80"/>
        <v>0</v>
      </c>
      <c r="AF39" s="187">
        <f t="shared" si="80"/>
        <v>0</v>
      </c>
      <c r="AG39" s="187">
        <f t="shared" si="80"/>
        <v>0</v>
      </c>
      <c r="AH39" s="187">
        <f t="shared" si="80"/>
        <v>0</v>
      </c>
      <c r="AI39" s="187">
        <f t="shared" ref="AI39:BN39" si="81">AI33+AI34+AI36+AI38</f>
        <v>0</v>
      </c>
      <c r="AJ39" s="187">
        <f t="shared" si="81"/>
        <v>0</v>
      </c>
      <c r="AK39" s="187">
        <f t="shared" si="81"/>
        <v>0</v>
      </c>
      <c r="AL39" s="187">
        <f t="shared" si="81"/>
        <v>0</v>
      </c>
      <c r="AM39" s="187">
        <f t="shared" ca="1" si="81"/>
        <v>49291943.027310237</v>
      </c>
      <c r="AN39" s="187">
        <f t="shared" ca="1" si="81"/>
        <v>49291943.027310237</v>
      </c>
      <c r="AO39" s="187">
        <f t="shared" ca="1" si="81"/>
        <v>49291943.027310237</v>
      </c>
      <c r="AP39" s="187">
        <f t="shared" ca="1" si="81"/>
        <v>49291943.027310237</v>
      </c>
      <c r="AQ39" s="187">
        <f t="shared" ca="1" si="81"/>
        <v>49291943.027310237</v>
      </c>
      <c r="AR39" s="187">
        <f t="shared" ca="1" si="81"/>
        <v>49291943.027310237</v>
      </c>
      <c r="AS39" s="187">
        <f t="shared" ca="1" si="81"/>
        <v>49291943.027310237</v>
      </c>
      <c r="AT39" s="187">
        <f t="shared" ca="1" si="81"/>
        <v>49291943.027310237</v>
      </c>
      <c r="AU39" s="187">
        <f t="shared" ca="1" si="81"/>
        <v>49291943.027310237</v>
      </c>
      <c r="AV39" s="187">
        <f t="shared" ca="1" si="81"/>
        <v>49291943.027310237</v>
      </c>
      <c r="AW39" s="187">
        <f t="shared" ca="1" si="81"/>
        <v>49291943.027310237</v>
      </c>
      <c r="AX39" s="187">
        <f t="shared" ca="1" si="81"/>
        <v>49291943.027310237</v>
      </c>
      <c r="AY39" s="187">
        <f t="shared" ca="1" si="81"/>
        <v>49291943.027310237</v>
      </c>
      <c r="AZ39" s="187">
        <f t="shared" ca="1" si="81"/>
        <v>49291943.027310237</v>
      </c>
      <c r="BA39" s="187">
        <f t="shared" ca="1" si="81"/>
        <v>49291943.027310237</v>
      </c>
      <c r="BB39" s="187">
        <f t="shared" ca="1" si="81"/>
        <v>49291943.027310237</v>
      </c>
      <c r="BC39" s="187">
        <f t="shared" ca="1" si="81"/>
        <v>49291943.027310237</v>
      </c>
      <c r="BD39" s="187">
        <f t="shared" ca="1" si="81"/>
        <v>49291943.027310237</v>
      </c>
      <c r="BE39" s="187">
        <f t="shared" ca="1" si="81"/>
        <v>49291943.027310237</v>
      </c>
      <c r="BF39" s="187">
        <f t="shared" ca="1" si="81"/>
        <v>49291943.027310237</v>
      </c>
      <c r="BG39" s="187">
        <f t="shared" ca="1" si="81"/>
        <v>49291943.027310237</v>
      </c>
      <c r="BH39" s="187">
        <f t="shared" ca="1" si="81"/>
        <v>49291943.027310237</v>
      </c>
      <c r="BI39" s="187">
        <f t="shared" ca="1" si="81"/>
        <v>49291943.027310237</v>
      </c>
      <c r="BJ39" s="187">
        <f t="shared" ca="1" si="81"/>
        <v>49291943.027310237</v>
      </c>
      <c r="BK39" s="187">
        <f t="shared" ca="1" si="81"/>
        <v>0</v>
      </c>
      <c r="BL39" s="187">
        <f t="shared" ca="1" si="81"/>
        <v>0</v>
      </c>
      <c r="BM39" s="187">
        <f t="shared" ca="1" si="81"/>
        <v>0</v>
      </c>
      <c r="BN39" s="187">
        <f t="shared" ca="1" si="81"/>
        <v>0</v>
      </c>
      <c r="BO39" s="187">
        <f t="shared" ref="BO39:CT39" ca="1" si="82">BO33+BO34+BO36+BO38</f>
        <v>0</v>
      </c>
      <c r="BP39" s="187">
        <f t="shared" ca="1" si="82"/>
        <v>0</v>
      </c>
      <c r="BQ39" s="187">
        <f t="shared" ca="1" si="82"/>
        <v>0</v>
      </c>
      <c r="BR39" s="187">
        <f t="shared" ca="1" si="82"/>
        <v>0</v>
      </c>
      <c r="BS39" s="187">
        <f t="shared" ca="1" si="82"/>
        <v>0</v>
      </c>
      <c r="BT39" s="187">
        <f t="shared" ca="1" si="82"/>
        <v>0</v>
      </c>
      <c r="BU39" s="187">
        <f t="shared" ca="1" si="82"/>
        <v>0</v>
      </c>
      <c r="BV39" s="187">
        <f t="shared" ca="1" si="82"/>
        <v>0</v>
      </c>
      <c r="BW39" s="187">
        <f t="shared" ca="1" si="82"/>
        <v>0</v>
      </c>
      <c r="BX39" s="187">
        <f t="shared" ca="1" si="82"/>
        <v>0</v>
      </c>
      <c r="BY39" s="187">
        <f t="shared" ca="1" si="82"/>
        <v>0</v>
      </c>
      <c r="BZ39" s="187">
        <f t="shared" ca="1" si="82"/>
        <v>0</v>
      </c>
      <c r="CA39" s="187">
        <f t="shared" ca="1" si="82"/>
        <v>0</v>
      </c>
      <c r="CB39" s="187">
        <f t="shared" ca="1" si="82"/>
        <v>0</v>
      </c>
      <c r="CC39" s="187">
        <f t="shared" ca="1" si="82"/>
        <v>0</v>
      </c>
      <c r="CD39" s="187">
        <f t="shared" ca="1" si="82"/>
        <v>0</v>
      </c>
      <c r="CE39" s="187">
        <f t="shared" ca="1" si="82"/>
        <v>0</v>
      </c>
      <c r="CF39" s="187">
        <f t="shared" ca="1" si="82"/>
        <v>0</v>
      </c>
      <c r="CG39" s="187">
        <f t="shared" ca="1" si="82"/>
        <v>0</v>
      </c>
      <c r="CH39" s="187">
        <f t="shared" ca="1" si="82"/>
        <v>0</v>
      </c>
      <c r="CI39" s="187">
        <f t="shared" ca="1" si="82"/>
        <v>0</v>
      </c>
      <c r="CJ39" s="187">
        <f t="shared" ca="1" si="82"/>
        <v>0</v>
      </c>
      <c r="CK39" s="187">
        <f t="shared" ca="1" si="82"/>
        <v>0</v>
      </c>
      <c r="CL39" s="187">
        <f t="shared" ca="1" si="82"/>
        <v>0</v>
      </c>
      <c r="CM39" s="187">
        <f t="shared" ca="1" si="82"/>
        <v>0</v>
      </c>
      <c r="CN39" s="187">
        <f t="shared" ca="1" si="82"/>
        <v>0</v>
      </c>
      <c r="CO39" s="187">
        <f t="shared" ca="1" si="82"/>
        <v>0</v>
      </c>
      <c r="CP39" s="187">
        <f t="shared" ca="1" si="82"/>
        <v>0</v>
      </c>
      <c r="CQ39" s="187">
        <f t="shared" ca="1" si="82"/>
        <v>0</v>
      </c>
      <c r="CR39" s="187">
        <f t="shared" ca="1" si="82"/>
        <v>0</v>
      </c>
      <c r="CS39" s="187">
        <f t="shared" ca="1" si="82"/>
        <v>0</v>
      </c>
      <c r="CT39" s="187">
        <f t="shared" ca="1" si="82"/>
        <v>0</v>
      </c>
      <c r="CU39" s="187">
        <f t="shared" ref="CU39:DZ39" ca="1" si="83">CU33+CU34+CU36+CU38</f>
        <v>0</v>
      </c>
      <c r="CV39" s="187">
        <f t="shared" ca="1" si="83"/>
        <v>0</v>
      </c>
      <c r="CW39" s="187">
        <f t="shared" ca="1" si="83"/>
        <v>0</v>
      </c>
      <c r="CX39" s="187">
        <f t="shared" ca="1" si="83"/>
        <v>0</v>
      </c>
      <c r="CY39" s="187">
        <f t="shared" ca="1" si="83"/>
        <v>0</v>
      </c>
      <c r="CZ39" s="187">
        <f t="shared" ca="1" si="83"/>
        <v>0</v>
      </c>
      <c r="DA39" s="187">
        <f t="shared" ca="1" si="83"/>
        <v>0</v>
      </c>
      <c r="DB39" s="187">
        <f t="shared" ca="1" si="83"/>
        <v>0</v>
      </c>
      <c r="DC39" s="187">
        <f t="shared" ca="1" si="83"/>
        <v>0</v>
      </c>
      <c r="DD39" s="187">
        <f t="shared" ca="1" si="83"/>
        <v>0</v>
      </c>
      <c r="DE39" s="187">
        <f t="shared" ca="1" si="83"/>
        <v>0</v>
      </c>
      <c r="DF39" s="187">
        <f t="shared" ca="1" si="83"/>
        <v>0</v>
      </c>
      <c r="DG39" s="187">
        <f t="shared" ca="1" si="83"/>
        <v>0</v>
      </c>
      <c r="DH39" s="187">
        <f t="shared" ca="1" si="83"/>
        <v>0</v>
      </c>
      <c r="DI39" s="187">
        <f t="shared" ca="1" si="83"/>
        <v>0</v>
      </c>
      <c r="DJ39" s="187">
        <f t="shared" ca="1" si="83"/>
        <v>0</v>
      </c>
      <c r="DK39" s="187">
        <f t="shared" ca="1" si="83"/>
        <v>0</v>
      </c>
      <c r="DL39" s="187">
        <f t="shared" ca="1" si="83"/>
        <v>0</v>
      </c>
      <c r="DM39" s="187">
        <f t="shared" ca="1" si="83"/>
        <v>0</v>
      </c>
      <c r="DN39" s="187">
        <f t="shared" ca="1" si="83"/>
        <v>0</v>
      </c>
      <c r="DO39" s="187">
        <f t="shared" ca="1" si="83"/>
        <v>0</v>
      </c>
      <c r="DP39" s="187">
        <f t="shared" ca="1" si="83"/>
        <v>0</v>
      </c>
      <c r="DQ39" s="187">
        <f t="shared" ca="1" si="83"/>
        <v>0</v>
      </c>
      <c r="DR39" s="187">
        <f t="shared" ca="1" si="83"/>
        <v>0</v>
      </c>
      <c r="DS39" s="187">
        <f t="shared" ca="1" si="83"/>
        <v>0</v>
      </c>
      <c r="DT39" s="187">
        <f t="shared" ca="1" si="83"/>
        <v>0</v>
      </c>
      <c r="DU39" s="187">
        <f t="shared" ca="1" si="83"/>
        <v>0</v>
      </c>
      <c r="DV39" s="187">
        <f t="shared" ca="1" si="83"/>
        <v>0</v>
      </c>
      <c r="DW39" s="187">
        <f t="shared" ca="1" si="83"/>
        <v>0</v>
      </c>
      <c r="DX39" s="187">
        <f t="shared" ca="1" si="83"/>
        <v>0</v>
      </c>
      <c r="DY39" s="187">
        <f t="shared" ca="1" si="83"/>
        <v>0</v>
      </c>
      <c r="DZ39" s="187">
        <f t="shared" ca="1" si="83"/>
        <v>0</v>
      </c>
      <c r="EA39" s="187">
        <f t="shared" ref="EA39:EE39" ca="1" si="84">EA33+EA34+EA36+EA38</f>
        <v>0</v>
      </c>
      <c r="EB39" s="187">
        <f t="shared" ca="1" si="84"/>
        <v>0</v>
      </c>
      <c r="EC39" s="187">
        <f t="shared" ca="1" si="84"/>
        <v>0</v>
      </c>
      <c r="ED39" s="187">
        <f t="shared" ca="1" si="84"/>
        <v>0</v>
      </c>
      <c r="EE39" s="187">
        <f t="shared" ca="1" si="84"/>
        <v>0</v>
      </c>
      <c r="EF39" s="183" t="s">
        <v>243</v>
      </c>
    </row>
    <row r="40" spans="1:136" s="180" customFormat="1" x14ac:dyDescent="0.2">
      <c r="A40" s="190"/>
      <c r="B40" s="195" t="s">
        <v>222</v>
      </c>
      <c r="C40" s="189"/>
      <c r="D40" s="189">
        <f t="shared" ref="D40:AI40" si="85">IF(OR(D6&gt;HoldPeriod,D6&lt;RefiMonth),0,IF(D6=RefiMonth,RefiLoanAmount*-RefiLoanFee,0))</f>
        <v>0</v>
      </c>
      <c r="E40" s="189">
        <f t="shared" si="85"/>
        <v>0</v>
      </c>
      <c r="F40" s="189">
        <f t="shared" si="85"/>
        <v>0</v>
      </c>
      <c r="G40" s="189">
        <f t="shared" si="85"/>
        <v>0</v>
      </c>
      <c r="H40" s="189">
        <f t="shared" si="85"/>
        <v>0</v>
      </c>
      <c r="I40" s="189">
        <f t="shared" si="85"/>
        <v>0</v>
      </c>
      <c r="J40" s="189">
        <f t="shared" si="85"/>
        <v>0</v>
      </c>
      <c r="K40" s="189">
        <f t="shared" si="85"/>
        <v>0</v>
      </c>
      <c r="L40" s="189">
        <f t="shared" si="85"/>
        <v>0</v>
      </c>
      <c r="M40" s="189">
        <f t="shared" si="85"/>
        <v>0</v>
      </c>
      <c r="N40" s="189">
        <f t="shared" si="85"/>
        <v>0</v>
      </c>
      <c r="O40" s="189">
        <f t="shared" si="85"/>
        <v>0</v>
      </c>
      <c r="P40" s="189">
        <f t="shared" si="85"/>
        <v>0</v>
      </c>
      <c r="Q40" s="189">
        <f t="shared" si="85"/>
        <v>0</v>
      </c>
      <c r="R40" s="189">
        <f t="shared" si="85"/>
        <v>0</v>
      </c>
      <c r="S40" s="189">
        <f t="shared" si="85"/>
        <v>0</v>
      </c>
      <c r="T40" s="189">
        <f t="shared" si="85"/>
        <v>0</v>
      </c>
      <c r="U40" s="189">
        <f t="shared" si="85"/>
        <v>0</v>
      </c>
      <c r="V40" s="189">
        <f t="shared" si="85"/>
        <v>0</v>
      </c>
      <c r="W40" s="189">
        <f t="shared" si="85"/>
        <v>0</v>
      </c>
      <c r="X40" s="189">
        <f t="shared" si="85"/>
        <v>0</v>
      </c>
      <c r="Y40" s="189">
        <f t="shared" si="85"/>
        <v>0</v>
      </c>
      <c r="Z40" s="189">
        <f t="shared" si="85"/>
        <v>0</v>
      </c>
      <c r="AA40" s="189">
        <f t="shared" si="85"/>
        <v>0</v>
      </c>
      <c r="AB40" s="189">
        <f t="shared" si="85"/>
        <v>0</v>
      </c>
      <c r="AC40" s="189">
        <f t="shared" si="85"/>
        <v>0</v>
      </c>
      <c r="AD40" s="189">
        <f t="shared" si="85"/>
        <v>0</v>
      </c>
      <c r="AE40" s="189">
        <f t="shared" si="85"/>
        <v>0</v>
      </c>
      <c r="AF40" s="189">
        <f t="shared" si="85"/>
        <v>0</v>
      </c>
      <c r="AG40" s="189">
        <f t="shared" si="85"/>
        <v>0</v>
      </c>
      <c r="AH40" s="189">
        <f t="shared" si="85"/>
        <v>0</v>
      </c>
      <c r="AI40" s="189">
        <f t="shared" si="85"/>
        <v>0</v>
      </c>
      <c r="AJ40" s="189">
        <f t="shared" ref="AJ40:BO40" si="86">IF(OR(AJ6&gt;HoldPeriod,AJ6&lt;RefiMonth),0,IF(AJ6=RefiMonth,RefiLoanAmount*-RefiLoanFee,0))</f>
        <v>0</v>
      </c>
      <c r="AK40" s="189">
        <f t="shared" si="86"/>
        <v>0</v>
      </c>
      <c r="AL40" s="189">
        <f t="shared" si="86"/>
        <v>0</v>
      </c>
      <c r="AM40" s="189">
        <f t="shared" ca="1" si="86"/>
        <v>-492919.43027310236</v>
      </c>
      <c r="AN40" s="189">
        <f t="shared" si="86"/>
        <v>0</v>
      </c>
      <c r="AO40" s="189">
        <f t="shared" si="86"/>
        <v>0</v>
      </c>
      <c r="AP40" s="189">
        <f t="shared" si="86"/>
        <v>0</v>
      </c>
      <c r="AQ40" s="189">
        <f t="shared" si="86"/>
        <v>0</v>
      </c>
      <c r="AR40" s="189">
        <f t="shared" si="86"/>
        <v>0</v>
      </c>
      <c r="AS40" s="189">
        <f t="shared" si="86"/>
        <v>0</v>
      </c>
      <c r="AT40" s="189">
        <f t="shared" si="86"/>
        <v>0</v>
      </c>
      <c r="AU40" s="189">
        <f t="shared" si="86"/>
        <v>0</v>
      </c>
      <c r="AV40" s="189">
        <f t="shared" si="86"/>
        <v>0</v>
      </c>
      <c r="AW40" s="189">
        <f t="shared" si="86"/>
        <v>0</v>
      </c>
      <c r="AX40" s="189">
        <f t="shared" si="86"/>
        <v>0</v>
      </c>
      <c r="AY40" s="189">
        <f t="shared" si="86"/>
        <v>0</v>
      </c>
      <c r="AZ40" s="189">
        <f t="shared" si="86"/>
        <v>0</v>
      </c>
      <c r="BA40" s="189">
        <f t="shared" si="86"/>
        <v>0</v>
      </c>
      <c r="BB40" s="189">
        <f t="shared" si="86"/>
        <v>0</v>
      </c>
      <c r="BC40" s="189">
        <f t="shared" si="86"/>
        <v>0</v>
      </c>
      <c r="BD40" s="189">
        <f t="shared" si="86"/>
        <v>0</v>
      </c>
      <c r="BE40" s="189">
        <f t="shared" si="86"/>
        <v>0</v>
      </c>
      <c r="BF40" s="189">
        <f t="shared" si="86"/>
        <v>0</v>
      </c>
      <c r="BG40" s="189">
        <f t="shared" si="86"/>
        <v>0</v>
      </c>
      <c r="BH40" s="189">
        <f t="shared" si="86"/>
        <v>0</v>
      </c>
      <c r="BI40" s="189">
        <f t="shared" si="86"/>
        <v>0</v>
      </c>
      <c r="BJ40" s="189">
        <f t="shared" si="86"/>
        <v>0</v>
      </c>
      <c r="BK40" s="189">
        <f t="shared" si="86"/>
        <v>0</v>
      </c>
      <c r="BL40" s="189">
        <f t="shared" si="86"/>
        <v>0</v>
      </c>
      <c r="BM40" s="189">
        <f t="shared" si="86"/>
        <v>0</v>
      </c>
      <c r="BN40" s="189">
        <f t="shared" si="86"/>
        <v>0</v>
      </c>
      <c r="BO40" s="189">
        <f t="shared" si="86"/>
        <v>0</v>
      </c>
      <c r="BP40" s="189">
        <f t="shared" ref="BP40:CU40" si="87">IF(OR(BP6&gt;HoldPeriod,BP6&lt;RefiMonth),0,IF(BP6=RefiMonth,RefiLoanAmount*-RefiLoanFee,0))</f>
        <v>0</v>
      </c>
      <c r="BQ40" s="189">
        <f t="shared" si="87"/>
        <v>0</v>
      </c>
      <c r="BR40" s="189">
        <f t="shared" si="87"/>
        <v>0</v>
      </c>
      <c r="BS40" s="189">
        <f t="shared" si="87"/>
        <v>0</v>
      </c>
      <c r="BT40" s="189">
        <f t="shared" si="87"/>
        <v>0</v>
      </c>
      <c r="BU40" s="189">
        <f t="shared" si="87"/>
        <v>0</v>
      </c>
      <c r="BV40" s="189">
        <f t="shared" si="87"/>
        <v>0</v>
      </c>
      <c r="BW40" s="189">
        <f t="shared" si="87"/>
        <v>0</v>
      </c>
      <c r="BX40" s="189">
        <f t="shared" si="87"/>
        <v>0</v>
      </c>
      <c r="BY40" s="189">
        <f t="shared" si="87"/>
        <v>0</v>
      </c>
      <c r="BZ40" s="189">
        <f t="shared" si="87"/>
        <v>0</v>
      </c>
      <c r="CA40" s="189">
        <f t="shared" si="87"/>
        <v>0</v>
      </c>
      <c r="CB40" s="189">
        <f t="shared" si="87"/>
        <v>0</v>
      </c>
      <c r="CC40" s="189">
        <f t="shared" si="87"/>
        <v>0</v>
      </c>
      <c r="CD40" s="189">
        <f t="shared" si="87"/>
        <v>0</v>
      </c>
      <c r="CE40" s="189">
        <f t="shared" si="87"/>
        <v>0</v>
      </c>
      <c r="CF40" s="189">
        <f t="shared" si="87"/>
        <v>0</v>
      </c>
      <c r="CG40" s="189">
        <f t="shared" si="87"/>
        <v>0</v>
      </c>
      <c r="CH40" s="189">
        <f t="shared" si="87"/>
        <v>0</v>
      </c>
      <c r="CI40" s="189">
        <f t="shared" si="87"/>
        <v>0</v>
      </c>
      <c r="CJ40" s="189">
        <f t="shared" si="87"/>
        <v>0</v>
      </c>
      <c r="CK40" s="189">
        <f t="shared" si="87"/>
        <v>0</v>
      </c>
      <c r="CL40" s="189">
        <f t="shared" si="87"/>
        <v>0</v>
      </c>
      <c r="CM40" s="189">
        <f t="shared" si="87"/>
        <v>0</v>
      </c>
      <c r="CN40" s="189">
        <f t="shared" si="87"/>
        <v>0</v>
      </c>
      <c r="CO40" s="189">
        <f t="shared" si="87"/>
        <v>0</v>
      </c>
      <c r="CP40" s="189">
        <f t="shared" si="87"/>
        <v>0</v>
      </c>
      <c r="CQ40" s="189">
        <f t="shared" si="87"/>
        <v>0</v>
      </c>
      <c r="CR40" s="189">
        <f t="shared" si="87"/>
        <v>0</v>
      </c>
      <c r="CS40" s="189">
        <f t="shared" si="87"/>
        <v>0</v>
      </c>
      <c r="CT40" s="189">
        <f t="shared" si="87"/>
        <v>0</v>
      </c>
      <c r="CU40" s="189">
        <f t="shared" si="87"/>
        <v>0</v>
      </c>
      <c r="CV40" s="189">
        <f t="shared" ref="CV40:EE40" si="88">IF(OR(CV6&gt;HoldPeriod,CV6&lt;RefiMonth),0,IF(CV6=RefiMonth,RefiLoanAmount*-RefiLoanFee,0))</f>
        <v>0</v>
      </c>
      <c r="CW40" s="189">
        <f t="shared" si="88"/>
        <v>0</v>
      </c>
      <c r="CX40" s="189">
        <f t="shared" si="88"/>
        <v>0</v>
      </c>
      <c r="CY40" s="189">
        <f t="shared" si="88"/>
        <v>0</v>
      </c>
      <c r="CZ40" s="189">
        <f t="shared" si="88"/>
        <v>0</v>
      </c>
      <c r="DA40" s="189">
        <f t="shared" si="88"/>
        <v>0</v>
      </c>
      <c r="DB40" s="189">
        <f t="shared" si="88"/>
        <v>0</v>
      </c>
      <c r="DC40" s="189">
        <f t="shared" si="88"/>
        <v>0</v>
      </c>
      <c r="DD40" s="189">
        <f t="shared" si="88"/>
        <v>0</v>
      </c>
      <c r="DE40" s="189">
        <f t="shared" si="88"/>
        <v>0</v>
      </c>
      <c r="DF40" s="189">
        <f t="shared" si="88"/>
        <v>0</v>
      </c>
      <c r="DG40" s="189">
        <f t="shared" si="88"/>
        <v>0</v>
      </c>
      <c r="DH40" s="189">
        <f t="shared" si="88"/>
        <v>0</v>
      </c>
      <c r="DI40" s="189">
        <f t="shared" si="88"/>
        <v>0</v>
      </c>
      <c r="DJ40" s="189">
        <f t="shared" si="88"/>
        <v>0</v>
      </c>
      <c r="DK40" s="189">
        <f t="shared" si="88"/>
        <v>0</v>
      </c>
      <c r="DL40" s="189">
        <f t="shared" si="88"/>
        <v>0</v>
      </c>
      <c r="DM40" s="189">
        <f t="shared" si="88"/>
        <v>0</v>
      </c>
      <c r="DN40" s="189">
        <f t="shared" si="88"/>
        <v>0</v>
      </c>
      <c r="DO40" s="189">
        <f t="shared" si="88"/>
        <v>0</v>
      </c>
      <c r="DP40" s="189">
        <f t="shared" si="88"/>
        <v>0</v>
      </c>
      <c r="DQ40" s="189">
        <f t="shared" si="88"/>
        <v>0</v>
      </c>
      <c r="DR40" s="189">
        <f t="shared" si="88"/>
        <v>0</v>
      </c>
      <c r="DS40" s="189">
        <f t="shared" si="88"/>
        <v>0</v>
      </c>
      <c r="DT40" s="189">
        <f t="shared" si="88"/>
        <v>0</v>
      </c>
      <c r="DU40" s="189">
        <f t="shared" si="88"/>
        <v>0</v>
      </c>
      <c r="DV40" s="189">
        <f t="shared" si="88"/>
        <v>0</v>
      </c>
      <c r="DW40" s="189">
        <f t="shared" si="88"/>
        <v>0</v>
      </c>
      <c r="DX40" s="189">
        <f t="shared" si="88"/>
        <v>0</v>
      </c>
      <c r="DY40" s="189">
        <f t="shared" si="88"/>
        <v>0</v>
      </c>
      <c r="DZ40" s="189">
        <f t="shared" si="88"/>
        <v>0</v>
      </c>
      <c r="EA40" s="189">
        <f t="shared" si="88"/>
        <v>0</v>
      </c>
      <c r="EB40" s="189">
        <f t="shared" si="88"/>
        <v>0</v>
      </c>
      <c r="EC40" s="189">
        <f t="shared" si="88"/>
        <v>0</v>
      </c>
      <c r="ED40" s="189">
        <f t="shared" si="88"/>
        <v>0</v>
      </c>
      <c r="EE40" s="189">
        <f t="shared" si="88"/>
        <v>0</v>
      </c>
      <c r="EF40" s="183" t="s">
        <v>243</v>
      </c>
    </row>
    <row r="41" spans="1:136" s="180" customFormat="1" x14ac:dyDescent="0.2">
      <c r="A41" s="190"/>
      <c r="B41" s="188" t="s">
        <v>201</v>
      </c>
      <c r="C41" s="189">
        <f t="shared" ref="C41:AH41" si="89">IF(C38=0,0,IF(RefiPrePaySwitch="None",0,IF(RefiPrePaySwitch="Percent",C38*PrepayPercentRefi,C38*((1-(1+PrepayPercentRefi)^(-LoanTermRefi+(C6-RefiMonth)/12))/PrepayPercentRefi)*(RefiInterestRate-PrepayPercentRefi))))</f>
        <v>0</v>
      </c>
      <c r="D41" s="189">
        <f t="shared" si="89"/>
        <v>0</v>
      </c>
      <c r="E41" s="189">
        <f t="shared" si="89"/>
        <v>0</v>
      </c>
      <c r="F41" s="189">
        <f t="shared" si="89"/>
        <v>0</v>
      </c>
      <c r="G41" s="189">
        <f t="shared" si="89"/>
        <v>0</v>
      </c>
      <c r="H41" s="189">
        <f t="shared" si="89"/>
        <v>0</v>
      </c>
      <c r="I41" s="189">
        <f t="shared" si="89"/>
        <v>0</v>
      </c>
      <c r="J41" s="189">
        <f t="shared" si="89"/>
        <v>0</v>
      </c>
      <c r="K41" s="189">
        <f t="shared" si="89"/>
        <v>0</v>
      </c>
      <c r="L41" s="189">
        <f t="shared" si="89"/>
        <v>0</v>
      </c>
      <c r="M41" s="189">
        <f t="shared" si="89"/>
        <v>0</v>
      </c>
      <c r="N41" s="189">
        <f t="shared" si="89"/>
        <v>0</v>
      </c>
      <c r="O41" s="189">
        <f t="shared" si="89"/>
        <v>0</v>
      </c>
      <c r="P41" s="189">
        <f t="shared" si="89"/>
        <v>0</v>
      </c>
      <c r="Q41" s="189">
        <f t="shared" si="89"/>
        <v>0</v>
      </c>
      <c r="R41" s="189">
        <f t="shared" si="89"/>
        <v>0</v>
      </c>
      <c r="S41" s="189">
        <f t="shared" si="89"/>
        <v>0</v>
      </c>
      <c r="T41" s="189">
        <f t="shared" si="89"/>
        <v>0</v>
      </c>
      <c r="U41" s="189">
        <f t="shared" si="89"/>
        <v>0</v>
      </c>
      <c r="V41" s="189">
        <f t="shared" si="89"/>
        <v>0</v>
      </c>
      <c r="W41" s="189">
        <f t="shared" si="89"/>
        <v>0</v>
      </c>
      <c r="X41" s="189">
        <f t="shared" si="89"/>
        <v>0</v>
      </c>
      <c r="Y41" s="189">
        <f t="shared" si="89"/>
        <v>0</v>
      </c>
      <c r="Z41" s="189">
        <f t="shared" si="89"/>
        <v>0</v>
      </c>
      <c r="AA41" s="189">
        <f t="shared" si="89"/>
        <v>0</v>
      </c>
      <c r="AB41" s="189">
        <f t="shared" si="89"/>
        <v>0</v>
      </c>
      <c r="AC41" s="189">
        <f t="shared" si="89"/>
        <v>0</v>
      </c>
      <c r="AD41" s="189">
        <f t="shared" si="89"/>
        <v>0</v>
      </c>
      <c r="AE41" s="189">
        <f t="shared" si="89"/>
        <v>0</v>
      </c>
      <c r="AF41" s="189">
        <f t="shared" si="89"/>
        <v>0</v>
      </c>
      <c r="AG41" s="189">
        <f t="shared" si="89"/>
        <v>0</v>
      </c>
      <c r="AH41" s="189">
        <f t="shared" si="89"/>
        <v>0</v>
      </c>
      <c r="AI41" s="189">
        <f t="shared" ref="AI41:BN41" si="90">IF(AI38=0,0,IF(RefiPrePaySwitch="None",0,IF(RefiPrePaySwitch="Percent",AI38*PrepayPercentRefi,AI38*((1-(1+PrepayPercentRefi)^(-LoanTermRefi+(AI6-RefiMonth)/12))/PrepayPercentRefi)*(RefiInterestRate-PrepayPercentRefi))))</f>
        <v>0</v>
      </c>
      <c r="AJ41" s="189">
        <f t="shared" si="90"/>
        <v>0</v>
      </c>
      <c r="AK41" s="189">
        <f t="shared" si="90"/>
        <v>0</v>
      </c>
      <c r="AL41" s="189">
        <f t="shared" si="90"/>
        <v>0</v>
      </c>
      <c r="AM41" s="189">
        <f t="shared" si="90"/>
        <v>0</v>
      </c>
      <c r="AN41" s="189">
        <f t="shared" si="90"/>
        <v>0</v>
      </c>
      <c r="AO41" s="189">
        <f t="shared" si="90"/>
        <v>0</v>
      </c>
      <c r="AP41" s="189">
        <f t="shared" si="90"/>
        <v>0</v>
      </c>
      <c r="AQ41" s="189">
        <f t="shared" si="90"/>
        <v>0</v>
      </c>
      <c r="AR41" s="189">
        <f t="shared" si="90"/>
        <v>0</v>
      </c>
      <c r="AS41" s="189">
        <f t="shared" si="90"/>
        <v>0</v>
      </c>
      <c r="AT41" s="189">
        <f t="shared" si="90"/>
        <v>0</v>
      </c>
      <c r="AU41" s="189">
        <f t="shared" si="90"/>
        <v>0</v>
      </c>
      <c r="AV41" s="189">
        <f t="shared" si="90"/>
        <v>0</v>
      </c>
      <c r="AW41" s="189">
        <f t="shared" si="90"/>
        <v>0</v>
      </c>
      <c r="AX41" s="189">
        <f t="shared" si="90"/>
        <v>0</v>
      </c>
      <c r="AY41" s="189">
        <f t="shared" si="90"/>
        <v>0</v>
      </c>
      <c r="AZ41" s="189">
        <f t="shared" si="90"/>
        <v>0</v>
      </c>
      <c r="BA41" s="189">
        <f t="shared" si="90"/>
        <v>0</v>
      </c>
      <c r="BB41" s="189">
        <f t="shared" si="90"/>
        <v>0</v>
      </c>
      <c r="BC41" s="189">
        <f t="shared" si="90"/>
        <v>0</v>
      </c>
      <c r="BD41" s="189">
        <f t="shared" si="90"/>
        <v>0</v>
      </c>
      <c r="BE41" s="189">
        <f t="shared" si="90"/>
        <v>0</v>
      </c>
      <c r="BF41" s="189">
        <f t="shared" si="90"/>
        <v>0</v>
      </c>
      <c r="BG41" s="189">
        <f t="shared" si="90"/>
        <v>0</v>
      </c>
      <c r="BH41" s="189">
        <f t="shared" si="90"/>
        <v>0</v>
      </c>
      <c r="BI41" s="189">
        <f t="shared" si="90"/>
        <v>0</v>
      </c>
      <c r="BJ41" s="189">
        <f t="shared" si="90"/>
        <v>0</v>
      </c>
      <c r="BK41" s="189">
        <f ca="1">IF(BK38=0,0,IF(RefiPrePaySwitch="None",0,IF(RefiPrePaySwitch="Percent",BK38*PrepayPercentRefi,BK38*((1-(1+PrepayPercentRefi)^(-LoanTermRefi+(BK6-RefiMonth)/12))/PrepayPercentRefi)*(RefiInterestRate-PrepayPercentRefi))))</f>
        <v>-492919.43027310236</v>
      </c>
      <c r="BL41" s="189">
        <f t="shared" si="90"/>
        <v>0</v>
      </c>
      <c r="BM41" s="189">
        <f t="shared" si="90"/>
        <v>0</v>
      </c>
      <c r="BN41" s="189">
        <f t="shared" si="90"/>
        <v>0</v>
      </c>
      <c r="BO41" s="189">
        <f t="shared" ref="BO41:CT41" si="91">IF(BO38=0,0,IF(RefiPrePaySwitch="None",0,IF(RefiPrePaySwitch="Percent",BO38*PrepayPercentRefi,BO38*((1-(1+PrepayPercentRefi)^(-LoanTermRefi+(BO6-RefiMonth)/12))/PrepayPercentRefi)*(RefiInterestRate-PrepayPercentRefi))))</f>
        <v>0</v>
      </c>
      <c r="BP41" s="189">
        <f t="shared" si="91"/>
        <v>0</v>
      </c>
      <c r="BQ41" s="189">
        <f t="shared" si="91"/>
        <v>0</v>
      </c>
      <c r="BR41" s="189">
        <f t="shared" si="91"/>
        <v>0</v>
      </c>
      <c r="BS41" s="189">
        <f t="shared" si="91"/>
        <v>0</v>
      </c>
      <c r="BT41" s="189">
        <f t="shared" si="91"/>
        <v>0</v>
      </c>
      <c r="BU41" s="189">
        <f t="shared" si="91"/>
        <v>0</v>
      </c>
      <c r="BV41" s="189">
        <f t="shared" si="91"/>
        <v>0</v>
      </c>
      <c r="BW41" s="189">
        <f t="shared" si="91"/>
        <v>0</v>
      </c>
      <c r="BX41" s="189">
        <f t="shared" si="91"/>
        <v>0</v>
      </c>
      <c r="BY41" s="189">
        <f t="shared" si="91"/>
        <v>0</v>
      </c>
      <c r="BZ41" s="189">
        <f t="shared" si="91"/>
        <v>0</v>
      </c>
      <c r="CA41" s="189">
        <f t="shared" si="91"/>
        <v>0</v>
      </c>
      <c r="CB41" s="189">
        <f t="shared" si="91"/>
        <v>0</v>
      </c>
      <c r="CC41" s="189">
        <f t="shared" si="91"/>
        <v>0</v>
      </c>
      <c r="CD41" s="189">
        <f t="shared" si="91"/>
        <v>0</v>
      </c>
      <c r="CE41" s="189">
        <f t="shared" si="91"/>
        <v>0</v>
      </c>
      <c r="CF41" s="189">
        <f t="shared" si="91"/>
        <v>0</v>
      </c>
      <c r="CG41" s="189">
        <f t="shared" si="91"/>
        <v>0</v>
      </c>
      <c r="CH41" s="189">
        <f t="shared" si="91"/>
        <v>0</v>
      </c>
      <c r="CI41" s="189">
        <f t="shared" si="91"/>
        <v>0</v>
      </c>
      <c r="CJ41" s="189">
        <f t="shared" si="91"/>
        <v>0</v>
      </c>
      <c r="CK41" s="189">
        <f t="shared" si="91"/>
        <v>0</v>
      </c>
      <c r="CL41" s="189">
        <f t="shared" si="91"/>
        <v>0</v>
      </c>
      <c r="CM41" s="189">
        <f t="shared" si="91"/>
        <v>0</v>
      </c>
      <c r="CN41" s="189">
        <f t="shared" si="91"/>
        <v>0</v>
      </c>
      <c r="CO41" s="189">
        <f t="shared" si="91"/>
        <v>0</v>
      </c>
      <c r="CP41" s="189">
        <f t="shared" si="91"/>
        <v>0</v>
      </c>
      <c r="CQ41" s="189">
        <f t="shared" si="91"/>
        <v>0</v>
      </c>
      <c r="CR41" s="189">
        <f t="shared" si="91"/>
        <v>0</v>
      </c>
      <c r="CS41" s="189">
        <f t="shared" si="91"/>
        <v>0</v>
      </c>
      <c r="CT41" s="189">
        <f t="shared" si="91"/>
        <v>0</v>
      </c>
      <c r="CU41" s="189">
        <f t="shared" ref="CU41:EE41" si="92">IF(CU38=0,0,IF(RefiPrePaySwitch="None",0,IF(RefiPrePaySwitch="Percent",CU38*PrepayPercentRefi,CU38*((1-(1+PrepayPercentRefi)^(-LoanTermRefi+(CU6-RefiMonth)/12))/PrepayPercentRefi)*(RefiInterestRate-PrepayPercentRefi))))</f>
        <v>0</v>
      </c>
      <c r="CV41" s="189">
        <f t="shared" si="92"/>
        <v>0</v>
      </c>
      <c r="CW41" s="189">
        <f t="shared" si="92"/>
        <v>0</v>
      </c>
      <c r="CX41" s="189">
        <f t="shared" si="92"/>
        <v>0</v>
      </c>
      <c r="CY41" s="189">
        <f t="shared" si="92"/>
        <v>0</v>
      </c>
      <c r="CZ41" s="189">
        <f t="shared" si="92"/>
        <v>0</v>
      </c>
      <c r="DA41" s="189">
        <f t="shared" si="92"/>
        <v>0</v>
      </c>
      <c r="DB41" s="189">
        <f t="shared" si="92"/>
        <v>0</v>
      </c>
      <c r="DC41" s="189">
        <f t="shared" si="92"/>
        <v>0</v>
      </c>
      <c r="DD41" s="189">
        <f t="shared" si="92"/>
        <v>0</v>
      </c>
      <c r="DE41" s="189">
        <f t="shared" si="92"/>
        <v>0</v>
      </c>
      <c r="DF41" s="189">
        <f t="shared" si="92"/>
        <v>0</v>
      </c>
      <c r="DG41" s="189">
        <f t="shared" si="92"/>
        <v>0</v>
      </c>
      <c r="DH41" s="189">
        <f t="shared" si="92"/>
        <v>0</v>
      </c>
      <c r="DI41" s="189">
        <f t="shared" si="92"/>
        <v>0</v>
      </c>
      <c r="DJ41" s="189">
        <f t="shared" si="92"/>
        <v>0</v>
      </c>
      <c r="DK41" s="189">
        <f t="shared" si="92"/>
        <v>0</v>
      </c>
      <c r="DL41" s="189">
        <f t="shared" si="92"/>
        <v>0</v>
      </c>
      <c r="DM41" s="189">
        <f t="shared" si="92"/>
        <v>0</v>
      </c>
      <c r="DN41" s="189">
        <f t="shared" si="92"/>
        <v>0</v>
      </c>
      <c r="DO41" s="189">
        <f t="shared" si="92"/>
        <v>0</v>
      </c>
      <c r="DP41" s="189">
        <f t="shared" si="92"/>
        <v>0</v>
      </c>
      <c r="DQ41" s="189">
        <f t="shared" si="92"/>
        <v>0</v>
      </c>
      <c r="DR41" s="189">
        <f t="shared" si="92"/>
        <v>0</v>
      </c>
      <c r="DS41" s="189">
        <f t="shared" si="92"/>
        <v>0</v>
      </c>
      <c r="DT41" s="189">
        <f t="shared" si="92"/>
        <v>0</v>
      </c>
      <c r="DU41" s="189">
        <f t="shared" si="92"/>
        <v>0</v>
      </c>
      <c r="DV41" s="189">
        <f t="shared" si="92"/>
        <v>0</v>
      </c>
      <c r="DW41" s="189">
        <f t="shared" si="92"/>
        <v>0</v>
      </c>
      <c r="DX41" s="189">
        <f t="shared" si="92"/>
        <v>0</v>
      </c>
      <c r="DY41" s="189">
        <f t="shared" si="92"/>
        <v>0</v>
      </c>
      <c r="DZ41" s="189">
        <f t="shared" si="92"/>
        <v>0</v>
      </c>
      <c r="EA41" s="189">
        <f t="shared" si="92"/>
        <v>0</v>
      </c>
      <c r="EB41" s="189">
        <f t="shared" si="92"/>
        <v>0</v>
      </c>
      <c r="EC41" s="189">
        <f t="shared" si="92"/>
        <v>0</v>
      </c>
      <c r="ED41" s="189">
        <f t="shared" si="92"/>
        <v>0</v>
      </c>
      <c r="EE41" s="189">
        <f t="shared" si="92"/>
        <v>0</v>
      </c>
      <c r="EF41" s="183" t="s">
        <v>243</v>
      </c>
    </row>
    <row r="42" spans="1:136" s="180" customFormat="1" x14ac:dyDescent="0.2">
      <c r="A42" s="190"/>
      <c r="B42" s="191" t="str">
        <f ca="1">IF(ABS(SUM(MAX(C33:EE33),C36:EE36,C38:EE38))&gt;0.001,"UNRETURNED LOAN PROCEEDS","OK")</f>
        <v>OK</v>
      </c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  <c r="AN42" s="196"/>
      <c r="AO42" s="196"/>
      <c r="AP42" s="196"/>
      <c r="AQ42" s="196"/>
      <c r="AR42" s="196"/>
      <c r="AS42" s="196"/>
      <c r="AT42" s="196"/>
      <c r="AU42" s="196"/>
      <c r="AV42" s="196"/>
      <c r="AW42" s="196"/>
      <c r="AX42" s="196"/>
      <c r="AY42" s="196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  <c r="BL42" s="196"/>
      <c r="BM42" s="196"/>
      <c r="BN42" s="196"/>
      <c r="BO42" s="196"/>
      <c r="BP42" s="196"/>
      <c r="BQ42" s="196"/>
      <c r="BR42" s="196"/>
      <c r="BS42" s="196"/>
      <c r="BT42" s="196"/>
      <c r="BU42" s="196"/>
      <c r="BV42" s="196"/>
      <c r="BW42" s="196"/>
      <c r="BX42" s="196"/>
      <c r="BY42" s="196"/>
      <c r="BZ42" s="196"/>
      <c r="CA42" s="196"/>
      <c r="CB42" s="196"/>
      <c r="CC42" s="196"/>
      <c r="CD42" s="196"/>
      <c r="CE42" s="196"/>
      <c r="CF42" s="196"/>
      <c r="CG42" s="196"/>
      <c r="CH42" s="196"/>
      <c r="CI42" s="196"/>
      <c r="CJ42" s="196"/>
      <c r="CK42" s="196"/>
      <c r="CL42" s="196"/>
      <c r="CM42" s="196"/>
      <c r="CN42" s="196"/>
      <c r="CO42" s="196"/>
      <c r="CP42" s="196"/>
      <c r="CQ42" s="196"/>
      <c r="CR42" s="196"/>
      <c r="CS42" s="196"/>
      <c r="CT42" s="196"/>
      <c r="CU42" s="196"/>
      <c r="CV42" s="196"/>
      <c r="CW42" s="196"/>
      <c r="CX42" s="196"/>
      <c r="CY42" s="196"/>
      <c r="CZ42" s="196"/>
      <c r="DA42" s="196"/>
      <c r="DB42" s="196"/>
      <c r="DC42" s="196"/>
      <c r="DD42" s="196"/>
      <c r="DE42" s="196"/>
      <c r="DF42" s="196"/>
      <c r="DG42" s="196"/>
      <c r="DH42" s="196"/>
      <c r="DI42" s="196"/>
      <c r="DJ42" s="196"/>
      <c r="DK42" s="196"/>
      <c r="DL42" s="196"/>
      <c r="DM42" s="196"/>
      <c r="DN42" s="196"/>
      <c r="DO42" s="196"/>
      <c r="DP42" s="196"/>
      <c r="DQ42" s="196"/>
      <c r="DR42" s="196"/>
      <c r="DS42" s="196"/>
      <c r="DT42" s="196"/>
      <c r="DU42" s="196"/>
      <c r="DV42" s="196"/>
      <c r="DW42" s="196"/>
      <c r="DX42" s="196"/>
      <c r="DY42" s="196"/>
      <c r="DZ42" s="196"/>
      <c r="EA42" s="196"/>
      <c r="EB42" s="196"/>
      <c r="EC42" s="196"/>
      <c r="ED42" s="196"/>
      <c r="EE42" s="196"/>
      <c r="EF42" s="183" t="s">
        <v>243</v>
      </c>
    </row>
    <row r="43" spans="1:136" s="180" customFormat="1" x14ac:dyDescent="0.2">
      <c r="A43" s="190"/>
      <c r="B43" s="191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  <c r="AA43" s="192"/>
      <c r="AB43" s="192"/>
      <c r="AC43" s="192"/>
      <c r="AD43" s="192"/>
      <c r="AE43" s="192"/>
      <c r="AF43" s="192"/>
      <c r="AG43" s="192"/>
      <c r="AH43" s="192"/>
      <c r="AI43" s="192"/>
      <c r="AJ43" s="192"/>
      <c r="AK43" s="192"/>
      <c r="AL43" s="192"/>
      <c r="AM43" s="192"/>
      <c r="AN43" s="192"/>
      <c r="AO43" s="192"/>
      <c r="AP43" s="192"/>
      <c r="AQ43" s="192"/>
      <c r="AR43" s="192"/>
      <c r="AS43" s="192"/>
      <c r="AT43" s="192"/>
      <c r="AU43" s="192"/>
      <c r="AV43" s="192"/>
      <c r="AW43" s="192"/>
      <c r="AX43" s="192"/>
      <c r="AY43" s="192"/>
      <c r="AZ43" s="192"/>
      <c r="BA43" s="192"/>
      <c r="BB43" s="192"/>
      <c r="BC43" s="192"/>
      <c r="BD43" s="192"/>
      <c r="BE43" s="192"/>
      <c r="BF43" s="192"/>
      <c r="BG43" s="192"/>
      <c r="BH43" s="192"/>
      <c r="BI43" s="192"/>
      <c r="BJ43" s="192"/>
      <c r="BK43" s="192"/>
      <c r="BL43" s="192"/>
      <c r="BM43" s="192"/>
      <c r="BN43" s="192"/>
      <c r="BO43" s="192"/>
      <c r="BP43" s="192"/>
      <c r="BQ43" s="192"/>
      <c r="BR43" s="192"/>
      <c r="BS43" s="192"/>
      <c r="BT43" s="192"/>
      <c r="BU43" s="192"/>
      <c r="BV43" s="192"/>
      <c r="BW43" s="192"/>
      <c r="BX43" s="192"/>
      <c r="BY43" s="192"/>
      <c r="BZ43" s="192"/>
      <c r="CA43" s="192"/>
      <c r="CB43" s="192"/>
      <c r="CC43" s="192"/>
      <c r="CD43" s="192"/>
      <c r="CE43" s="192"/>
      <c r="CF43" s="192"/>
      <c r="CG43" s="192"/>
      <c r="CH43" s="192"/>
      <c r="CI43" s="192"/>
      <c r="CJ43" s="192"/>
      <c r="CK43" s="192"/>
      <c r="CL43" s="192"/>
      <c r="CM43" s="192"/>
      <c r="CN43" s="192"/>
      <c r="CO43" s="192"/>
      <c r="CP43" s="192"/>
      <c r="CQ43" s="192"/>
      <c r="CR43" s="192"/>
      <c r="CS43" s="192"/>
      <c r="CT43" s="192"/>
      <c r="CU43" s="192"/>
      <c r="CV43" s="192"/>
      <c r="CW43" s="192"/>
      <c r="CX43" s="192"/>
      <c r="CY43" s="192"/>
      <c r="CZ43" s="192"/>
      <c r="DA43" s="192"/>
      <c r="DB43" s="192"/>
      <c r="DC43" s="192"/>
      <c r="DD43" s="192"/>
      <c r="DE43" s="192"/>
      <c r="DF43" s="192"/>
      <c r="DG43" s="192"/>
      <c r="DH43" s="192"/>
      <c r="DI43" s="192"/>
      <c r="DJ43" s="192"/>
      <c r="DK43" s="192"/>
      <c r="DL43" s="192"/>
      <c r="DM43" s="192"/>
      <c r="DN43" s="192"/>
      <c r="DO43" s="192"/>
      <c r="DP43" s="192"/>
      <c r="DQ43" s="192"/>
      <c r="DR43" s="192"/>
      <c r="DS43" s="192"/>
      <c r="DT43" s="192"/>
      <c r="DU43" s="192"/>
      <c r="DV43" s="192"/>
      <c r="DW43" s="192"/>
      <c r="DX43" s="192"/>
      <c r="DY43" s="192"/>
      <c r="DZ43" s="192"/>
      <c r="EA43" s="192"/>
      <c r="EB43" s="192"/>
      <c r="EC43" s="192"/>
      <c r="ED43" s="192"/>
      <c r="EE43" s="192"/>
      <c r="EF43" s="183" t="s">
        <v>243</v>
      </c>
    </row>
    <row r="44" spans="1:136" x14ac:dyDescent="0.2">
      <c r="B44" s="158"/>
      <c r="C44" s="197"/>
      <c r="D44" s="198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99"/>
      <c r="BN44" s="199"/>
      <c r="BO44" s="199"/>
      <c r="BP44" s="199"/>
      <c r="BQ44" s="199"/>
      <c r="BR44" s="199"/>
      <c r="BS44" s="199"/>
      <c r="BT44" s="199"/>
      <c r="BU44" s="199"/>
      <c r="BV44" s="199"/>
      <c r="BW44" s="199"/>
      <c r="BX44" s="199"/>
      <c r="BY44" s="199"/>
      <c r="BZ44" s="199"/>
      <c r="CA44" s="199"/>
      <c r="CB44" s="199"/>
      <c r="CC44" s="199"/>
      <c r="CD44" s="199"/>
      <c r="CE44" s="199"/>
      <c r="CF44" s="199"/>
      <c r="CG44" s="199"/>
      <c r="CH44" s="199"/>
      <c r="CI44" s="199"/>
      <c r="CJ44" s="199"/>
      <c r="CK44" s="199"/>
      <c r="CL44" s="199"/>
      <c r="CM44" s="199"/>
      <c r="CN44" s="199"/>
      <c r="CO44" s="199"/>
      <c r="CP44" s="199"/>
      <c r="CQ44" s="199"/>
      <c r="CR44" s="199"/>
      <c r="CS44" s="199"/>
      <c r="CT44" s="199"/>
      <c r="CU44" s="199"/>
      <c r="CV44" s="199"/>
      <c r="CW44" s="199"/>
      <c r="CX44" s="199"/>
      <c r="CY44" s="199"/>
      <c r="CZ44" s="199"/>
      <c r="DA44" s="199"/>
      <c r="DB44" s="199"/>
      <c r="DC44" s="199"/>
      <c r="DD44" s="199"/>
      <c r="DE44" s="199"/>
      <c r="DF44" s="199"/>
      <c r="DG44" s="199"/>
      <c r="DH44" s="199"/>
      <c r="DI44" s="199"/>
      <c r="DJ44" s="199"/>
      <c r="DK44" s="199"/>
      <c r="DL44" s="199"/>
      <c r="DM44" s="199"/>
      <c r="DN44" s="199"/>
      <c r="DO44" s="199"/>
      <c r="DP44" s="199"/>
      <c r="DQ44" s="199"/>
      <c r="DR44" s="199"/>
      <c r="DS44" s="199"/>
      <c r="DT44" s="199"/>
      <c r="DU44" s="199"/>
      <c r="DV44" s="199"/>
      <c r="DW44" s="199"/>
      <c r="DX44" s="199"/>
      <c r="DY44" s="199"/>
      <c r="DZ44" s="199"/>
      <c r="EA44" s="199"/>
      <c r="EB44" s="199"/>
    </row>
    <row r="45" spans="1:136" x14ac:dyDescent="0.2">
      <c r="B45" s="158"/>
      <c r="C45" s="197"/>
      <c r="D45" s="198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99"/>
      <c r="BN45" s="199"/>
      <c r="BO45" s="199"/>
      <c r="BP45" s="199"/>
      <c r="BQ45" s="199"/>
      <c r="BR45" s="199"/>
      <c r="BS45" s="199"/>
      <c r="BT45" s="199"/>
      <c r="BU45" s="199"/>
      <c r="BV45" s="199"/>
      <c r="BW45" s="199"/>
      <c r="BX45" s="199"/>
      <c r="BY45" s="199"/>
      <c r="BZ45" s="199"/>
      <c r="CA45" s="199"/>
      <c r="CB45" s="199"/>
      <c r="CC45" s="199"/>
      <c r="CD45" s="199"/>
      <c r="CE45" s="199"/>
      <c r="CF45" s="199"/>
      <c r="CG45" s="199"/>
      <c r="CH45" s="199"/>
      <c r="CI45" s="199"/>
      <c r="CJ45" s="199"/>
      <c r="CK45" s="199"/>
      <c r="CL45" s="199"/>
      <c r="CM45" s="199"/>
      <c r="CN45" s="199"/>
      <c r="CO45" s="199"/>
      <c r="CP45" s="199"/>
      <c r="CQ45" s="199"/>
      <c r="CR45" s="199"/>
      <c r="CS45" s="199"/>
      <c r="CT45" s="199"/>
      <c r="CU45" s="199"/>
      <c r="CV45" s="199"/>
      <c r="CW45" s="199"/>
      <c r="CX45" s="199"/>
      <c r="CY45" s="199"/>
      <c r="CZ45" s="199"/>
      <c r="DA45" s="199"/>
      <c r="DB45" s="199"/>
      <c r="DC45" s="199"/>
      <c r="DD45" s="199"/>
      <c r="DE45" s="199"/>
      <c r="DF45" s="199"/>
      <c r="DG45" s="199"/>
      <c r="DH45" s="199"/>
      <c r="DI45" s="199"/>
      <c r="DJ45" s="199"/>
      <c r="DK45" s="199"/>
      <c r="DL45" s="199"/>
      <c r="DM45" s="199"/>
      <c r="DN45" s="199"/>
      <c r="DO45" s="199"/>
      <c r="DP45" s="199"/>
      <c r="DQ45" s="199"/>
      <c r="DR45" s="199"/>
      <c r="DS45" s="199"/>
      <c r="DT45" s="199"/>
      <c r="DU45" s="199"/>
      <c r="DV45" s="199"/>
      <c r="DW45" s="199"/>
      <c r="DX45" s="199"/>
      <c r="DY45" s="199"/>
      <c r="DZ45" s="199"/>
      <c r="EA45" s="199"/>
      <c r="EB45" s="199"/>
    </row>
    <row r="46" spans="1:136" x14ac:dyDescent="0.2">
      <c r="B46" s="199"/>
      <c r="C46" s="197"/>
      <c r="D46" s="198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199"/>
      <c r="AR46" s="199"/>
      <c r="AS46" s="199"/>
      <c r="AT46" s="199"/>
      <c r="AU46" s="199"/>
      <c r="AV46" s="199"/>
      <c r="AW46" s="199"/>
      <c r="AX46" s="199"/>
      <c r="AY46" s="199"/>
      <c r="AZ46" s="199"/>
      <c r="BA46" s="199"/>
      <c r="BB46" s="199"/>
      <c r="BC46" s="199"/>
      <c r="BD46" s="199"/>
      <c r="BE46" s="199"/>
      <c r="BF46" s="199"/>
      <c r="BG46" s="199"/>
      <c r="BH46" s="199"/>
      <c r="BI46" s="199"/>
      <c r="BJ46" s="199"/>
      <c r="BK46" s="199"/>
      <c r="BL46" s="199"/>
      <c r="BM46" s="199"/>
      <c r="BN46" s="199"/>
      <c r="BO46" s="199"/>
      <c r="BP46" s="199"/>
      <c r="BQ46" s="199"/>
      <c r="BR46" s="199"/>
      <c r="BS46" s="199"/>
      <c r="BT46" s="199"/>
      <c r="BU46" s="199"/>
      <c r="BV46" s="199"/>
      <c r="BW46" s="199"/>
      <c r="BX46" s="199"/>
      <c r="BY46" s="199"/>
      <c r="BZ46" s="199"/>
      <c r="CA46" s="199"/>
      <c r="CB46" s="199"/>
      <c r="CC46" s="199"/>
      <c r="CD46" s="199"/>
      <c r="CE46" s="199"/>
      <c r="CF46" s="199"/>
      <c r="CG46" s="199"/>
      <c r="CH46" s="199"/>
      <c r="CI46" s="199"/>
      <c r="CJ46" s="199"/>
      <c r="CK46" s="199"/>
      <c r="CL46" s="199"/>
      <c r="CM46" s="199"/>
      <c r="CN46" s="199"/>
      <c r="CO46" s="199"/>
      <c r="CP46" s="199"/>
      <c r="CQ46" s="199"/>
      <c r="CR46" s="199"/>
      <c r="CS46" s="199"/>
      <c r="CT46" s="199"/>
      <c r="CU46" s="199"/>
      <c r="CV46" s="199"/>
      <c r="CW46" s="199"/>
      <c r="CX46" s="199"/>
      <c r="CY46" s="199"/>
      <c r="CZ46" s="199"/>
      <c r="DA46" s="199"/>
      <c r="DB46" s="199"/>
      <c r="DC46" s="199"/>
      <c r="DD46" s="199"/>
      <c r="DE46" s="199"/>
      <c r="DF46" s="199"/>
      <c r="DG46" s="199"/>
      <c r="DH46" s="199"/>
      <c r="DI46" s="199"/>
      <c r="DJ46" s="199"/>
      <c r="DK46" s="199"/>
      <c r="DL46" s="199"/>
      <c r="DM46" s="199"/>
      <c r="DN46" s="199"/>
      <c r="DO46" s="199"/>
      <c r="DP46" s="199"/>
      <c r="DQ46" s="199"/>
      <c r="DR46" s="199"/>
      <c r="DS46" s="199"/>
      <c r="DT46" s="199"/>
      <c r="DU46" s="199"/>
      <c r="DV46" s="199"/>
      <c r="DW46" s="199"/>
      <c r="DX46" s="199"/>
      <c r="DY46" s="199"/>
      <c r="DZ46" s="199"/>
      <c r="EA46" s="199"/>
      <c r="EB46" s="199"/>
    </row>
    <row r="47" spans="1:136" x14ac:dyDescent="0.2">
      <c r="B47" s="199"/>
      <c r="C47" s="197"/>
      <c r="D47" s="198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99"/>
      <c r="BN47" s="199"/>
      <c r="BO47" s="199"/>
      <c r="BP47" s="199"/>
      <c r="BQ47" s="199"/>
      <c r="BR47" s="199"/>
      <c r="BS47" s="199"/>
      <c r="BT47" s="199"/>
      <c r="BU47" s="199"/>
      <c r="BV47" s="199"/>
      <c r="BW47" s="199"/>
      <c r="BX47" s="199"/>
      <c r="BY47" s="199"/>
      <c r="BZ47" s="199"/>
      <c r="CA47" s="199"/>
      <c r="CB47" s="199"/>
      <c r="CC47" s="199"/>
      <c r="CD47" s="199"/>
      <c r="CE47" s="199"/>
      <c r="CF47" s="199"/>
      <c r="CG47" s="199"/>
      <c r="CH47" s="199"/>
      <c r="CI47" s="199"/>
      <c r="CJ47" s="199"/>
      <c r="CK47" s="199"/>
      <c r="CL47" s="199"/>
      <c r="CM47" s="199"/>
      <c r="CN47" s="199"/>
      <c r="CO47" s="199"/>
      <c r="CP47" s="199"/>
      <c r="CQ47" s="199"/>
      <c r="CR47" s="199"/>
      <c r="CS47" s="199"/>
      <c r="CT47" s="199"/>
      <c r="CU47" s="199"/>
      <c r="CV47" s="199"/>
      <c r="CW47" s="199"/>
      <c r="CX47" s="199"/>
      <c r="CY47" s="199"/>
      <c r="CZ47" s="199"/>
      <c r="DA47" s="199"/>
      <c r="DB47" s="199"/>
      <c r="DC47" s="199"/>
      <c r="DD47" s="199"/>
      <c r="DE47" s="199"/>
      <c r="DF47" s="199"/>
      <c r="DG47" s="199"/>
      <c r="DH47" s="199"/>
      <c r="DI47" s="199"/>
      <c r="DJ47" s="199"/>
      <c r="DK47" s="199"/>
      <c r="DL47" s="199"/>
      <c r="DM47" s="199"/>
      <c r="DN47" s="199"/>
      <c r="DO47" s="199"/>
      <c r="DP47" s="199"/>
      <c r="DQ47" s="199"/>
      <c r="DR47" s="199"/>
      <c r="DS47" s="199"/>
      <c r="DT47" s="199"/>
      <c r="DU47" s="199"/>
      <c r="DV47" s="199"/>
      <c r="DW47" s="199"/>
      <c r="DX47" s="199"/>
      <c r="DY47" s="199"/>
      <c r="DZ47" s="199"/>
      <c r="EA47" s="199"/>
      <c r="EB47" s="199"/>
    </row>
    <row r="48" spans="1:136" x14ac:dyDescent="0.2">
      <c r="B48" s="199"/>
      <c r="C48" s="197"/>
      <c r="D48" s="198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99"/>
      <c r="BN48" s="199"/>
      <c r="BO48" s="199"/>
      <c r="BP48" s="199"/>
      <c r="BQ48" s="199"/>
      <c r="BR48" s="199"/>
      <c r="BS48" s="199"/>
      <c r="BT48" s="199"/>
      <c r="BU48" s="199"/>
      <c r="BV48" s="199"/>
      <c r="BW48" s="199"/>
      <c r="BX48" s="199"/>
      <c r="BY48" s="199"/>
      <c r="BZ48" s="199"/>
      <c r="CA48" s="199"/>
      <c r="CB48" s="199"/>
      <c r="CC48" s="199"/>
      <c r="CD48" s="199"/>
      <c r="CE48" s="199"/>
      <c r="CF48" s="199"/>
      <c r="CG48" s="199"/>
      <c r="CH48" s="199"/>
      <c r="CI48" s="199"/>
      <c r="CJ48" s="199"/>
      <c r="CK48" s="199"/>
      <c r="CL48" s="199"/>
      <c r="CM48" s="199"/>
      <c r="CN48" s="199"/>
      <c r="CO48" s="199"/>
      <c r="CP48" s="199"/>
      <c r="CQ48" s="199"/>
      <c r="CR48" s="199"/>
      <c r="CS48" s="199"/>
      <c r="CT48" s="199"/>
      <c r="CU48" s="199"/>
      <c r="CV48" s="199"/>
      <c r="CW48" s="199"/>
      <c r="CX48" s="199"/>
      <c r="CY48" s="199"/>
      <c r="CZ48" s="199"/>
      <c r="DA48" s="199"/>
      <c r="DB48" s="199"/>
      <c r="DC48" s="199"/>
      <c r="DD48" s="199"/>
      <c r="DE48" s="199"/>
      <c r="DF48" s="199"/>
      <c r="DG48" s="199"/>
      <c r="DH48" s="199"/>
      <c r="DI48" s="199"/>
      <c r="DJ48" s="199"/>
      <c r="DK48" s="199"/>
      <c r="DL48" s="199"/>
      <c r="DM48" s="199"/>
      <c r="DN48" s="199"/>
      <c r="DO48" s="199"/>
      <c r="DP48" s="199"/>
      <c r="DQ48" s="199"/>
      <c r="DR48" s="199"/>
      <c r="DS48" s="199"/>
      <c r="DT48" s="199"/>
      <c r="DU48" s="199"/>
      <c r="DV48" s="199"/>
      <c r="DW48" s="199"/>
      <c r="DX48" s="199"/>
      <c r="DY48" s="199"/>
      <c r="DZ48" s="199"/>
      <c r="EA48" s="199"/>
      <c r="EB48" s="199"/>
    </row>
    <row r="49" spans="2:132" x14ac:dyDescent="0.2">
      <c r="B49" s="199"/>
      <c r="C49" s="197"/>
      <c r="D49" s="198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99"/>
      <c r="BN49" s="199"/>
      <c r="BO49" s="199"/>
      <c r="BP49" s="199"/>
      <c r="BQ49" s="199"/>
      <c r="BR49" s="199"/>
      <c r="BS49" s="199"/>
      <c r="BT49" s="199"/>
      <c r="BU49" s="199"/>
      <c r="BV49" s="199"/>
      <c r="BW49" s="199"/>
      <c r="BX49" s="199"/>
      <c r="BY49" s="199"/>
      <c r="BZ49" s="199"/>
      <c r="CA49" s="199"/>
      <c r="CB49" s="199"/>
      <c r="CC49" s="199"/>
      <c r="CD49" s="199"/>
      <c r="CE49" s="199"/>
      <c r="CF49" s="199"/>
      <c r="CG49" s="199"/>
      <c r="CH49" s="199"/>
      <c r="CI49" s="199"/>
      <c r="CJ49" s="199"/>
      <c r="CK49" s="199"/>
      <c r="CL49" s="199"/>
      <c r="CM49" s="199"/>
      <c r="CN49" s="199"/>
      <c r="CO49" s="199"/>
      <c r="CP49" s="199"/>
      <c r="CQ49" s="199"/>
      <c r="CR49" s="199"/>
      <c r="CS49" s="199"/>
      <c r="CT49" s="199"/>
      <c r="CU49" s="199"/>
      <c r="CV49" s="199"/>
      <c r="CW49" s="199"/>
      <c r="CX49" s="199"/>
      <c r="CY49" s="199"/>
      <c r="CZ49" s="199"/>
      <c r="DA49" s="199"/>
      <c r="DB49" s="199"/>
      <c r="DC49" s="199"/>
      <c r="DD49" s="199"/>
      <c r="DE49" s="199"/>
      <c r="DF49" s="199"/>
      <c r="DG49" s="199"/>
      <c r="DH49" s="199"/>
      <c r="DI49" s="199"/>
      <c r="DJ49" s="199"/>
      <c r="DK49" s="199"/>
      <c r="DL49" s="199"/>
      <c r="DM49" s="199"/>
      <c r="DN49" s="199"/>
      <c r="DO49" s="199"/>
      <c r="DP49" s="199"/>
      <c r="DQ49" s="199"/>
      <c r="DR49" s="199"/>
      <c r="DS49" s="199"/>
      <c r="DT49" s="199"/>
      <c r="DU49" s="199"/>
      <c r="DV49" s="199"/>
      <c r="DW49" s="199"/>
      <c r="DX49" s="199"/>
      <c r="DY49" s="199"/>
      <c r="DZ49" s="199"/>
      <c r="EA49" s="199"/>
      <c r="EB49" s="199"/>
    </row>
    <row r="50" spans="2:132" x14ac:dyDescent="0.2">
      <c r="B50" s="199"/>
      <c r="C50" s="197"/>
      <c r="D50" s="198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99"/>
      <c r="BN50" s="199"/>
      <c r="BO50" s="199"/>
      <c r="BP50" s="199"/>
      <c r="BQ50" s="199"/>
      <c r="BR50" s="199"/>
      <c r="BS50" s="199"/>
      <c r="BT50" s="199"/>
      <c r="BU50" s="199"/>
      <c r="BV50" s="199"/>
      <c r="BW50" s="199"/>
      <c r="BX50" s="199"/>
      <c r="BY50" s="199"/>
      <c r="BZ50" s="199"/>
      <c r="CA50" s="199"/>
      <c r="CB50" s="199"/>
      <c r="CC50" s="199"/>
      <c r="CD50" s="199"/>
      <c r="CE50" s="199"/>
      <c r="CF50" s="199"/>
      <c r="CG50" s="199"/>
      <c r="CH50" s="199"/>
      <c r="CI50" s="199"/>
      <c r="CJ50" s="199"/>
      <c r="CK50" s="199"/>
      <c r="CL50" s="199"/>
      <c r="CM50" s="199"/>
      <c r="CN50" s="199"/>
      <c r="CO50" s="199"/>
      <c r="CP50" s="199"/>
      <c r="CQ50" s="199"/>
      <c r="CR50" s="199"/>
      <c r="CS50" s="199"/>
      <c r="CT50" s="199"/>
      <c r="CU50" s="199"/>
      <c r="CV50" s="199"/>
      <c r="CW50" s="199"/>
      <c r="CX50" s="199"/>
      <c r="CY50" s="199"/>
      <c r="CZ50" s="199"/>
      <c r="DA50" s="199"/>
      <c r="DB50" s="199"/>
      <c r="DC50" s="199"/>
      <c r="DD50" s="199"/>
      <c r="DE50" s="199"/>
      <c r="DF50" s="199"/>
      <c r="DG50" s="199"/>
      <c r="DH50" s="199"/>
      <c r="DI50" s="199"/>
      <c r="DJ50" s="199"/>
      <c r="DK50" s="199"/>
      <c r="DL50" s="199"/>
      <c r="DM50" s="199"/>
      <c r="DN50" s="199"/>
      <c r="DO50" s="199"/>
      <c r="DP50" s="199"/>
      <c r="DQ50" s="199"/>
      <c r="DR50" s="199"/>
      <c r="DS50" s="199"/>
      <c r="DT50" s="199"/>
      <c r="DU50" s="199"/>
      <c r="DV50" s="199"/>
      <c r="DW50" s="199"/>
      <c r="DX50" s="199"/>
      <c r="DY50" s="199"/>
      <c r="DZ50" s="199"/>
      <c r="EA50" s="199"/>
      <c r="EB50" s="199"/>
    </row>
    <row r="51" spans="2:132" x14ac:dyDescent="0.2">
      <c r="B51" s="199"/>
      <c r="C51" s="197"/>
      <c r="D51" s="198"/>
      <c r="E51" s="199"/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  <c r="BF51" s="199"/>
      <c r="BG51" s="199"/>
      <c r="BH51" s="199"/>
      <c r="BI51" s="199"/>
      <c r="BJ51" s="199"/>
      <c r="BK51" s="199"/>
      <c r="BL51" s="199"/>
      <c r="BM51" s="199"/>
      <c r="BN51" s="199"/>
      <c r="BO51" s="199"/>
      <c r="BP51" s="199"/>
      <c r="BQ51" s="199"/>
      <c r="BR51" s="199"/>
      <c r="BS51" s="199"/>
      <c r="BT51" s="199"/>
      <c r="BU51" s="199"/>
      <c r="BV51" s="199"/>
      <c r="BW51" s="199"/>
      <c r="BX51" s="199"/>
      <c r="BY51" s="199"/>
      <c r="BZ51" s="199"/>
      <c r="CA51" s="199"/>
      <c r="CB51" s="199"/>
      <c r="CC51" s="199"/>
      <c r="CD51" s="199"/>
      <c r="CE51" s="199"/>
      <c r="CF51" s="199"/>
      <c r="CG51" s="199"/>
      <c r="CH51" s="199"/>
      <c r="CI51" s="199"/>
      <c r="CJ51" s="199"/>
      <c r="CK51" s="199"/>
      <c r="CL51" s="199"/>
      <c r="CM51" s="199"/>
      <c r="CN51" s="199"/>
      <c r="CO51" s="199"/>
      <c r="CP51" s="199"/>
      <c r="CQ51" s="199"/>
      <c r="CR51" s="199"/>
      <c r="CS51" s="199"/>
      <c r="CT51" s="199"/>
      <c r="CU51" s="199"/>
      <c r="CV51" s="199"/>
      <c r="CW51" s="199"/>
      <c r="CX51" s="199"/>
      <c r="CY51" s="199"/>
      <c r="CZ51" s="199"/>
      <c r="DA51" s="199"/>
      <c r="DB51" s="199"/>
      <c r="DC51" s="199"/>
      <c r="DD51" s="199"/>
      <c r="DE51" s="199"/>
      <c r="DF51" s="199"/>
      <c r="DG51" s="199"/>
      <c r="DH51" s="199"/>
      <c r="DI51" s="199"/>
      <c r="DJ51" s="199"/>
      <c r="DK51" s="199"/>
      <c r="DL51" s="199"/>
      <c r="DM51" s="199"/>
      <c r="DN51" s="199"/>
      <c r="DO51" s="199"/>
      <c r="DP51" s="199"/>
      <c r="DQ51" s="199"/>
      <c r="DR51" s="199"/>
      <c r="DS51" s="199"/>
      <c r="DT51" s="199"/>
      <c r="DU51" s="199"/>
      <c r="DV51" s="199"/>
      <c r="DW51" s="199"/>
      <c r="DX51" s="199"/>
      <c r="DY51" s="199"/>
      <c r="DZ51" s="199"/>
      <c r="EA51" s="199"/>
      <c r="EB51" s="199"/>
    </row>
    <row r="52" spans="2:132" x14ac:dyDescent="0.2">
      <c r="B52" s="199"/>
      <c r="C52" s="197"/>
      <c r="D52" s="198"/>
      <c r="E52" s="199"/>
      <c r="F52" s="199"/>
      <c r="G52" s="199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199"/>
      <c r="AV52" s="199"/>
      <c r="AW52" s="199"/>
      <c r="AX52" s="199"/>
      <c r="AY52" s="199"/>
      <c r="AZ52" s="199"/>
      <c r="BA52" s="199"/>
      <c r="BB52" s="199"/>
      <c r="BC52" s="199"/>
      <c r="BD52" s="199"/>
      <c r="BE52" s="199"/>
      <c r="BF52" s="199"/>
      <c r="BG52" s="199"/>
      <c r="BH52" s="199"/>
      <c r="BI52" s="199"/>
      <c r="BJ52" s="199"/>
      <c r="BK52" s="199"/>
      <c r="BL52" s="199"/>
      <c r="BM52" s="199"/>
      <c r="BN52" s="199"/>
      <c r="BO52" s="199"/>
      <c r="BP52" s="199"/>
      <c r="BQ52" s="199"/>
      <c r="BR52" s="199"/>
      <c r="BS52" s="199"/>
      <c r="BT52" s="199"/>
      <c r="BU52" s="199"/>
      <c r="BV52" s="199"/>
      <c r="BW52" s="199"/>
      <c r="BX52" s="199"/>
      <c r="BY52" s="199"/>
      <c r="BZ52" s="199"/>
      <c r="CA52" s="199"/>
      <c r="CB52" s="199"/>
      <c r="CC52" s="199"/>
      <c r="CD52" s="199"/>
      <c r="CE52" s="199"/>
      <c r="CF52" s="199"/>
      <c r="CG52" s="199"/>
      <c r="CH52" s="199"/>
      <c r="CI52" s="199"/>
      <c r="CJ52" s="199"/>
      <c r="CK52" s="199"/>
      <c r="CL52" s="199"/>
      <c r="CM52" s="199"/>
      <c r="CN52" s="199"/>
      <c r="CO52" s="199"/>
      <c r="CP52" s="199"/>
      <c r="CQ52" s="199"/>
      <c r="CR52" s="199"/>
      <c r="CS52" s="199"/>
      <c r="CT52" s="199"/>
      <c r="CU52" s="199"/>
      <c r="CV52" s="199"/>
      <c r="CW52" s="199"/>
      <c r="CX52" s="199"/>
      <c r="CY52" s="199"/>
      <c r="CZ52" s="199"/>
      <c r="DA52" s="199"/>
      <c r="DB52" s="199"/>
      <c r="DC52" s="199"/>
      <c r="DD52" s="199"/>
      <c r="DE52" s="199"/>
      <c r="DF52" s="199"/>
      <c r="DG52" s="199"/>
      <c r="DH52" s="199"/>
      <c r="DI52" s="199"/>
      <c r="DJ52" s="199"/>
      <c r="DK52" s="199"/>
      <c r="DL52" s="199"/>
      <c r="DM52" s="199"/>
      <c r="DN52" s="199"/>
      <c r="DO52" s="199"/>
      <c r="DP52" s="199"/>
      <c r="DQ52" s="199"/>
      <c r="DR52" s="199"/>
      <c r="DS52" s="199"/>
      <c r="DT52" s="199"/>
      <c r="DU52" s="199"/>
      <c r="DV52" s="199"/>
      <c r="DW52" s="199"/>
      <c r="DX52" s="199"/>
      <c r="DY52" s="199"/>
      <c r="DZ52" s="199"/>
      <c r="EA52" s="199"/>
      <c r="EB52" s="199"/>
    </row>
    <row r="53" spans="2:132" x14ac:dyDescent="0.2">
      <c r="B53" s="158"/>
      <c r="C53" s="197"/>
      <c r="D53" s="198"/>
    </row>
    <row r="54" spans="2:132" x14ac:dyDescent="0.2">
      <c r="B54" s="158"/>
      <c r="C54" s="197"/>
      <c r="D54" s="198"/>
    </row>
    <row r="55" spans="2:132" x14ac:dyDescent="0.2">
      <c r="B55" s="158"/>
      <c r="C55" s="197"/>
      <c r="D55" s="198"/>
    </row>
    <row r="56" spans="2:132" x14ac:dyDescent="0.2">
      <c r="B56" s="158"/>
      <c r="C56" s="197"/>
      <c r="D56" s="198"/>
    </row>
    <row r="57" spans="2:132" x14ac:dyDescent="0.2">
      <c r="B57" s="158"/>
      <c r="C57" s="197"/>
      <c r="D57" s="198"/>
    </row>
    <row r="58" spans="2:132" x14ac:dyDescent="0.2">
      <c r="B58" s="158"/>
      <c r="C58" s="197"/>
      <c r="D58" s="198"/>
    </row>
    <row r="59" spans="2:132" x14ac:dyDescent="0.2">
      <c r="B59" s="158"/>
      <c r="C59" s="197"/>
      <c r="D59" s="198"/>
    </row>
    <row r="60" spans="2:132" x14ac:dyDescent="0.2">
      <c r="B60" s="158"/>
      <c r="C60" s="197"/>
      <c r="D60" s="198"/>
    </row>
    <row r="61" spans="2:132" x14ac:dyDescent="0.2">
      <c r="B61" s="158"/>
      <c r="C61" s="197"/>
      <c r="D61" s="198"/>
    </row>
    <row r="62" spans="2:132" x14ac:dyDescent="0.2">
      <c r="B62" s="158"/>
      <c r="C62" s="197"/>
      <c r="D62" s="198"/>
    </row>
    <row r="63" spans="2:132" x14ac:dyDescent="0.2">
      <c r="B63" s="158"/>
      <c r="C63" s="197"/>
      <c r="D63" s="198"/>
    </row>
    <row r="64" spans="2:132" x14ac:dyDescent="0.2">
      <c r="B64" s="158"/>
      <c r="C64" s="197"/>
      <c r="D64" s="198"/>
    </row>
    <row r="65" spans="2:4" x14ac:dyDescent="0.2">
      <c r="B65" s="158"/>
      <c r="C65" s="197"/>
      <c r="D65" s="198"/>
    </row>
    <row r="66" spans="2:4" x14ac:dyDescent="0.2">
      <c r="B66" s="158"/>
      <c r="C66" s="197"/>
      <c r="D66" s="198"/>
    </row>
    <row r="67" spans="2:4" x14ac:dyDescent="0.2">
      <c r="B67" s="158"/>
      <c r="C67" s="197"/>
      <c r="D67" s="198"/>
    </row>
    <row r="68" spans="2:4" x14ac:dyDescent="0.2">
      <c r="B68" s="158"/>
      <c r="C68" s="197"/>
      <c r="D68" s="198"/>
    </row>
    <row r="69" spans="2:4" x14ac:dyDescent="0.2">
      <c r="B69" s="158"/>
      <c r="C69" s="197"/>
      <c r="D69" s="198"/>
    </row>
    <row r="70" spans="2:4" x14ac:dyDescent="0.2">
      <c r="B70" s="158"/>
      <c r="C70" s="197"/>
      <c r="D70" s="198"/>
    </row>
    <row r="71" spans="2:4" x14ac:dyDescent="0.2">
      <c r="B71" s="158"/>
      <c r="C71" s="197"/>
      <c r="D71" s="198"/>
    </row>
    <row r="72" spans="2:4" x14ac:dyDescent="0.2">
      <c r="B72" s="158"/>
      <c r="C72" s="197"/>
      <c r="D72" s="198"/>
    </row>
    <row r="73" spans="2:4" hidden="1" x14ac:dyDescent="0.2">
      <c r="B73" s="158"/>
      <c r="C73" s="197"/>
      <c r="D73" s="198"/>
    </row>
    <row r="74" spans="2:4" hidden="1" x14ac:dyDescent="0.2">
      <c r="B74" s="158"/>
      <c r="C74" s="197"/>
      <c r="D74" s="198"/>
    </row>
    <row r="75" spans="2:4" hidden="1" x14ac:dyDescent="0.2">
      <c r="B75" s="158"/>
      <c r="C75" s="197"/>
      <c r="D75" s="198"/>
    </row>
    <row r="76" spans="2:4" hidden="1" x14ac:dyDescent="0.2">
      <c r="B76" s="158"/>
      <c r="C76" s="197"/>
      <c r="D76" s="198"/>
    </row>
    <row r="77" spans="2:4" hidden="1" x14ac:dyDescent="0.2">
      <c r="B77" s="158"/>
      <c r="C77" s="197"/>
      <c r="D77" s="198"/>
    </row>
    <row r="78" spans="2:4" hidden="1" x14ac:dyDescent="0.2">
      <c r="B78" s="158"/>
      <c r="C78" s="197"/>
      <c r="D78" s="198"/>
    </row>
    <row r="79" spans="2:4" hidden="1" x14ac:dyDescent="0.2">
      <c r="B79" s="158"/>
      <c r="C79" s="197"/>
      <c r="D79" s="198"/>
    </row>
    <row r="80" spans="2:4" hidden="1" x14ac:dyDescent="0.2">
      <c r="B80" s="158"/>
      <c r="C80" s="197"/>
      <c r="D80" s="198"/>
    </row>
    <row r="81" spans="2:4" hidden="1" x14ac:dyDescent="0.2">
      <c r="B81" s="158"/>
      <c r="C81" s="197"/>
      <c r="D81" s="198"/>
    </row>
    <row r="82" spans="2:4" hidden="1" x14ac:dyDescent="0.2">
      <c r="B82" s="158"/>
      <c r="C82" s="197"/>
      <c r="D82" s="198"/>
    </row>
    <row r="83" spans="2:4" hidden="1" x14ac:dyDescent="0.2">
      <c r="B83" s="158"/>
      <c r="C83" s="197"/>
      <c r="D83" s="198"/>
    </row>
    <row r="84" spans="2:4" hidden="1" x14ac:dyDescent="0.2">
      <c r="B84" s="158"/>
      <c r="C84" s="197"/>
      <c r="D84" s="198"/>
    </row>
    <row r="85" spans="2:4" hidden="1" x14ac:dyDescent="0.2">
      <c r="B85" s="158"/>
      <c r="C85" s="197"/>
      <c r="D85" s="198"/>
    </row>
    <row r="86" spans="2:4" hidden="1" x14ac:dyDescent="0.2">
      <c r="B86" s="158"/>
      <c r="C86" s="197"/>
      <c r="D86" s="198"/>
    </row>
    <row r="87" spans="2:4" hidden="1" x14ac:dyDescent="0.2">
      <c r="B87" s="158"/>
      <c r="C87" s="197"/>
      <c r="D87" s="198"/>
    </row>
    <row r="88" spans="2:4" hidden="1" x14ac:dyDescent="0.2">
      <c r="B88" s="158"/>
      <c r="C88" s="197"/>
      <c r="D88" s="198"/>
    </row>
    <row r="89" spans="2:4" hidden="1" x14ac:dyDescent="0.2">
      <c r="B89" s="158"/>
      <c r="C89" s="197"/>
      <c r="D89" s="198"/>
    </row>
    <row r="90" spans="2:4" hidden="1" x14ac:dyDescent="0.2">
      <c r="B90" s="158"/>
      <c r="C90" s="197"/>
      <c r="D90" s="198"/>
    </row>
    <row r="91" spans="2:4" hidden="1" x14ac:dyDescent="0.2">
      <c r="B91" s="158"/>
      <c r="C91" s="197"/>
      <c r="D91" s="198"/>
    </row>
    <row r="92" spans="2:4" hidden="1" x14ac:dyDescent="0.2">
      <c r="B92" s="158"/>
      <c r="C92" s="197"/>
      <c r="D92" s="198"/>
    </row>
    <row r="93" spans="2:4" hidden="1" x14ac:dyDescent="0.2">
      <c r="B93" s="158"/>
      <c r="C93" s="197"/>
      <c r="D93" s="198"/>
    </row>
    <row r="94" spans="2:4" hidden="1" x14ac:dyDescent="0.2">
      <c r="B94" s="158"/>
      <c r="C94" s="197"/>
      <c r="D94" s="198"/>
    </row>
    <row r="95" spans="2:4" hidden="1" x14ac:dyDescent="0.2">
      <c r="B95" s="158"/>
      <c r="C95" s="197"/>
      <c r="D95" s="198"/>
    </row>
    <row r="96" spans="2:4" hidden="1" x14ac:dyDescent="0.2">
      <c r="B96" s="158"/>
      <c r="C96" s="197"/>
      <c r="D96" s="198"/>
    </row>
    <row r="97" spans="2:4" hidden="1" x14ac:dyDescent="0.2">
      <c r="B97" s="158"/>
      <c r="C97" s="197"/>
      <c r="D97" s="198"/>
    </row>
    <row r="98" spans="2:4" hidden="1" x14ac:dyDescent="0.2">
      <c r="B98" s="158"/>
      <c r="C98" s="197"/>
      <c r="D98" s="198"/>
    </row>
    <row r="99" spans="2:4" hidden="1" x14ac:dyDescent="0.2">
      <c r="B99" s="158"/>
      <c r="C99" s="197"/>
      <c r="D99" s="198"/>
    </row>
    <row r="100" spans="2:4" hidden="1" x14ac:dyDescent="0.2">
      <c r="B100" s="158"/>
      <c r="C100" s="197"/>
      <c r="D100" s="198"/>
    </row>
    <row r="101" spans="2:4" hidden="1" x14ac:dyDescent="0.2">
      <c r="B101" s="158"/>
      <c r="C101" s="197"/>
      <c r="D101" s="198"/>
    </row>
    <row r="102" spans="2:4" hidden="1" x14ac:dyDescent="0.2">
      <c r="B102" s="158"/>
      <c r="C102" s="197"/>
      <c r="D102" s="198"/>
    </row>
    <row r="103" spans="2:4" hidden="1" x14ac:dyDescent="0.2">
      <c r="B103" s="158"/>
      <c r="C103" s="197"/>
      <c r="D103" s="198"/>
    </row>
    <row r="104" spans="2:4" hidden="1" x14ac:dyDescent="0.2">
      <c r="B104" s="158"/>
      <c r="C104" s="197"/>
      <c r="D104" s="198"/>
    </row>
    <row r="105" spans="2:4" hidden="1" x14ac:dyDescent="0.2">
      <c r="B105" s="158"/>
      <c r="C105" s="197"/>
      <c r="D105" s="198"/>
    </row>
    <row r="106" spans="2:4" hidden="1" x14ac:dyDescent="0.2">
      <c r="B106" s="158"/>
      <c r="C106" s="197"/>
      <c r="D106" s="198"/>
    </row>
    <row r="107" spans="2:4" hidden="1" x14ac:dyDescent="0.2">
      <c r="B107" s="158"/>
      <c r="C107" s="197"/>
      <c r="D107" s="198"/>
    </row>
    <row r="108" spans="2:4" hidden="1" x14ac:dyDescent="0.2">
      <c r="B108" s="158"/>
      <c r="C108" s="197"/>
      <c r="D108" s="198"/>
    </row>
    <row r="109" spans="2:4" hidden="1" x14ac:dyDescent="0.2">
      <c r="B109" s="158"/>
      <c r="C109" s="197"/>
      <c r="D109" s="198"/>
    </row>
    <row r="110" spans="2:4" hidden="1" x14ac:dyDescent="0.2">
      <c r="B110" s="158"/>
      <c r="C110" s="197"/>
      <c r="D110" s="198"/>
    </row>
    <row r="111" spans="2:4" hidden="1" x14ac:dyDescent="0.2">
      <c r="B111" s="158"/>
      <c r="C111" s="197"/>
      <c r="D111" s="198"/>
    </row>
    <row r="112" spans="2:4" hidden="1" x14ac:dyDescent="0.2">
      <c r="B112" s="158"/>
      <c r="C112" s="197"/>
      <c r="D112" s="198"/>
    </row>
    <row r="113" spans="2:4" hidden="1" x14ac:dyDescent="0.2">
      <c r="B113" s="158"/>
      <c r="C113" s="197"/>
      <c r="D113" s="198"/>
    </row>
    <row r="114" spans="2:4" hidden="1" x14ac:dyDescent="0.2">
      <c r="B114" s="158"/>
      <c r="C114" s="197"/>
      <c r="D114" s="198"/>
    </row>
    <row r="115" spans="2:4" hidden="1" x14ac:dyDescent="0.2">
      <c r="B115" s="158"/>
      <c r="C115" s="197"/>
      <c r="D115" s="198"/>
    </row>
    <row r="116" spans="2:4" hidden="1" x14ac:dyDescent="0.2">
      <c r="B116" s="158"/>
      <c r="C116" s="197"/>
      <c r="D116" s="198"/>
    </row>
    <row r="117" spans="2:4" hidden="1" x14ac:dyDescent="0.2">
      <c r="B117" s="158"/>
      <c r="C117" s="197"/>
      <c r="D117" s="198"/>
    </row>
    <row r="118" spans="2:4" hidden="1" x14ac:dyDescent="0.2">
      <c r="B118" s="158"/>
      <c r="C118" s="197"/>
      <c r="D118" s="198"/>
    </row>
    <row r="119" spans="2:4" hidden="1" x14ac:dyDescent="0.2">
      <c r="B119" s="158"/>
      <c r="C119" s="197"/>
      <c r="D119" s="198"/>
    </row>
    <row r="120" spans="2:4" hidden="1" x14ac:dyDescent="0.2">
      <c r="B120" s="158"/>
      <c r="C120" s="197"/>
      <c r="D120" s="198"/>
    </row>
    <row r="121" spans="2:4" hidden="1" x14ac:dyDescent="0.2">
      <c r="B121" s="158"/>
      <c r="C121" s="197"/>
      <c r="D121" s="198"/>
    </row>
    <row r="122" spans="2:4" hidden="1" x14ac:dyDescent="0.2">
      <c r="B122" s="158"/>
      <c r="C122" s="197"/>
      <c r="D122" s="198"/>
    </row>
    <row r="123" spans="2:4" hidden="1" x14ac:dyDescent="0.2">
      <c r="B123" s="158"/>
      <c r="C123" s="197"/>
      <c r="D123" s="198"/>
    </row>
    <row r="124" spans="2:4" hidden="1" x14ac:dyDescent="0.2">
      <c r="B124" s="158"/>
      <c r="C124" s="197"/>
      <c r="D124" s="198"/>
    </row>
    <row r="125" spans="2:4" hidden="1" x14ac:dyDescent="0.2">
      <c r="B125" s="158"/>
      <c r="C125" s="197"/>
      <c r="D125" s="198"/>
    </row>
    <row r="126" spans="2:4" hidden="1" x14ac:dyDescent="0.2">
      <c r="B126" s="158"/>
      <c r="C126" s="197"/>
      <c r="D126" s="198"/>
    </row>
    <row r="127" spans="2:4" hidden="1" x14ac:dyDescent="0.2">
      <c r="B127" s="158"/>
      <c r="C127" s="197"/>
      <c r="D127" s="198"/>
    </row>
    <row r="128" spans="2:4" hidden="1" x14ac:dyDescent="0.2">
      <c r="B128" s="158"/>
      <c r="C128" s="197"/>
      <c r="D128" s="198"/>
    </row>
    <row r="129" spans="2:4" hidden="1" x14ac:dyDescent="0.2">
      <c r="B129" s="158"/>
      <c r="C129" s="197"/>
      <c r="D129" s="198"/>
    </row>
    <row r="130" spans="2:4" hidden="1" x14ac:dyDescent="0.2">
      <c r="B130" s="158"/>
      <c r="C130" s="197"/>
      <c r="D130" s="198"/>
    </row>
    <row r="131" spans="2:4" hidden="1" x14ac:dyDescent="0.2">
      <c r="B131" s="158"/>
      <c r="C131" s="197"/>
      <c r="D131" s="198"/>
    </row>
    <row r="132" spans="2:4" hidden="1" x14ac:dyDescent="0.2">
      <c r="B132" s="158"/>
      <c r="C132" s="197"/>
      <c r="D132" s="198"/>
    </row>
    <row r="133" spans="2:4" hidden="1" x14ac:dyDescent="0.2">
      <c r="B133" s="158"/>
      <c r="C133" s="197"/>
      <c r="D133" s="198"/>
    </row>
    <row r="134" spans="2:4" hidden="1" x14ac:dyDescent="0.2">
      <c r="B134" s="158"/>
      <c r="C134" s="197"/>
      <c r="D134" s="198"/>
    </row>
    <row r="135" spans="2:4" hidden="1" x14ac:dyDescent="0.2">
      <c r="B135" s="158"/>
      <c r="C135" s="197"/>
      <c r="D135" s="198"/>
    </row>
    <row r="136" spans="2:4" hidden="1" x14ac:dyDescent="0.2">
      <c r="B136" s="158"/>
      <c r="C136" s="197"/>
      <c r="D136" s="198"/>
    </row>
    <row r="137" spans="2:4" hidden="1" x14ac:dyDescent="0.2">
      <c r="B137" s="158"/>
      <c r="C137" s="197"/>
      <c r="D137" s="198"/>
    </row>
    <row r="138" spans="2:4" hidden="1" x14ac:dyDescent="0.2">
      <c r="B138" s="158"/>
      <c r="C138" s="197"/>
      <c r="D138" s="198"/>
    </row>
    <row r="139" spans="2:4" hidden="1" x14ac:dyDescent="0.2">
      <c r="B139" s="158"/>
      <c r="C139" s="197"/>
      <c r="D139" s="198"/>
    </row>
    <row r="140" spans="2:4" hidden="1" x14ac:dyDescent="0.2">
      <c r="B140" s="158"/>
      <c r="C140" s="197"/>
      <c r="D140" s="198"/>
    </row>
    <row r="141" spans="2:4" hidden="1" x14ac:dyDescent="0.2">
      <c r="B141" s="158"/>
      <c r="C141" s="197"/>
      <c r="D141" s="198"/>
    </row>
    <row r="142" spans="2:4" hidden="1" x14ac:dyDescent="0.2">
      <c r="B142" s="158"/>
      <c r="C142" s="197"/>
      <c r="D142" s="198"/>
    </row>
    <row r="143" spans="2:4" hidden="1" x14ac:dyDescent="0.2">
      <c r="B143" s="158"/>
      <c r="C143" s="197"/>
      <c r="D143" s="198"/>
    </row>
    <row r="144" spans="2:4" hidden="1" x14ac:dyDescent="0.2">
      <c r="B144" s="158"/>
      <c r="C144" s="197"/>
      <c r="D144" s="198"/>
    </row>
    <row r="145" spans="2:4" hidden="1" x14ac:dyDescent="0.2">
      <c r="B145" s="158"/>
      <c r="C145" s="197"/>
      <c r="D145" s="198"/>
    </row>
    <row r="146" spans="2:4" hidden="1" x14ac:dyDescent="0.2">
      <c r="B146" s="158"/>
      <c r="C146" s="197"/>
      <c r="D146" s="198"/>
    </row>
    <row r="147" spans="2:4" hidden="1" x14ac:dyDescent="0.2">
      <c r="B147" s="158"/>
      <c r="C147" s="197"/>
      <c r="D147" s="198"/>
    </row>
    <row r="148" spans="2:4" hidden="1" x14ac:dyDescent="0.2">
      <c r="B148" s="158"/>
      <c r="C148" s="197"/>
      <c r="D148" s="198"/>
    </row>
    <row r="149" spans="2:4" hidden="1" x14ac:dyDescent="0.2">
      <c r="B149" s="158"/>
      <c r="C149" s="197"/>
      <c r="D149" s="198"/>
    </row>
  </sheetData>
  <sheetProtection selectLockedCells="1" selectUnlockedCells="1"/>
  <customSheetViews>
    <customSheetView guid="{C48E6361-ADB0-4860-9633-040747E5D3D8}" showGridLines="0">
      <pane xSplit="2" ySplit="4" topLeftCell="C5" activePane="bottomRight" state="frozen"/>
      <selection pane="bottomRight" activeCell="D11" sqref="D11"/>
      <pageMargins left="0.7" right="0.7" top="0.75" bottom="0.75" header="0.3" footer="0.3"/>
    </customSheetView>
  </customSheetViews>
  <conditionalFormatting sqref="B20:B21 B30:B43">
    <cfRule type="containsText" dxfId="3" priority="11" operator="containsText" text="OK">
      <formula>NOT(ISERROR(SEARCH("OK",B20)))</formula>
    </cfRule>
  </conditionalFormatting>
  <conditionalFormatting sqref="B20:B21 B30:B43">
    <cfRule type="containsText" dxfId="2" priority="12" operator="containsText" text="UNRETURNED LOAN PROCEEDS">
      <formula>NOT(ISERROR(SEARCH("UNRETURNED LOAN PROCEEDS",B20)))</formula>
    </cfRule>
  </conditionalFormatting>
  <conditionalFormatting sqref="B42">
    <cfRule type="containsText" dxfId="1" priority="10" operator="containsText" text="UNRETURNED LOAN PROCEEDS">
      <formula>NOT(ISERROR(SEARCH("UNRETURNED LOAN PROCEEDS",B42)))</formula>
    </cfRule>
  </conditionalFormatting>
  <conditionalFormatting sqref="B42">
    <cfRule type="containsText" dxfId="0" priority="9" operator="containsText" text="OK">
      <formula>NOT(ISERROR(SEARCH("OK",B42)))</formula>
    </cfRule>
  </conditionalFormatting>
  <pageMargins left="0.7" right="0.7" top="0.75" bottom="0.75" header="0.3" footer="0.3"/>
  <pageSetup scale="4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7018-4343-49D3-9DF4-4EADF72C9869}">
  <sheetPr codeName="Sheet6">
    <tabColor theme="5" tint="0.59999389629810485"/>
  </sheetPr>
  <dimension ref="A1:W121"/>
  <sheetViews>
    <sheetView showGridLines="0" tabSelected="1" workbookViewId="0">
      <selection activeCell="N5" sqref="N5"/>
    </sheetView>
  </sheetViews>
  <sheetFormatPr defaultColWidth="0" defaultRowHeight="14.25" zeroHeight="1" x14ac:dyDescent="0.2"/>
  <cols>
    <col min="1" max="1" width="9.140625" style="144" customWidth="1"/>
    <col min="2" max="2" width="20.42578125" style="144" customWidth="1"/>
    <col min="3" max="3" width="13.42578125" style="144" customWidth="1"/>
    <col min="4" max="4" width="2.28515625" style="144" customWidth="1"/>
    <col min="5" max="5" width="23.140625" style="144" customWidth="1"/>
    <col min="6" max="6" width="21.140625" style="144" customWidth="1"/>
    <col min="7" max="7" width="2.5703125" style="144" customWidth="1"/>
    <col min="8" max="8" width="19.5703125" style="144" customWidth="1"/>
    <col min="9" max="9" width="13.140625" style="144" bestFit="1" customWidth="1"/>
    <col min="10" max="10" width="19.5703125" style="144" customWidth="1"/>
    <col min="11" max="21" width="9.140625" style="144" customWidth="1"/>
    <col min="22" max="23" width="0" style="144" hidden="1" customWidth="1"/>
    <col min="24" max="16384" width="9.140625" style="144" hidden="1"/>
  </cols>
  <sheetData>
    <row r="1" spans="2:12" x14ac:dyDescent="0.2"/>
    <row r="2" spans="2:12" x14ac:dyDescent="0.2"/>
    <row r="3" spans="2:12" x14ac:dyDescent="0.2">
      <c r="B3" s="145" t="s">
        <v>879</v>
      </c>
    </row>
    <row r="4" spans="2:12" x14ac:dyDescent="0.2">
      <c r="D4" s="146"/>
      <c r="H4" s="163" t="s">
        <v>928</v>
      </c>
      <c r="I4" s="164">
        <v>0.13</v>
      </c>
    </row>
    <row r="5" spans="2:12" x14ac:dyDescent="0.2">
      <c r="B5" s="144" t="s">
        <v>876</v>
      </c>
      <c r="C5" s="147">
        <f>'Monthly Pro Forma'!F6</f>
        <v>44926</v>
      </c>
      <c r="E5" s="158" t="s">
        <v>941</v>
      </c>
      <c r="F5" s="165">
        <f>'Closing Budget'!I89</f>
        <v>15000000</v>
      </c>
      <c r="H5" s="144" t="s">
        <v>880</v>
      </c>
      <c r="I5" s="149">
        <v>7.0000000000000007E-2</v>
      </c>
      <c r="J5" s="158" t="s">
        <v>883</v>
      </c>
      <c r="K5" s="147">
        <v>45292</v>
      </c>
    </row>
    <row r="6" spans="2:12" x14ac:dyDescent="0.2">
      <c r="B6" s="144" t="s">
        <v>877</v>
      </c>
      <c r="C6" s="147">
        <v>44958</v>
      </c>
      <c r="E6" s="158" t="s">
        <v>881</v>
      </c>
      <c r="F6" s="161" t="s">
        <v>882</v>
      </c>
      <c r="H6" s="144" t="s">
        <v>884</v>
      </c>
      <c r="I6" s="149">
        <v>7.0000000000000007E-2</v>
      </c>
      <c r="J6" s="158" t="s">
        <v>883</v>
      </c>
      <c r="K6" s="147">
        <f>EDATE(K5,12)</f>
        <v>45658</v>
      </c>
    </row>
    <row r="7" spans="2:12" x14ac:dyDescent="0.2">
      <c r="B7" s="144" t="s">
        <v>878</v>
      </c>
      <c r="C7" s="147">
        <v>46023</v>
      </c>
      <c r="H7" s="144" t="s">
        <v>885</v>
      </c>
      <c r="I7" s="149">
        <v>7.0000000000000007E-2</v>
      </c>
      <c r="J7" s="158" t="s">
        <v>883</v>
      </c>
      <c r="K7" s="147">
        <f t="shared" ref="K7:K8" si="0">EDATE(K6,12)</f>
        <v>46023</v>
      </c>
    </row>
    <row r="8" spans="2:12" x14ac:dyDescent="0.2">
      <c r="H8" s="144" t="s">
        <v>886</v>
      </c>
      <c r="I8" s="149">
        <v>7.0000000000000007E-2</v>
      </c>
      <c r="J8" s="158" t="s">
        <v>883</v>
      </c>
      <c r="K8" s="147">
        <f t="shared" si="0"/>
        <v>46388</v>
      </c>
    </row>
    <row r="9" spans="2:12" x14ac:dyDescent="0.2"/>
    <row r="10" spans="2:12" x14ac:dyDescent="0.2"/>
    <row r="11" spans="2:12" s="145" customFormat="1" x14ac:dyDescent="0.2">
      <c r="B11" s="159" t="s">
        <v>887</v>
      </c>
      <c r="C11" s="159" t="s">
        <v>888</v>
      </c>
      <c r="D11" s="159"/>
      <c r="E11" s="159" t="s">
        <v>889</v>
      </c>
      <c r="F11" s="159" t="s">
        <v>890</v>
      </c>
      <c r="G11" s="159"/>
      <c r="H11" s="159" t="s">
        <v>895</v>
      </c>
      <c r="I11" s="159" t="s">
        <v>241</v>
      </c>
      <c r="J11" s="159" t="s">
        <v>118</v>
      </c>
      <c r="K11" s="154"/>
    </row>
    <row r="12" spans="2:12" x14ac:dyDescent="0.2">
      <c r="B12" s="155">
        <v>0</v>
      </c>
      <c r="C12" s="156">
        <f>C5</f>
        <v>44926</v>
      </c>
      <c r="D12" s="155"/>
      <c r="E12" s="157">
        <f>F5</f>
        <v>15000000</v>
      </c>
      <c r="F12" s="157">
        <v>0</v>
      </c>
      <c r="G12" s="157"/>
      <c r="H12" s="157">
        <v>0</v>
      </c>
      <c r="I12" s="157">
        <v>0</v>
      </c>
      <c r="J12" s="157">
        <f>E12</f>
        <v>15000000</v>
      </c>
      <c r="K12" s="155"/>
      <c r="L12" s="152"/>
    </row>
    <row r="13" spans="2:12" x14ac:dyDescent="0.2">
      <c r="B13" s="155">
        <f>B12+1</f>
        <v>1</v>
      </c>
      <c r="C13" s="156">
        <f>C6</f>
        <v>44958</v>
      </c>
      <c r="D13" s="155"/>
      <c r="E13" s="157">
        <f t="shared" ref="E13:E44" si="1">J12</f>
        <v>15000000</v>
      </c>
      <c r="F13" s="157">
        <f t="shared" ref="F13:F44" si="2">ROUND($I$4*E13*(C13-C12)/360,2)</f>
        <v>173333.33</v>
      </c>
      <c r="G13" s="157"/>
      <c r="H13" s="157" cm="1">
        <f t="array" ref="H13">_xlfn.IFS(C13&gt;$C$7,0,C13&lt;=$K$5,$F$5*$I$5/12,AND(C13&lt;=$K$6,C13&gt;$K$5),$F$5*$I$6/12,AND(C13&lt;=$K$7,C13&gt;$K$6),$F$5*$I$7/12,AND(C13&lt;=$K$8,C13&gt;$K$7),$F$5*$I$8/12,C13&gt;$K$8,$F$5*$I$4/12)</f>
        <v>87500</v>
      </c>
      <c r="I13" s="157">
        <f>IF(C13=$C$7,E13+F13-H13,0)</f>
        <v>0</v>
      </c>
      <c r="J13" s="157">
        <f>E13+F13-H13-I13</f>
        <v>15085833.33</v>
      </c>
      <c r="K13" s="155"/>
    </row>
    <row r="14" spans="2:12" x14ac:dyDescent="0.2">
      <c r="B14" s="155">
        <f t="shared" ref="B14:B77" si="3">B13+1</f>
        <v>2</v>
      </c>
      <c r="C14" s="156">
        <f>EDATE(C13,1)</f>
        <v>44986</v>
      </c>
      <c r="D14" s="155"/>
      <c r="E14" s="157">
        <f t="shared" si="1"/>
        <v>15085833.33</v>
      </c>
      <c r="F14" s="157">
        <f t="shared" si="2"/>
        <v>152534.54</v>
      </c>
      <c r="G14" s="157"/>
      <c r="H14" s="157" cm="1">
        <f t="array" ref="H14">_xlfn.IFS(C14&gt;$C$7,0,C14&lt;=$K$5,$F$5*$I$5/12,AND(C14&lt;=$K$6,C14&gt;$K$5),$F$5*$I$6/12,AND(C14&lt;=$K$7,C14&gt;$K$6),$F$5*$I$7/12,AND(C14&lt;=$K$8,C14&gt;$K$7),$F$5*$I$8/12,C14&gt;$K$8,$F$5*$I$4/12)</f>
        <v>87500</v>
      </c>
      <c r="I14" s="157">
        <f t="shared" ref="I14:I77" si="4">IF(C14=$C$7,E14+F14-H14,0)</f>
        <v>0</v>
      </c>
      <c r="J14" s="157">
        <f t="shared" ref="J14:J77" si="5">E14+F14-H14-I14</f>
        <v>15150867.869999999</v>
      </c>
      <c r="K14" s="155"/>
    </row>
    <row r="15" spans="2:12" x14ac:dyDescent="0.2">
      <c r="B15" s="155">
        <f t="shared" si="3"/>
        <v>3</v>
      </c>
      <c r="C15" s="156">
        <f t="shared" ref="C15:C78" si="6">EDATE(C14,1)</f>
        <v>45017</v>
      </c>
      <c r="D15" s="155"/>
      <c r="E15" s="157">
        <f t="shared" si="1"/>
        <v>15150867.869999999</v>
      </c>
      <c r="F15" s="157">
        <f t="shared" si="2"/>
        <v>169605.55</v>
      </c>
      <c r="G15" s="157"/>
      <c r="H15" s="157" cm="1">
        <f t="array" ref="H15">_xlfn.IFS(C15&gt;$C$7,0,C15&lt;=$K$5,$F$5*$I$5/12,AND(C15&lt;=$K$6,C15&gt;$K$5),$F$5*$I$6/12,AND(C15&lt;=$K$7,C15&gt;$K$6),$F$5*$I$7/12,AND(C15&lt;=$K$8,C15&gt;$K$7),$F$5*$I$8/12,C15&gt;$K$8,$F$5*$I$4/12)</f>
        <v>87500</v>
      </c>
      <c r="I15" s="157">
        <f t="shared" si="4"/>
        <v>0</v>
      </c>
      <c r="J15" s="157">
        <f t="shared" si="5"/>
        <v>15232973.42</v>
      </c>
      <c r="K15" s="155"/>
    </row>
    <row r="16" spans="2:12" x14ac:dyDescent="0.2">
      <c r="B16" s="155">
        <f t="shared" si="3"/>
        <v>4</v>
      </c>
      <c r="C16" s="156">
        <f t="shared" si="6"/>
        <v>45047</v>
      </c>
      <c r="D16" s="155"/>
      <c r="E16" s="157">
        <f t="shared" si="1"/>
        <v>15232973.42</v>
      </c>
      <c r="F16" s="157">
        <f t="shared" si="2"/>
        <v>165023.88</v>
      </c>
      <c r="G16" s="157"/>
      <c r="H16" s="157" cm="1">
        <f t="array" ref="H16">_xlfn.IFS(C16&gt;$C$7,0,C16&lt;=$K$5,$F$5*$I$5/12,AND(C16&lt;=$K$6,C16&gt;$K$5),$F$5*$I$6/12,AND(C16&lt;=$K$7,C16&gt;$K$6),$F$5*$I$7/12,AND(C16&lt;=$K$8,C16&gt;$K$7),$F$5*$I$8/12,C16&gt;$K$8,$F$5*$I$4/12)</f>
        <v>87500</v>
      </c>
      <c r="I16" s="157">
        <f t="shared" si="4"/>
        <v>0</v>
      </c>
      <c r="J16" s="157">
        <f t="shared" si="5"/>
        <v>15310497.300000001</v>
      </c>
      <c r="K16" s="155"/>
    </row>
    <row r="17" spans="2:12" x14ac:dyDescent="0.2">
      <c r="B17" s="155">
        <f t="shared" si="3"/>
        <v>5</v>
      </c>
      <c r="C17" s="156">
        <f t="shared" si="6"/>
        <v>45078</v>
      </c>
      <c r="D17" s="155"/>
      <c r="E17" s="157">
        <f t="shared" si="1"/>
        <v>15310497.300000001</v>
      </c>
      <c r="F17" s="157">
        <f t="shared" si="2"/>
        <v>171392.51</v>
      </c>
      <c r="G17" s="157"/>
      <c r="H17" s="157" cm="1">
        <f t="array" ref="H17">_xlfn.IFS(C17&gt;$C$7,0,C17&lt;=$K$5,$F$5*$I$5/12,AND(C17&lt;=$K$6,C17&gt;$K$5),$F$5*$I$6/12,AND(C17&lt;=$K$7,C17&gt;$K$6),$F$5*$I$7/12,AND(C17&lt;=$K$8,C17&gt;$K$7),$F$5*$I$8/12,C17&gt;$K$8,$F$5*$I$4/12)</f>
        <v>87500</v>
      </c>
      <c r="I17" s="157">
        <f t="shared" si="4"/>
        <v>0</v>
      </c>
      <c r="J17" s="157">
        <f t="shared" si="5"/>
        <v>15394389.810000001</v>
      </c>
      <c r="K17" s="155"/>
    </row>
    <row r="18" spans="2:12" x14ac:dyDescent="0.2">
      <c r="B18" s="155">
        <f t="shared" si="3"/>
        <v>6</v>
      </c>
      <c r="C18" s="156">
        <f t="shared" si="6"/>
        <v>45108</v>
      </c>
      <c r="D18" s="155"/>
      <c r="E18" s="157">
        <f t="shared" si="1"/>
        <v>15394389.810000001</v>
      </c>
      <c r="F18" s="157">
        <f t="shared" si="2"/>
        <v>166772.56</v>
      </c>
      <c r="G18" s="157"/>
      <c r="H18" s="157" cm="1">
        <f t="array" ref="H18">_xlfn.IFS(C18&gt;$C$7,0,C18&lt;=$K$5,$F$5*$I$5/12,AND(C18&lt;=$K$6,C18&gt;$K$5),$F$5*$I$6/12,AND(C18&lt;=$K$7,C18&gt;$K$6),$F$5*$I$7/12,AND(C18&lt;=$K$8,C18&gt;$K$7),$F$5*$I$8/12,C18&gt;$K$8,$F$5*$I$4/12)</f>
        <v>87500</v>
      </c>
      <c r="I18" s="157">
        <f t="shared" si="4"/>
        <v>0</v>
      </c>
      <c r="J18" s="157">
        <f t="shared" si="5"/>
        <v>15473662.370000001</v>
      </c>
      <c r="K18" s="155"/>
    </row>
    <row r="19" spans="2:12" x14ac:dyDescent="0.2">
      <c r="B19" s="155">
        <f t="shared" si="3"/>
        <v>7</v>
      </c>
      <c r="C19" s="156">
        <f t="shared" si="6"/>
        <v>45139</v>
      </c>
      <c r="D19" s="155"/>
      <c r="E19" s="157">
        <f t="shared" si="1"/>
        <v>15473662.370000001</v>
      </c>
      <c r="F19" s="157">
        <f t="shared" si="2"/>
        <v>173219.05</v>
      </c>
      <c r="G19" s="157"/>
      <c r="H19" s="157" cm="1">
        <f t="array" ref="H19">_xlfn.IFS(C19&gt;$C$7,0,C19&lt;=$K$5,$F$5*$I$5/12,AND(C19&lt;=$K$6,C19&gt;$K$5),$F$5*$I$6/12,AND(C19&lt;=$K$7,C19&gt;$K$6),$F$5*$I$7/12,AND(C19&lt;=$K$8,C19&gt;$K$7),$F$5*$I$8/12,C19&gt;$K$8,$F$5*$I$4/12)</f>
        <v>87500</v>
      </c>
      <c r="I19" s="157">
        <f t="shared" si="4"/>
        <v>0</v>
      </c>
      <c r="J19" s="157">
        <f t="shared" si="5"/>
        <v>15559381.420000002</v>
      </c>
      <c r="K19" s="155"/>
    </row>
    <row r="20" spans="2:12" x14ac:dyDescent="0.2">
      <c r="B20" s="155">
        <f t="shared" si="3"/>
        <v>8</v>
      </c>
      <c r="C20" s="156">
        <f t="shared" si="6"/>
        <v>45170</v>
      </c>
      <c r="D20" s="155"/>
      <c r="E20" s="157">
        <f t="shared" si="1"/>
        <v>15559381.420000002</v>
      </c>
      <c r="F20" s="157">
        <f t="shared" si="2"/>
        <v>174178.63</v>
      </c>
      <c r="G20" s="157"/>
      <c r="H20" s="157" cm="1">
        <f t="array" ref="H20">_xlfn.IFS(C20&gt;$C$7,0,C20&lt;=$K$5,$F$5*$I$5/12,AND(C20&lt;=$K$6,C20&gt;$K$5),$F$5*$I$6/12,AND(C20&lt;=$K$7,C20&gt;$K$6),$F$5*$I$7/12,AND(C20&lt;=$K$8,C20&gt;$K$7),$F$5*$I$8/12,C20&gt;$K$8,$F$5*$I$4/12)</f>
        <v>87500</v>
      </c>
      <c r="I20" s="157">
        <f t="shared" si="4"/>
        <v>0</v>
      </c>
      <c r="J20" s="157">
        <f t="shared" si="5"/>
        <v>15646060.050000003</v>
      </c>
      <c r="K20" s="155"/>
    </row>
    <row r="21" spans="2:12" x14ac:dyDescent="0.2">
      <c r="B21" s="155">
        <f t="shared" si="3"/>
        <v>9</v>
      </c>
      <c r="C21" s="156">
        <f t="shared" si="6"/>
        <v>45200</v>
      </c>
      <c r="D21" s="155"/>
      <c r="E21" s="157">
        <f t="shared" si="1"/>
        <v>15646060.050000003</v>
      </c>
      <c r="F21" s="157">
        <f t="shared" si="2"/>
        <v>169498.98</v>
      </c>
      <c r="G21" s="157"/>
      <c r="H21" s="157" cm="1">
        <f t="array" ref="H21">_xlfn.IFS(C21&gt;$C$7,0,C21&lt;=$K$5,$F$5*$I$5/12,AND(C21&lt;=$K$6,C21&gt;$K$5),$F$5*$I$6/12,AND(C21&lt;=$K$7,C21&gt;$K$6),$F$5*$I$7/12,AND(C21&lt;=$K$8,C21&gt;$K$7),$F$5*$I$8/12,C21&gt;$K$8,$F$5*$I$4/12)</f>
        <v>87500</v>
      </c>
      <c r="I21" s="157">
        <f t="shared" si="4"/>
        <v>0</v>
      </c>
      <c r="J21" s="157">
        <f t="shared" si="5"/>
        <v>15728059.030000003</v>
      </c>
      <c r="K21" s="155"/>
    </row>
    <row r="22" spans="2:12" x14ac:dyDescent="0.2">
      <c r="B22" s="155">
        <f t="shared" si="3"/>
        <v>10</v>
      </c>
      <c r="C22" s="156">
        <f t="shared" si="6"/>
        <v>45231</v>
      </c>
      <c r="D22" s="155"/>
      <c r="E22" s="157">
        <f t="shared" si="1"/>
        <v>15728059.030000003</v>
      </c>
      <c r="F22" s="157">
        <f t="shared" si="2"/>
        <v>176066.88</v>
      </c>
      <c r="G22" s="157"/>
      <c r="H22" s="157" cm="1">
        <f t="array" ref="H22">_xlfn.IFS(C22&gt;$C$7,0,C22&lt;=$K$5,$F$5*$I$5/12,AND(C22&lt;=$K$6,C22&gt;$K$5),$F$5*$I$6/12,AND(C22&lt;=$K$7,C22&gt;$K$6),$F$5*$I$7/12,AND(C22&lt;=$K$8,C22&gt;$K$7),$F$5*$I$8/12,C22&gt;$K$8,$F$5*$I$4/12)</f>
        <v>87500</v>
      </c>
      <c r="I22" s="157">
        <f t="shared" si="4"/>
        <v>0</v>
      </c>
      <c r="J22" s="157">
        <f t="shared" si="5"/>
        <v>15816625.910000004</v>
      </c>
      <c r="K22" s="155"/>
    </row>
    <row r="23" spans="2:12" x14ac:dyDescent="0.2">
      <c r="B23" s="155">
        <f t="shared" si="3"/>
        <v>11</v>
      </c>
      <c r="C23" s="156">
        <f t="shared" si="6"/>
        <v>45261</v>
      </c>
      <c r="D23" s="155"/>
      <c r="E23" s="157">
        <f t="shared" si="1"/>
        <v>15816625.910000004</v>
      </c>
      <c r="F23" s="157">
        <f t="shared" si="2"/>
        <v>171346.78</v>
      </c>
      <c r="G23" s="157"/>
      <c r="H23" s="157" cm="1">
        <f t="array" ref="H23">_xlfn.IFS(C23&gt;$C$7,0,C23&lt;=$K$5,$F$5*$I$5/12,AND(C23&lt;=$K$6,C23&gt;$K$5),$F$5*$I$6/12,AND(C23&lt;=$K$7,C23&gt;$K$6),$F$5*$I$7/12,AND(C23&lt;=$K$8,C23&gt;$K$7),$F$5*$I$8/12,C23&gt;$K$8,$F$5*$I$4/12)</f>
        <v>87500</v>
      </c>
      <c r="I23" s="157">
        <f t="shared" si="4"/>
        <v>0</v>
      </c>
      <c r="J23" s="157">
        <f t="shared" si="5"/>
        <v>15900472.690000003</v>
      </c>
      <c r="K23" s="155"/>
    </row>
    <row r="24" spans="2:12" x14ac:dyDescent="0.2">
      <c r="B24" s="155">
        <f t="shared" si="3"/>
        <v>12</v>
      </c>
      <c r="C24" s="156">
        <f t="shared" si="6"/>
        <v>45292</v>
      </c>
      <c r="D24" s="155"/>
      <c r="E24" s="157">
        <f t="shared" si="1"/>
        <v>15900472.690000003</v>
      </c>
      <c r="F24" s="157">
        <f t="shared" si="2"/>
        <v>177996.96</v>
      </c>
      <c r="G24" s="157"/>
      <c r="H24" s="157" cm="1">
        <f t="array" ref="H24">_xlfn.IFS(C24&gt;$C$7,0,C24&lt;=$K$5,$F$5*$I$5/12,AND(C24&lt;=$K$6,C24&gt;$K$5),$F$5*$I$6/12,AND(C24&lt;=$K$7,C24&gt;$K$6),$F$5*$I$7/12,AND(C24&lt;=$K$8,C24&gt;$K$7),$F$5*$I$8/12,C24&gt;$K$8,$F$5*$I$4/12)</f>
        <v>87500</v>
      </c>
      <c r="I24" s="157">
        <f t="shared" si="4"/>
        <v>0</v>
      </c>
      <c r="J24" s="157">
        <f t="shared" si="5"/>
        <v>15990969.650000004</v>
      </c>
      <c r="K24" s="155"/>
      <c r="L24" s="153"/>
    </row>
    <row r="25" spans="2:12" x14ac:dyDescent="0.2">
      <c r="B25" s="155">
        <f t="shared" si="3"/>
        <v>13</v>
      </c>
      <c r="C25" s="156">
        <f t="shared" si="6"/>
        <v>45323</v>
      </c>
      <c r="D25" s="155"/>
      <c r="E25" s="157">
        <f t="shared" si="1"/>
        <v>15990969.650000004</v>
      </c>
      <c r="F25" s="157">
        <f t="shared" si="2"/>
        <v>179010.02</v>
      </c>
      <c r="G25" s="157"/>
      <c r="H25" s="157" cm="1">
        <f t="array" ref="H25">_xlfn.IFS(C25&gt;$C$7,0,C25&lt;=$K$5,$F$5*$I$5/12,AND(C25&lt;=$K$6,C25&gt;$K$5),$F$5*$I$6/12,AND(C25&lt;=$K$7,C25&gt;$K$6),$F$5*$I$7/12,AND(C25&lt;=$K$8,C25&gt;$K$7),$F$5*$I$8/12,C25&gt;$K$8,$F$5*$I$4/12)</f>
        <v>87500</v>
      </c>
      <c r="I25" s="157">
        <f t="shared" si="4"/>
        <v>0</v>
      </c>
      <c r="J25" s="157">
        <f t="shared" si="5"/>
        <v>16082479.670000004</v>
      </c>
      <c r="K25" s="155"/>
    </row>
    <row r="26" spans="2:12" x14ac:dyDescent="0.2">
      <c r="B26" s="155">
        <f t="shared" si="3"/>
        <v>14</v>
      </c>
      <c r="C26" s="156">
        <f t="shared" si="6"/>
        <v>45352</v>
      </c>
      <c r="D26" s="155"/>
      <c r="E26" s="157">
        <f t="shared" si="1"/>
        <v>16082479.670000004</v>
      </c>
      <c r="F26" s="157">
        <f t="shared" si="2"/>
        <v>168419.3</v>
      </c>
      <c r="G26" s="157"/>
      <c r="H26" s="157" cm="1">
        <f t="array" ref="H26">_xlfn.IFS(C26&gt;$C$7,0,C26&lt;=$K$5,$F$5*$I$5/12,AND(C26&lt;=$K$6,C26&gt;$K$5),$F$5*$I$6/12,AND(C26&lt;=$K$7,C26&gt;$K$6),$F$5*$I$7/12,AND(C26&lt;=$K$8,C26&gt;$K$7),$F$5*$I$8/12,C26&gt;$K$8,$F$5*$I$4/12)</f>
        <v>87500</v>
      </c>
      <c r="I26" s="157">
        <f t="shared" si="4"/>
        <v>0</v>
      </c>
      <c r="J26" s="157">
        <f t="shared" si="5"/>
        <v>16163398.970000004</v>
      </c>
      <c r="K26" s="155"/>
    </row>
    <row r="27" spans="2:12" x14ac:dyDescent="0.2">
      <c r="B27" s="155">
        <f t="shared" si="3"/>
        <v>15</v>
      </c>
      <c r="C27" s="156">
        <f t="shared" si="6"/>
        <v>45383</v>
      </c>
      <c r="D27" s="155"/>
      <c r="E27" s="157">
        <f t="shared" si="1"/>
        <v>16163398.970000004</v>
      </c>
      <c r="F27" s="157">
        <f t="shared" si="2"/>
        <v>180940.27</v>
      </c>
      <c r="G27" s="157"/>
      <c r="H27" s="157" cm="1">
        <f t="array" ref="H27">_xlfn.IFS(C27&gt;$C$7,0,C27&lt;=$K$5,$F$5*$I$5/12,AND(C27&lt;=$K$6,C27&gt;$K$5),$F$5*$I$6/12,AND(C27&lt;=$K$7,C27&gt;$K$6),$F$5*$I$7/12,AND(C27&lt;=$K$8,C27&gt;$K$7),$F$5*$I$8/12,C27&gt;$K$8,$F$5*$I$4/12)</f>
        <v>87500</v>
      </c>
      <c r="I27" s="157">
        <f t="shared" si="4"/>
        <v>0</v>
      </c>
      <c r="J27" s="157">
        <f t="shared" si="5"/>
        <v>16256839.240000004</v>
      </c>
      <c r="K27" s="155"/>
    </row>
    <row r="28" spans="2:12" x14ac:dyDescent="0.2">
      <c r="B28" s="155">
        <f t="shared" si="3"/>
        <v>16</v>
      </c>
      <c r="C28" s="156">
        <f t="shared" si="6"/>
        <v>45413</v>
      </c>
      <c r="D28" s="155"/>
      <c r="E28" s="157">
        <f t="shared" si="1"/>
        <v>16256839.240000004</v>
      </c>
      <c r="F28" s="157">
        <f t="shared" si="2"/>
        <v>176115.76</v>
      </c>
      <c r="G28" s="157"/>
      <c r="H28" s="157" cm="1">
        <f t="array" ref="H28">_xlfn.IFS(C28&gt;$C$7,0,C28&lt;=$K$5,$F$5*$I$5/12,AND(C28&lt;=$K$6,C28&gt;$K$5),$F$5*$I$6/12,AND(C28&lt;=$K$7,C28&gt;$K$6),$F$5*$I$7/12,AND(C28&lt;=$K$8,C28&gt;$K$7),$F$5*$I$8/12,C28&gt;$K$8,$F$5*$I$4/12)</f>
        <v>87500</v>
      </c>
      <c r="I28" s="157">
        <f t="shared" si="4"/>
        <v>0</v>
      </c>
      <c r="J28" s="157">
        <f t="shared" si="5"/>
        <v>16345455.000000004</v>
      </c>
      <c r="K28" s="155"/>
    </row>
    <row r="29" spans="2:12" x14ac:dyDescent="0.2">
      <c r="B29" s="155">
        <f t="shared" si="3"/>
        <v>17</v>
      </c>
      <c r="C29" s="156">
        <f t="shared" si="6"/>
        <v>45444</v>
      </c>
      <c r="D29" s="155"/>
      <c r="E29" s="157">
        <f t="shared" si="1"/>
        <v>16345455.000000004</v>
      </c>
      <c r="F29" s="157">
        <f t="shared" si="2"/>
        <v>182978.29</v>
      </c>
      <c r="G29" s="157"/>
      <c r="H29" s="157" cm="1">
        <f t="array" ref="H29">_xlfn.IFS(C29&gt;$C$7,0,C29&lt;=$K$5,$F$5*$I$5/12,AND(C29&lt;=$K$6,C29&gt;$K$5),$F$5*$I$6/12,AND(C29&lt;=$K$7,C29&gt;$K$6),$F$5*$I$7/12,AND(C29&lt;=$K$8,C29&gt;$K$7),$F$5*$I$8/12,C29&gt;$K$8,$F$5*$I$4/12)</f>
        <v>87500</v>
      </c>
      <c r="I29" s="157">
        <f t="shared" si="4"/>
        <v>0</v>
      </c>
      <c r="J29" s="157">
        <f t="shared" si="5"/>
        <v>16440933.290000003</v>
      </c>
      <c r="K29" s="155"/>
    </row>
    <row r="30" spans="2:12" x14ac:dyDescent="0.2">
      <c r="B30" s="155">
        <f t="shared" si="3"/>
        <v>18</v>
      </c>
      <c r="C30" s="156">
        <f t="shared" si="6"/>
        <v>45474</v>
      </c>
      <c r="D30" s="155"/>
      <c r="E30" s="157">
        <f t="shared" si="1"/>
        <v>16440933.290000003</v>
      </c>
      <c r="F30" s="157">
        <f t="shared" si="2"/>
        <v>178110.11</v>
      </c>
      <c r="G30" s="157"/>
      <c r="H30" s="157" cm="1">
        <f t="array" ref="H30">_xlfn.IFS(C30&gt;$C$7,0,C30&lt;=$K$5,$F$5*$I$5/12,AND(C30&lt;=$K$6,C30&gt;$K$5),$F$5*$I$6/12,AND(C30&lt;=$K$7,C30&gt;$K$6),$F$5*$I$7/12,AND(C30&lt;=$K$8,C30&gt;$K$7),$F$5*$I$8/12,C30&gt;$K$8,$F$5*$I$4/12)</f>
        <v>87500</v>
      </c>
      <c r="I30" s="157">
        <f t="shared" si="4"/>
        <v>0</v>
      </c>
      <c r="J30" s="157">
        <f t="shared" si="5"/>
        <v>16531543.400000002</v>
      </c>
      <c r="K30" s="155"/>
    </row>
    <row r="31" spans="2:12" x14ac:dyDescent="0.2">
      <c r="B31" s="155">
        <f t="shared" si="3"/>
        <v>19</v>
      </c>
      <c r="C31" s="156">
        <f t="shared" si="6"/>
        <v>45505</v>
      </c>
      <c r="D31" s="155"/>
      <c r="E31" s="157">
        <f t="shared" si="1"/>
        <v>16531543.400000002</v>
      </c>
      <c r="F31" s="157">
        <f t="shared" si="2"/>
        <v>185061.44</v>
      </c>
      <c r="G31" s="157"/>
      <c r="H31" s="157" cm="1">
        <f t="array" ref="H31">_xlfn.IFS(C31&gt;$C$7,0,C31&lt;=$K$5,$F$5*$I$5/12,AND(C31&lt;=$K$6,C31&gt;$K$5),$F$5*$I$6/12,AND(C31&lt;=$K$7,C31&gt;$K$6),$F$5*$I$7/12,AND(C31&lt;=$K$8,C31&gt;$K$7),$F$5*$I$8/12,C31&gt;$K$8,$F$5*$I$4/12)</f>
        <v>87500</v>
      </c>
      <c r="I31" s="157">
        <f t="shared" si="4"/>
        <v>0</v>
      </c>
      <c r="J31" s="157">
        <f t="shared" si="5"/>
        <v>16629104.840000002</v>
      </c>
      <c r="K31" s="155"/>
    </row>
    <row r="32" spans="2:12" x14ac:dyDescent="0.2">
      <c r="B32" s="155">
        <f t="shared" si="3"/>
        <v>20</v>
      </c>
      <c r="C32" s="156">
        <f t="shared" si="6"/>
        <v>45536</v>
      </c>
      <c r="D32" s="155"/>
      <c r="E32" s="157">
        <f t="shared" si="1"/>
        <v>16629104.840000002</v>
      </c>
      <c r="F32" s="157">
        <f t="shared" si="2"/>
        <v>186153.59</v>
      </c>
      <c r="G32" s="157"/>
      <c r="H32" s="157" cm="1">
        <f t="array" ref="H32">_xlfn.IFS(C32&gt;$C$7,0,C32&lt;=$K$5,$F$5*$I$5/12,AND(C32&lt;=$K$6,C32&gt;$K$5),$F$5*$I$6/12,AND(C32&lt;=$K$7,C32&gt;$K$6),$F$5*$I$7/12,AND(C32&lt;=$K$8,C32&gt;$K$7),$F$5*$I$8/12,C32&gt;$K$8,$F$5*$I$4/12)</f>
        <v>87500</v>
      </c>
      <c r="I32" s="157">
        <f t="shared" si="4"/>
        <v>0</v>
      </c>
      <c r="J32" s="157">
        <f t="shared" si="5"/>
        <v>16727758.430000003</v>
      </c>
      <c r="K32" s="155"/>
    </row>
    <row r="33" spans="2:11" x14ac:dyDescent="0.2">
      <c r="B33" s="155">
        <f t="shared" si="3"/>
        <v>21</v>
      </c>
      <c r="C33" s="156">
        <f t="shared" si="6"/>
        <v>45566</v>
      </c>
      <c r="D33" s="155"/>
      <c r="E33" s="157">
        <f t="shared" si="1"/>
        <v>16727758.430000003</v>
      </c>
      <c r="F33" s="157">
        <f t="shared" si="2"/>
        <v>181217.38</v>
      </c>
      <c r="G33" s="157"/>
      <c r="H33" s="157" cm="1">
        <f t="array" ref="H33">_xlfn.IFS(C33&gt;$C$7,0,C33&lt;=$K$5,$F$5*$I$5/12,AND(C33&lt;=$K$6,C33&gt;$K$5),$F$5*$I$6/12,AND(C33&lt;=$K$7,C33&gt;$K$6),$F$5*$I$7/12,AND(C33&lt;=$K$8,C33&gt;$K$7),$F$5*$I$8/12,C33&gt;$K$8,$F$5*$I$4/12)</f>
        <v>87500</v>
      </c>
      <c r="I33" s="157">
        <f t="shared" si="4"/>
        <v>0</v>
      </c>
      <c r="J33" s="157">
        <f t="shared" si="5"/>
        <v>16821475.810000002</v>
      </c>
      <c r="K33" s="155"/>
    </row>
    <row r="34" spans="2:11" x14ac:dyDescent="0.2">
      <c r="B34" s="155">
        <f t="shared" si="3"/>
        <v>22</v>
      </c>
      <c r="C34" s="156">
        <f t="shared" si="6"/>
        <v>45597</v>
      </c>
      <c r="D34" s="155"/>
      <c r="E34" s="157">
        <f t="shared" si="1"/>
        <v>16821475.810000002</v>
      </c>
      <c r="F34" s="157">
        <f t="shared" si="2"/>
        <v>188307.08</v>
      </c>
      <c r="G34" s="157"/>
      <c r="H34" s="157" cm="1">
        <f t="array" ref="H34">_xlfn.IFS(C34&gt;$C$7,0,C34&lt;=$K$5,$F$5*$I$5/12,AND(C34&lt;=$K$6,C34&gt;$K$5),$F$5*$I$6/12,AND(C34&lt;=$K$7,C34&gt;$K$6),$F$5*$I$7/12,AND(C34&lt;=$K$8,C34&gt;$K$7),$F$5*$I$8/12,C34&gt;$K$8,$F$5*$I$4/12)</f>
        <v>87500</v>
      </c>
      <c r="I34" s="157">
        <f t="shared" si="4"/>
        <v>0</v>
      </c>
      <c r="J34" s="157">
        <f t="shared" si="5"/>
        <v>16922282.890000001</v>
      </c>
      <c r="K34" s="155"/>
    </row>
    <row r="35" spans="2:11" x14ac:dyDescent="0.2">
      <c r="B35" s="155">
        <f t="shared" si="3"/>
        <v>23</v>
      </c>
      <c r="C35" s="156">
        <f t="shared" si="6"/>
        <v>45627</v>
      </c>
      <c r="D35" s="155"/>
      <c r="E35" s="157">
        <f t="shared" si="1"/>
        <v>16922282.890000001</v>
      </c>
      <c r="F35" s="157">
        <f t="shared" si="2"/>
        <v>183324.73</v>
      </c>
      <c r="G35" s="157"/>
      <c r="H35" s="157" cm="1">
        <f t="array" ref="H35">_xlfn.IFS(C35&gt;$C$7,0,C35&lt;=$K$5,$F$5*$I$5/12,AND(C35&lt;=$K$6,C35&gt;$K$5),$F$5*$I$6/12,AND(C35&lt;=$K$7,C35&gt;$K$6),$F$5*$I$7/12,AND(C35&lt;=$K$8,C35&gt;$K$7),$F$5*$I$8/12,C35&gt;$K$8,$F$5*$I$4/12)</f>
        <v>87500</v>
      </c>
      <c r="I35" s="157">
        <f t="shared" si="4"/>
        <v>0</v>
      </c>
      <c r="J35" s="157">
        <f t="shared" si="5"/>
        <v>17018107.620000001</v>
      </c>
      <c r="K35" s="155"/>
    </row>
    <row r="36" spans="2:11" x14ac:dyDescent="0.2">
      <c r="B36" s="155">
        <f t="shared" si="3"/>
        <v>24</v>
      </c>
      <c r="C36" s="156">
        <f t="shared" si="6"/>
        <v>45658</v>
      </c>
      <c r="D36" s="155"/>
      <c r="E36" s="157">
        <f t="shared" si="1"/>
        <v>17018107.620000001</v>
      </c>
      <c r="F36" s="157">
        <f t="shared" si="2"/>
        <v>190508.26</v>
      </c>
      <c r="G36" s="157"/>
      <c r="H36" s="157" cm="1">
        <f t="array" ref="H36">_xlfn.IFS(C36&gt;$C$7,0,C36&lt;=$K$5,$F$5*$I$5/12,AND(C36&lt;=$K$6,C36&gt;$K$5),$F$5*$I$6/12,AND(C36&lt;=$K$7,C36&gt;$K$6),$F$5*$I$7/12,AND(C36&lt;=$K$8,C36&gt;$K$7),$F$5*$I$8/12,C36&gt;$K$8,$F$5*$I$4/12)</f>
        <v>87500</v>
      </c>
      <c r="I36" s="157">
        <f t="shared" si="4"/>
        <v>0</v>
      </c>
      <c r="J36" s="157">
        <f t="shared" si="5"/>
        <v>17121115.880000003</v>
      </c>
      <c r="K36" s="155"/>
    </row>
    <row r="37" spans="2:11" x14ac:dyDescent="0.2">
      <c r="B37" s="155">
        <f t="shared" si="3"/>
        <v>25</v>
      </c>
      <c r="C37" s="156">
        <f t="shared" si="6"/>
        <v>45689</v>
      </c>
      <c r="D37" s="155"/>
      <c r="E37" s="157">
        <f t="shared" si="1"/>
        <v>17121115.880000003</v>
      </c>
      <c r="F37" s="157">
        <f t="shared" si="2"/>
        <v>191661.38</v>
      </c>
      <c r="G37" s="157"/>
      <c r="H37" s="157" cm="1">
        <f t="array" ref="H37">_xlfn.IFS(C37&gt;$C$7,0,C37&lt;=$K$5,$F$5*$I$5/12,AND(C37&lt;=$K$6,C37&gt;$K$5),$F$5*$I$6/12,AND(C37&lt;=$K$7,C37&gt;$K$6),$F$5*$I$7/12,AND(C37&lt;=$K$8,C37&gt;$K$7),$F$5*$I$8/12,C37&gt;$K$8,$F$5*$I$4/12)</f>
        <v>87500</v>
      </c>
      <c r="I37" s="157">
        <f t="shared" si="4"/>
        <v>0</v>
      </c>
      <c r="J37" s="157">
        <f t="shared" si="5"/>
        <v>17225277.260000002</v>
      </c>
      <c r="K37" s="155"/>
    </row>
    <row r="38" spans="2:11" x14ac:dyDescent="0.2">
      <c r="B38" s="155">
        <f t="shared" si="3"/>
        <v>26</v>
      </c>
      <c r="C38" s="156">
        <f t="shared" si="6"/>
        <v>45717</v>
      </c>
      <c r="D38" s="155"/>
      <c r="E38" s="157">
        <f t="shared" si="1"/>
        <v>17225277.260000002</v>
      </c>
      <c r="F38" s="157">
        <f t="shared" si="2"/>
        <v>174166.69</v>
      </c>
      <c r="G38" s="157"/>
      <c r="H38" s="157" cm="1">
        <f t="array" ref="H38">_xlfn.IFS(C38&gt;$C$7,0,C38&lt;=$K$5,$F$5*$I$5/12,AND(C38&lt;=$K$6,C38&gt;$K$5),$F$5*$I$6/12,AND(C38&lt;=$K$7,C38&gt;$K$6),$F$5*$I$7/12,AND(C38&lt;=$K$8,C38&gt;$K$7),$F$5*$I$8/12,C38&gt;$K$8,$F$5*$I$4/12)</f>
        <v>87500</v>
      </c>
      <c r="I38" s="157">
        <f t="shared" si="4"/>
        <v>0</v>
      </c>
      <c r="J38" s="157">
        <f t="shared" si="5"/>
        <v>17311943.950000003</v>
      </c>
      <c r="K38" s="155"/>
    </row>
    <row r="39" spans="2:11" x14ac:dyDescent="0.2">
      <c r="B39" s="155">
        <f t="shared" si="3"/>
        <v>27</v>
      </c>
      <c r="C39" s="156">
        <f t="shared" si="6"/>
        <v>45748</v>
      </c>
      <c r="D39" s="155"/>
      <c r="E39" s="157">
        <f t="shared" si="1"/>
        <v>17311943.950000003</v>
      </c>
      <c r="F39" s="157">
        <f t="shared" si="2"/>
        <v>193797.59</v>
      </c>
      <c r="G39" s="157"/>
      <c r="H39" s="157" cm="1">
        <f t="array" ref="H39">_xlfn.IFS(C39&gt;$C$7,0,C39&lt;=$K$5,$F$5*$I$5/12,AND(C39&lt;=$K$6,C39&gt;$K$5),$F$5*$I$6/12,AND(C39&lt;=$K$7,C39&gt;$K$6),$F$5*$I$7/12,AND(C39&lt;=$K$8,C39&gt;$K$7),$F$5*$I$8/12,C39&gt;$K$8,$F$5*$I$4/12)</f>
        <v>87500</v>
      </c>
      <c r="I39" s="157">
        <f t="shared" si="4"/>
        <v>0</v>
      </c>
      <c r="J39" s="157">
        <f t="shared" si="5"/>
        <v>17418241.540000003</v>
      </c>
      <c r="K39" s="155"/>
    </row>
    <row r="40" spans="2:11" x14ac:dyDescent="0.2">
      <c r="B40" s="155">
        <f t="shared" si="3"/>
        <v>28</v>
      </c>
      <c r="C40" s="156">
        <f t="shared" si="6"/>
        <v>45778</v>
      </c>
      <c r="D40" s="155"/>
      <c r="E40" s="157">
        <f t="shared" si="1"/>
        <v>17418241.540000003</v>
      </c>
      <c r="F40" s="157">
        <f t="shared" si="2"/>
        <v>188697.62</v>
      </c>
      <c r="G40" s="157"/>
      <c r="H40" s="157" cm="1">
        <f t="array" ref="H40">_xlfn.IFS(C40&gt;$C$7,0,C40&lt;=$K$5,$F$5*$I$5/12,AND(C40&lt;=$K$6,C40&gt;$K$5),$F$5*$I$6/12,AND(C40&lt;=$K$7,C40&gt;$K$6),$F$5*$I$7/12,AND(C40&lt;=$K$8,C40&gt;$K$7),$F$5*$I$8/12,C40&gt;$K$8,$F$5*$I$4/12)</f>
        <v>87500</v>
      </c>
      <c r="I40" s="157">
        <f t="shared" si="4"/>
        <v>0</v>
      </c>
      <c r="J40" s="157">
        <f t="shared" si="5"/>
        <v>17519439.160000004</v>
      </c>
      <c r="K40" s="155"/>
    </row>
    <row r="41" spans="2:11" x14ac:dyDescent="0.2">
      <c r="B41" s="155">
        <f t="shared" si="3"/>
        <v>29</v>
      </c>
      <c r="C41" s="156">
        <f t="shared" si="6"/>
        <v>45809</v>
      </c>
      <c r="D41" s="155"/>
      <c r="E41" s="157">
        <f t="shared" si="1"/>
        <v>17519439.160000004</v>
      </c>
      <c r="F41" s="157">
        <f t="shared" si="2"/>
        <v>196120.39</v>
      </c>
      <c r="G41" s="157"/>
      <c r="H41" s="157" cm="1">
        <f t="array" ref="H41">_xlfn.IFS(C41&gt;$C$7,0,C41&lt;=$K$5,$F$5*$I$5/12,AND(C41&lt;=$K$6,C41&gt;$K$5),$F$5*$I$6/12,AND(C41&lt;=$K$7,C41&gt;$K$6),$F$5*$I$7/12,AND(C41&lt;=$K$8,C41&gt;$K$7),$F$5*$I$8/12,C41&gt;$K$8,$F$5*$I$4/12)</f>
        <v>87500</v>
      </c>
      <c r="I41" s="157">
        <f t="shared" si="4"/>
        <v>0</v>
      </c>
      <c r="J41" s="157">
        <f t="shared" si="5"/>
        <v>17628059.550000004</v>
      </c>
      <c r="K41" s="155"/>
    </row>
    <row r="42" spans="2:11" x14ac:dyDescent="0.2">
      <c r="B42" s="155">
        <f t="shared" si="3"/>
        <v>30</v>
      </c>
      <c r="C42" s="156">
        <f t="shared" si="6"/>
        <v>45839</v>
      </c>
      <c r="D42" s="155"/>
      <c r="E42" s="157">
        <f t="shared" si="1"/>
        <v>17628059.550000004</v>
      </c>
      <c r="F42" s="157">
        <f t="shared" si="2"/>
        <v>190970.65</v>
      </c>
      <c r="G42" s="157"/>
      <c r="H42" s="157" cm="1">
        <f t="array" ref="H42">_xlfn.IFS(C42&gt;$C$7,0,C42&lt;=$K$5,$F$5*$I$5/12,AND(C42&lt;=$K$6,C42&gt;$K$5),$F$5*$I$6/12,AND(C42&lt;=$K$7,C42&gt;$K$6),$F$5*$I$7/12,AND(C42&lt;=$K$8,C42&gt;$K$7),$F$5*$I$8/12,C42&gt;$K$8,$F$5*$I$4/12)</f>
        <v>87500</v>
      </c>
      <c r="I42" s="157">
        <f t="shared" si="4"/>
        <v>0</v>
      </c>
      <c r="J42" s="157">
        <f t="shared" si="5"/>
        <v>17731530.200000003</v>
      </c>
      <c r="K42" s="155"/>
    </row>
    <row r="43" spans="2:11" x14ac:dyDescent="0.2">
      <c r="B43" s="155">
        <f t="shared" si="3"/>
        <v>31</v>
      </c>
      <c r="C43" s="156">
        <f t="shared" si="6"/>
        <v>45870</v>
      </c>
      <c r="D43" s="155"/>
      <c r="E43" s="157">
        <f t="shared" si="1"/>
        <v>17731530.200000003</v>
      </c>
      <c r="F43" s="157">
        <f t="shared" si="2"/>
        <v>198494.63</v>
      </c>
      <c r="G43" s="157"/>
      <c r="H43" s="157" cm="1">
        <f t="array" ref="H43">_xlfn.IFS(C43&gt;$C$7,0,C43&lt;=$K$5,$F$5*$I$5/12,AND(C43&lt;=$K$6,C43&gt;$K$5),$F$5*$I$6/12,AND(C43&lt;=$K$7,C43&gt;$K$6),$F$5*$I$7/12,AND(C43&lt;=$K$8,C43&gt;$K$7),$F$5*$I$8/12,C43&gt;$K$8,$F$5*$I$4/12)</f>
        <v>87500</v>
      </c>
      <c r="I43" s="157">
        <f t="shared" si="4"/>
        <v>0</v>
      </c>
      <c r="J43" s="157">
        <f t="shared" si="5"/>
        <v>17842524.830000002</v>
      </c>
      <c r="K43" s="155"/>
    </row>
    <row r="44" spans="2:11" x14ac:dyDescent="0.2">
      <c r="B44" s="155">
        <f t="shared" si="3"/>
        <v>32</v>
      </c>
      <c r="C44" s="156">
        <f t="shared" si="6"/>
        <v>45901</v>
      </c>
      <c r="D44" s="155"/>
      <c r="E44" s="157">
        <f t="shared" si="1"/>
        <v>17842524.830000002</v>
      </c>
      <c r="F44" s="157">
        <f t="shared" si="2"/>
        <v>199737.15</v>
      </c>
      <c r="G44" s="157"/>
      <c r="H44" s="157" cm="1">
        <f t="array" ref="H44">_xlfn.IFS(C44&gt;$C$7,0,C44&lt;=$K$5,$F$5*$I$5/12,AND(C44&lt;=$K$6,C44&gt;$K$5),$F$5*$I$6/12,AND(C44&lt;=$K$7,C44&gt;$K$6),$F$5*$I$7/12,AND(C44&lt;=$K$8,C44&gt;$K$7),$F$5*$I$8/12,C44&gt;$K$8,$F$5*$I$4/12)</f>
        <v>87500</v>
      </c>
      <c r="I44" s="157">
        <f t="shared" si="4"/>
        <v>0</v>
      </c>
      <c r="J44" s="157">
        <f t="shared" si="5"/>
        <v>17954761.98</v>
      </c>
      <c r="K44" s="155"/>
    </row>
    <row r="45" spans="2:11" x14ac:dyDescent="0.2">
      <c r="B45" s="155">
        <f t="shared" si="3"/>
        <v>33</v>
      </c>
      <c r="C45" s="156">
        <f t="shared" si="6"/>
        <v>45931</v>
      </c>
      <c r="D45" s="155"/>
      <c r="E45" s="157">
        <f t="shared" ref="E45:E76" si="7">J44</f>
        <v>17954761.98</v>
      </c>
      <c r="F45" s="157">
        <f t="shared" ref="F45:F76" si="8">ROUND($I$4*E45*(C45-C44)/360,2)</f>
        <v>194509.92</v>
      </c>
      <c r="G45" s="157"/>
      <c r="H45" s="157" cm="1">
        <f t="array" ref="H45">_xlfn.IFS(C45&gt;$C$7,0,C45&lt;=$K$5,$F$5*$I$5/12,AND(C45&lt;=$K$6,C45&gt;$K$5),$F$5*$I$6/12,AND(C45&lt;=$K$7,C45&gt;$K$6),$F$5*$I$7/12,AND(C45&lt;=$K$8,C45&gt;$K$7),$F$5*$I$8/12,C45&gt;$K$8,$F$5*$I$4/12)</f>
        <v>87500</v>
      </c>
      <c r="I45" s="157">
        <f t="shared" si="4"/>
        <v>0</v>
      </c>
      <c r="J45" s="157">
        <f t="shared" si="5"/>
        <v>18061771.900000002</v>
      </c>
      <c r="K45" s="155"/>
    </row>
    <row r="46" spans="2:11" x14ac:dyDescent="0.2">
      <c r="B46" s="155">
        <f t="shared" si="3"/>
        <v>34</v>
      </c>
      <c r="C46" s="156">
        <f t="shared" si="6"/>
        <v>45962</v>
      </c>
      <c r="D46" s="155"/>
      <c r="E46" s="157">
        <f t="shared" si="7"/>
        <v>18061771.900000002</v>
      </c>
      <c r="F46" s="157">
        <f t="shared" si="8"/>
        <v>202191.5</v>
      </c>
      <c r="G46" s="157"/>
      <c r="H46" s="157" cm="1">
        <f t="array" ref="H46">_xlfn.IFS(C46&gt;$C$7,0,C46&lt;=$K$5,$F$5*$I$5/12,AND(C46&lt;=$K$6,C46&gt;$K$5),$F$5*$I$6/12,AND(C46&lt;=$K$7,C46&gt;$K$6),$F$5*$I$7/12,AND(C46&lt;=$K$8,C46&gt;$K$7),$F$5*$I$8/12,C46&gt;$K$8,$F$5*$I$4/12)</f>
        <v>87500</v>
      </c>
      <c r="I46" s="157">
        <f t="shared" si="4"/>
        <v>0</v>
      </c>
      <c r="J46" s="157">
        <f t="shared" si="5"/>
        <v>18176463.400000002</v>
      </c>
      <c r="K46" s="155"/>
    </row>
    <row r="47" spans="2:11" x14ac:dyDescent="0.2">
      <c r="B47" s="155">
        <f t="shared" si="3"/>
        <v>35</v>
      </c>
      <c r="C47" s="156">
        <f t="shared" si="6"/>
        <v>45992</v>
      </c>
      <c r="D47" s="155"/>
      <c r="E47" s="157">
        <f t="shared" si="7"/>
        <v>18176463.400000002</v>
      </c>
      <c r="F47" s="157">
        <f t="shared" si="8"/>
        <v>196911.69</v>
      </c>
      <c r="G47" s="157"/>
      <c r="H47" s="157" cm="1">
        <f t="array" ref="H47">_xlfn.IFS(C47&gt;$C$7,0,C47&lt;=$K$5,$F$5*$I$5/12,AND(C47&lt;=$K$6,C47&gt;$K$5),$F$5*$I$6/12,AND(C47&lt;=$K$7,C47&gt;$K$6),$F$5*$I$7/12,AND(C47&lt;=$K$8,C47&gt;$K$7),$F$5*$I$8/12,C47&gt;$K$8,$F$5*$I$4/12)</f>
        <v>87500</v>
      </c>
      <c r="I47" s="157">
        <f t="shared" si="4"/>
        <v>0</v>
      </c>
      <c r="J47" s="157">
        <f t="shared" si="5"/>
        <v>18285875.090000004</v>
      </c>
      <c r="K47" s="155"/>
    </row>
    <row r="48" spans="2:11" x14ac:dyDescent="0.2">
      <c r="B48" s="155">
        <f t="shared" si="3"/>
        <v>36</v>
      </c>
      <c r="C48" s="156">
        <f t="shared" si="6"/>
        <v>46023</v>
      </c>
      <c r="D48" s="155"/>
      <c r="E48" s="157">
        <f t="shared" si="7"/>
        <v>18285875.090000004</v>
      </c>
      <c r="F48" s="157">
        <f t="shared" si="8"/>
        <v>204700.21</v>
      </c>
      <c r="G48" s="157"/>
      <c r="H48" s="157" cm="1">
        <f t="array" ref="H48">_xlfn.IFS(C48&gt;$C$7,0,C48&lt;=$K$5,$F$5*$I$5/12,AND(C48&lt;=$K$6,C48&gt;$K$5),$F$5*$I$6/12,AND(C48&lt;=$K$7,C48&gt;$K$6),$F$5*$I$7/12,AND(C48&lt;=$K$8,C48&gt;$K$7),$F$5*$I$8/12,C48&gt;$K$8,$F$5*$I$4/12)</f>
        <v>87500</v>
      </c>
      <c r="I48" s="157">
        <f t="shared" si="4"/>
        <v>18403075.300000004</v>
      </c>
      <c r="J48" s="157">
        <f t="shared" si="5"/>
        <v>0</v>
      </c>
      <c r="K48" s="155"/>
    </row>
    <row r="49" spans="2:11" x14ac:dyDescent="0.2">
      <c r="B49" s="155">
        <f t="shared" si="3"/>
        <v>37</v>
      </c>
      <c r="C49" s="156">
        <f t="shared" si="6"/>
        <v>46054</v>
      </c>
      <c r="D49" s="155"/>
      <c r="E49" s="157">
        <f t="shared" si="7"/>
        <v>0</v>
      </c>
      <c r="F49" s="157">
        <f t="shared" si="8"/>
        <v>0</v>
      </c>
      <c r="G49" s="157"/>
      <c r="H49" s="157" cm="1">
        <f t="array" ref="H49">_xlfn.IFS(C49&gt;$C$7,0,C49&lt;=$K$5,$F$5*$I$5/12,AND(C49&lt;=$K$6,C49&gt;$K$5),$F$5*$I$6/12,AND(C49&lt;=$K$7,C49&gt;$K$6),$F$5*$I$7/12,AND(C49&lt;=$K$8,C49&gt;$K$7),$F$5*$I$8/12,C49&gt;$K$8,$F$5*$I$4/12)</f>
        <v>0</v>
      </c>
      <c r="I49" s="157">
        <f t="shared" si="4"/>
        <v>0</v>
      </c>
      <c r="J49" s="157">
        <f t="shared" si="5"/>
        <v>0</v>
      </c>
      <c r="K49" s="155"/>
    </row>
    <row r="50" spans="2:11" x14ac:dyDescent="0.2">
      <c r="B50" s="155">
        <f t="shared" si="3"/>
        <v>38</v>
      </c>
      <c r="C50" s="156">
        <f t="shared" si="6"/>
        <v>46082</v>
      </c>
      <c r="D50" s="155"/>
      <c r="E50" s="157">
        <f t="shared" si="7"/>
        <v>0</v>
      </c>
      <c r="F50" s="157">
        <f t="shared" si="8"/>
        <v>0</v>
      </c>
      <c r="G50" s="157"/>
      <c r="H50" s="157" cm="1">
        <f t="array" ref="H50">_xlfn.IFS(C50&gt;$C$7,0,C50&lt;=$K$5,$F$5*$I$5/12,AND(C50&lt;=$K$6,C50&gt;$K$5),$F$5*$I$6/12,AND(C50&lt;=$K$7,C50&gt;$K$6),$F$5*$I$7/12,AND(C50&lt;=$K$8,C50&gt;$K$7),$F$5*$I$8/12,C50&gt;$K$8,$F$5*$I$4/12)</f>
        <v>0</v>
      </c>
      <c r="I50" s="157">
        <f t="shared" si="4"/>
        <v>0</v>
      </c>
      <c r="J50" s="157">
        <f t="shared" si="5"/>
        <v>0</v>
      </c>
      <c r="K50" s="155"/>
    </row>
    <row r="51" spans="2:11" x14ac:dyDescent="0.2">
      <c r="B51" s="155">
        <f t="shared" si="3"/>
        <v>39</v>
      </c>
      <c r="C51" s="156">
        <f t="shared" si="6"/>
        <v>46113</v>
      </c>
      <c r="D51" s="155"/>
      <c r="E51" s="157">
        <f t="shared" si="7"/>
        <v>0</v>
      </c>
      <c r="F51" s="157">
        <f t="shared" si="8"/>
        <v>0</v>
      </c>
      <c r="G51" s="157"/>
      <c r="H51" s="157" cm="1">
        <f t="array" ref="H51">_xlfn.IFS(C51&gt;$C$7,0,C51&lt;=$K$5,$F$5*$I$5/12,AND(C51&lt;=$K$6,C51&gt;$K$5),$F$5*$I$6/12,AND(C51&lt;=$K$7,C51&gt;$K$6),$F$5*$I$7/12,AND(C51&lt;=$K$8,C51&gt;$K$7),$F$5*$I$8/12,C51&gt;$K$8,$F$5*$I$4/12)</f>
        <v>0</v>
      </c>
      <c r="I51" s="157">
        <f t="shared" si="4"/>
        <v>0</v>
      </c>
      <c r="J51" s="157">
        <f t="shared" si="5"/>
        <v>0</v>
      </c>
      <c r="K51" s="155"/>
    </row>
    <row r="52" spans="2:11" x14ac:dyDescent="0.2">
      <c r="B52" s="155">
        <f t="shared" si="3"/>
        <v>40</v>
      </c>
      <c r="C52" s="156">
        <f t="shared" si="6"/>
        <v>46143</v>
      </c>
      <c r="D52" s="155"/>
      <c r="E52" s="157">
        <f t="shared" si="7"/>
        <v>0</v>
      </c>
      <c r="F52" s="157">
        <f t="shared" si="8"/>
        <v>0</v>
      </c>
      <c r="G52" s="157"/>
      <c r="H52" s="157" cm="1">
        <f t="array" ref="H52">_xlfn.IFS(C52&gt;$C$7,0,C52&lt;=$K$5,$F$5*$I$5/12,AND(C52&lt;=$K$6,C52&gt;$K$5),$F$5*$I$6/12,AND(C52&lt;=$K$7,C52&gt;$K$6),$F$5*$I$7/12,AND(C52&lt;=$K$8,C52&gt;$K$7),$F$5*$I$8/12,C52&gt;$K$8,$F$5*$I$4/12)</f>
        <v>0</v>
      </c>
      <c r="I52" s="157">
        <f t="shared" si="4"/>
        <v>0</v>
      </c>
      <c r="J52" s="157">
        <f t="shared" si="5"/>
        <v>0</v>
      </c>
      <c r="K52" s="155"/>
    </row>
    <row r="53" spans="2:11" x14ac:dyDescent="0.2">
      <c r="B53" s="155">
        <f t="shared" si="3"/>
        <v>41</v>
      </c>
      <c r="C53" s="156">
        <f t="shared" si="6"/>
        <v>46174</v>
      </c>
      <c r="D53" s="155"/>
      <c r="E53" s="157">
        <f t="shared" si="7"/>
        <v>0</v>
      </c>
      <c r="F53" s="157">
        <f t="shared" si="8"/>
        <v>0</v>
      </c>
      <c r="G53" s="157"/>
      <c r="H53" s="157" cm="1">
        <f t="array" ref="H53">_xlfn.IFS(C53&gt;$C$7,0,C53&lt;=$K$5,$F$5*$I$5/12,AND(C53&lt;=$K$6,C53&gt;$K$5),$F$5*$I$6/12,AND(C53&lt;=$K$7,C53&gt;$K$6),$F$5*$I$7/12,AND(C53&lt;=$K$8,C53&gt;$K$7),$F$5*$I$8/12,C53&gt;$K$8,$F$5*$I$4/12)</f>
        <v>0</v>
      </c>
      <c r="I53" s="157">
        <f t="shared" si="4"/>
        <v>0</v>
      </c>
      <c r="J53" s="157">
        <f t="shared" si="5"/>
        <v>0</v>
      </c>
      <c r="K53" s="155"/>
    </row>
    <row r="54" spans="2:11" x14ac:dyDescent="0.2">
      <c r="B54" s="155">
        <f t="shared" si="3"/>
        <v>42</v>
      </c>
      <c r="C54" s="156">
        <f t="shared" si="6"/>
        <v>46204</v>
      </c>
      <c r="D54" s="155"/>
      <c r="E54" s="157">
        <f t="shared" si="7"/>
        <v>0</v>
      </c>
      <c r="F54" s="157">
        <f t="shared" si="8"/>
        <v>0</v>
      </c>
      <c r="G54" s="157"/>
      <c r="H54" s="157" cm="1">
        <f t="array" ref="H54">_xlfn.IFS(C54&gt;$C$7,0,C54&lt;=$K$5,$F$5*$I$5/12,AND(C54&lt;=$K$6,C54&gt;$K$5),$F$5*$I$6/12,AND(C54&lt;=$K$7,C54&gt;$K$6),$F$5*$I$7/12,AND(C54&lt;=$K$8,C54&gt;$K$7),$F$5*$I$8/12,C54&gt;$K$8,$F$5*$I$4/12)</f>
        <v>0</v>
      </c>
      <c r="I54" s="157">
        <f t="shared" si="4"/>
        <v>0</v>
      </c>
      <c r="J54" s="157">
        <f t="shared" si="5"/>
        <v>0</v>
      </c>
      <c r="K54" s="155"/>
    </row>
    <row r="55" spans="2:11" x14ac:dyDescent="0.2">
      <c r="B55" s="155">
        <f t="shared" si="3"/>
        <v>43</v>
      </c>
      <c r="C55" s="156">
        <f t="shared" si="6"/>
        <v>46235</v>
      </c>
      <c r="D55" s="155"/>
      <c r="E55" s="157">
        <f t="shared" si="7"/>
        <v>0</v>
      </c>
      <c r="F55" s="157">
        <f t="shared" si="8"/>
        <v>0</v>
      </c>
      <c r="G55" s="157"/>
      <c r="H55" s="157" cm="1">
        <f t="array" ref="H55">_xlfn.IFS(C55&gt;$C$7,0,C55&lt;=$K$5,$F$5*$I$5/12,AND(C55&lt;=$K$6,C55&gt;$K$5),$F$5*$I$6/12,AND(C55&lt;=$K$7,C55&gt;$K$6),$F$5*$I$7/12,AND(C55&lt;=$K$8,C55&gt;$K$7),$F$5*$I$8/12,C55&gt;$K$8,$F$5*$I$4/12)</f>
        <v>0</v>
      </c>
      <c r="I55" s="157">
        <f t="shared" si="4"/>
        <v>0</v>
      </c>
      <c r="J55" s="157">
        <f t="shared" si="5"/>
        <v>0</v>
      </c>
      <c r="K55" s="155"/>
    </row>
    <row r="56" spans="2:11" x14ac:dyDescent="0.2">
      <c r="B56" s="155">
        <f t="shared" si="3"/>
        <v>44</v>
      </c>
      <c r="C56" s="156">
        <f t="shared" si="6"/>
        <v>46266</v>
      </c>
      <c r="D56" s="155"/>
      <c r="E56" s="157">
        <f t="shared" si="7"/>
        <v>0</v>
      </c>
      <c r="F56" s="157">
        <f t="shared" si="8"/>
        <v>0</v>
      </c>
      <c r="G56" s="157"/>
      <c r="H56" s="157" cm="1">
        <f t="array" ref="H56">_xlfn.IFS(C56&gt;$C$7,0,C56&lt;=$K$5,$F$5*$I$5/12,AND(C56&lt;=$K$6,C56&gt;$K$5),$F$5*$I$6/12,AND(C56&lt;=$K$7,C56&gt;$K$6),$F$5*$I$7/12,AND(C56&lt;=$K$8,C56&gt;$K$7),$F$5*$I$8/12,C56&gt;$K$8,$F$5*$I$4/12)</f>
        <v>0</v>
      </c>
      <c r="I56" s="157">
        <f t="shared" si="4"/>
        <v>0</v>
      </c>
      <c r="J56" s="157">
        <f t="shared" si="5"/>
        <v>0</v>
      </c>
      <c r="K56" s="155"/>
    </row>
    <row r="57" spans="2:11" x14ac:dyDescent="0.2">
      <c r="B57" s="155">
        <f t="shared" si="3"/>
        <v>45</v>
      </c>
      <c r="C57" s="156">
        <f t="shared" si="6"/>
        <v>46296</v>
      </c>
      <c r="D57" s="155"/>
      <c r="E57" s="157">
        <f t="shared" si="7"/>
        <v>0</v>
      </c>
      <c r="F57" s="157">
        <f t="shared" si="8"/>
        <v>0</v>
      </c>
      <c r="G57" s="157"/>
      <c r="H57" s="157" cm="1">
        <f t="array" ref="H57">_xlfn.IFS(C57&gt;$C$7,0,C57&lt;=$K$5,$F$5*$I$5/12,AND(C57&lt;=$K$6,C57&gt;$K$5),$F$5*$I$6/12,AND(C57&lt;=$K$7,C57&gt;$K$6),$F$5*$I$7/12,AND(C57&lt;=$K$8,C57&gt;$K$7),$F$5*$I$8/12,C57&gt;$K$8,$F$5*$I$4/12)</f>
        <v>0</v>
      </c>
      <c r="I57" s="157">
        <f t="shared" si="4"/>
        <v>0</v>
      </c>
      <c r="J57" s="157">
        <f t="shared" si="5"/>
        <v>0</v>
      </c>
      <c r="K57" s="155"/>
    </row>
    <row r="58" spans="2:11" x14ac:dyDescent="0.2">
      <c r="B58" s="155">
        <f t="shared" si="3"/>
        <v>46</v>
      </c>
      <c r="C58" s="156">
        <f t="shared" si="6"/>
        <v>46327</v>
      </c>
      <c r="D58" s="155"/>
      <c r="E58" s="157">
        <f t="shared" si="7"/>
        <v>0</v>
      </c>
      <c r="F58" s="157">
        <f t="shared" si="8"/>
        <v>0</v>
      </c>
      <c r="G58" s="157"/>
      <c r="H58" s="157" cm="1">
        <f t="array" ref="H58">_xlfn.IFS(C58&gt;$C$7,0,C58&lt;=$K$5,$F$5*$I$5/12,AND(C58&lt;=$K$6,C58&gt;$K$5),$F$5*$I$6/12,AND(C58&lt;=$K$7,C58&gt;$K$6),$F$5*$I$7/12,AND(C58&lt;=$K$8,C58&gt;$K$7),$F$5*$I$8/12,C58&gt;$K$8,$F$5*$I$4/12)</f>
        <v>0</v>
      </c>
      <c r="I58" s="157">
        <f t="shared" si="4"/>
        <v>0</v>
      </c>
      <c r="J58" s="157">
        <f t="shared" si="5"/>
        <v>0</v>
      </c>
      <c r="K58" s="155"/>
    </row>
    <row r="59" spans="2:11" x14ac:dyDescent="0.2">
      <c r="B59" s="155">
        <f t="shared" si="3"/>
        <v>47</v>
      </c>
      <c r="C59" s="156">
        <f t="shared" si="6"/>
        <v>46357</v>
      </c>
      <c r="D59" s="155"/>
      <c r="E59" s="157">
        <f t="shared" si="7"/>
        <v>0</v>
      </c>
      <c r="F59" s="157">
        <f t="shared" si="8"/>
        <v>0</v>
      </c>
      <c r="G59" s="157"/>
      <c r="H59" s="157" cm="1">
        <f t="array" ref="H59">_xlfn.IFS(C59&gt;$C$7,0,C59&lt;=$K$5,$F$5*$I$5/12,AND(C59&lt;=$K$6,C59&gt;$K$5),$F$5*$I$6/12,AND(C59&lt;=$K$7,C59&gt;$K$6),$F$5*$I$7/12,AND(C59&lt;=$K$8,C59&gt;$K$7),$F$5*$I$8/12,C59&gt;$K$8,$F$5*$I$4/12)</f>
        <v>0</v>
      </c>
      <c r="I59" s="157">
        <f t="shared" si="4"/>
        <v>0</v>
      </c>
      <c r="J59" s="157">
        <f t="shared" si="5"/>
        <v>0</v>
      </c>
      <c r="K59" s="155"/>
    </row>
    <row r="60" spans="2:11" x14ac:dyDescent="0.2">
      <c r="B60" s="155">
        <f t="shared" si="3"/>
        <v>48</v>
      </c>
      <c r="C60" s="156">
        <f t="shared" si="6"/>
        <v>46388</v>
      </c>
      <c r="D60" s="155"/>
      <c r="E60" s="157">
        <f t="shared" si="7"/>
        <v>0</v>
      </c>
      <c r="F60" s="157">
        <f t="shared" si="8"/>
        <v>0</v>
      </c>
      <c r="G60" s="157"/>
      <c r="H60" s="157" cm="1">
        <f t="array" ref="H60">_xlfn.IFS(C60&gt;$C$7,0,C60&lt;=$K$5,$F$5*$I$5/12,AND(C60&lt;=$K$6,C60&gt;$K$5),$F$5*$I$6/12,AND(C60&lt;=$K$7,C60&gt;$K$6),$F$5*$I$7/12,AND(C60&lt;=$K$8,C60&gt;$K$7),$F$5*$I$8/12,C60&gt;$K$8,$F$5*$I$4/12)</f>
        <v>0</v>
      </c>
      <c r="I60" s="157">
        <f t="shared" si="4"/>
        <v>0</v>
      </c>
      <c r="J60" s="157">
        <f t="shared" si="5"/>
        <v>0</v>
      </c>
      <c r="K60" s="155"/>
    </row>
    <row r="61" spans="2:11" x14ac:dyDescent="0.2">
      <c r="B61" s="155">
        <f t="shared" si="3"/>
        <v>49</v>
      </c>
      <c r="C61" s="156">
        <f t="shared" si="6"/>
        <v>46419</v>
      </c>
      <c r="D61" s="155"/>
      <c r="E61" s="157">
        <f t="shared" si="7"/>
        <v>0</v>
      </c>
      <c r="F61" s="157">
        <f t="shared" si="8"/>
        <v>0</v>
      </c>
      <c r="G61" s="157"/>
      <c r="H61" s="157" cm="1">
        <f t="array" ref="H61">_xlfn.IFS(C61&gt;$C$7,0,C61&lt;=$K$5,$F$5*$I$5/12,AND(C61&lt;=$K$6,C61&gt;$K$5),$F$5*$I$6/12,AND(C61&lt;=$K$7,C61&gt;$K$6),$F$5*$I$7/12,AND(C61&lt;=$K$8,C61&gt;$K$7),$F$5*$I$8/12,C61&gt;$K$8,$F$5*$I$4/12)</f>
        <v>0</v>
      </c>
      <c r="I61" s="157">
        <f t="shared" si="4"/>
        <v>0</v>
      </c>
      <c r="J61" s="157">
        <f t="shared" si="5"/>
        <v>0</v>
      </c>
      <c r="K61" s="155"/>
    </row>
    <row r="62" spans="2:11" x14ac:dyDescent="0.2">
      <c r="B62" s="155">
        <f t="shared" si="3"/>
        <v>50</v>
      </c>
      <c r="C62" s="156">
        <f t="shared" si="6"/>
        <v>46447</v>
      </c>
      <c r="D62" s="155"/>
      <c r="E62" s="157">
        <f t="shared" si="7"/>
        <v>0</v>
      </c>
      <c r="F62" s="157">
        <f t="shared" si="8"/>
        <v>0</v>
      </c>
      <c r="G62" s="157"/>
      <c r="H62" s="157" cm="1">
        <f t="array" ref="H62">_xlfn.IFS(C62&gt;$C$7,0,C62&lt;=$K$5,$F$5*$I$5/12,AND(C62&lt;=$K$6,C62&gt;$K$5),$F$5*$I$6/12,AND(C62&lt;=$K$7,C62&gt;$K$6),$F$5*$I$7/12,AND(C62&lt;=$K$8,C62&gt;$K$7),$F$5*$I$8/12,C62&gt;$K$8,$F$5*$I$4/12)</f>
        <v>0</v>
      </c>
      <c r="I62" s="157">
        <f t="shared" si="4"/>
        <v>0</v>
      </c>
      <c r="J62" s="157">
        <f t="shared" si="5"/>
        <v>0</v>
      </c>
      <c r="K62" s="155"/>
    </row>
    <row r="63" spans="2:11" x14ac:dyDescent="0.2">
      <c r="B63" s="155">
        <f t="shared" si="3"/>
        <v>51</v>
      </c>
      <c r="C63" s="156">
        <f t="shared" si="6"/>
        <v>46478</v>
      </c>
      <c r="D63" s="155"/>
      <c r="E63" s="157">
        <f t="shared" si="7"/>
        <v>0</v>
      </c>
      <c r="F63" s="157">
        <f t="shared" si="8"/>
        <v>0</v>
      </c>
      <c r="G63" s="157"/>
      <c r="H63" s="157" cm="1">
        <f t="array" ref="H63">_xlfn.IFS(C63&gt;$C$7,0,C63&lt;=$K$5,$F$5*$I$5/12,AND(C63&lt;=$K$6,C63&gt;$K$5),$F$5*$I$6/12,AND(C63&lt;=$K$7,C63&gt;$K$6),$F$5*$I$7/12,AND(C63&lt;=$K$8,C63&gt;$K$7),$F$5*$I$8/12,C63&gt;$K$8,$F$5*$I$4/12)</f>
        <v>0</v>
      </c>
      <c r="I63" s="157">
        <f t="shared" si="4"/>
        <v>0</v>
      </c>
      <c r="J63" s="157">
        <f t="shared" si="5"/>
        <v>0</v>
      </c>
      <c r="K63" s="155"/>
    </row>
    <row r="64" spans="2:11" x14ac:dyDescent="0.2">
      <c r="B64" s="155">
        <f t="shared" si="3"/>
        <v>52</v>
      </c>
      <c r="C64" s="156">
        <f t="shared" si="6"/>
        <v>46508</v>
      </c>
      <c r="D64" s="155"/>
      <c r="E64" s="157">
        <f t="shared" si="7"/>
        <v>0</v>
      </c>
      <c r="F64" s="157">
        <f t="shared" si="8"/>
        <v>0</v>
      </c>
      <c r="G64" s="157"/>
      <c r="H64" s="157" cm="1">
        <f t="array" ref="H64">_xlfn.IFS(C64&gt;$C$7,0,C64&lt;=$K$5,$F$5*$I$5/12,AND(C64&lt;=$K$6,C64&gt;$K$5),$F$5*$I$6/12,AND(C64&lt;=$K$7,C64&gt;$K$6),$F$5*$I$7/12,AND(C64&lt;=$K$8,C64&gt;$K$7),$F$5*$I$8/12,C64&gt;$K$8,$F$5*$I$4/12)</f>
        <v>0</v>
      </c>
      <c r="I64" s="157">
        <f t="shared" si="4"/>
        <v>0</v>
      </c>
      <c r="J64" s="157">
        <f t="shared" si="5"/>
        <v>0</v>
      </c>
      <c r="K64" s="155"/>
    </row>
    <row r="65" spans="2:11" x14ac:dyDescent="0.2">
      <c r="B65" s="155">
        <f t="shared" si="3"/>
        <v>53</v>
      </c>
      <c r="C65" s="156">
        <f t="shared" si="6"/>
        <v>46539</v>
      </c>
      <c r="D65" s="155"/>
      <c r="E65" s="157">
        <f t="shared" si="7"/>
        <v>0</v>
      </c>
      <c r="F65" s="157">
        <f t="shared" si="8"/>
        <v>0</v>
      </c>
      <c r="G65" s="157"/>
      <c r="H65" s="157" cm="1">
        <f t="array" ref="H65">_xlfn.IFS(C65&gt;$C$7,0,C65&lt;=$K$5,$F$5*$I$5/12,AND(C65&lt;=$K$6,C65&gt;$K$5),$F$5*$I$6/12,AND(C65&lt;=$K$7,C65&gt;$K$6),$F$5*$I$7/12,AND(C65&lt;=$K$8,C65&gt;$K$7),$F$5*$I$8/12,C65&gt;$K$8,$F$5*$I$4/12)</f>
        <v>0</v>
      </c>
      <c r="I65" s="157">
        <f t="shared" si="4"/>
        <v>0</v>
      </c>
      <c r="J65" s="157">
        <f t="shared" si="5"/>
        <v>0</v>
      </c>
      <c r="K65" s="155"/>
    </row>
    <row r="66" spans="2:11" x14ac:dyDescent="0.2">
      <c r="B66" s="155">
        <f t="shared" si="3"/>
        <v>54</v>
      </c>
      <c r="C66" s="156">
        <f t="shared" si="6"/>
        <v>46569</v>
      </c>
      <c r="D66" s="155"/>
      <c r="E66" s="157">
        <f t="shared" si="7"/>
        <v>0</v>
      </c>
      <c r="F66" s="157">
        <f t="shared" si="8"/>
        <v>0</v>
      </c>
      <c r="G66" s="157"/>
      <c r="H66" s="157" cm="1">
        <f t="array" ref="H66">_xlfn.IFS(C66&gt;$C$7,0,C66&lt;=$K$5,$F$5*$I$5/12,AND(C66&lt;=$K$6,C66&gt;$K$5),$F$5*$I$6/12,AND(C66&lt;=$K$7,C66&gt;$K$6),$F$5*$I$7/12,AND(C66&lt;=$K$8,C66&gt;$K$7),$F$5*$I$8/12,C66&gt;$K$8,$F$5*$I$4/12)</f>
        <v>0</v>
      </c>
      <c r="I66" s="157">
        <f t="shared" si="4"/>
        <v>0</v>
      </c>
      <c r="J66" s="157">
        <f t="shared" si="5"/>
        <v>0</v>
      </c>
      <c r="K66" s="155"/>
    </row>
    <row r="67" spans="2:11" x14ac:dyDescent="0.2">
      <c r="B67" s="155">
        <f t="shared" si="3"/>
        <v>55</v>
      </c>
      <c r="C67" s="156">
        <f t="shared" si="6"/>
        <v>46600</v>
      </c>
      <c r="D67" s="155"/>
      <c r="E67" s="157">
        <f t="shared" si="7"/>
        <v>0</v>
      </c>
      <c r="F67" s="157">
        <f t="shared" si="8"/>
        <v>0</v>
      </c>
      <c r="G67" s="157"/>
      <c r="H67" s="157" cm="1">
        <f t="array" ref="H67">_xlfn.IFS(C67&gt;$C$7,0,C67&lt;=$K$5,$F$5*$I$5/12,AND(C67&lt;=$K$6,C67&gt;$K$5),$F$5*$I$6/12,AND(C67&lt;=$K$7,C67&gt;$K$6),$F$5*$I$7/12,AND(C67&lt;=$K$8,C67&gt;$K$7),$F$5*$I$8/12,C67&gt;$K$8,$F$5*$I$4/12)</f>
        <v>0</v>
      </c>
      <c r="I67" s="157">
        <f t="shared" si="4"/>
        <v>0</v>
      </c>
      <c r="J67" s="157">
        <f t="shared" si="5"/>
        <v>0</v>
      </c>
      <c r="K67" s="155"/>
    </row>
    <row r="68" spans="2:11" x14ac:dyDescent="0.2">
      <c r="B68" s="155">
        <f t="shared" si="3"/>
        <v>56</v>
      </c>
      <c r="C68" s="156">
        <f t="shared" si="6"/>
        <v>46631</v>
      </c>
      <c r="D68" s="155"/>
      <c r="E68" s="157">
        <f t="shared" si="7"/>
        <v>0</v>
      </c>
      <c r="F68" s="157">
        <f t="shared" si="8"/>
        <v>0</v>
      </c>
      <c r="G68" s="157"/>
      <c r="H68" s="157" cm="1">
        <f t="array" ref="H68">_xlfn.IFS(C68&gt;$C$7,0,C68&lt;=$K$5,$F$5*$I$5/12,AND(C68&lt;=$K$6,C68&gt;$K$5),$F$5*$I$6/12,AND(C68&lt;=$K$7,C68&gt;$K$6),$F$5*$I$7/12,AND(C68&lt;=$K$8,C68&gt;$K$7),$F$5*$I$8/12,C68&gt;$K$8,$F$5*$I$4/12)</f>
        <v>0</v>
      </c>
      <c r="I68" s="157">
        <f t="shared" si="4"/>
        <v>0</v>
      </c>
      <c r="J68" s="157">
        <f t="shared" si="5"/>
        <v>0</v>
      </c>
      <c r="K68" s="155"/>
    </row>
    <row r="69" spans="2:11" x14ac:dyDescent="0.2">
      <c r="B69" s="155">
        <f t="shared" si="3"/>
        <v>57</v>
      </c>
      <c r="C69" s="156">
        <f t="shared" si="6"/>
        <v>46661</v>
      </c>
      <c r="D69" s="155"/>
      <c r="E69" s="157">
        <f t="shared" si="7"/>
        <v>0</v>
      </c>
      <c r="F69" s="157">
        <f t="shared" si="8"/>
        <v>0</v>
      </c>
      <c r="G69" s="157"/>
      <c r="H69" s="157" cm="1">
        <f t="array" ref="H69">_xlfn.IFS(C69&gt;$C$7,0,C69&lt;=$K$5,$F$5*$I$5/12,AND(C69&lt;=$K$6,C69&gt;$K$5),$F$5*$I$6/12,AND(C69&lt;=$K$7,C69&gt;$K$6),$F$5*$I$7/12,AND(C69&lt;=$K$8,C69&gt;$K$7),$F$5*$I$8/12,C69&gt;$K$8,$F$5*$I$4/12)</f>
        <v>0</v>
      </c>
      <c r="I69" s="157">
        <f t="shared" si="4"/>
        <v>0</v>
      </c>
      <c r="J69" s="157">
        <f t="shared" si="5"/>
        <v>0</v>
      </c>
      <c r="K69" s="155"/>
    </row>
    <row r="70" spans="2:11" x14ac:dyDescent="0.2">
      <c r="B70" s="155">
        <f t="shared" si="3"/>
        <v>58</v>
      </c>
      <c r="C70" s="156">
        <f t="shared" si="6"/>
        <v>46692</v>
      </c>
      <c r="D70" s="155"/>
      <c r="E70" s="157">
        <f t="shared" si="7"/>
        <v>0</v>
      </c>
      <c r="F70" s="157">
        <f t="shared" si="8"/>
        <v>0</v>
      </c>
      <c r="G70" s="157"/>
      <c r="H70" s="157" cm="1">
        <f t="array" ref="H70">_xlfn.IFS(C70&gt;$C$7,0,C70&lt;=$K$5,$F$5*$I$5/12,AND(C70&lt;=$K$6,C70&gt;$K$5),$F$5*$I$6/12,AND(C70&lt;=$K$7,C70&gt;$K$6),$F$5*$I$7/12,AND(C70&lt;=$K$8,C70&gt;$K$7),$F$5*$I$8/12,C70&gt;$K$8,$F$5*$I$4/12)</f>
        <v>0</v>
      </c>
      <c r="I70" s="157">
        <f t="shared" si="4"/>
        <v>0</v>
      </c>
      <c r="J70" s="157">
        <f t="shared" si="5"/>
        <v>0</v>
      </c>
      <c r="K70" s="155"/>
    </row>
    <row r="71" spans="2:11" x14ac:dyDescent="0.2">
      <c r="B71" s="155">
        <f t="shared" si="3"/>
        <v>59</v>
      </c>
      <c r="C71" s="156">
        <f t="shared" si="6"/>
        <v>46722</v>
      </c>
      <c r="D71" s="155"/>
      <c r="E71" s="157">
        <f t="shared" si="7"/>
        <v>0</v>
      </c>
      <c r="F71" s="157">
        <f t="shared" si="8"/>
        <v>0</v>
      </c>
      <c r="G71" s="157"/>
      <c r="H71" s="157" cm="1">
        <f t="array" ref="H71">_xlfn.IFS(C71&gt;$C$7,0,C71&lt;=$K$5,$F$5*$I$5/12,AND(C71&lt;=$K$6,C71&gt;$K$5),$F$5*$I$6/12,AND(C71&lt;=$K$7,C71&gt;$K$6),$F$5*$I$7/12,AND(C71&lt;=$K$8,C71&gt;$K$7),$F$5*$I$8/12,C71&gt;$K$8,$F$5*$I$4/12)</f>
        <v>0</v>
      </c>
      <c r="I71" s="157">
        <f t="shared" si="4"/>
        <v>0</v>
      </c>
      <c r="J71" s="157">
        <f t="shared" si="5"/>
        <v>0</v>
      </c>
      <c r="K71" s="155"/>
    </row>
    <row r="72" spans="2:11" x14ac:dyDescent="0.2">
      <c r="B72" s="155">
        <f t="shared" si="3"/>
        <v>60</v>
      </c>
      <c r="C72" s="156">
        <f t="shared" si="6"/>
        <v>46753</v>
      </c>
      <c r="D72" s="155"/>
      <c r="E72" s="157">
        <f t="shared" si="7"/>
        <v>0</v>
      </c>
      <c r="F72" s="157">
        <f t="shared" si="8"/>
        <v>0</v>
      </c>
      <c r="G72" s="157"/>
      <c r="H72" s="157" cm="1">
        <f t="array" ref="H72">_xlfn.IFS(C72&gt;$C$7,0,C72&lt;=$K$5,$F$5*$I$5/12,AND(C72&lt;=$K$6,C72&gt;$K$5),$F$5*$I$6/12,AND(C72&lt;=$K$7,C72&gt;$K$6),$F$5*$I$7/12,AND(C72&lt;=$K$8,C72&gt;$K$7),$F$5*$I$8/12,C72&gt;$K$8,$F$5*$I$4/12)</f>
        <v>0</v>
      </c>
      <c r="I72" s="157">
        <f t="shared" si="4"/>
        <v>0</v>
      </c>
      <c r="J72" s="157">
        <f t="shared" si="5"/>
        <v>0</v>
      </c>
      <c r="K72" s="155"/>
    </row>
    <row r="73" spans="2:11" x14ac:dyDescent="0.2">
      <c r="B73" s="155">
        <f t="shared" si="3"/>
        <v>61</v>
      </c>
      <c r="C73" s="156">
        <f t="shared" si="6"/>
        <v>46784</v>
      </c>
      <c r="D73" s="155"/>
      <c r="E73" s="157">
        <f t="shared" si="7"/>
        <v>0</v>
      </c>
      <c r="F73" s="157">
        <f t="shared" si="8"/>
        <v>0</v>
      </c>
      <c r="G73" s="157"/>
      <c r="H73" s="157" cm="1">
        <f t="array" ref="H73">_xlfn.IFS(C73&gt;$C$7,0,C73&lt;=$K$5,$F$5*$I$5/12,AND(C73&lt;=$K$6,C73&gt;$K$5),$F$5*$I$6/12,AND(C73&lt;=$K$7,C73&gt;$K$6),$F$5*$I$7/12,AND(C73&lt;=$K$8,C73&gt;$K$7),$F$5*$I$8/12,C73&gt;$K$8,$F$5*$I$4/12)</f>
        <v>0</v>
      </c>
      <c r="I73" s="157">
        <f t="shared" si="4"/>
        <v>0</v>
      </c>
      <c r="J73" s="157">
        <f t="shared" si="5"/>
        <v>0</v>
      </c>
      <c r="K73" s="155"/>
    </row>
    <row r="74" spans="2:11" x14ac:dyDescent="0.2">
      <c r="B74" s="155">
        <f t="shared" si="3"/>
        <v>62</v>
      </c>
      <c r="C74" s="156">
        <f t="shared" si="6"/>
        <v>46813</v>
      </c>
      <c r="D74" s="155"/>
      <c r="E74" s="157">
        <f t="shared" si="7"/>
        <v>0</v>
      </c>
      <c r="F74" s="157">
        <f t="shared" si="8"/>
        <v>0</v>
      </c>
      <c r="G74" s="157"/>
      <c r="H74" s="157" cm="1">
        <f t="array" ref="H74">_xlfn.IFS(C74&gt;$C$7,0,C74&lt;=$K$5,$F$5*$I$5/12,AND(C74&lt;=$K$6,C74&gt;$K$5),$F$5*$I$6/12,AND(C74&lt;=$K$7,C74&gt;$K$6),$F$5*$I$7/12,AND(C74&lt;=$K$8,C74&gt;$K$7),$F$5*$I$8/12,C74&gt;$K$8,$F$5*$I$4/12)</f>
        <v>0</v>
      </c>
      <c r="I74" s="157">
        <f t="shared" si="4"/>
        <v>0</v>
      </c>
      <c r="J74" s="157">
        <f t="shared" si="5"/>
        <v>0</v>
      </c>
      <c r="K74" s="155"/>
    </row>
    <row r="75" spans="2:11" x14ac:dyDescent="0.2">
      <c r="B75" s="155">
        <f t="shared" si="3"/>
        <v>63</v>
      </c>
      <c r="C75" s="156">
        <f t="shared" si="6"/>
        <v>46844</v>
      </c>
      <c r="D75" s="155"/>
      <c r="E75" s="157">
        <f t="shared" si="7"/>
        <v>0</v>
      </c>
      <c r="F75" s="157">
        <f t="shared" si="8"/>
        <v>0</v>
      </c>
      <c r="G75" s="157"/>
      <c r="H75" s="157" cm="1">
        <f t="array" ref="H75">_xlfn.IFS(C75&gt;$C$7,0,C75&lt;=$K$5,$F$5*$I$5/12,AND(C75&lt;=$K$6,C75&gt;$K$5),$F$5*$I$6/12,AND(C75&lt;=$K$7,C75&gt;$K$6),$F$5*$I$7/12,AND(C75&lt;=$K$8,C75&gt;$K$7),$F$5*$I$8/12,C75&gt;$K$8,$F$5*$I$4/12)</f>
        <v>0</v>
      </c>
      <c r="I75" s="157">
        <f t="shared" si="4"/>
        <v>0</v>
      </c>
      <c r="J75" s="157">
        <f t="shared" si="5"/>
        <v>0</v>
      </c>
      <c r="K75" s="155"/>
    </row>
    <row r="76" spans="2:11" x14ac:dyDescent="0.2">
      <c r="B76" s="155">
        <f t="shared" si="3"/>
        <v>64</v>
      </c>
      <c r="C76" s="156">
        <f t="shared" si="6"/>
        <v>46874</v>
      </c>
      <c r="D76" s="155"/>
      <c r="E76" s="157">
        <f t="shared" si="7"/>
        <v>0</v>
      </c>
      <c r="F76" s="157">
        <f t="shared" si="8"/>
        <v>0</v>
      </c>
      <c r="G76" s="157"/>
      <c r="H76" s="157" cm="1">
        <f t="array" ref="H76">_xlfn.IFS(C76&gt;$C$7,0,C76&lt;=$K$5,$F$5*$I$5/12,AND(C76&lt;=$K$6,C76&gt;$K$5),$F$5*$I$6/12,AND(C76&lt;=$K$7,C76&gt;$K$6),$F$5*$I$7/12,AND(C76&lt;=$K$8,C76&gt;$K$7),$F$5*$I$8/12,C76&gt;$K$8,$F$5*$I$4/12)</f>
        <v>0</v>
      </c>
      <c r="I76" s="157">
        <f t="shared" si="4"/>
        <v>0</v>
      </c>
      <c r="J76" s="157">
        <f t="shared" si="5"/>
        <v>0</v>
      </c>
      <c r="K76" s="155"/>
    </row>
    <row r="77" spans="2:11" x14ac:dyDescent="0.2">
      <c r="B77" s="155">
        <f t="shared" si="3"/>
        <v>65</v>
      </c>
      <c r="C77" s="156">
        <f t="shared" si="6"/>
        <v>46905</v>
      </c>
      <c r="D77" s="155"/>
      <c r="E77" s="157">
        <f t="shared" ref="E77:E96" si="9">J76</f>
        <v>0</v>
      </c>
      <c r="F77" s="157">
        <f t="shared" ref="F77:F96" si="10">ROUND($I$4*E77*(C77-C76)/360,2)</f>
        <v>0</v>
      </c>
      <c r="G77" s="157"/>
      <c r="H77" s="157" cm="1">
        <f t="array" ref="H77">_xlfn.IFS(C77&gt;$C$7,0,C77&lt;=$K$5,$F$5*$I$5/12,AND(C77&lt;=$K$6,C77&gt;$K$5),$F$5*$I$6/12,AND(C77&lt;=$K$7,C77&gt;$K$6),$F$5*$I$7/12,AND(C77&lt;=$K$8,C77&gt;$K$7),$F$5*$I$8/12,C77&gt;$K$8,$F$5*$I$4/12)</f>
        <v>0</v>
      </c>
      <c r="I77" s="157">
        <f t="shared" si="4"/>
        <v>0</v>
      </c>
      <c r="J77" s="157">
        <f t="shared" si="5"/>
        <v>0</v>
      </c>
      <c r="K77" s="155"/>
    </row>
    <row r="78" spans="2:11" x14ac:dyDescent="0.2">
      <c r="B78" s="155">
        <f t="shared" ref="B78:B96" si="11">B77+1</f>
        <v>66</v>
      </c>
      <c r="C78" s="156">
        <f t="shared" si="6"/>
        <v>46935</v>
      </c>
      <c r="D78" s="155"/>
      <c r="E78" s="157">
        <f t="shared" si="9"/>
        <v>0</v>
      </c>
      <c r="F78" s="157">
        <f t="shared" si="10"/>
        <v>0</v>
      </c>
      <c r="G78" s="157"/>
      <c r="H78" s="157" cm="1">
        <f t="array" ref="H78">_xlfn.IFS(C78&gt;$C$7,0,C78&lt;=$K$5,$F$5*$I$5/12,AND(C78&lt;=$K$6,C78&gt;$K$5),$F$5*$I$6/12,AND(C78&lt;=$K$7,C78&gt;$K$6),$F$5*$I$7/12,AND(C78&lt;=$K$8,C78&gt;$K$7),$F$5*$I$8/12,C78&gt;$K$8,$F$5*$I$4/12)</f>
        <v>0</v>
      </c>
      <c r="I78" s="157">
        <f t="shared" ref="I78:I96" si="12">IF(C78=$C$7,E78+F78-H78,0)</f>
        <v>0</v>
      </c>
      <c r="J78" s="157">
        <f t="shared" ref="J78:J96" si="13">E78+F78-H78-I78</f>
        <v>0</v>
      </c>
      <c r="K78" s="155"/>
    </row>
    <row r="79" spans="2:11" x14ac:dyDescent="0.2">
      <c r="B79" s="155">
        <f t="shared" si="11"/>
        <v>67</v>
      </c>
      <c r="C79" s="156">
        <f t="shared" ref="C79:C96" si="14">EDATE(C78,1)</f>
        <v>46966</v>
      </c>
      <c r="D79" s="155"/>
      <c r="E79" s="157">
        <f t="shared" si="9"/>
        <v>0</v>
      </c>
      <c r="F79" s="157">
        <f t="shared" si="10"/>
        <v>0</v>
      </c>
      <c r="G79" s="157"/>
      <c r="H79" s="157" cm="1">
        <f t="array" ref="H79">_xlfn.IFS(C79&gt;$C$7,0,C79&lt;=$K$5,$F$5*$I$5/12,AND(C79&lt;=$K$6,C79&gt;$K$5),$F$5*$I$6/12,AND(C79&lt;=$K$7,C79&gt;$K$6),$F$5*$I$7/12,AND(C79&lt;=$K$8,C79&gt;$K$7),$F$5*$I$8/12,C79&gt;$K$8,$F$5*$I$4/12)</f>
        <v>0</v>
      </c>
      <c r="I79" s="157">
        <f t="shared" si="12"/>
        <v>0</v>
      </c>
      <c r="J79" s="157">
        <f t="shared" si="13"/>
        <v>0</v>
      </c>
      <c r="K79" s="155"/>
    </row>
    <row r="80" spans="2:11" x14ac:dyDescent="0.2">
      <c r="B80" s="155">
        <f t="shared" si="11"/>
        <v>68</v>
      </c>
      <c r="C80" s="156">
        <f t="shared" si="14"/>
        <v>46997</v>
      </c>
      <c r="D80" s="155"/>
      <c r="E80" s="157">
        <f t="shared" si="9"/>
        <v>0</v>
      </c>
      <c r="F80" s="157">
        <f t="shared" si="10"/>
        <v>0</v>
      </c>
      <c r="G80" s="157"/>
      <c r="H80" s="157" cm="1">
        <f t="array" ref="H80">_xlfn.IFS(C80&gt;$C$7,0,C80&lt;=$K$5,$F$5*$I$5/12,AND(C80&lt;=$K$6,C80&gt;$K$5),$F$5*$I$6/12,AND(C80&lt;=$K$7,C80&gt;$K$6),$F$5*$I$7/12,AND(C80&lt;=$K$8,C80&gt;$K$7),$F$5*$I$8/12,C80&gt;$K$8,$F$5*$I$4/12)</f>
        <v>0</v>
      </c>
      <c r="I80" s="157">
        <f t="shared" si="12"/>
        <v>0</v>
      </c>
      <c r="J80" s="157">
        <f t="shared" si="13"/>
        <v>0</v>
      </c>
      <c r="K80" s="155"/>
    </row>
    <row r="81" spans="2:11" x14ac:dyDescent="0.2">
      <c r="B81" s="155">
        <f t="shared" si="11"/>
        <v>69</v>
      </c>
      <c r="C81" s="156">
        <f t="shared" si="14"/>
        <v>47027</v>
      </c>
      <c r="D81" s="155"/>
      <c r="E81" s="157">
        <f t="shared" si="9"/>
        <v>0</v>
      </c>
      <c r="F81" s="157">
        <f t="shared" si="10"/>
        <v>0</v>
      </c>
      <c r="G81" s="157"/>
      <c r="H81" s="157" cm="1">
        <f t="array" ref="H81">_xlfn.IFS(C81&gt;$C$7,0,C81&lt;=$K$5,$F$5*$I$5/12,AND(C81&lt;=$K$6,C81&gt;$K$5),$F$5*$I$6/12,AND(C81&lt;=$K$7,C81&gt;$K$6),$F$5*$I$7/12,AND(C81&lt;=$K$8,C81&gt;$K$7),$F$5*$I$8/12,C81&gt;$K$8,$F$5*$I$4/12)</f>
        <v>0</v>
      </c>
      <c r="I81" s="157">
        <f t="shared" si="12"/>
        <v>0</v>
      </c>
      <c r="J81" s="157">
        <f t="shared" si="13"/>
        <v>0</v>
      </c>
      <c r="K81" s="155"/>
    </row>
    <row r="82" spans="2:11" x14ac:dyDescent="0.2">
      <c r="B82" s="155">
        <f t="shared" si="11"/>
        <v>70</v>
      </c>
      <c r="C82" s="156">
        <f t="shared" si="14"/>
        <v>47058</v>
      </c>
      <c r="D82" s="155"/>
      <c r="E82" s="157">
        <f t="shared" si="9"/>
        <v>0</v>
      </c>
      <c r="F82" s="157">
        <f t="shared" si="10"/>
        <v>0</v>
      </c>
      <c r="G82" s="157"/>
      <c r="H82" s="157" cm="1">
        <f t="array" ref="H82">_xlfn.IFS(C82&gt;$C$7,0,C82&lt;=$K$5,$F$5*$I$5/12,AND(C82&lt;=$K$6,C82&gt;$K$5),$F$5*$I$6/12,AND(C82&lt;=$K$7,C82&gt;$K$6),$F$5*$I$7/12,AND(C82&lt;=$K$8,C82&gt;$K$7),$F$5*$I$8/12,C82&gt;$K$8,$F$5*$I$4/12)</f>
        <v>0</v>
      </c>
      <c r="I82" s="157">
        <f t="shared" si="12"/>
        <v>0</v>
      </c>
      <c r="J82" s="157">
        <f t="shared" si="13"/>
        <v>0</v>
      </c>
      <c r="K82" s="155"/>
    </row>
    <row r="83" spans="2:11" x14ac:dyDescent="0.2">
      <c r="B83" s="155">
        <f t="shared" si="11"/>
        <v>71</v>
      </c>
      <c r="C83" s="156">
        <f t="shared" si="14"/>
        <v>47088</v>
      </c>
      <c r="D83" s="155"/>
      <c r="E83" s="157">
        <f t="shared" si="9"/>
        <v>0</v>
      </c>
      <c r="F83" s="157">
        <f t="shared" si="10"/>
        <v>0</v>
      </c>
      <c r="G83" s="157"/>
      <c r="H83" s="157" cm="1">
        <f t="array" ref="H83">_xlfn.IFS(C83&gt;$C$7,0,C83&lt;=$K$5,$F$5*$I$5/12,AND(C83&lt;=$K$6,C83&gt;$K$5),$F$5*$I$6/12,AND(C83&lt;=$K$7,C83&gt;$K$6),$F$5*$I$7/12,AND(C83&lt;=$K$8,C83&gt;$K$7),$F$5*$I$8/12,C83&gt;$K$8,$F$5*$I$4/12)</f>
        <v>0</v>
      </c>
      <c r="I83" s="157">
        <f t="shared" si="12"/>
        <v>0</v>
      </c>
      <c r="J83" s="157">
        <f t="shared" si="13"/>
        <v>0</v>
      </c>
      <c r="K83" s="155"/>
    </row>
    <row r="84" spans="2:11" x14ac:dyDescent="0.2">
      <c r="B84" s="155">
        <f t="shared" si="11"/>
        <v>72</v>
      </c>
      <c r="C84" s="156">
        <f t="shared" si="14"/>
        <v>47119</v>
      </c>
      <c r="D84" s="155"/>
      <c r="E84" s="157">
        <f t="shared" si="9"/>
        <v>0</v>
      </c>
      <c r="F84" s="157">
        <f t="shared" si="10"/>
        <v>0</v>
      </c>
      <c r="G84" s="157"/>
      <c r="H84" s="157" cm="1">
        <f t="array" ref="H84">_xlfn.IFS(C84&gt;$C$7,0,C84&lt;=$K$5,$F$5*$I$5/12,AND(C84&lt;=$K$6,C84&gt;$K$5),$F$5*$I$6/12,AND(C84&lt;=$K$7,C84&gt;$K$6),$F$5*$I$7/12,AND(C84&lt;=$K$8,C84&gt;$K$7),$F$5*$I$8/12,C84&gt;$K$8,$F$5*$I$4/12)</f>
        <v>0</v>
      </c>
      <c r="I84" s="157">
        <f t="shared" si="12"/>
        <v>0</v>
      </c>
      <c r="J84" s="157">
        <f t="shared" si="13"/>
        <v>0</v>
      </c>
      <c r="K84" s="155"/>
    </row>
    <row r="85" spans="2:11" x14ac:dyDescent="0.2">
      <c r="B85" s="155">
        <f t="shared" si="11"/>
        <v>73</v>
      </c>
      <c r="C85" s="156">
        <f t="shared" si="14"/>
        <v>47150</v>
      </c>
      <c r="D85" s="155"/>
      <c r="E85" s="157">
        <f t="shared" si="9"/>
        <v>0</v>
      </c>
      <c r="F85" s="157">
        <f t="shared" si="10"/>
        <v>0</v>
      </c>
      <c r="G85" s="157"/>
      <c r="H85" s="157" cm="1">
        <f t="array" ref="H85">_xlfn.IFS(C85&gt;$C$7,0,C85&lt;=$K$5,$F$5*$I$5/12,AND(C85&lt;=$K$6,C85&gt;$K$5),$F$5*$I$6/12,AND(C85&lt;=$K$7,C85&gt;$K$6),$F$5*$I$7/12,AND(C85&lt;=$K$8,C85&gt;$K$7),$F$5*$I$8/12,C85&gt;$K$8,$F$5*$I$4/12)</f>
        <v>0</v>
      </c>
      <c r="I85" s="157">
        <f t="shared" si="12"/>
        <v>0</v>
      </c>
      <c r="J85" s="157">
        <f t="shared" si="13"/>
        <v>0</v>
      </c>
      <c r="K85" s="155"/>
    </row>
    <row r="86" spans="2:11" x14ac:dyDescent="0.2">
      <c r="B86" s="155">
        <f t="shared" si="11"/>
        <v>74</v>
      </c>
      <c r="C86" s="156">
        <f t="shared" si="14"/>
        <v>47178</v>
      </c>
      <c r="D86" s="155"/>
      <c r="E86" s="157">
        <f t="shared" si="9"/>
        <v>0</v>
      </c>
      <c r="F86" s="157">
        <f t="shared" si="10"/>
        <v>0</v>
      </c>
      <c r="G86" s="157"/>
      <c r="H86" s="157" cm="1">
        <f t="array" ref="H86">_xlfn.IFS(C86&gt;$C$7,0,C86&lt;=$K$5,$F$5*$I$5/12,AND(C86&lt;=$K$6,C86&gt;$K$5),$F$5*$I$6/12,AND(C86&lt;=$K$7,C86&gt;$K$6),$F$5*$I$7/12,AND(C86&lt;=$K$8,C86&gt;$K$7),$F$5*$I$8/12,C86&gt;$K$8,$F$5*$I$4/12)</f>
        <v>0</v>
      </c>
      <c r="I86" s="157">
        <f t="shared" si="12"/>
        <v>0</v>
      </c>
      <c r="J86" s="157">
        <f t="shared" si="13"/>
        <v>0</v>
      </c>
      <c r="K86" s="155"/>
    </row>
    <row r="87" spans="2:11" x14ac:dyDescent="0.2">
      <c r="B87" s="155">
        <f t="shared" si="11"/>
        <v>75</v>
      </c>
      <c r="C87" s="156">
        <f t="shared" si="14"/>
        <v>47209</v>
      </c>
      <c r="D87" s="155"/>
      <c r="E87" s="157">
        <f t="shared" si="9"/>
        <v>0</v>
      </c>
      <c r="F87" s="157">
        <f t="shared" si="10"/>
        <v>0</v>
      </c>
      <c r="G87" s="157"/>
      <c r="H87" s="157" cm="1">
        <f t="array" ref="H87">_xlfn.IFS(C87&gt;$C$7,0,C87&lt;=$K$5,$F$5*$I$5/12,AND(C87&lt;=$K$6,C87&gt;$K$5),$F$5*$I$6/12,AND(C87&lt;=$K$7,C87&gt;$K$6),$F$5*$I$7/12,AND(C87&lt;=$K$8,C87&gt;$K$7),$F$5*$I$8/12,C87&gt;$K$8,$F$5*$I$4/12)</f>
        <v>0</v>
      </c>
      <c r="I87" s="157">
        <f t="shared" si="12"/>
        <v>0</v>
      </c>
      <c r="J87" s="157">
        <f t="shared" si="13"/>
        <v>0</v>
      </c>
      <c r="K87" s="155"/>
    </row>
    <row r="88" spans="2:11" x14ac:dyDescent="0.2">
      <c r="B88" s="155">
        <f t="shared" si="11"/>
        <v>76</v>
      </c>
      <c r="C88" s="156">
        <f t="shared" si="14"/>
        <v>47239</v>
      </c>
      <c r="D88" s="155"/>
      <c r="E88" s="157">
        <f t="shared" si="9"/>
        <v>0</v>
      </c>
      <c r="F88" s="157">
        <f t="shared" si="10"/>
        <v>0</v>
      </c>
      <c r="G88" s="157"/>
      <c r="H88" s="157" cm="1">
        <f t="array" ref="H88">_xlfn.IFS(C88&gt;$C$7,0,C88&lt;=$K$5,$F$5*$I$5/12,AND(C88&lt;=$K$6,C88&gt;$K$5),$F$5*$I$6/12,AND(C88&lt;=$K$7,C88&gt;$K$6),$F$5*$I$7/12,AND(C88&lt;=$K$8,C88&gt;$K$7),$F$5*$I$8/12,C88&gt;$K$8,$F$5*$I$4/12)</f>
        <v>0</v>
      </c>
      <c r="I88" s="157">
        <f t="shared" si="12"/>
        <v>0</v>
      </c>
      <c r="J88" s="157">
        <f t="shared" si="13"/>
        <v>0</v>
      </c>
      <c r="K88" s="155"/>
    </row>
    <row r="89" spans="2:11" x14ac:dyDescent="0.2">
      <c r="B89" s="155">
        <f t="shared" si="11"/>
        <v>77</v>
      </c>
      <c r="C89" s="156">
        <f t="shared" si="14"/>
        <v>47270</v>
      </c>
      <c r="D89" s="155"/>
      <c r="E89" s="157">
        <f t="shared" si="9"/>
        <v>0</v>
      </c>
      <c r="F89" s="157">
        <f t="shared" si="10"/>
        <v>0</v>
      </c>
      <c r="G89" s="157"/>
      <c r="H89" s="157" cm="1">
        <f t="array" ref="H89">_xlfn.IFS(C89&gt;$C$7,0,C89&lt;=$K$5,$F$5*$I$5/12,AND(C89&lt;=$K$6,C89&gt;$K$5),$F$5*$I$6/12,AND(C89&lt;=$K$7,C89&gt;$K$6),$F$5*$I$7/12,AND(C89&lt;=$K$8,C89&gt;$K$7),$F$5*$I$8/12,C89&gt;$K$8,$F$5*$I$4/12)</f>
        <v>0</v>
      </c>
      <c r="I89" s="157">
        <f t="shared" si="12"/>
        <v>0</v>
      </c>
      <c r="J89" s="157">
        <f t="shared" si="13"/>
        <v>0</v>
      </c>
      <c r="K89" s="155"/>
    </row>
    <row r="90" spans="2:11" x14ac:dyDescent="0.2">
      <c r="B90" s="155">
        <f t="shared" si="11"/>
        <v>78</v>
      </c>
      <c r="C90" s="156">
        <f t="shared" si="14"/>
        <v>47300</v>
      </c>
      <c r="D90" s="155"/>
      <c r="E90" s="157">
        <f t="shared" si="9"/>
        <v>0</v>
      </c>
      <c r="F90" s="157">
        <f t="shared" si="10"/>
        <v>0</v>
      </c>
      <c r="G90" s="157"/>
      <c r="H90" s="157" cm="1">
        <f t="array" ref="H90">_xlfn.IFS(C90&gt;$C$7,0,C90&lt;=$K$5,$F$5*$I$5/12,AND(C90&lt;=$K$6,C90&gt;$K$5),$F$5*$I$6/12,AND(C90&lt;=$K$7,C90&gt;$K$6),$F$5*$I$7/12,AND(C90&lt;=$K$8,C90&gt;$K$7),$F$5*$I$8/12,C90&gt;$K$8,$F$5*$I$4/12)</f>
        <v>0</v>
      </c>
      <c r="I90" s="157">
        <f t="shared" si="12"/>
        <v>0</v>
      </c>
      <c r="J90" s="157">
        <f t="shared" si="13"/>
        <v>0</v>
      </c>
      <c r="K90" s="155"/>
    </row>
    <row r="91" spans="2:11" x14ac:dyDescent="0.2">
      <c r="B91" s="155">
        <f t="shared" si="11"/>
        <v>79</v>
      </c>
      <c r="C91" s="156">
        <f t="shared" si="14"/>
        <v>47331</v>
      </c>
      <c r="D91" s="155"/>
      <c r="E91" s="157">
        <f t="shared" si="9"/>
        <v>0</v>
      </c>
      <c r="F91" s="157">
        <f t="shared" si="10"/>
        <v>0</v>
      </c>
      <c r="G91" s="157"/>
      <c r="H91" s="157" cm="1">
        <f t="array" ref="H91">_xlfn.IFS(C91&gt;$C$7,0,C91&lt;=$K$5,$F$5*$I$5/12,AND(C91&lt;=$K$6,C91&gt;$K$5),$F$5*$I$6/12,AND(C91&lt;=$K$7,C91&gt;$K$6),$F$5*$I$7/12,AND(C91&lt;=$K$8,C91&gt;$K$7),$F$5*$I$8/12,C91&gt;$K$8,$F$5*$I$4/12)</f>
        <v>0</v>
      </c>
      <c r="I91" s="157">
        <f t="shared" si="12"/>
        <v>0</v>
      </c>
      <c r="J91" s="157">
        <f t="shared" si="13"/>
        <v>0</v>
      </c>
      <c r="K91" s="155"/>
    </row>
    <row r="92" spans="2:11" x14ac:dyDescent="0.2">
      <c r="B92" s="155">
        <f t="shared" si="11"/>
        <v>80</v>
      </c>
      <c r="C92" s="156">
        <f t="shared" si="14"/>
        <v>47362</v>
      </c>
      <c r="D92" s="155"/>
      <c r="E92" s="157">
        <f t="shared" si="9"/>
        <v>0</v>
      </c>
      <c r="F92" s="157">
        <f t="shared" si="10"/>
        <v>0</v>
      </c>
      <c r="G92" s="157"/>
      <c r="H92" s="157" cm="1">
        <f t="array" ref="H92">_xlfn.IFS(C92&gt;$C$7,0,C92&lt;=$K$5,$F$5*$I$5/12,AND(C92&lt;=$K$6,C92&gt;$K$5),$F$5*$I$6/12,AND(C92&lt;=$K$7,C92&gt;$K$6),$F$5*$I$7/12,AND(C92&lt;=$K$8,C92&gt;$K$7),$F$5*$I$8/12,C92&gt;$K$8,$F$5*$I$4/12)</f>
        <v>0</v>
      </c>
      <c r="I92" s="157">
        <f t="shared" si="12"/>
        <v>0</v>
      </c>
      <c r="J92" s="157">
        <f t="shared" si="13"/>
        <v>0</v>
      </c>
      <c r="K92" s="155"/>
    </row>
    <row r="93" spans="2:11" x14ac:dyDescent="0.2">
      <c r="B93" s="155">
        <f t="shared" si="11"/>
        <v>81</v>
      </c>
      <c r="C93" s="156">
        <f t="shared" si="14"/>
        <v>47392</v>
      </c>
      <c r="D93" s="155"/>
      <c r="E93" s="157">
        <f t="shared" si="9"/>
        <v>0</v>
      </c>
      <c r="F93" s="157">
        <f t="shared" si="10"/>
        <v>0</v>
      </c>
      <c r="G93" s="157"/>
      <c r="H93" s="157" cm="1">
        <f t="array" ref="H93">_xlfn.IFS(C93&gt;$C$7,0,C93&lt;=$K$5,$F$5*$I$5/12,AND(C93&lt;=$K$6,C93&gt;$K$5),$F$5*$I$6/12,AND(C93&lt;=$K$7,C93&gt;$K$6),$F$5*$I$7/12,AND(C93&lt;=$K$8,C93&gt;$K$7),$F$5*$I$8/12,C93&gt;$K$8,$F$5*$I$4/12)</f>
        <v>0</v>
      </c>
      <c r="I93" s="157">
        <f t="shared" si="12"/>
        <v>0</v>
      </c>
      <c r="J93" s="157">
        <f t="shared" si="13"/>
        <v>0</v>
      </c>
      <c r="K93" s="155"/>
    </row>
    <row r="94" spans="2:11" x14ac:dyDescent="0.2">
      <c r="B94" s="155">
        <f t="shared" si="11"/>
        <v>82</v>
      </c>
      <c r="C94" s="156">
        <f t="shared" si="14"/>
        <v>47423</v>
      </c>
      <c r="D94" s="155"/>
      <c r="E94" s="157">
        <f t="shared" si="9"/>
        <v>0</v>
      </c>
      <c r="F94" s="157">
        <f t="shared" si="10"/>
        <v>0</v>
      </c>
      <c r="G94" s="157"/>
      <c r="H94" s="157" cm="1">
        <f t="array" ref="H94">_xlfn.IFS(C94&gt;$C$7,0,C94&lt;=$K$5,$F$5*$I$5/12,AND(C94&lt;=$K$6,C94&gt;$K$5),$F$5*$I$6/12,AND(C94&lt;=$K$7,C94&gt;$K$6),$F$5*$I$7/12,AND(C94&lt;=$K$8,C94&gt;$K$7),$F$5*$I$8/12,C94&gt;$K$8,$F$5*$I$4/12)</f>
        <v>0</v>
      </c>
      <c r="I94" s="157">
        <f t="shared" si="12"/>
        <v>0</v>
      </c>
      <c r="J94" s="157">
        <f t="shared" si="13"/>
        <v>0</v>
      </c>
      <c r="K94" s="155"/>
    </row>
    <row r="95" spans="2:11" x14ac:dyDescent="0.2">
      <c r="B95" s="155">
        <f t="shared" si="11"/>
        <v>83</v>
      </c>
      <c r="C95" s="156">
        <f t="shared" si="14"/>
        <v>47453</v>
      </c>
      <c r="D95" s="155"/>
      <c r="E95" s="157">
        <f t="shared" si="9"/>
        <v>0</v>
      </c>
      <c r="F95" s="157">
        <f t="shared" si="10"/>
        <v>0</v>
      </c>
      <c r="G95" s="157"/>
      <c r="H95" s="157" cm="1">
        <f t="array" ref="H95">_xlfn.IFS(C95&gt;$C$7,0,C95&lt;=$K$5,$F$5*$I$5/12,AND(C95&lt;=$K$6,C95&gt;$K$5),$F$5*$I$6/12,AND(C95&lt;=$K$7,C95&gt;$K$6),$F$5*$I$7/12,AND(C95&lt;=$K$8,C95&gt;$K$7),$F$5*$I$8/12,C95&gt;$K$8,$F$5*$I$4/12)</f>
        <v>0</v>
      </c>
      <c r="I95" s="157">
        <f t="shared" si="12"/>
        <v>0</v>
      </c>
      <c r="J95" s="157">
        <f t="shared" si="13"/>
        <v>0</v>
      </c>
      <c r="K95" s="155"/>
    </row>
    <row r="96" spans="2:11" x14ac:dyDescent="0.2">
      <c r="B96" s="155">
        <f t="shared" si="11"/>
        <v>84</v>
      </c>
      <c r="C96" s="156">
        <f t="shared" si="14"/>
        <v>47484</v>
      </c>
      <c r="D96" s="155"/>
      <c r="E96" s="157">
        <f t="shared" si="9"/>
        <v>0</v>
      </c>
      <c r="F96" s="157">
        <f t="shared" si="10"/>
        <v>0</v>
      </c>
      <c r="G96" s="157"/>
      <c r="H96" s="157" cm="1">
        <f t="array" ref="H96">_xlfn.IFS(C96&gt;$C$7,0,C96&lt;=$K$5,$F$5*$I$5/12,AND(C96&lt;=$K$6,C96&gt;$K$5),$F$5*$I$6/12,AND(C96&lt;=$K$7,C96&gt;$K$6),$F$5*$I$7/12,AND(C96&lt;=$K$8,C96&gt;$K$7),$F$5*$I$8/12,C96&gt;$K$8,$F$5*$I$4/12)</f>
        <v>0</v>
      </c>
      <c r="I96" s="157">
        <f t="shared" si="12"/>
        <v>0</v>
      </c>
      <c r="J96" s="157">
        <f t="shared" si="13"/>
        <v>0</v>
      </c>
      <c r="K96" s="155"/>
    </row>
    <row r="97" spans="2:23" x14ac:dyDescent="0.2"/>
    <row r="98" spans="2:23" x14ac:dyDescent="0.2">
      <c r="B98" s="144" t="s">
        <v>243</v>
      </c>
      <c r="C98" s="144" t="s">
        <v>243</v>
      </c>
      <c r="D98" s="144" t="s">
        <v>243</v>
      </c>
      <c r="E98" s="144" t="s">
        <v>243</v>
      </c>
      <c r="F98" s="144" t="s">
        <v>243</v>
      </c>
      <c r="G98" s="144" t="s">
        <v>243</v>
      </c>
      <c r="H98" s="144" t="s">
        <v>243</v>
      </c>
      <c r="I98" s="144" t="s">
        <v>243</v>
      </c>
      <c r="J98" s="144" t="s">
        <v>243</v>
      </c>
      <c r="K98" s="144" t="s">
        <v>243</v>
      </c>
      <c r="L98" s="144" t="s">
        <v>243</v>
      </c>
      <c r="M98" s="144" t="s">
        <v>243</v>
      </c>
      <c r="N98" s="144" t="s">
        <v>243</v>
      </c>
      <c r="O98" s="144" t="s">
        <v>243</v>
      </c>
      <c r="P98" s="144" t="s">
        <v>243</v>
      </c>
      <c r="Q98" s="144" t="s">
        <v>243</v>
      </c>
      <c r="R98" s="144" t="s">
        <v>243</v>
      </c>
      <c r="S98" s="144" t="s">
        <v>243</v>
      </c>
      <c r="T98" s="144" t="s">
        <v>243</v>
      </c>
      <c r="U98" s="144" t="s">
        <v>243</v>
      </c>
      <c r="V98" s="144" t="s">
        <v>243</v>
      </c>
      <c r="W98" s="144" t="s">
        <v>243</v>
      </c>
    </row>
    <row r="99" spans="2:23" x14ac:dyDescent="0.2"/>
    <row r="100" spans="2:23" x14ac:dyDescent="0.2"/>
    <row r="101" spans="2:23" x14ac:dyDescent="0.2"/>
    <row r="102" spans="2:23" x14ac:dyDescent="0.2"/>
    <row r="103" spans="2:23" x14ac:dyDescent="0.2"/>
    <row r="104" spans="2:23" x14ac:dyDescent="0.2"/>
    <row r="105" spans="2:23" x14ac:dyDescent="0.2"/>
    <row r="106" spans="2:23" x14ac:dyDescent="0.2"/>
    <row r="107" spans="2:23" x14ac:dyDescent="0.2"/>
    <row r="108" spans="2:23" x14ac:dyDescent="0.2"/>
    <row r="109" spans="2:23" x14ac:dyDescent="0.2"/>
    <row r="110" spans="2:23" x14ac:dyDescent="0.2"/>
    <row r="111" spans="2:23" x14ac:dyDescent="0.2"/>
    <row r="112" spans="2:23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</sheetData>
  <dataValidations disablePrompts="1" count="1">
    <dataValidation type="list" allowBlank="1" showInputMessage="1" showErrorMessage="1" sqref="F6" xr:uid="{BB079FF7-EFEE-48BD-BB9A-0A1D3FF184ED}">
      <formula1>"Actual/360,30/360,Actual/365,30/365"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DD5A-0000-451A-84CD-38EE5DA6D5B0}">
  <sheetPr codeName="Sheet14"/>
  <dimension ref="B1:D35"/>
  <sheetViews>
    <sheetView showGridLines="0" view="pageBreakPreview" zoomScale="150" zoomScaleNormal="120" zoomScaleSheetLayoutView="150" workbookViewId="0">
      <selection activeCell="H22" sqref="H22"/>
    </sheetView>
  </sheetViews>
  <sheetFormatPr defaultColWidth="8.7109375" defaultRowHeight="15" x14ac:dyDescent="0.25"/>
  <cols>
    <col min="2" max="2" width="21.42578125" customWidth="1"/>
    <col min="3" max="3" width="21.140625" bestFit="1" customWidth="1"/>
    <col min="8" max="8" width="41.85546875" bestFit="1" customWidth="1"/>
    <col min="9" max="9" width="10.140625" bestFit="1" customWidth="1"/>
    <col min="10" max="10" width="10" bestFit="1" customWidth="1"/>
    <col min="11" max="11" width="12.140625" bestFit="1" customWidth="1"/>
  </cols>
  <sheetData>
    <row r="1" spans="2:3" x14ac:dyDescent="0.25">
      <c r="B1" s="1"/>
    </row>
    <row r="2" spans="2:3" x14ac:dyDescent="0.25">
      <c r="B2" s="1"/>
    </row>
    <row r="3" spans="2:3" x14ac:dyDescent="0.25">
      <c r="B3" s="1" t="s">
        <v>76</v>
      </c>
      <c r="C3" t="s">
        <v>52</v>
      </c>
    </row>
    <row r="4" spans="2:3" x14ac:dyDescent="0.25">
      <c r="B4" s="1" t="s">
        <v>53</v>
      </c>
      <c r="C4" t="s">
        <v>54</v>
      </c>
    </row>
    <row r="5" spans="2:3" x14ac:dyDescent="0.25">
      <c r="C5" s="3"/>
    </row>
    <row r="6" spans="2:3" x14ac:dyDescent="0.25">
      <c r="B6" s="1"/>
    </row>
    <row r="7" spans="2:3" x14ac:dyDescent="0.25">
      <c r="B7" s="1"/>
    </row>
    <row r="13" spans="2:3" x14ac:dyDescent="0.25">
      <c r="B13" s="1"/>
    </row>
    <row r="14" spans="2:3" x14ac:dyDescent="0.25">
      <c r="B14" s="1"/>
    </row>
    <row r="15" spans="2:3" x14ac:dyDescent="0.25">
      <c r="B15" s="1"/>
    </row>
    <row r="19" spans="2:2" x14ac:dyDescent="0.25">
      <c r="B19" s="1"/>
    </row>
    <row r="21" spans="2:2" x14ac:dyDescent="0.25">
      <c r="B21" s="1"/>
    </row>
    <row r="35" spans="3:4" x14ac:dyDescent="0.25">
      <c r="C35" s="2"/>
      <c r="D35" s="2"/>
    </row>
  </sheetData>
  <customSheetViews>
    <customSheetView guid="{C48E6361-ADB0-4860-9633-040747E5D3D8}" scale="120" showGridLines="0">
      <selection activeCell="B16" sqref="B16"/>
      <pageMargins left="0.7" right="0.7" top="0.75" bottom="0.75" header="0.3" footer="0.3"/>
    </customSheetView>
  </customSheetView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C06DC-4A48-48A9-B1CF-E592C262C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77</vt:i4>
      </vt:variant>
    </vt:vector>
  </HeadingPairs>
  <TitlesOfParts>
    <vt:vector size="95" baseType="lpstr">
      <vt:lpstr>Summary</vt:lpstr>
      <vt:lpstr>Closing Budget</vt:lpstr>
      <vt:lpstr>Rent Roll</vt:lpstr>
      <vt:lpstr>Unit Mix-Reno Schedule</vt:lpstr>
      <vt:lpstr>Opex Budget</vt:lpstr>
      <vt:lpstr>Ops Assumptions</vt:lpstr>
      <vt:lpstr>Renovation Budget</vt:lpstr>
      <vt:lpstr>Financials</vt:lpstr>
      <vt:lpstr>Monthly Pro Forma</vt:lpstr>
      <vt:lpstr>Annual Pro Forma</vt:lpstr>
      <vt:lpstr>Returns</vt:lpstr>
      <vt:lpstr>Export Sheet</vt:lpstr>
      <vt:lpstr>Dropdowns</vt:lpstr>
      <vt:lpstr>Data</vt:lpstr>
      <vt:lpstr>Summary Metrics</vt:lpstr>
      <vt:lpstr>Loan Schedule</vt:lpstr>
      <vt:lpstr>Pref Schedule</vt:lpstr>
      <vt:lpstr>Notes</vt:lpstr>
      <vt:lpstr>AcquisitionFee</vt:lpstr>
      <vt:lpstr>Address</vt:lpstr>
      <vt:lpstr>AMFee</vt:lpstr>
      <vt:lpstr>AnalysisStartDate</vt:lpstr>
      <vt:lpstr>Avg_SF</vt:lpstr>
      <vt:lpstr>Capex</vt:lpstr>
      <vt:lpstr>CityStateZip</vt:lpstr>
      <vt:lpstr>CommonEquity</vt:lpstr>
      <vt:lpstr>CostsofSale</vt:lpstr>
      <vt:lpstr>DealStructureSwitch</vt:lpstr>
      <vt:lpstr>Debt</vt:lpstr>
      <vt:lpstr>DispositionFee</vt:lpstr>
      <vt:lpstr>ExitCap</vt:lpstr>
      <vt:lpstr>FinancingFee</vt:lpstr>
      <vt:lpstr>GrossSF</vt:lpstr>
      <vt:lpstr>HoldPeriod</vt:lpstr>
      <vt:lpstr>Hurdle2IRR</vt:lpstr>
      <vt:lpstr>interest_reserve</vt:lpstr>
      <vt:lpstr>InvestorContribution</vt:lpstr>
      <vt:lpstr>InvestorHurdle1</vt:lpstr>
      <vt:lpstr>InvestorSplit</vt:lpstr>
      <vt:lpstr>IRRInvestorRemainingSplit</vt:lpstr>
      <vt:lpstr>IRRRemainingSplit</vt:lpstr>
      <vt:lpstr>IRRSponsorRemainingSplit</vt:lpstr>
      <vt:lpstr>JuniorAmor</vt:lpstr>
      <vt:lpstr>JuniorInterest</vt:lpstr>
      <vt:lpstr>JuniorIO</vt:lpstr>
      <vt:lpstr>JuniorLoanAmount</vt:lpstr>
      <vt:lpstr>JuniorLoanFee</vt:lpstr>
      <vt:lpstr>JuniorLTV</vt:lpstr>
      <vt:lpstr>JuniorPrePaySwitch</vt:lpstr>
      <vt:lpstr>JV_reserve</vt:lpstr>
      <vt:lpstr>LoanTerm1st</vt:lpstr>
      <vt:lpstr>LoanTerm2nd</vt:lpstr>
      <vt:lpstr>LoanTermRefi</vt:lpstr>
      <vt:lpstr>Name</vt:lpstr>
      <vt:lpstr>NRA</vt:lpstr>
      <vt:lpstr>PEaccrualInt</vt:lpstr>
      <vt:lpstr>PEcurrentInt</vt:lpstr>
      <vt:lpstr>PEfee</vt:lpstr>
      <vt:lpstr>PEloanAMT</vt:lpstr>
      <vt:lpstr>PEltv</vt:lpstr>
      <vt:lpstr>PercentReassessed</vt:lpstr>
      <vt:lpstr>PEswitch</vt:lpstr>
      <vt:lpstr>PreferredReturn</vt:lpstr>
      <vt:lpstr>PrePayPercent2nd</vt:lpstr>
      <vt:lpstr>PrepayPercentFirst</vt:lpstr>
      <vt:lpstr>PrepayPercentRefi</vt:lpstr>
      <vt:lpstr>Notes!Print_Area</vt:lpstr>
      <vt:lpstr>PropManagementFee</vt:lpstr>
      <vt:lpstr>PurchasePrice</vt:lpstr>
      <vt:lpstr>ReassessTrigger</vt:lpstr>
      <vt:lpstr>RefiAmor</vt:lpstr>
      <vt:lpstr>RefiInterestRate</vt:lpstr>
      <vt:lpstr>RefiIO</vt:lpstr>
      <vt:lpstr>RefiLoanAmount</vt:lpstr>
      <vt:lpstr>RefiLoanFee</vt:lpstr>
      <vt:lpstr>RefiLTV</vt:lpstr>
      <vt:lpstr>RefiMonth</vt:lpstr>
      <vt:lpstr>RefiPrePaySwitch</vt:lpstr>
      <vt:lpstr>reno_units</vt:lpstr>
      <vt:lpstr>reserve_release_period</vt:lpstr>
      <vt:lpstr>Senior_Amort</vt:lpstr>
      <vt:lpstr>Senior_Proceeds</vt:lpstr>
      <vt:lpstr>SeniorInt</vt:lpstr>
      <vt:lpstr>SeniorIO</vt:lpstr>
      <vt:lpstr>SeniorLTV</vt:lpstr>
      <vt:lpstr>SeniorPrePaySwitch</vt:lpstr>
      <vt:lpstr>Snr_Loan_Fee</vt:lpstr>
      <vt:lpstr>SponsorContribution</vt:lpstr>
      <vt:lpstr>SponsorHurdle1</vt:lpstr>
      <vt:lpstr>SponsorSplit</vt:lpstr>
      <vt:lpstr>tax_growth_rate</vt:lpstr>
      <vt:lpstr>TaxRate</vt:lpstr>
      <vt:lpstr>TotalProjectCosts</vt:lpstr>
      <vt:lpstr>TotalRenovationTime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alerman@cedargrovecp.com</dc:creator>
  <cp:lastModifiedBy>Aaron Lerman</cp:lastModifiedBy>
  <cp:lastPrinted>2022-03-28T17:36:25Z</cp:lastPrinted>
  <dcterms:created xsi:type="dcterms:W3CDTF">2019-03-23T18:49:17Z</dcterms:created>
  <dcterms:modified xsi:type="dcterms:W3CDTF">2023-01-26T00:24:34Z</dcterms:modified>
</cp:coreProperties>
</file>